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Thesis" sheetId="4" state="visible" r:id="rId6"/>
    <sheet name="Seg" sheetId="5" state="visible" r:id="rId7"/>
    <sheet name="PL" sheetId="6" state="visible" r:id="rId8"/>
    <sheet name="CF" sheetId="7" state="visible" r:id="rId9"/>
    <sheet name="Val" sheetId="8" state="visible" r:id="rId10"/>
    <sheet name="Recon" sheetId="9" state="visible" r:id="rId11"/>
    <sheet name="Sens" sheetId="10" state="visible" r:id="rId12"/>
    <sheet name="Sources" sheetId="11" state="visible" r:id="rId13"/>
  </sheets>
  <definedNames>
    <definedName function="false" hidden="false" name="ai_rr" vbProcedure="false">In!$E$80</definedName>
    <definedName function="false" hidden="false" name="ant_sh" vbProcedure="false">In!$E$112</definedName>
    <definedName function="false" hidden="false" name="ant_sh_hi" vbProcedure="false">In!$F$112</definedName>
    <definedName function="false" hidden="false" name="ant_sh_lo" vbProcedure="false">In!$D$112</definedName>
    <definedName function="false" hidden="false" name="ant_val" vbProcedure="false">In!$E$111</definedName>
    <definedName function="false" hidden="false" name="beta" vbProcedure="false">In!$E$12</definedName>
    <definedName function="false" hidden="false" name="beta_hi" vbProcedure="false">In!$F$12</definedName>
    <definedName function="false" hidden="false" name="beta_lo" vbProcedure="false">In!$D$12</definedName>
    <definedName function="false" hidden="false" name="capex_g26" vbProcedure="false">In!$E$78</definedName>
    <definedName function="false" hidden="false" name="cash_q2" vbProcedure="false">In!$E$103</definedName>
    <definedName function="false" hidden="false" name="cf_chip" vbProcedure="false">In!$E$73</definedName>
    <definedName function="false" hidden="false" name="cf_chip_lo" vbProcedure="false">In!$D$73</definedName>
    <definedName function="false" hidden="false" name="cf_cx" vbProcedure="false">In!$E$74</definedName>
    <definedName function="false" hidden="false" name="cf_cx_lo" vbProcedure="false">In!$D$74</definedName>
    <definedName function="false" hidden="false" name="colo_sh" vbProcedure="false">In!$E$75</definedName>
    <definedName function="false" hidden="false" name="colo_sh_hi" vbProcedure="false">In!$F$75</definedName>
    <definedName function="false" hidden="false" name="colo_sh_lo" vbProcedure="false">In!$D$75</definedName>
    <definedName function="false" hidden="false" name="cons_tp" vbProcedure="false">In!$E$9</definedName>
    <definedName function="false" hidden="false" name="cons_tp_hi" vbProcedure="false">In!$F$9</definedName>
    <definedName function="false" hidden="false" name="cons_tp_lo" vbProcedure="false">In!$D$9</definedName>
    <definedName function="false" hidden="false" name="cust_sh" vbProcedure="false">In!$E$69</definedName>
    <definedName function="false" hidden="false" name="cust_sh_hi" vbProcedure="false">In!$F$69</definedName>
    <definedName function="false" hidden="false" name="cust_sh_lo" vbProcedure="false">In!$D$69</definedName>
    <definedName function="false" hidden="false" name="cx_awso" vbProcedure="false">In!$E$83</definedName>
    <definedName function="false" hidden="false" name="cx_awso_hi" vbProcedure="false">In!$F$83</definedName>
    <definedName function="false" hidden="false" name="cx_awso_lo" vbProcedure="false">In!$D$83</definedName>
    <definedName function="false" hidden="false" name="cx_rt" vbProcedure="false">In!$E$94</definedName>
    <definedName function="false" hidden="false" name="c_capex26" vbProcedure="false">In!$E$124</definedName>
    <definedName function="false" hidden="false" name="c_capex27" vbProcedure="false">In!$E$131</definedName>
    <definedName function="false" hidden="false" name="c_capex28" vbProcedure="false">In!$E$138</definedName>
    <definedName function="false" hidden="false" name="c_ebit26" vbProcedure="false">In!$E$121</definedName>
    <definedName function="false" hidden="false" name="c_ebit27" vbProcedure="false">In!$E$128</definedName>
    <definedName function="false" hidden="false" name="c_ebit28" vbProcedure="false">In!$E$135</definedName>
    <definedName function="false" hidden="false" name="c_ebitda26" vbProcedure="false">In!$E$120</definedName>
    <definedName function="false" hidden="false" name="c_ebitda27" vbProcedure="false">In!$E$127</definedName>
    <definedName function="false" hidden="false" name="c_ebitda28" vbProcedure="false">In!$E$134</definedName>
    <definedName function="false" hidden="false" name="c_eps26" vbProcedure="false">In!$E$123</definedName>
    <definedName function="false" hidden="false" name="c_eps27" vbProcedure="false">In!$E$130</definedName>
    <definedName function="false" hidden="false" name="c_eps28" vbProcedure="false">In!$E$137</definedName>
    <definedName function="false" hidden="false" name="c_fcf26" vbProcedure="false">In!$E$125</definedName>
    <definedName function="false" hidden="false" name="c_fcf27" vbProcedure="false">In!$E$132</definedName>
    <definedName function="false" hidden="false" name="c_fcf28" vbProcedure="false">In!$E$139</definedName>
    <definedName function="false" hidden="false" name="c_ni26" vbProcedure="false">In!$E$122</definedName>
    <definedName function="false" hidden="false" name="c_ni27" vbProcedure="false">In!$E$129</definedName>
    <definedName function="false" hidden="false" name="c_ni28" vbProcedure="false">In!$E$136</definedName>
    <definedName function="false" hidden="false" name="c_rev26" vbProcedure="false">In!$E$119</definedName>
    <definedName function="false" hidden="false" name="c_rev27" vbProcedure="false">In!$E$126</definedName>
    <definedName function="false" hidden="false" name="c_rev28" vbProcedure="false">In!$E$133</definedName>
    <definedName function="false" hidden="false" name="c_speps26" vbProcedure="false">In!$E$142</definedName>
    <definedName function="false" hidden="false" name="c_speps26_hi" vbProcedure="false">In!$F$142</definedName>
    <definedName function="false" hidden="false" name="c_speps26_lo" vbProcedure="false">In!$D$142</definedName>
    <definedName function="false" hidden="false" name="c_speps27" vbProcedure="false">In!$E$143</definedName>
    <definedName function="false" hidden="false" name="c_sprev26" vbProcedure="false">In!$E$140</definedName>
    <definedName function="false" hidden="false" name="c_sprev26_hi" vbProcedure="false">In!$F$140</definedName>
    <definedName function="false" hidden="false" name="c_sprev26_lo" vbProcedure="false">In!$D$140</definedName>
    <definedName function="false" hidden="false" name="c_sprev27" vbProcedure="false">In!$E$141</definedName>
    <definedName function="false" hidden="false" name="debt_q2" vbProcedure="false">In!$E$16</definedName>
    <definedName function="false" hidden="false" name="dps" vbProcedure="false">In!$E$109</definedName>
    <definedName function="false" hidden="false" name="erp" vbProcedure="false">In!$E$13</definedName>
    <definedName function="false" hidden="false" name="erp_hi" vbProcedure="false">In!$F$13</definedName>
    <definedName function="false" hidden="false" name="erp_lo" vbProcedure="false">In!$D$13</definedName>
    <definedName function="false" hidden="false" name="ext_sh" vbProcedure="false">In!$E$34</definedName>
    <definedName function="false" hidden="false" name="ext_sh_hi" vbProcedure="false">In!$F$34</definedName>
    <definedName function="false" hidden="false" name="ext_sh_lo" vbProcedure="false">In!$D$34</definedName>
    <definedName function="false" hidden="false" name="fac_life" vbProcedure="false">In!$E$55</definedName>
    <definedName function="false" hidden="false" name="fac_life_hi" vbProcedure="false">In!$F$55</definedName>
    <definedName function="false" hidden="false" name="fac_life_lo" vbProcedure="false">In!$D$55</definedName>
    <definedName function="false" hidden="false" name="g26q3_hi" vbProcedure="false">In!$E$145</definedName>
    <definedName function="false" hidden="false" name="g26q3_lo" vbProcedure="false">In!$E$144</definedName>
    <definedName function="false" hidden="false" name="g26q3_oihi" vbProcedure="false">In!$E$147</definedName>
    <definedName function="false" hidden="false" name="g26q3_oilo" vbProcedure="false">In!$E$146</definedName>
    <definedName function="false" hidden="false" name="g_ad" vbProcedure="false">In!$E$88</definedName>
    <definedName function="false" hidden="false" name="g_ad_hi" vbProcedure="false">In!$F$88</definedName>
    <definedName function="false" hidden="false" name="g_ad_lo" vbProcedure="false">In!$D$88</definedName>
    <definedName function="false" hidden="false" name="g_awso_lt" vbProcedure="false">In!$E$82</definedName>
    <definedName function="false" hidden="false" name="g_awso_lt_hi" vbProcedure="false">In!$F$82</definedName>
    <definedName function="false" hidden="false" name="g_awso_lt_lo" vbProcedure="false">In!$D$82</definedName>
    <definedName function="false" hidden="false" name="g_os" vbProcedure="false">In!$E$85</definedName>
    <definedName function="false" hidden="false" name="g_os_hi" vbProcedure="false">In!$F$85</definedName>
    <definedName function="false" hidden="false" name="g_os_lo" vbProcedure="false">In!$D$85</definedName>
    <definedName function="false" hidden="false" name="g_ot" vbProcedure="false">In!$E$90</definedName>
    <definedName function="false" hidden="false" name="g_ot_hi" vbProcedure="false">In!$F$90</definedName>
    <definedName function="false" hidden="false" name="g_ot_lo" vbProcedure="false">In!$D$90</definedName>
    <definedName function="false" hidden="false" name="g_ps" vbProcedure="false">In!$E$86</definedName>
    <definedName function="false" hidden="false" name="g_ps_hi" vbProcedure="false">In!$F$86</definedName>
    <definedName function="false" hidden="false" name="g_ps_lo" vbProcedure="false">In!$D$86</definedName>
    <definedName function="false" hidden="false" name="g_sp" vbProcedure="false">In!$E$87</definedName>
    <definedName function="false" hidden="false" name="g_sp_hi" vbProcedure="false">In!$F$87</definedName>
    <definedName function="false" hidden="false" name="g_sp_lo" vbProcedure="false">In!$D$87</definedName>
    <definedName function="false" hidden="false" name="g_sub" vbProcedure="false">In!$E$89</definedName>
    <definedName function="false" hidden="false" name="g_sub_hi" vbProcedure="false">In!$F$89</definedName>
    <definedName function="false" hidden="false" name="g_sub_lo" vbProcedure="false">In!$D$89</definedName>
    <definedName function="false" hidden="false" name="he_open" vbProcedure="false">In!$E$66</definedName>
    <definedName function="false" hidden="false" name="inv_2h26" vbProcedure="false">In!$E$106</definedName>
    <definedName function="false" hidden="false" name="iss_2h26" vbProcedure="false">In!$E$105</definedName>
    <definedName function="false" hidden="false" name="kd_book" vbProcedure="false">In!$E$101</definedName>
    <definedName function="false" hidden="false" name="kd_new" vbProcedure="false">In!$E$14</definedName>
    <definedName function="false" hidden="false" name="ke" vbProcedure="false">In!$E$17</definedName>
    <definedName function="false" hidden="false" name="k_A" vbProcedure="false">In!$E$59</definedName>
    <definedName function="false" hidden="false" name="k_B" vbProcedure="false">In!$E$60</definedName>
    <definedName function="false" hidden="false" name="k_C" vbProcedure="false">In!$E$61</definedName>
    <definedName function="false" hidden="false" name="k_long" vbProcedure="false">In!$E$57</definedName>
    <definedName function="false" hidden="false" name="k_long_lo" vbProcedure="false">In!$D$57</definedName>
    <definedName function="false" hidden="false" name="k_spot" vbProcedure="false">In!$E$58</definedName>
    <definedName function="false" hidden="false" name="k_spot_hi" vbProcedure="false">In!$F$58</definedName>
    <definedName function="false" hidden="false" name="lease_pr" vbProcedure="false">In!$E$99</definedName>
    <definedName function="false" hidden="false" name="lease_pr_hi" vbProcedure="false">In!$F$99</definedName>
    <definedName function="false" hidden="false" name="lease_pr_lo" vbProcedure="false">In!$D$99</definedName>
    <definedName function="false" hidden="false" name="liq_disc" vbProcedure="false">In!$E$115</definedName>
    <definedName function="false" hidden="false" name="liq_disc_hi" vbProcedure="false">In!$F$115</definedName>
    <definedName function="false" hidden="false" name="liq_disc_lo" vbProcedure="false">In!$D$115</definedName>
    <definedName function="false" hidden="false" name="long_sh" vbProcedure="false">In!$E$35</definedName>
    <definedName function="false" hidden="false" name="long_sh_hi" vbProcedure="false">In!$F$35</definedName>
    <definedName function="false" hidden="false" name="long_sh_lo" vbProcedure="false">In!$D$35</definedName>
    <definedName function="false" hidden="false" name="min_cash" vbProcedure="false">In!$E$104</definedName>
    <definedName function="false" hidden="false" name="min_cash_hi" vbProcedure="false">In!$F$104</definedName>
    <definedName function="false" hidden="false" name="min_cash_lo" vbProcedure="false">In!$D$104</definedName>
    <definedName function="false" hidden="false" name="mo_gb200" vbProcedure="false">In!$E$64</definedName>
    <definedName function="false" hidden="false" name="mo_gb300" vbProcedure="false">In!$E$65</definedName>
    <definedName function="false" hidden="false" name="mo_h100" vbProcedure="false">In!$E$63</definedName>
    <definedName function="false" hidden="false" name="mo_trn2" vbProcedure="false">In!$E$62</definedName>
    <definedName function="false" hidden="false" name="mw_open" vbProcedure="false">In!$E$30</definedName>
    <definedName function="false" hidden="false" name="mw_open_hi" vbProcedure="false">In!$F$30</definedName>
    <definedName function="false" hidden="false" name="mw_open_lo" vbProcedure="false">In!$D$30</definedName>
    <definedName function="false" hidden="false" name="mw_ye23" vbProcedure="false">In!$E$27</definedName>
    <definedName function="false" hidden="false" name="mw_ye24" vbProcedure="false">In!$E$28</definedName>
    <definedName function="false" hidden="false" name="mw_ye25" vbProcedure="false">In!$E$29</definedName>
    <definedName function="false" hidden="false" name="mw_ye25_hi" vbProcedure="false">In!$F$29</definedName>
    <definedName function="false" hidden="false" name="mw_ye25_lo" vbProcedure="false">In!$D$29</definedName>
    <definedName function="false" hidden="false" name="m_ad" vbProcedure="false">In!$E$91</definedName>
    <definedName function="false" hidden="false" name="m_ads" vbProcedure="false">Val!$C$54</definedName>
    <definedName function="false" hidden="false" name="m_ad_hi" vbProcedure="false">In!$F$91</definedName>
    <definedName function="false" hidden="false" name="m_ad_lo" vbProcedure="false">In!$D$91</definedName>
    <definedName function="false" hidden="false" name="m_ai" vbProcedure="false">In!$E$116</definedName>
    <definedName function="false" hidden="false" name="m_ai_hi" vbProcedure="false">In!$F$116</definedName>
    <definedName function="false" hidden="false" name="m_ai_lo" vbProcedure="false">In!$D$116</definedName>
    <definedName function="false" hidden="false" name="m_cloud" vbProcedure="false">Val!$C$55</definedName>
    <definedName function="false" hidden="false" name="m_retail" vbProcedure="false">Val!$C$53</definedName>
    <definedName function="false" hidden="false" name="m_x" vbProcedure="false">In!$E$117</definedName>
    <definedName function="false" hidden="false" name="m_x_hi" vbProcedure="false">In!$F$117</definedName>
    <definedName function="false" hidden="false" name="m_x_lo" vbProcedure="false">In!$D$117</definedName>
    <definedName function="false" hidden="false" name="na_vr26" vbProcedure="false">In!$E$70</definedName>
    <definedName function="false" hidden="false" name="na_vr27" vbProcedure="false">In!$E$71</definedName>
    <definedName function="false" hidden="false" name="na_vr28" vbProcedure="false">In!$E$72</definedName>
    <definedName function="false" hidden="false" name="oai_sh" vbProcedure="false">In!$E$114</definedName>
    <definedName function="false" hidden="false" name="oai_val" vbProcedure="false">In!$E$113</definedName>
    <definedName function="false" hidden="false" name="oth_r" vbProcedure="false">In!$E$97</definedName>
    <definedName function="false" hidden="false" name="oth_r_hi" vbProcedure="false">In!$F$97</definedName>
    <definedName function="false" hidden="false" name="oth_r_lo" vbProcedure="false">In!$D$97</definedName>
    <definedName function="false" hidden="false" name="ox_open" vbProcedure="false">In!$E$67</definedName>
    <definedName function="false" hidden="false" name="pace_A" vbProcedure="false">In!$E$31</definedName>
    <definedName function="false" hidden="false" name="pace_B" vbProcedure="false">In!$E$32</definedName>
    <definedName function="false" hidden="false" name="pace_C" vbProcedure="false">In!$E$33</definedName>
    <definedName function="false" hidden="false" name="pd_amt" vbProcedure="false">In!$E$108</definedName>
    <definedName function="false" hidden="false" name="pd_sh" vbProcedure="false">In!$E$107</definedName>
    <definedName function="false" hidden="false" name="pd_sh_hi" vbProcedure="false">In!$F$107</definedName>
    <definedName function="false" hidden="false" name="pd_sh_lo" vbProcedure="false">In!$D$107</definedName>
    <definedName function="false" hidden="false" name="px" vbProcedure="false">In!$E$5</definedName>
    <definedName function="false" hidden="false" name="p_list" vbProcedure="false">In!$E$37</definedName>
    <definedName function="false" hidden="false" name="p_long" vbProcedure="false">In!$E$38</definedName>
    <definedName function="false" hidden="false" name="p_long_lo" vbProcedure="false">In!$E$39</definedName>
    <definedName function="false" hidden="false" name="p_spot" vbProcedure="false">In!$E$36</definedName>
    <definedName function="false" hidden="false" name="rd2" vbProcedure="false">In!$E$79</definedName>
    <definedName function="false" hidden="false" name="rd2_hi" vbProcedure="false">In!$F$79</definedName>
    <definedName function="false" hidden="false" name="rent_mw" vbProcedure="false">In!$E$77</definedName>
    <definedName function="false" hidden="false" name="rent_rec" vbProcedure="false">In!$E$76</definedName>
    <definedName function="false" hidden="false" name="rf" vbProcedure="false">In!$E$11</definedName>
    <definedName function="false" hidden="false" name="ronic" vbProcedure="false">In!$E$20</definedName>
    <definedName function="false" hidden="false" name="ronic_hi" vbProcedure="false">In!$F$20</definedName>
    <definedName function="false" hidden="false" name="rpm_open" vbProcedure="false">In!$E$68</definedName>
    <definedName function="false" hidden="false" name="sbc_r" vbProcedure="false">In!$E$96</definedName>
    <definedName function="false" hidden="false" name="sh_awd" vbProcedure="false">In!$E$7</definedName>
    <definedName function="false" hidden="false" name="sh_g" vbProcedure="false">In!$E$100</definedName>
    <definedName function="false" hidden="false" name="sh_g_hi" vbProcedure="false">In!$F$100</definedName>
    <definedName function="false" hidden="false" name="sh_g_lo" vbProcedure="false">In!$D$100</definedName>
    <definedName function="false" hidden="false" name="sh_out" vbProcedure="false">In!$E$6</definedName>
    <definedName function="false" hidden="false" name="sh_val" vbProcedure="false">In!$E$8</definedName>
    <definedName function="false" hidden="false" name="step_in" vbProcedure="false">In!$E$93</definedName>
    <definedName function="false" hidden="false" name="step_in_hi" vbProcedure="false">In!$F$93</definedName>
    <definedName function="false" hidden="false" name="step_in_lo" vbProcedure="false">In!$D$93</definedName>
    <definedName function="false" hidden="false" name="step_na" vbProcedure="false">In!$E$92</definedName>
    <definedName function="false" hidden="false" name="step_na_hi" vbProcedure="false">In!$F$92</definedName>
    <definedName function="false" hidden="false" name="step_na_lo" vbProcedure="false">In!$D$92</definedName>
    <definedName function="false" hidden="false" name="tax" vbProcedure="false">In!$E$15</definedName>
    <definedName function="false" hidden="false" name="tax_hi" vbProcedure="false">In!$F$15</definedName>
    <definedName function="false" hidden="false" name="tax_lo" vbProcedure="false">In!$D$15</definedName>
    <definedName function="false" hidden="false" name="tg" vbProcedure="false">In!$E$19</definedName>
    <definedName function="false" hidden="false" name="tg_hi" vbProcedure="false">In!$F$19</definedName>
    <definedName function="false" hidden="false" name="tg_lo" vbProcedure="false">In!$D$19</definedName>
    <definedName function="false" hidden="false" name="tk_cx_gb200" vbProcedure="false">In!$E$45</definedName>
    <definedName function="false" hidden="false" name="tk_cx_gb300" vbProcedure="false">In!$E$46</definedName>
    <definedName function="false" hidden="false" name="tk_cx_h100" vbProcedure="false">In!$E$44</definedName>
    <definedName function="false" hidden="false" name="tk_cx_vr200" vbProcedure="false">In!$E$47</definedName>
    <definedName function="false" hidden="false" name="tk_fac" vbProcedure="false">In!$E$53</definedName>
    <definedName function="false" hidden="false" name="tk_gpuhr" vbProcedure="false">In!$E$52</definedName>
    <definedName function="false" hidden="false" name="tk_he_gb200" vbProcedure="false">In!$E$41</definedName>
    <definedName function="false" hidden="false" name="tk_he_gb300" vbProcedure="false">In!$E$42</definedName>
    <definedName function="false" hidden="false" name="tk_he_h100" vbProcedure="false">In!$E$40</definedName>
    <definedName function="false" hidden="false" name="tk_he_vr200" vbProcedure="false">In!$E$43</definedName>
    <definedName function="false" hidden="false" name="tk_life" vbProcedure="false">In!$E$54</definedName>
    <definedName function="false" hidden="false" name="tk_life_hi" vbProcedure="false">In!$F$54</definedName>
    <definedName function="false" hidden="false" name="tk_life_lo" vbProcedure="false">In!$D$54</definedName>
    <definedName function="false" hidden="false" name="tk_ox_gb200" vbProcedure="false">In!$E$49</definedName>
    <definedName function="false" hidden="false" name="tk_ox_gb300" vbProcedure="false">In!$E$50</definedName>
    <definedName function="false" hidden="false" name="tk_ox_h100" vbProcedure="false">In!$E$48</definedName>
    <definedName function="false" hidden="false" name="tk_ox_vr200" vbProcedure="false">In!$E$51</definedName>
    <definedName function="false" hidden="false" name="tk_pq" vbProcedure="false">In!$E$56</definedName>
    <definedName function="false" hidden="false" name="tk_pq_hi" vbProcedure="false">In!$F$56</definedName>
    <definedName function="false" hidden="false" name="tk_pq_lo" vbProcedure="false">In!$D$56</definedName>
    <definedName function="false" hidden="false" name="tp_yf" vbProcedure="false">In!$E$25</definedName>
    <definedName function="false" hidden="false" name="v022_px" vbProcedure="false">In!$E$150</definedName>
    <definedName function="false" hidden="false" name="v022_tp" vbProcedure="false">In!$E$149</definedName>
    <definedName function="false" hidden="false" name="wacc" vbProcedure="false">In!$E$18</definedName>
    <definedName function="false" hidden="false" name="wc_2h26" vbProcedure="false">In!$E$98</definedName>
    <definedName function="false" hidden="false" name="w_A" vbProcedure="false">In!$E$22</definedName>
    <definedName function="false" hidden="false" name="w_B" vbProcedure="false">In!$E$23</definedName>
    <definedName function="false" hidden="false" name="w_C" vbProcedure="false">In!$E$24</definedName>
    <definedName function="false" hidden="false" name="w_dcf" vbProcedure="false">In!$E$21</definedName>
    <definedName function="false" hidden="false" name="y_cash" vbProcedure="false">In!$E$102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<sst xmlns="http://schemas.openxmlformats.org/spreadsheetml/2006/main" count="19652" uniqueCount="1299">
  <si>
    <r>
      <rPr>
        <b val="true"/>
        <sz val="11"/>
        <rFont val="Cambria"/>
        <family val="0"/>
        <charset val="1"/>
      </rPr>
      <t xml:space="preserve">Amazon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AMZN</t>
    </r>
    <r>
      <rPr>
        <b val="true"/>
        <sz val="11"/>
        <rFont val="Noto Sans CJK SC"/>
        <family val="2"/>
      </rPr>
      <t xml:space="preserve">）個股模型 </t>
    </r>
    <r>
      <rPr>
        <b val="true"/>
        <sz val="11"/>
        <rFont val="Cambria"/>
        <family val="0"/>
        <charset val="1"/>
      </rPr>
      <t xml:space="preserve">v0.3</t>
    </r>
    <r>
      <rPr>
        <b val="true"/>
        <sz val="11"/>
        <rFont val="Noto Sans CJK SC"/>
        <family val="2"/>
      </rPr>
      <t xml:space="preserve">（命題模組＋官方營收分部 → 損益表）　</t>
    </r>
    <r>
      <rPr>
        <b val="true"/>
        <sz val="11"/>
        <rFont val="Cambria"/>
        <family val="0"/>
        <charset val="1"/>
      </rPr>
      <t xml:space="preserve">2026-10-27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</si>
  <si>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v0.3</t>
    </r>
    <r>
      <rPr>
        <sz val="11"/>
        <rFont val="Noto Sans CJK SC"/>
        <family val="2"/>
      </rPr>
      <t xml:space="preserve">（架構重建；取代 </t>
    </r>
    <r>
      <rPr>
        <sz val="11"/>
        <rFont val="Cambria"/>
        <family val="0"/>
        <charset val="1"/>
      </rPr>
      <t xml:space="preserve">v0.2.2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CoreWeave </t>
    </r>
    <r>
      <rPr>
        <sz val="11"/>
        <rFont val="Noto Sans CJK SC"/>
        <family val="2"/>
      </rPr>
      <t xml:space="preserve">式收支引擎，舊引擎移至 </t>
    </r>
    <r>
      <rPr>
        <sz val="11"/>
        <rFont val="Cambria"/>
        <family val="0"/>
        <charset val="1"/>
      </rPr>
      <t xml:space="preserve">legacy_v0.2/</t>
    </r>
    <r>
      <rPr>
        <sz val="11"/>
        <rFont val="Noto Sans CJK SC"/>
        <family val="2"/>
      </rPr>
      <t xml:space="preserve">）。資料截至 </t>
    </r>
    <r>
      <rPr>
        <sz val="11"/>
        <rFont val="Cambria"/>
        <family val="0"/>
        <charset val="1"/>
      </rPr>
      <t xml:space="preserve">2026Q2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10-Q 2026-07-31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＝上半年實績＋下半年模型；</t>
    </r>
    <r>
      <rPr>
        <sz val="11"/>
        <rFont val="Cambria"/>
        <family val="0"/>
        <charset val="1"/>
      </rPr>
      <t xml:space="preserve">2026Q3 </t>
    </r>
    <r>
      <rPr>
        <sz val="11"/>
        <rFont val="Noto Sans CJK SC"/>
        <family val="2"/>
      </rPr>
      <t xml:space="preserve">財報 </t>
    </r>
    <r>
      <rPr>
        <sz val="11"/>
        <rFont val="Cambria"/>
        <family val="0"/>
        <charset val="1"/>
      </rPr>
      <t xml:space="preserve">2026-10-29 </t>
    </r>
    <r>
      <rPr>
        <sz val="11"/>
        <rFont val="Noto Sans CJK SC"/>
        <family val="2"/>
      </rPr>
      <t xml:space="preserve">公布後以 </t>
    </r>
    <r>
      <rPr>
        <sz val="11"/>
        <rFont val="Cambria"/>
        <family val="0"/>
        <charset val="1"/>
      </rPr>
      <t xml:space="preserve">v0.3.1 </t>
    </r>
    <r>
      <rPr>
        <sz val="11"/>
        <rFont val="Noto Sans CJK SC"/>
        <family val="2"/>
      </rPr>
      <t xml:space="preserve">滾入。</t>
    </r>
  </si>
  <si>
    <r>
      <rPr>
        <b val="true"/>
        <sz val="11"/>
        <rFont val="Noto Sans CJK SC"/>
        <family val="2"/>
      </rPr>
      <t xml:space="preserve">命題：</t>
    </r>
    <r>
      <rPr>
        <b val="true"/>
        <sz val="11"/>
        <rFont val="Cambria"/>
        <family val="0"/>
        <charset val="1"/>
      </rPr>
      <t xml:space="preserve">AWS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容量（</t>
    </r>
    <r>
      <rPr>
        <b val="true"/>
        <sz val="11"/>
        <rFont val="Cambria"/>
        <family val="0"/>
        <charset val="1"/>
      </rPr>
      <t xml:space="preserve">Trainium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）能否以高於資金成本的報酬變現，零售與廣告的現金流能否支應資本支出。</t>
    </r>
  </si>
  <si>
    <r>
      <rPr>
        <b val="true"/>
        <sz val="11"/>
        <rFont val="Noto Sans CJK SC"/>
        <family val="2"/>
      </rPr>
      <t xml:space="preserve">核心問題：</t>
    </r>
    <r>
      <rPr>
        <b val="true"/>
        <sz val="11"/>
        <rFont val="Cambria"/>
        <family val="0"/>
        <charset val="1"/>
      </rPr>
      <t xml:space="preserve">FY2028 AWS </t>
    </r>
    <r>
      <rPr>
        <b val="true"/>
        <sz val="11"/>
        <rFont val="Noto Sans CJK SC"/>
        <family val="2"/>
      </rPr>
      <t xml:space="preserve">營業利益率與自由現金流（扣股利後）是否轉正並維持。</t>
    </r>
  </si>
  <si>
    <t xml:space="preserve">驅動 → 推導對照表（每頁輸入、推導量、因果方向）</t>
  </si>
  <si>
    <r>
      <rPr>
        <sz val="11"/>
        <rFont val="Cambria"/>
        <family val="0"/>
        <charset val="1"/>
      </rPr>
      <t xml:space="preserve">In → Thesis</t>
    </r>
    <r>
      <rPr>
        <sz val="11"/>
        <rFont val="Noto Sans CJK SC"/>
        <family val="2"/>
      </rPr>
      <t xml:space="preserve">：對外 </t>
    </r>
    <r>
      <rPr>
        <sz val="11"/>
        <rFont val="Cambria"/>
        <family val="0"/>
        <charset val="1"/>
      </rPr>
      <t xml:space="preserve">AI MW</t>
    </r>
    <r>
      <rPr>
        <sz val="11"/>
        <rFont val="Noto Sans CJK SC"/>
        <family val="2"/>
      </rPr>
      <t xml:space="preserve">（期初 </t>
    </r>
    <r>
      <rPr>
        <sz val="11"/>
        <rFont val="Cambria"/>
        <family val="0"/>
        <charset val="1"/>
      </rPr>
      <t xml:space="preserve">2,080 MW</t>
    </r>
    <r>
      <rPr>
        <sz val="11"/>
        <rFont val="Noto Sans CJK SC"/>
        <family val="2"/>
      </rPr>
      <t xml:space="preserve">、每年新增 </t>
    </r>
    <r>
      <rPr>
        <sz val="11"/>
        <rFont val="Cambria"/>
        <family val="0"/>
        <charset val="1"/>
      </rPr>
      <t xml:space="preserve">pace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Tokenomics IF_HoldEcon × k → AWS AI </t>
    </r>
    <r>
      <rPr>
        <sz val="11"/>
        <rFont val="Noto Sans CJK SC"/>
        <family val="2"/>
      </rPr>
      <t xml:space="preserve">營收；新增 </t>
    </r>
    <r>
      <rPr>
        <sz val="11"/>
        <rFont val="Cambria"/>
        <family val="0"/>
        <charset val="1"/>
      </rPr>
      <t xml:space="preserve">MW ÷ </t>
    </r>
    <r>
      <rPr>
        <sz val="11"/>
        <rFont val="Noto Sans CJK SC"/>
        <family val="2"/>
      </rPr>
      <t xml:space="preserve">對外比例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IT</t>
    </r>
    <r>
      <rPr>
        <sz val="11"/>
        <rFont val="Noto Sans CJK SC"/>
        <family val="2"/>
      </rPr>
      <t xml:space="preserve">＋自建機房成本）→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資本支出 → </t>
    </r>
    <r>
      <rPr>
        <sz val="11"/>
        <rFont val="Cambria"/>
        <family val="0"/>
        <charset val="1"/>
      </rPr>
      <t xml:space="preserve">IT 6 </t>
    </r>
    <r>
      <rPr>
        <sz val="11"/>
        <rFont val="Noto Sans CJK SC"/>
        <family val="2"/>
      </rPr>
      <t xml:space="preserve">年／機房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年折舊 → </t>
    </r>
    <r>
      <rPr>
        <sz val="11"/>
        <rFont val="Cambria"/>
        <family val="0"/>
        <charset val="1"/>
      </rPr>
      <t xml:space="preserve">AWS AI </t>
    </r>
    <r>
      <rPr>
        <sz val="11"/>
        <rFont val="Noto Sans CJK SC"/>
        <family val="2"/>
      </rPr>
      <t xml:space="preserve">營業利益（對外）與自用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成本（零售）。</t>
    </r>
  </si>
  <si>
    <r>
      <rPr>
        <sz val="11"/>
        <rFont val="Cambria"/>
        <family val="0"/>
        <charset val="1"/>
      </rPr>
      <t xml:space="preserve">In → Seg</t>
    </r>
    <r>
      <rPr>
        <sz val="11"/>
        <rFont val="Noto Sans CJK SC"/>
        <family val="2"/>
      </rPr>
      <t xml:space="preserve">：零售六條營收線（</t>
    </r>
    <r>
      <rPr>
        <sz val="11"/>
        <rFont val="Cambria"/>
        <family val="0"/>
        <charset val="1"/>
      </rPr>
      <t xml:space="preserve">2H26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2H25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年增），之後收斂到長期年增）→ 零售合計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北美比例 → </t>
    </r>
    <r>
      <rPr>
        <sz val="11"/>
        <rFont val="Cambria"/>
        <family val="0"/>
        <charset val="1"/>
      </rPr>
      <t xml:space="preserve">North America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International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AWS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AWS AI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AWS </t>
    </r>
    <r>
      <rPr>
        <sz val="11"/>
        <rFont val="Noto Sans CJK SC"/>
        <family val="2"/>
      </rPr>
      <t xml:space="preserve">其他（殘差起算、收斂到 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）。</t>
    </r>
  </si>
  <si>
    <r>
      <rPr>
        <sz val="11"/>
        <rFont val="Cambria"/>
        <family val="0"/>
        <charset val="1"/>
      </rPr>
      <t xml:space="preserve">Seg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Thesis → PL</t>
    </r>
    <r>
      <rPr>
        <sz val="11"/>
        <rFont val="Noto Sans CJK SC"/>
        <family val="2"/>
      </rPr>
      <t xml:space="preserve">：北美／國際營業利益＝廣告營收 </t>
    </r>
    <r>
      <rPr>
        <sz val="11"/>
        <rFont val="Cambria"/>
        <family val="0"/>
        <charset val="1"/>
      </rPr>
      <t xml:space="preserve">× 50%</t>
    </r>
    <r>
      <rPr>
        <sz val="11"/>
        <rFont val="Noto Sans CJK SC"/>
        <family val="2"/>
      </rPr>
      <t xml:space="preserve">＋零售本業營收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本業利益率（實績殘差＋每年改善）− 自用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成本；</t>
    </r>
    <r>
      <rPr>
        <sz val="11"/>
        <rFont val="Cambria"/>
        <family val="0"/>
        <charset val="1"/>
      </rPr>
      <t xml:space="preserve">AWS </t>
    </r>
    <r>
      <rPr>
        <sz val="11"/>
        <rFont val="Noto Sans CJK SC"/>
        <family val="2"/>
      </rPr>
      <t xml:space="preserve">營業利益＝</t>
    </r>
    <r>
      <rPr>
        <sz val="11"/>
        <rFont val="Cambria"/>
        <family val="0"/>
        <charset val="1"/>
      </rPr>
      <t xml:space="preserve">AWS AI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AWS </t>
    </r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近四季利益率 → 合併營業利益 → 利息（</t>
    </r>
    <r>
      <rPr>
        <sz val="11"/>
        <rFont val="Cambria"/>
        <family val="0"/>
        <charset val="1"/>
      </rPr>
      <t xml:space="preserve">CF</t>
    </r>
    <r>
      <rPr>
        <sz val="11"/>
        <rFont val="Noto Sans CJK SC"/>
        <family val="2"/>
      </rPr>
      <t xml:space="preserve">）、稅 </t>
    </r>
    <r>
      <rPr>
        <sz val="11"/>
        <rFont val="Cambria"/>
        <family val="0"/>
        <charset val="1"/>
      </rPr>
      <t xml:space="preserve">17.4% → </t>
    </r>
    <r>
      <rPr>
        <sz val="11"/>
        <rFont val="Noto Sans CJK SC"/>
        <family val="2"/>
      </rPr>
      <t xml:space="preserve">淨利 →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。</t>
    </r>
  </si>
  <si>
    <r>
      <rPr>
        <sz val="11"/>
        <rFont val="Cambria"/>
        <family val="0"/>
        <charset val="1"/>
      </rPr>
      <t xml:space="preserve">PL → CF</t>
    </r>
    <r>
      <rPr>
        <sz val="11"/>
        <rFont val="Noto Sans CJK SC"/>
        <family val="2"/>
      </rPr>
      <t xml:space="preserve">：淨利＋分部折舊＋</t>
    </r>
    <r>
      <rPr>
        <sz val="11"/>
        <rFont val="Cambria"/>
        <family val="0"/>
        <charset val="1"/>
      </rPr>
      <t xml:space="preserve">SBC</t>
    </r>
    <r>
      <rPr>
        <sz val="11"/>
        <rFont val="Noto Sans CJK SC"/>
        <family val="2"/>
      </rPr>
      <t xml:space="preserve">＋其他 − 資本支出（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AWS </t>
    </r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＋零售 </t>
    </r>
    <r>
      <rPr>
        <sz val="11"/>
        <rFont val="Cambria"/>
        <family val="0"/>
        <charset val="1"/>
      </rPr>
      <t xml:space="preserve">5.9%</t>
    </r>
    <r>
      <rPr>
        <sz val="11"/>
        <rFont val="Noto Sans CJK SC"/>
        <family val="2"/>
      </rPr>
      <t xml:space="preserve">）− 融資租賃本金 → 自由現金流；股利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、回購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；現金低於 </t>
    </r>
    <r>
      <rPr>
        <sz val="11"/>
        <rFont val="Cambria"/>
        <family val="0"/>
        <charset val="1"/>
      </rPr>
      <t xml:space="preserve">50 </t>
    </r>
    <r>
      <rPr>
        <sz val="11"/>
        <rFont val="Noto Sans CJK SC"/>
        <family val="2"/>
      </rPr>
      <t xml:space="preserve">即舉債 → 利息費用回到 </t>
    </r>
    <r>
      <rPr>
        <sz val="11"/>
        <rFont val="Cambria"/>
        <family val="0"/>
        <charset val="1"/>
      </rPr>
      <t xml:space="preserve">PL</t>
    </r>
    <r>
      <rPr>
        <sz val="11"/>
        <rFont val="Noto Sans CJK SC"/>
        <family val="2"/>
      </rPr>
      <t xml:space="preserve">。</t>
    </r>
  </si>
  <si>
    <r>
      <rPr>
        <sz val="11"/>
        <rFont val="Cambria"/>
        <family val="0"/>
        <charset val="1"/>
      </rPr>
      <t xml:space="preserve">PL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CF → Val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DCF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FCFF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WACC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RONIC </t>
    </r>
    <r>
      <rPr>
        <sz val="11"/>
        <rFont val="Noto Sans CJK SC"/>
        <family val="2"/>
      </rPr>
      <t xml:space="preserve">永續）＋分部加總（廣告、零售本業、</t>
    </r>
    <r>
      <rPr>
        <sz val="11"/>
        <rFont val="Cambria"/>
        <family val="0"/>
        <charset val="1"/>
      </rPr>
      <t xml:space="preserve">AWS </t>
    </r>
    <r>
      <rPr>
        <sz val="11"/>
        <rFont val="Noto Sans CJK SC"/>
        <family val="2"/>
      </rPr>
      <t xml:space="preserve">其他、</t>
    </r>
    <r>
      <rPr>
        <sz val="11"/>
        <rFont val="Cambria"/>
        <family val="0"/>
        <charset val="1"/>
      </rPr>
      <t xml:space="preserve">AWS AI × </t>
    </r>
    <r>
      <rPr>
        <sz val="11"/>
        <rFont val="Noto Sans CJK SC"/>
        <family val="2"/>
      </rPr>
      <t xml:space="preserve">同業倍數）＋持股（</t>
    </r>
    <r>
      <rPr>
        <sz val="11"/>
        <rFont val="Cambria"/>
        <family val="0"/>
        <charset val="1"/>
      </rPr>
      <t xml:space="preserve">Anthropic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OpenAI</t>
    </r>
    <r>
      <rPr>
        <sz val="11"/>
        <rFont val="Noto Sans CJK SC"/>
        <family val="2"/>
      </rPr>
      <t xml:space="preserve">）→ 情境目標價 → 情境加權 → 上檔空間 → 投資建議。</t>
    </r>
  </si>
  <si>
    <r>
      <rPr>
        <sz val="11"/>
        <rFont val="Noto Sans CJK SC"/>
        <family val="2"/>
      </rPr>
      <t xml:space="preserve">工作表：</t>
    </r>
    <r>
      <rPr>
        <sz val="11"/>
        <rFont val="Cambria"/>
        <family val="0"/>
        <charset val="1"/>
      </rPr>
      <t xml:space="preserve">README → In</t>
    </r>
    <r>
      <rPr>
        <sz val="11"/>
        <rFont val="Noto Sans CJK SC"/>
        <family val="2"/>
      </rPr>
      <t xml:space="preserve">（輸入）→ </t>
    </r>
    <r>
      <rPr>
        <sz val="11"/>
        <rFont val="Cambria"/>
        <family val="0"/>
        <charset val="1"/>
      </rPr>
      <t xml:space="preserve">Q</t>
    </r>
    <r>
      <rPr>
        <sz val="11"/>
        <rFont val="Noto Sans CJK SC"/>
        <family val="2"/>
      </rPr>
      <t xml:space="preserve">（實績與核對）→ </t>
    </r>
    <r>
      <rPr>
        <sz val="11"/>
        <rFont val="Cambria"/>
        <family val="0"/>
        <charset val="1"/>
      </rPr>
      <t xml:space="preserve">Thesis</t>
    </r>
    <r>
      <rPr>
        <sz val="11"/>
        <rFont val="Noto Sans CJK SC"/>
        <family val="2"/>
      </rPr>
      <t xml:space="preserve">（命題模組）→ </t>
    </r>
    <r>
      <rPr>
        <sz val="11"/>
        <rFont val="Cambria"/>
        <family val="0"/>
        <charset val="1"/>
      </rPr>
      <t xml:space="preserve">Seg</t>
    </r>
    <r>
      <rPr>
        <sz val="11"/>
        <rFont val="Noto Sans CJK SC"/>
        <family val="2"/>
      </rPr>
      <t xml:space="preserve">（營收分部）→ </t>
    </r>
    <r>
      <rPr>
        <sz val="11"/>
        <rFont val="Cambria"/>
        <family val="0"/>
        <charset val="1"/>
      </rPr>
      <t xml:space="preserve">PL → CF → Val → Recon</t>
    </r>
    <r>
      <rPr>
        <sz val="11"/>
        <rFont val="Noto Sans CJK SC"/>
        <family val="2"/>
      </rPr>
      <t xml:space="preserve">（共識、指引、</t>
    </r>
    <r>
      <rPr>
        <sz val="11"/>
        <rFont val="Cambria"/>
        <family val="0"/>
        <charset val="1"/>
      </rPr>
      <t xml:space="preserve">v0.2.2</t>
    </r>
    <r>
      <rPr>
        <sz val="11"/>
        <rFont val="Noto Sans CJK SC"/>
        <family val="2"/>
      </rPr>
      <t xml:space="preserve">）→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（敏感度）→ </t>
    </r>
    <r>
      <rPr>
        <sz val="11"/>
        <rFont val="Cambria"/>
        <family val="0"/>
        <charset val="1"/>
      </rPr>
      <t xml:space="preserve">Sources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</si>
  <si>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。沿用 </t>
    </r>
    <r>
      <rPr>
        <sz val="11"/>
        <rFont val="Cambria"/>
        <family val="0"/>
        <charset val="1"/>
      </rPr>
      <t xml:space="preserve">v0.2.2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規格（</t>
    </r>
    <r>
      <rPr>
        <sz val="11"/>
        <rFont val="Cambria"/>
        <family val="0"/>
        <charset val="1"/>
      </rPr>
      <t xml:space="preserve">kspec.py</t>
    </r>
    <r>
      <rPr>
        <sz val="11"/>
        <rFont val="Noto Sans CJK SC"/>
        <family val="2"/>
      </rPr>
      <t xml:space="preserve">）、</t>
    </r>
    <r>
      <rPr>
        <sz val="11"/>
        <rFont val="Cambria"/>
        <family val="0"/>
        <charset val="1"/>
      </rPr>
      <t xml:space="preserve">C10 </t>
    </r>
    <r>
      <rPr>
        <sz val="11"/>
        <rFont val="Noto Sans CJK SC"/>
        <family val="2"/>
      </rPr>
      <t xml:space="preserve">基準速度、對外比例、</t>
    </r>
    <r>
      <rPr>
        <sz val="11"/>
        <rFont val="Cambria"/>
        <family val="0"/>
        <charset val="1"/>
      </rPr>
      <t xml:space="preserve">Tokenomics v21.4 </t>
    </r>
    <r>
      <rPr>
        <sz val="11"/>
        <rFont val="Noto Sans CJK SC"/>
        <family val="2"/>
      </rPr>
      <t xml:space="preserve">快照、</t>
    </r>
    <r>
      <rPr>
        <sz val="11"/>
        <rFont val="Cambria"/>
        <family val="0"/>
        <charset val="1"/>
      </rPr>
      <t xml:space="preserve">WACC </t>
    </r>
    <r>
      <rPr>
        <sz val="11"/>
        <rFont val="Noto Sans CJK SC"/>
        <family val="2"/>
      </rPr>
      <t xml:space="preserve">輸入、持股與同業倍數。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</si>
  <si>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公司未揭露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在役 </t>
    </r>
    <r>
      <rPr>
        <sz val="11"/>
        <rFont val="Cambria"/>
        <family val="0"/>
        <charset val="1"/>
      </rPr>
      <t xml:space="preserve">MW</t>
    </r>
    <r>
      <rPr>
        <sz val="11"/>
        <rFont val="Noto Sans CJK SC"/>
        <family val="2"/>
      </rPr>
      <t xml:space="preserve">、對外比例與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營收，</t>
    </r>
    <r>
      <rPr>
        <sz val="11"/>
        <rFont val="Cambria"/>
        <family val="0"/>
        <charset val="1"/>
      </rPr>
      <t xml:space="preserve">AWS AI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AWS </t>
    </r>
    <r>
      <rPr>
        <sz val="11"/>
        <rFont val="Noto Sans CJK SC"/>
        <family val="2"/>
      </rPr>
      <t xml:space="preserve">其他的歷史分拆為估計；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分部共識未找到；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同業倍數與 </t>
    </r>
    <r>
      <rPr>
        <sz val="11"/>
        <rFont val="Cambria"/>
        <family val="0"/>
        <charset val="1"/>
      </rPr>
      <t xml:space="preserve">WACC </t>
    </r>
    <r>
      <rPr>
        <sz val="11"/>
        <rFont val="Noto Sans CJK SC"/>
        <family val="2"/>
      </rPr>
      <t xml:space="preserve">輸入沿用 </t>
    </r>
    <r>
      <rPr>
        <sz val="11"/>
        <rFont val="Cambria"/>
        <family val="0"/>
        <charset val="1"/>
      </rPr>
      <t xml:space="preserve">2026-10-07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到期債務假設全數再融資；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自用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讀法 </t>
    </r>
    <r>
      <rPr>
        <sz val="11"/>
        <rFont val="Cambria"/>
        <family val="0"/>
        <charset val="1"/>
      </rPr>
      <t xml:space="preserve">1 </t>
    </r>
    <r>
      <rPr>
        <sz val="11"/>
        <rFont val="Noto Sans CJK SC"/>
        <family val="2"/>
      </rPr>
      <t xml:space="preserve">為主值（</t>
    </r>
    <r>
      <rPr>
        <sz val="11"/>
        <rFont val="Cambria"/>
        <family val="0"/>
        <charset val="1"/>
      </rPr>
      <t xml:space="preserve">C16 </t>
    </r>
    <r>
      <rPr>
        <sz val="11"/>
        <rFont val="Noto Sans CJK SC"/>
        <family val="2"/>
      </rPr>
      <t xml:space="preserve">待決）。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</si>
  <si>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 </t>
    </r>
    <r>
      <rPr>
        <sz val="11"/>
        <color theme="1"/>
        <rFont val="Calibri"/>
        <family val="2"/>
        <charset val="1"/>
      </rPr>
      <t xml:space="preserve">US$bn</t>
    </r>
    <r>
      <rPr>
        <sz val="11"/>
        <color theme="1"/>
        <rFont val="Noto Sans CJK SC"/>
        <family val="2"/>
      </rPr>
      <t xml:space="preserve">、每股 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。每列一個鍵（定義名稱＝鍵）；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一律給低／高區間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</si>
  <si>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。「沿用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」＝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已核准的參數與證據（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規格 </t>
    </r>
    <r>
      <rPr>
        <sz val="11"/>
        <color theme="1"/>
        <rFont val="Calibri"/>
        <family val="2"/>
        <charset val="1"/>
      </rPr>
      <t xml:space="preserve">kspec.py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C10 </t>
    </r>
    <r>
      <rPr>
        <sz val="11"/>
        <color theme="1"/>
        <rFont val="Noto Sans CJK SC"/>
        <family val="2"/>
      </rPr>
      <t xml:space="preserve">基準速度、對外比例、</t>
    </r>
    <r>
      <rPr>
        <sz val="11"/>
        <color theme="1"/>
        <rFont val="Calibri"/>
        <family val="2"/>
        <charset val="1"/>
      </rPr>
      <t xml:space="preserve">Tokenomics v21.4 </t>
    </r>
    <r>
      <rPr>
        <sz val="11"/>
        <color theme="1"/>
        <rFont val="Noto Sans CJK SC"/>
        <family val="2"/>
      </rPr>
      <t xml:space="preserve">快照），出處見 </t>
    </r>
    <r>
      <rPr>
        <sz val="11"/>
        <color theme="1"/>
        <rFont val="Calibri"/>
        <family val="2"/>
        <charset val="1"/>
      </rPr>
      <t xml:space="preserve">legacy_v0.2/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docs/handoff</t>
    </r>
    <r>
      <rPr>
        <sz val="11"/>
        <color theme="1"/>
        <rFont val="Noto Sans CJK SC"/>
        <family val="2"/>
      </rPr>
      <t xml:space="preserve">。不以公司雲端營收、</t>
    </r>
    <r>
      <rPr>
        <sz val="11"/>
        <color theme="1"/>
        <rFont val="Calibri"/>
        <family val="2"/>
        <charset val="1"/>
      </rPr>
      <t xml:space="preserve">RPO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run-rate </t>
    </r>
    <r>
      <rPr>
        <sz val="11"/>
        <color theme="1"/>
        <rFont val="Noto Sans CJK SC"/>
        <family val="2"/>
      </rPr>
      <t xml:space="preserve">反推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或每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價格（共同規則第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節）；公司說法只作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驗證列。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</si>
  <si>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</si>
  <si>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</si>
  <si>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</si>
  <si>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</si>
  <si>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</si>
  <si>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</si>
  <si>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</si>
  <si>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t xml:space="preserve">來源</t>
  </si>
  <si>
    <t xml:space="preserve">說明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</si>
  <si>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價格、股數與共識目標價</t>
    </r>
  </si>
  <si>
    <t xml:space="preserve">px</t>
  </si>
  <si>
    <r>
      <rPr>
        <sz val="11"/>
        <color theme="1"/>
        <rFont val="Calibri"/>
        <family val="2"/>
        <charset val="1"/>
      </rPr>
      <t xml:space="preserve">AMZN </t>
    </r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收盤）</t>
    </r>
  </si>
  <si>
    <t xml:space="preserve">US$</t>
  </si>
  <si>
    <t xml:space="preserve">Verified</t>
  </si>
  <si>
    <r>
      <rPr>
        <sz val="11"/>
        <color theme="1"/>
        <rFont val="Calibri"/>
        <family val="2"/>
        <charset val="1"/>
      </rPr>
      <t xml:space="preserve">S13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S14</t>
    </r>
  </si>
  <si>
    <r>
      <rPr>
        <sz val="11"/>
        <color theme="1"/>
        <rFont val="Noto Sans CJK SC"/>
        <family val="2"/>
      </rPr>
      <t xml:space="preserve">前收 </t>
    </r>
    <r>
      <rPr>
        <sz val="11"/>
        <color theme="1"/>
        <rFont val="Calibri"/>
        <family val="2"/>
        <charset val="1"/>
      </rPr>
      <t xml:space="preserve">248.00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）；市值約 </t>
    </r>
    <r>
      <rPr>
        <sz val="11"/>
        <color theme="1"/>
        <rFont val="Calibri"/>
        <family val="2"/>
        <charset val="1"/>
      </rPr>
      <t xml:space="preserve">2.69T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盤中）</t>
    </r>
  </si>
  <si>
    <t xml:space="preserve">sh_out</t>
  </si>
  <si>
    <r>
      <rPr>
        <sz val="11"/>
        <color theme="1"/>
        <rFont val="Noto Sans CJK SC"/>
        <family val="2"/>
      </rPr>
      <t xml:space="preserve">流通股數（</t>
    </r>
    <r>
      <rPr>
        <sz val="11"/>
        <color theme="1"/>
        <rFont val="Calibri"/>
        <family val="2"/>
        <charset val="1"/>
      </rPr>
      <t xml:space="preserve">2026-07-22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封面）</t>
    </r>
  </si>
  <si>
    <t xml:space="preserve">十億股</t>
  </si>
  <si>
    <t xml:space="preserve">S02</t>
  </si>
  <si>
    <r>
      <rPr>
        <sz val="11"/>
        <color theme="1"/>
        <rFont val="Calibri"/>
        <family val="2"/>
        <charset val="1"/>
      </rPr>
      <t xml:space="preserve">10,786,313,572 </t>
    </r>
    <r>
      <rPr>
        <sz val="11"/>
        <color theme="1"/>
        <rFont val="Noto Sans CJK SC"/>
        <family val="2"/>
      </rPr>
      <t xml:space="preserve">股</t>
    </r>
  </si>
  <si>
    <t xml:space="preserve">sh_awd</t>
  </si>
  <si>
    <r>
      <rPr>
        <sz val="11"/>
        <color theme="1"/>
        <rFont val="Noto Sans CJK SC"/>
        <family val="2"/>
      </rPr>
      <t xml:space="preserve">未歸屬股份獎勵（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</si>
  <si>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244 </t>
    </r>
    <r>
      <rPr>
        <sz val="11"/>
        <color theme="1"/>
        <rFont val="Noto Sans CJK SC"/>
        <family val="2"/>
      </rPr>
      <t xml:space="preserve">百萬股</t>
    </r>
  </si>
  <si>
    <t xml:space="preserve">sh_val</t>
  </si>
  <si>
    <t xml:space="preserve">評價用稀釋股數＝流通股數＋未歸屬獎勵</t>
  </si>
  <si>
    <t xml:space="preserve">Derived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</si>
  <si>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valuation.shares 11.030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</si>
  <si>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本列</t>
    </r>
  </si>
  <si>
    <t xml:space="preserve">cons_tp</t>
  </si>
  <si>
    <r>
      <rPr>
        <sz val="11"/>
        <color theme="1"/>
        <rFont val="Noto Sans CJK SC"/>
        <family val="2"/>
      </rPr>
      <t xml:space="preserve">市場共識目標價（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位平均）</t>
    </r>
  </si>
  <si>
    <t xml:space="preserve">Interested-party</t>
  </si>
  <si>
    <t xml:space="preserve">S15</t>
  </si>
  <si>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330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Strong Buy 42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Buy 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Hold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MarketBeat 2026-10-07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322.86</t>
    </r>
    <r>
      <rPr>
        <sz val="11"/>
        <color theme="1"/>
        <rFont val="Noto Sans CJK SC"/>
        <family val="2"/>
      </rPr>
      <t xml:space="preserve">（獨立彙整）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</si>
  <si>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折現率（</t>
    </r>
    <r>
      <rPr>
        <b val="true"/>
        <sz val="11"/>
        <rFont val="Cambria"/>
        <family val="0"/>
        <charset val="1"/>
      </rPr>
      <t xml:space="preserve">CAPM</t>
    </r>
    <r>
      <rPr>
        <b val="true"/>
        <sz val="11"/>
        <rFont val="Noto Sans CJK SC"/>
        <family val="2"/>
      </rPr>
      <t xml:space="preserve">；沿用 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輸入，現價更新）</t>
    </r>
  </si>
  <si>
    <t xml:space="preserve">rf</t>
  </si>
  <si>
    <r>
      <rPr>
        <sz val="11"/>
        <color theme="1"/>
        <rFont val="Noto Sans CJK SC"/>
        <family val="2"/>
      </rPr>
      <t xml:space="preserve">無風險利率（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年美債）</t>
    </r>
  </si>
  <si>
    <t xml:space="preserve">%</t>
  </si>
  <si>
    <t xml:space="preserve">S28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</si>
  <si>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）；本輪未更新</t>
    </r>
  </si>
  <si>
    <t xml:space="preserve">beta</t>
  </si>
  <si>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（獨立來源平均：</t>
    </r>
    <r>
      <rPr>
        <sz val="11"/>
        <color theme="1"/>
        <rFont val="Calibri"/>
        <family val="2"/>
        <charset val="1"/>
      </rPr>
      <t xml:space="preserve">StockAnalysis 5 </t>
    </r>
    <r>
      <rPr>
        <sz val="11"/>
        <color theme="1"/>
        <rFont val="Noto Sans CJK SC"/>
        <family val="2"/>
      </rPr>
      <t xml:space="preserve">年月 </t>
    </r>
    <r>
      <rPr>
        <sz val="11"/>
        <color theme="1"/>
        <rFont val="Calibri"/>
        <family val="2"/>
        <charset val="1"/>
      </rPr>
      <t xml:space="preserve">1.46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GuruFocus 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1.567</t>
    </r>
    <r>
      <rPr>
        <sz val="11"/>
        <color theme="1"/>
        <rFont val="Noto Sans CJK SC"/>
        <family val="2"/>
      </rPr>
      <t xml:space="preserve">）</t>
    </r>
  </si>
  <si>
    <t xml:space="preserve">x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</si>
  <si>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（對照表 </t>
    </r>
    <r>
      <rPr>
        <sz val="11"/>
        <color theme="1"/>
        <rFont val="Calibri"/>
        <family val="2"/>
        <charset val="1"/>
      </rPr>
      <t xml:space="preserve">r1 C13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</si>
  <si>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Alpha Spread 0.78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MarketBeat 1.45 </t>
    </r>
    <r>
      <rPr>
        <sz val="11"/>
        <color theme="1"/>
        <rFont val="Noto Sans CJK SC"/>
        <family val="2"/>
      </rPr>
      <t xml:space="preserve">口徑未說明，不計入</t>
    </r>
  </si>
  <si>
    <t xml:space="preserve">erp</t>
  </si>
  <si>
    <t xml:space="preserve">股權風險溢酬</t>
  </si>
  <si>
    <t xml:space="preserve">Assumed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</si>
  <si>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（對照表預設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）</t>
    </r>
  </si>
  <si>
    <t xml:space="preserve">kd_new</t>
  </si>
  <si>
    <r>
      <rPr>
        <sz val="11"/>
        <color theme="1"/>
        <rFont val="Noto Sans CJK SC"/>
        <family val="2"/>
      </rPr>
      <t xml:space="preserve">稅前債務成本（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新發 </t>
    </r>
    <r>
      <rPr>
        <sz val="11"/>
        <color theme="1"/>
        <rFont val="Calibri"/>
        <family val="2"/>
        <charset val="1"/>
      </rPr>
      <t xml:space="preserve">2066 </t>
    </r>
    <r>
      <rPr>
        <sz val="11"/>
        <color theme="1"/>
        <rFont val="Noto Sans CJK SC"/>
        <family val="2"/>
      </rPr>
      <t xml:space="preserve">票據有效利率）</t>
    </r>
  </si>
  <si>
    <r>
      <rPr>
        <sz val="11"/>
        <color theme="1"/>
        <rFont val="Noto Sans CJK SC"/>
        <family val="2"/>
      </rPr>
      <t xml:space="preserve">期後事項：固定票面 </t>
    </r>
    <r>
      <rPr>
        <sz val="11"/>
        <color theme="1"/>
        <rFont val="Calibri"/>
        <family val="2"/>
        <charset val="1"/>
      </rPr>
      <t xml:space="preserve">4.60%–6.25%</t>
    </r>
    <r>
      <rPr>
        <sz val="11"/>
        <color theme="1"/>
        <rFont val="Noto Sans CJK SC"/>
        <family val="2"/>
      </rPr>
      <t xml:space="preserve">、有效 </t>
    </r>
    <r>
      <rPr>
        <sz val="11"/>
        <color theme="1"/>
        <rFont val="Calibri"/>
        <family val="2"/>
        <charset val="1"/>
      </rPr>
      <t xml:space="preserve">4.67%–6.33%</t>
    </r>
  </si>
  <si>
    <t xml:space="preserve">tax</t>
  </si>
  <si>
    <r>
      <rPr>
        <sz val="11"/>
        <color theme="1"/>
        <rFont val="Noto Sans CJK SC"/>
        <family val="2"/>
      </rPr>
      <t xml:space="preserve">稅率（</t>
    </r>
    <r>
      <rPr>
        <sz val="11"/>
        <color theme="1"/>
        <rFont val="Calibri"/>
        <family val="2"/>
        <charset val="1"/>
      </rPr>
      <t xml:space="preserve">2023–2025 </t>
    </r>
    <r>
      <rPr>
        <sz val="11"/>
        <color theme="1"/>
        <rFont val="Noto Sans CJK SC"/>
        <family val="2"/>
      </rPr>
      <t xml:space="preserve">有效稅率平均）</t>
    </r>
  </si>
  <si>
    <t xml:space="preserve">S01</t>
  </si>
  <si>
    <r>
      <rPr>
        <sz val="11"/>
        <color theme="1"/>
        <rFont val="Calibri"/>
        <family val="2"/>
        <charset val="1"/>
      </rPr>
      <t xml:space="preserve">18.96%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13.50%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19.61%</t>
    </r>
    <r>
      <rPr>
        <sz val="11"/>
        <color theme="1"/>
        <rFont val="Noto Sans CJK SC"/>
        <family val="2"/>
      </rPr>
      <t xml:space="preserve">；沿用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17.36%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上半年不含一次性項目 </t>
    </r>
    <r>
      <rPr>
        <sz val="11"/>
        <color theme="1"/>
        <rFont val="Calibri"/>
        <family val="2"/>
        <charset val="1"/>
      </rPr>
      <t xml:space="preserve">23%</t>
    </r>
  </si>
  <si>
    <t xml:space="preserve">debt_q2</t>
  </si>
  <si>
    <r>
      <rPr>
        <sz val="11"/>
        <color theme="1"/>
        <rFont val="Noto Sans CJK SC"/>
        <family val="2"/>
      </rPr>
      <t xml:space="preserve">債務面額（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</si>
  <si>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t xml:space="preserve">US$bn</t>
  </si>
  <si>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5</t>
    </r>
  </si>
  <si>
    <t xml:space="preserve">ke</t>
  </si>
  <si>
    <r>
      <rPr>
        <sz val="11"/>
        <color theme="1"/>
        <rFont val="Noto Sans CJK SC"/>
        <family val="2"/>
      </rPr>
      <t xml:space="preserve">股權成本＝</t>
    </r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β × ERP</t>
    </r>
  </si>
  <si>
    <t xml:space="preserve">CAPM</t>
  </si>
  <si>
    <t xml:space="preserve">wacc</t>
  </si>
  <si>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E/(D+E) × ke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D/(D+E) × kd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稅率）；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流通股數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</si>
  <si>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口徑（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12.5%</t>
    </r>
    <r>
      <rPr>
        <sz val="11"/>
        <color theme="1"/>
        <rFont val="Noto Sans CJK SC"/>
        <family val="2"/>
      </rPr>
      <t xml:space="preserve">）</t>
    </r>
  </si>
  <si>
    <t xml:space="preserve">tg</t>
  </si>
  <si>
    <r>
      <rPr>
        <sz val="11"/>
        <color theme="1"/>
        <rFont val="Noto Sans CJK SC"/>
        <family val="2"/>
      </rPr>
      <t xml:space="preserve">永續成長率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</si>
  <si>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g 3%</t>
    </r>
    <r>
      <rPr>
        <sz val="11"/>
        <color theme="1"/>
        <rFont val="Noto Sans CJK SC"/>
        <family val="2"/>
      </rPr>
      <t xml:space="preserve">）</t>
    </r>
  </si>
  <si>
    <t xml:space="preserve">ronic</t>
  </si>
  <si>
    <r>
      <rPr>
        <sz val="11"/>
        <color theme="1"/>
        <rFont val="Noto Sans CJK SC"/>
        <family val="2"/>
      </rPr>
      <t xml:space="preserve">永續期新投資報酬率（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；預設＝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：永續成長不創造價值）</t>
    </r>
  </si>
  <si>
    <r>
      <rPr>
        <sz val="11"/>
        <color theme="1"/>
        <rFont val="Noto Sans CJK SC"/>
        <family val="2"/>
      </rPr>
      <t xml:space="preserve">判斷（報告第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</si>
  <si>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高值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＝永續成長創造價值（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</t>
    </r>
  </si>
  <si>
    <t xml:space="preserve">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</si>
  <si>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的權重；其餘為分部加總（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</si>
  <si>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</si>
  <si>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</si>
  <si>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w_A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</si>
  <si>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（樂觀）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</si>
  <si>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</si>
  <si>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 </t>
    </r>
    <r>
      <rPr>
        <sz val="11"/>
        <color theme="1"/>
        <rFont val="Calibri"/>
        <family val="2"/>
        <charset val="1"/>
      </rPr>
      <t xml:space="preserve">100%</t>
    </r>
  </si>
  <si>
    <t xml:space="preserve">w_B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</si>
  <si>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（基準）</t>
    </r>
  </si>
  <si>
    <t xml:space="preserve">w_C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</si>
  <si>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（保守）</t>
    </r>
  </si>
  <si>
    <t xml:space="preserve">tp_yf</t>
  </si>
  <si>
    <r>
      <rPr>
        <sz val="11"/>
        <color theme="1"/>
        <rFont val="Noto Sans CJK SC"/>
        <family val="2"/>
      </rPr>
      <t xml:space="preserve">目標價時點（</t>
    </r>
    <r>
      <rPr>
        <sz val="11"/>
        <color theme="1"/>
        <rFont val="Calibri"/>
        <family val="2"/>
        <charset val="1"/>
      </rPr>
      <t xml:space="preserve">2027-10-27</t>
    </r>
    <r>
      <rPr>
        <sz val="11"/>
        <color theme="1"/>
        <rFont val="Noto Sans CJK SC"/>
        <family val="2"/>
      </rPr>
      <t xml:space="preserve">）距評價基準日（</t>
    </r>
    <r>
      <rPr>
        <sz val="11"/>
        <color theme="1"/>
        <rFont val="Calibri"/>
        <family val="2"/>
        <charset val="1"/>
      </rPr>
      <t xml:space="preserve">2026-12-31</t>
    </r>
    <r>
      <rPr>
        <sz val="11"/>
        <color theme="1"/>
        <rFont val="Noto Sans CJK SC"/>
        <family val="2"/>
      </rPr>
      <t xml:space="preserve">）年數</t>
    </r>
  </si>
  <si>
    <t xml:space="preserve">年</t>
  </si>
  <si>
    <r>
      <rPr>
        <sz val="11"/>
        <color theme="1"/>
        <rFont val="Noto Sans CJK SC"/>
        <family val="2"/>
      </rPr>
      <t xml:space="preserve">目標價約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</si>
  <si>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情境價值以 </t>
    </r>
    <r>
      <rPr>
        <sz val="11"/>
        <color theme="1"/>
        <rFont val="Calibri"/>
        <family val="2"/>
        <charset val="1"/>
      </rPr>
      <t xml:space="preserve">ke </t>
    </r>
    <r>
      <rPr>
        <sz val="11"/>
        <color theme="1"/>
        <rFont val="Noto Sans CJK SC"/>
        <family val="2"/>
      </rPr>
      <t xml:space="preserve">推到目標價時點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</si>
  <si>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命題模組：</t>
    </r>
    <r>
      <rPr>
        <b val="true"/>
        <sz val="11"/>
        <rFont val="Cambria"/>
        <family val="0"/>
        <charset val="1"/>
      </rPr>
      <t xml:space="preserve">AWS AI</t>
    </r>
    <r>
      <rPr>
        <b val="true"/>
        <sz val="11"/>
        <rFont val="Noto Sans CJK SC"/>
        <family val="2"/>
      </rPr>
      <t xml:space="preserve">（對外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在役 </t>
    </r>
    <r>
      <rPr>
        <b val="true"/>
        <sz val="11"/>
        <rFont val="Cambria"/>
        <family val="0"/>
        <charset val="1"/>
      </rPr>
      <t xml:space="preserve">MW ×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年收入；沿用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）</t>
    </r>
  </si>
  <si>
    <t xml:space="preserve">mw_ye23</t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</si>
  <si>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年底）</t>
    </r>
  </si>
  <si>
    <t xml:space="preserve">MW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</si>
  <si>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defaults.mwYearEnd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</si>
  <si>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；只用於歷史分拆與折舊年份</t>
    </r>
  </si>
  <si>
    <t xml:space="preserve">mw_ye24</t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</si>
  <si>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年底）</t>
    </r>
  </si>
  <si>
    <t xml:space="preserve">同上</t>
  </si>
  <si>
    <t xml:space="preserve">mw_ye25</t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</si>
  <si>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</si>
  <si>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Calibri"/>
        <family val="2"/>
        <charset val="1"/>
      </rPr>
      <t xml:space="preserve">Trainium2 1.4M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× 0.871 kW ≈ 1,220 MW-IT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chip.trn2.mwFromLanded</t>
    </r>
    <r>
      <rPr>
        <sz val="11"/>
        <color theme="1"/>
        <rFont val="Noto Sans CJK SC"/>
        <family val="2"/>
      </rPr>
      <t xml:space="preserve">）</t>
    </r>
  </si>
  <si>
    <t xml:space="preserve">mw_open</t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</si>
  <si>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（期初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）＝在役 </t>
    </r>
    <r>
      <rPr>
        <sz val="11"/>
        <color theme="1"/>
        <rFont val="Calibri"/>
        <family val="2"/>
        <charset val="1"/>
      </rPr>
      <t xml:space="preserve">AI 2,600 ×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80%</t>
    </r>
  </si>
  <si>
    <r>
      <rPr>
        <sz val="11"/>
        <color theme="1"/>
        <rFont val="Calibri"/>
        <family val="2"/>
        <charset val="1"/>
      </rPr>
      <t xml:space="preserve">S19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S20</t>
    </r>
  </si>
  <si>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三站 </t>
    </r>
    <r>
      <rPr>
        <sz val="11"/>
        <color theme="1"/>
        <rFont val="Calibri"/>
        <family val="2"/>
        <charset val="1"/>
      </rPr>
      <t xml:space="preserve">1,422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Trainium2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推估；第三方估計，區間見事實總帳 </t>
    </r>
    <r>
      <rPr>
        <sz val="11"/>
        <color theme="1"/>
        <rFont val="Calibri"/>
        <family val="2"/>
        <charset val="1"/>
      </rPr>
      <t xml:space="preserve">mw.ai.ext.2026q2</t>
    </r>
  </si>
  <si>
    <t xml:space="preserve">pace_A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</si>
  <si>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：對外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每年新增（公司「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年底容量為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年兩倍」，以 </t>
    </r>
    <r>
      <rPr>
        <sz val="11"/>
        <color theme="1"/>
        <rFont val="Calibri"/>
        <family val="2"/>
        <charset val="1"/>
      </rPr>
      <t xml:space="preserve">MS 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8 GW </t>
    </r>
    <r>
      <rPr>
        <sz val="11"/>
        <color theme="1"/>
        <rFont val="Noto Sans CJK SC"/>
        <family val="2"/>
      </rPr>
      <t xml:space="preserve">對照）</t>
    </r>
  </si>
  <si>
    <r>
      <rPr>
        <sz val="11"/>
        <color theme="1"/>
        <rFont val="Calibri"/>
        <family val="2"/>
        <charset val="1"/>
      </rPr>
      <t xml:space="preserve">MW/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</si>
  <si>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scenarios.mwPath.pace.high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S30</t>
    </r>
  </si>
  <si>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+7 GW × AI </t>
    </r>
    <r>
      <rPr>
        <sz val="11"/>
        <color theme="1"/>
        <rFont val="Noto Sans CJK SC"/>
        <family val="2"/>
      </rPr>
      <t xml:space="preserve">占新增 </t>
    </r>
    <r>
      <rPr>
        <sz val="11"/>
        <color theme="1"/>
        <rFont val="Calibri"/>
        <family val="2"/>
        <charset val="1"/>
      </rPr>
      <t xml:space="preserve">80% ÷ PUE 1.2 ×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80%</t>
    </r>
  </si>
  <si>
    <t xml:space="preserve">pace_B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</si>
  <si>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：對外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每年新增（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 </t>
    </r>
    <r>
      <rPr>
        <sz val="11"/>
        <color theme="1"/>
        <rFont val="Calibri"/>
        <family val="2"/>
        <charset val="1"/>
      </rPr>
      <t xml:space="preserve">220 </t>
    </r>
    <r>
      <rPr>
        <sz val="11"/>
        <color theme="1"/>
        <rFont val="Noto Sans CJK SC"/>
        <family val="2"/>
      </rPr>
      <t xml:space="preserve">隱含的建置量，</t>
    </r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</si>
  <si>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scripts/calib_pace.js </t>
    </r>
    <r>
      <rPr>
        <sz val="11"/>
        <color theme="1"/>
        <rFont val="Noto Sans CJK SC"/>
        <family val="2"/>
      </rPr>
      <t xml:space="preserve">解出，</t>
    </r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）</t>
    </r>
  </si>
  <si>
    <t xml:space="preserve">這是把支出換成實體產能（物理換算），不是以營收反推單價</t>
  </si>
  <si>
    <t xml:space="preserve">pace_C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</si>
  <si>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：對外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每年新增（與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相同：資本支出照指引投入，下檔在變現）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</si>
  <si>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的保守情境為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站點速度 </t>
    </r>
    <r>
      <rPr>
        <sz val="11"/>
        <color theme="1"/>
        <rFont val="Calibri"/>
        <family val="2"/>
        <charset val="1"/>
      </rPr>
      <t xml:space="preserve">720</t>
    </r>
    <r>
      <rPr>
        <sz val="11"/>
        <color theme="1"/>
        <rFont val="Noto Sans CJK SC"/>
        <family val="2"/>
      </rPr>
      <t xml:space="preserve">／年；本版改為變現不如預期</t>
    </r>
  </si>
  <si>
    <t xml:space="preserve">ext_sh</t>
  </si>
  <si>
    <r>
      <rPr>
        <sz val="11"/>
        <color theme="1"/>
        <rFont val="Noto Sans CJK SC"/>
        <family val="2"/>
      </rPr>
      <t xml:space="preserve">對外比例（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中租給客戶的比例）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</si>
  <si>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（對照表 </t>
    </r>
    <r>
      <rPr>
        <sz val="11"/>
        <color theme="1"/>
        <rFont val="Calibri"/>
        <family val="2"/>
        <charset val="1"/>
      </rPr>
      <t xml:space="preserve">r1 C23</t>
    </r>
    <r>
      <rPr>
        <sz val="11"/>
        <color theme="1"/>
        <rFont val="Noto Sans CJK SC"/>
        <family val="2"/>
      </rPr>
      <t xml:space="preserve">：公司未揭露、最大不確定）</t>
    </r>
  </si>
  <si>
    <r>
      <rPr>
        <sz val="11"/>
        <color theme="1"/>
        <rFont val="Calibri"/>
        <family val="2"/>
        <charset val="1"/>
      </rPr>
      <t xml:space="preserve">Anthropic Trainium2 </t>
    </r>
    <r>
      <rPr>
        <sz val="11"/>
        <color theme="1"/>
        <rFont val="Noto Sans CJK SC"/>
        <family val="2"/>
      </rPr>
      <t xml:space="preserve">三站全為對外；自用（</t>
    </r>
    <r>
      <rPr>
        <sz val="11"/>
        <color theme="1"/>
        <rFont val="Calibri"/>
        <family val="2"/>
        <charset val="1"/>
      </rPr>
      <t xml:space="preserve">Alexa+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Rufus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Nova</t>
    </r>
    <r>
      <rPr>
        <sz val="11"/>
        <color theme="1"/>
        <rFont val="Noto Sans CJK SC"/>
        <family val="2"/>
      </rPr>
      <t xml:space="preserve">、廣告）未揭露；</t>
    </r>
    <r>
      <rPr>
        <sz val="11"/>
        <color theme="1"/>
        <rFont val="Calibri"/>
        <family val="2"/>
        <charset val="1"/>
      </rPr>
      <t xml:space="preserve">Sens ±20pt</t>
    </r>
  </si>
  <si>
    <t xml:space="preserve">long_sh</t>
  </si>
  <si>
    <t xml:space="preserve">長約占對外容量比例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</si>
  <si>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pricing.longShare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</si>
  <si>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 Trainium2 </t>
    </r>
    <r>
      <rPr>
        <sz val="11"/>
        <color theme="1"/>
        <rFont val="Noto Sans CJK SC"/>
        <family val="2"/>
      </rPr>
      <t xml:space="preserve">三站＋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兩筆占多數</t>
    </r>
  </si>
  <si>
    <t xml:space="preserve">p_spot</t>
  </si>
  <si>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現貨價（</t>
    </r>
    <r>
      <rPr>
        <sz val="11"/>
        <color theme="1"/>
        <rFont val="Calibri"/>
        <family val="2"/>
        <charset val="1"/>
      </rPr>
      <t xml:space="preserve">Silicon Data </t>
    </r>
    <r>
      <rPr>
        <sz val="11"/>
        <color theme="1"/>
        <rFont val="Noto Sans CJK SC"/>
        <family val="2"/>
      </rPr>
      <t xml:space="preserve">指數）</t>
    </r>
  </si>
  <si>
    <t xml:space="preserve">US$/GPU-hr</t>
  </si>
  <si>
    <t xml:space="preserve">S18</t>
  </si>
  <si>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三家共用（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）</t>
    </r>
  </si>
  <si>
    <t xml:space="preserve">p_list</t>
  </si>
  <si>
    <r>
      <rPr>
        <sz val="11"/>
        <color theme="1"/>
        <rFont val="Calibri"/>
        <family val="2"/>
        <charset val="1"/>
      </rPr>
      <t xml:space="preserve">AWS p5.48xlarge </t>
    </r>
    <r>
      <rPr>
        <sz val="11"/>
        <color theme="1"/>
        <rFont val="Noto Sans CJK SC"/>
        <family val="2"/>
      </rPr>
      <t xml:space="preserve">隨需（每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小時）</t>
    </r>
  </si>
  <si>
    <r>
      <rPr>
        <sz val="11"/>
        <color theme="1"/>
        <rFont val="Noto Sans CJK SC"/>
        <family val="2"/>
      </rPr>
      <t xml:space="preserve">公開牌價（賣價，非成交價）；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高軸</t>
    </r>
  </si>
  <si>
    <t xml:space="preserve">p_long</t>
  </si>
  <si>
    <r>
      <rPr>
        <sz val="11"/>
        <color theme="1"/>
        <rFont val="Noto Sans CJK SC"/>
        <family val="2"/>
      </rPr>
      <t xml:space="preserve">長約等值價格（判斷倍數 </t>
    </r>
    <r>
      <rPr>
        <sz val="11"/>
        <color theme="1"/>
        <rFont val="Calibri"/>
        <family val="2"/>
        <charset val="1"/>
      </rPr>
      <t xml:space="preserve">0.75 × v5.27 VR200 </t>
    </r>
    <r>
      <rPr>
        <sz val="11"/>
        <color theme="1"/>
        <rFont val="Noto Sans CJK SC"/>
        <family val="2"/>
      </rPr>
      <t xml:space="preserve">成本 </t>
    </r>
    <r>
      <rPr>
        <sz val="11"/>
        <color theme="1"/>
        <rFont val="Calibri"/>
        <family val="2"/>
        <charset val="1"/>
      </rPr>
      <t xml:space="preserve">12.762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</si>
  <si>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US$m/MW-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</si>
  <si>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kspec.py long.base</t>
    </r>
    <r>
      <rPr>
        <sz val="11"/>
        <color theme="1"/>
        <rFont val="Noto Sans CJK SC"/>
        <family val="2"/>
      </rPr>
      <t xml:space="preserve">）</t>
    </r>
  </si>
  <si>
    <t xml:space="preserve">判斷值，不是觀察到的市場價格</t>
  </si>
  <si>
    <t xml:space="preserve">p_long_lo</t>
  </si>
  <si>
    <r>
      <rPr>
        <sz val="11"/>
        <color theme="1"/>
        <rFont val="Noto Sans CJK SC"/>
        <family val="2"/>
      </rPr>
      <t xml:space="preserve">長約等值價格下緣（判斷倍數 </t>
    </r>
    <r>
      <rPr>
        <sz val="11"/>
        <color theme="1"/>
        <rFont val="Calibri"/>
        <family val="2"/>
        <charset val="1"/>
      </rPr>
      <t xml:space="preserve">0.55 × 12.762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</si>
  <si>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kspec.py long.low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</si>
  <si>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下限 </t>
    </r>
    <r>
      <rPr>
        <sz val="11"/>
        <color theme="1"/>
        <rFont val="Calibri"/>
        <family val="2"/>
        <charset val="1"/>
      </rPr>
      <t xml:space="preserve">0.22–0.45 </t>
    </r>
    <r>
      <rPr>
        <sz val="11"/>
        <color theme="1"/>
        <rFont val="Noto Sans CJK SC"/>
        <family val="2"/>
      </rPr>
      <t xml:space="preserve">只作對照</t>
    </r>
  </si>
  <si>
    <t xml:space="preserve">tk_he_h100</t>
  </si>
  <si>
    <r>
      <rPr>
        <sz val="11"/>
        <color theme="1"/>
        <rFont val="Calibri"/>
        <family val="2"/>
        <charset val="1"/>
      </rPr>
      <t xml:space="preserve">Tokenomics 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年持有成本，經濟口徑、基準）</t>
    </r>
  </si>
  <si>
    <t xml:space="preserve">S17</t>
  </si>
  <si>
    <r>
      <rPr>
        <sz val="11"/>
        <color theme="1"/>
        <rFont val="Calibri"/>
        <family val="2"/>
        <charset val="1"/>
      </rPr>
      <t xml:space="preserve">WACC 10% </t>
    </r>
    <r>
      <rPr>
        <sz val="11"/>
        <color theme="1"/>
        <rFont val="Noto Sans CJK SC"/>
        <family val="2"/>
      </rPr>
      <t xml:space="preserve">下的打平持有成本（資本回收年金＋營運費用）</t>
    </r>
  </si>
  <si>
    <t xml:space="preserve">tk_he_gb200</t>
  </si>
  <si>
    <r>
      <rPr>
        <sz val="11"/>
        <color theme="1"/>
        <rFont val="Calibri"/>
        <family val="2"/>
        <charset val="1"/>
      </rPr>
      <t xml:space="preserve">Tokenomics 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年持有成本，經濟口徑、基準）</t>
    </r>
  </si>
  <si>
    <t xml:space="preserve">tk_he_gb300</t>
  </si>
  <si>
    <r>
      <rPr>
        <sz val="11"/>
        <color theme="1"/>
        <rFont val="Calibri"/>
        <family val="2"/>
        <charset val="1"/>
      </rPr>
      <t xml:space="preserve">Tokenomics 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年持有成本，經濟口徑、基準）</t>
    </r>
  </si>
  <si>
    <t xml:space="preserve">tk_he_vr200</t>
  </si>
  <si>
    <r>
      <rPr>
        <sz val="11"/>
        <color theme="1"/>
        <rFont val="Calibri"/>
        <family val="2"/>
        <charset val="1"/>
      </rPr>
      <t xml:space="preserve">Tokenomics 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年持有成本，經濟口徑、基準）</t>
    </r>
  </si>
  <si>
    <t xml:space="preserve">tk_cx_h100</t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</si>
  <si>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</si>
  <si>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US$m/MW</t>
  </si>
  <si>
    <t xml:space="preserve">tk_cx_gb200</t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</si>
  <si>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</si>
  <si>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tk_cx_gb300</t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</si>
  <si>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</si>
  <si>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tk_cx_vr200</t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</si>
  <si>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</si>
  <si>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tk_ox_h100</t>
  </si>
  <si>
    <r>
      <rPr>
        <sz val="11"/>
        <color theme="1"/>
        <rFont val="Calibri"/>
        <family val="2"/>
        <charset val="1"/>
      </rPr>
      <t xml:space="preserve">Tokenomics 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年營運費用，不含折舊、含電費）</t>
    </r>
  </si>
  <si>
    <t xml:space="preserve">tk_ox_gb200</t>
  </si>
  <si>
    <r>
      <rPr>
        <sz val="11"/>
        <color theme="1"/>
        <rFont val="Calibri"/>
        <family val="2"/>
        <charset val="1"/>
      </rPr>
      <t xml:space="preserve">Tokenomics 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年營運費用，不含折舊、含電費）</t>
    </r>
  </si>
  <si>
    <t xml:space="preserve">tk_ox_gb300</t>
  </si>
  <si>
    <r>
      <rPr>
        <sz val="11"/>
        <color theme="1"/>
        <rFont val="Calibri"/>
        <family val="2"/>
        <charset val="1"/>
      </rPr>
      <t xml:space="preserve">Tokenomics 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年營運費用，不含折舊、含電費）</t>
    </r>
  </si>
  <si>
    <t xml:space="preserve">tk_ox_vr200</t>
  </si>
  <si>
    <r>
      <rPr>
        <sz val="11"/>
        <color theme="1"/>
        <rFont val="Calibri"/>
        <family val="2"/>
        <charset val="1"/>
      </rPr>
      <t xml:space="preserve">Tokenomics 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年營運費用，不含折舊、含電費）</t>
    </r>
  </si>
  <si>
    <t xml:space="preserve">tk_gpuhr</t>
  </si>
  <si>
    <r>
      <rPr>
        <sz val="11"/>
        <color theme="1"/>
        <rFont val="Calibri"/>
        <family val="2"/>
        <charset val="1"/>
      </rPr>
      <t xml:space="preserve">Tokenomics IF_GPUhrEcon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小時持有成本）</t>
    </r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</si>
  <si>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現貨的分母</t>
    </r>
  </si>
  <si>
    <t xml:space="preserve">tk_fac</t>
  </si>
  <si>
    <r>
      <rPr>
        <sz val="11"/>
        <color theme="1"/>
        <rFont val="Calibri"/>
        <family val="2"/>
        <charset val="1"/>
      </rPr>
      <t xml:space="preserve">Tokenomics L1_FacCapexMW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機房資本支出）</t>
    </r>
  </si>
  <si>
    <t xml:space="preserve">tk_life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</si>
  <si>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設備折舊年限（</t>
    </r>
    <r>
      <rPr>
        <sz val="11"/>
        <color theme="1"/>
        <rFont val="Calibri"/>
        <family val="2"/>
        <charset val="1"/>
      </rPr>
      <t xml:space="preserve">Tokenomics IF_DeprLifeIT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</si>
  <si>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管理層口述伺服器 </t>
    </r>
    <r>
      <rPr>
        <sz val="11"/>
        <color theme="1"/>
        <rFont val="Calibri"/>
        <family val="2"/>
        <charset val="1"/>
      </rPr>
      <t xml:space="preserve">5–6 </t>
    </r>
    <r>
      <rPr>
        <sz val="11"/>
        <color theme="1"/>
        <rFont val="Noto Sans CJK SC"/>
        <family val="2"/>
      </rPr>
      <t xml:space="preserve">年（事實總帳 </t>
    </r>
    <r>
      <rPr>
        <sz val="11"/>
        <color theme="1"/>
        <rFont val="Calibri"/>
        <family val="2"/>
        <charset val="1"/>
      </rPr>
      <t xml:space="preserve">guide.server.life</t>
    </r>
    <r>
      <rPr>
        <sz val="11"/>
        <color theme="1"/>
        <rFont val="Noto Sans CJK SC"/>
        <family val="2"/>
      </rPr>
      <t xml:space="preserve">）</t>
    </r>
  </si>
  <si>
    <t xml:space="preserve">fac_life</t>
  </si>
  <si>
    <t xml:space="preserve">機房折舊年限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</si>
  <si>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機房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</si>
  <si>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Noto Sans CJK SC"/>
        <family val="2"/>
      </rPr>
      <t xml:space="preserve">管理層：資料中心建築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年以上</t>
    </r>
  </si>
  <si>
    <t xml:space="preserve">tk_pq</t>
  </si>
  <si>
    <r>
      <rPr>
        <sz val="11"/>
        <color theme="1"/>
        <rFont val="Calibri"/>
        <family val="2"/>
        <charset val="1"/>
      </rPr>
      <t xml:space="preserve">Tokenomics L1_RevGW_PQ_VR200</t>
    </r>
    <r>
      <rPr>
        <sz val="11"/>
        <color theme="1"/>
        <rFont val="Noto Sans CJK SC"/>
        <family val="2"/>
      </rPr>
      <t xml:space="preserve">（模型商每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年實收 </t>
    </r>
    <r>
      <rPr>
        <sz val="11"/>
        <color theme="1"/>
        <rFont val="Calibri"/>
        <family val="2"/>
        <charset val="1"/>
      </rPr>
      <t xml:space="preserve">P×Q</t>
    </r>
    <r>
      <rPr>
        <sz val="11"/>
        <color theme="1"/>
        <rFont val="Noto Sans CJK SC"/>
        <family val="2"/>
      </rPr>
      <t xml:space="preserve">；只作上限檢查）</t>
    </r>
  </si>
  <si>
    <t xml:space="preserve">上限，不得作預測</t>
  </si>
  <si>
    <t xml:space="preserve">k_long</t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</si>
  <si>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長約＝長約等值價格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目前 </t>
    </r>
    <r>
      <rPr>
        <sz val="11"/>
        <color theme="1"/>
        <rFont val="Calibri"/>
        <family val="2"/>
        <charset val="1"/>
      </rPr>
      <t xml:space="preserve">VR200 IF_HoldEcon</t>
    </r>
  </si>
  <si>
    <r>
      <rPr>
        <sz val="11"/>
        <color theme="1"/>
        <rFont val="Calibri"/>
        <family val="2"/>
        <charset val="1"/>
      </rPr>
      <t xml:space="preserve">kspec.py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v0.2.1 </t>
    </r>
    <r>
      <rPr>
        <sz val="11"/>
        <color theme="1"/>
        <rFont val="Noto Sans CJK SC"/>
        <family val="2"/>
      </rPr>
      <t xml:space="preserve">起隨目前快照重算）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</si>
  <si>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0.783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0.574</t>
    </r>
  </si>
  <si>
    <t xml:space="preserve">k_spot</t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</si>
  <si>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現貨＝現貨價 </t>
    </r>
    <r>
      <rPr>
        <sz val="11"/>
        <color theme="1"/>
        <rFont val="Calibri"/>
        <family val="2"/>
        <charset val="1"/>
      </rPr>
      <t xml:space="preserve">÷ IF_GPUhrEcon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</si>
  <si>
    <r>
      <rPr>
        <sz val="11"/>
        <color theme="1"/>
        <rFont val="Calibri"/>
        <family val="2"/>
        <charset val="1"/>
      </rPr>
      <t xml:space="preserve">kspec.py</t>
    </r>
    <r>
      <rPr>
        <sz val="11"/>
        <color theme="1"/>
        <rFont val="Noto Sans CJK SC"/>
        <family val="2"/>
      </rPr>
      <t xml:space="preserve">（三家一致，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</si>
  <si>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高＝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牌價（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價格軸高）</t>
    </r>
  </si>
  <si>
    <t xml:space="preserve">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</si>
  <si>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：新產能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（價格軸高：現貨改用 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牌價）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</si>
  <si>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價格軸（</t>
    </r>
    <r>
      <rPr>
        <sz val="11"/>
        <color theme="1"/>
        <rFont val="Calibri"/>
        <family val="2"/>
        <charset val="1"/>
      </rPr>
      <t xml:space="preserve">pricing.kSpot.high</t>
    </r>
    <r>
      <rPr>
        <sz val="11"/>
        <color theme="1"/>
        <rFont val="Noto Sans CJK SC"/>
        <family val="2"/>
      </rPr>
      <t xml:space="preserve">）</t>
    </r>
  </si>
  <si>
    <t xml:space="preserve">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</si>
  <si>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（價格軸基準：長約 </t>
    </r>
    <r>
      <rPr>
        <sz val="11"/>
        <color theme="1"/>
        <rFont val="Calibri"/>
        <family val="2"/>
        <charset val="1"/>
      </rPr>
      <t xml:space="preserve">80% × k_</t>
    </r>
    <r>
      <rPr>
        <sz val="11"/>
        <color theme="1"/>
        <rFont val="Noto Sans CJK SC"/>
        <family val="2"/>
      </rPr>
      <t xml:space="preserve">長約＋現貨 </t>
    </r>
    <r>
      <rPr>
        <sz val="11"/>
        <color theme="1"/>
        <rFont val="Calibri"/>
        <family val="2"/>
        <charset val="1"/>
      </rPr>
      <t xml:space="preserve">20% × k_</t>
    </r>
    <r>
      <rPr>
        <sz val="11"/>
        <color theme="1"/>
        <rFont val="Noto Sans CJK SC"/>
        <family val="2"/>
      </rPr>
      <t xml:space="preserve">現貨）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</si>
  <si>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混合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）</t>
    </r>
  </si>
  <si>
    <t xml:space="preserve">期初機隊三情境皆用本列</t>
  </si>
  <si>
    <t xml:space="preserve">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</si>
  <si>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：新產能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（價格軸低：長約下緣）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</si>
  <si>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價格軸（</t>
    </r>
    <r>
      <rPr>
        <sz val="11"/>
        <color theme="1"/>
        <rFont val="Calibri"/>
        <family val="2"/>
        <charset val="1"/>
      </rPr>
      <t xml:space="preserve">pricing.kLong.low</t>
    </r>
    <r>
      <rPr>
        <sz val="11"/>
        <color theme="1"/>
        <rFont val="Noto Sans CJK SC"/>
        <family val="2"/>
      </rPr>
      <t xml:space="preserve">）</t>
    </r>
  </si>
  <si>
    <t xml:space="preserve">mo_trn2</t>
  </si>
  <si>
    <r>
      <rPr>
        <sz val="11"/>
        <color theme="1"/>
        <rFont val="Noto Sans CJK SC"/>
        <family val="2"/>
      </rPr>
      <t xml:space="preserve">期初世代占比：</t>
    </r>
    <r>
      <rPr>
        <sz val="11"/>
        <color theme="1"/>
        <rFont val="Calibri"/>
        <family val="2"/>
        <charset val="1"/>
      </rPr>
      <t xml:space="preserve">Trainium2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計價，</t>
    </r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）</t>
    </r>
  </si>
  <si>
    <t xml:space="preserve">S20</t>
  </si>
  <si>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三站 </t>
    </r>
    <r>
      <rPr>
        <sz val="11"/>
        <color theme="1"/>
        <rFont val="Calibri"/>
        <family val="2"/>
        <charset val="1"/>
      </rPr>
      <t xml:space="preserve">1,422 ÷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2,600</t>
    </r>
  </si>
  <si>
    <t xml:space="preserve">mo_h100</t>
  </si>
  <si>
    <r>
      <rPr>
        <sz val="11"/>
        <color theme="1"/>
        <rFont val="Noto Sans CJK SC"/>
        <family val="2"/>
      </rPr>
      <t xml:space="preserve">期初世代占比：</t>
    </r>
    <r>
      <rPr>
        <sz val="11"/>
        <color theme="1"/>
        <rFont val="Calibri"/>
        <family val="2"/>
        <charset val="1"/>
      </rPr>
      <t xml:space="preserve">Hopper</t>
    </r>
  </si>
  <si>
    <t xml:space="preserve">mo_gb200</t>
  </si>
  <si>
    <r>
      <rPr>
        <sz val="11"/>
        <color theme="1"/>
        <rFont val="Noto Sans CJK SC"/>
        <family val="2"/>
      </rPr>
      <t xml:space="preserve">期初世代占比：</t>
    </r>
    <r>
      <rPr>
        <sz val="11"/>
        <color theme="1"/>
        <rFont val="Calibri"/>
        <family val="2"/>
        <charset val="1"/>
      </rPr>
      <t xml:space="preserve">GB200</t>
    </r>
  </si>
  <si>
    <t xml:space="preserve">mo_gb300</t>
  </si>
  <si>
    <r>
      <rPr>
        <sz val="11"/>
        <color theme="1"/>
        <rFont val="Noto Sans CJK SC"/>
        <family val="2"/>
      </rPr>
      <t xml:space="preserve">期初世代占比：</t>
    </r>
    <r>
      <rPr>
        <sz val="11"/>
        <color theme="1"/>
        <rFont val="Calibri"/>
        <family val="2"/>
        <charset val="1"/>
      </rPr>
      <t xml:space="preserve">GB300</t>
    </r>
  </si>
  <si>
    <t xml:space="preserve">he_open</t>
  </si>
  <si>
    <r>
      <rPr>
        <sz val="11"/>
        <color theme="1"/>
        <rFont val="Noto Sans CJK SC"/>
        <family val="2"/>
      </rPr>
      <t xml:space="preserve">期初機隊加權 </t>
    </r>
    <r>
      <rPr>
        <sz val="11"/>
        <color theme="1"/>
        <rFont val="Calibri"/>
        <family val="2"/>
        <charset val="1"/>
      </rPr>
      <t xml:space="preserve">IF_HoldEcon</t>
    </r>
  </si>
  <si>
    <t xml:space="preserve">上列加權</t>
  </si>
  <si>
    <t xml:space="preserve">ox_open</t>
  </si>
  <si>
    <t xml:space="preserve">期初機隊加權營運費用</t>
  </si>
  <si>
    <t xml:space="preserve">rpm_open</t>
  </si>
  <si>
    <r>
      <rPr>
        <sz val="11"/>
        <color theme="1"/>
        <rFont val="Noto Sans CJK SC"/>
        <family val="2"/>
      </rPr>
      <t xml:space="preserve">期初機隊每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年收入＝加權 </t>
    </r>
    <r>
      <rPr>
        <sz val="11"/>
        <color theme="1"/>
        <rFont val="Calibri"/>
        <family val="2"/>
        <charset val="1"/>
      </rPr>
      <t xml:space="preserve">IF_HoldEcon × k_B</t>
    </r>
    <r>
      <rPr>
        <sz val="11"/>
        <color theme="1"/>
        <rFont val="Noto Sans CJK SC"/>
        <family val="2"/>
      </rPr>
      <t xml:space="preserve">（收入端不乘 </t>
    </r>
    <r>
      <rPr>
        <sz val="11"/>
        <color theme="1"/>
        <rFont val="Calibri"/>
        <family val="2"/>
        <charset val="1"/>
      </rPr>
      <t xml:space="preserve">IF_Util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MW-year </t>
    </r>
    <r>
      <rPr>
        <sz val="11"/>
        <color theme="1"/>
        <rFont val="Noto Sans CJK SC"/>
        <family val="2"/>
      </rPr>
      <t xml:space="preserve">計價）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</si>
  <si>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口徑</t>
    </r>
  </si>
  <si>
    <t xml:space="preserve">cust_sh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</si>
  <si>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中自研晶片（</t>
    </r>
    <r>
      <rPr>
        <sz val="11"/>
        <color theme="1"/>
        <rFont val="Calibri"/>
        <family val="2"/>
        <charset val="1"/>
      </rPr>
      <t xml:space="preserve">Trainium3 → GB300 </t>
    </r>
    <r>
      <rPr>
        <sz val="11"/>
        <color theme="1"/>
        <rFont val="Noto Sans CJK SC"/>
        <family val="2"/>
      </rPr>
      <t xml:space="preserve">計價）比例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</si>
  <si>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pricing.chips mixAdds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</si>
  <si>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Trainium3 2026 </t>
    </r>
    <r>
      <rPr>
        <sz val="11"/>
        <color theme="1"/>
        <rFont val="Noto Sans CJK SC"/>
        <family val="2"/>
      </rPr>
      <t xml:space="preserve">年初出貨且「接近全數認購」</t>
    </r>
  </si>
  <si>
    <t xml:space="preserve">na_vr26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</si>
  <si>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新增中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比例（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</si>
  <si>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</si>
  <si>
    <t xml:space="preserve">na_vr27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</si>
  <si>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新增中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比例（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</t>
    </r>
  </si>
  <si>
    <t xml:space="preserve">na_vr28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</si>
  <si>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新增中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比例（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起）</t>
    </r>
  </si>
  <si>
    <t xml:space="preserve">cf_chip</t>
  </si>
  <si>
    <r>
      <rPr>
        <sz val="11"/>
        <color theme="1"/>
        <rFont val="Noto Sans CJK SC"/>
        <family val="2"/>
      </rPr>
      <t xml:space="preserve">自研晶片每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收入係數（</t>
    </r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：同期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 </t>
    </r>
    <r>
      <rPr>
        <sz val="11"/>
        <color theme="1"/>
        <rFont val="Calibri"/>
        <family val="2"/>
        <charset val="1"/>
      </rPr>
      <t xml:space="preserve">× 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</si>
  <si>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對照表 </t>
    </r>
    <r>
      <rPr>
        <sz val="11"/>
        <color theme="1"/>
        <rFont val="Calibri"/>
        <family val="2"/>
        <charset val="1"/>
      </rPr>
      <t xml:space="preserve">r1 C2</t>
    </r>
  </si>
  <si>
    <r>
      <rPr>
        <sz val="11"/>
        <color theme="1"/>
        <rFont val="Noto Sans CJK SC"/>
        <family val="2"/>
      </rPr>
      <t xml:space="preserve">敏感度 </t>
    </r>
    <r>
      <rPr>
        <sz val="11"/>
        <color theme="1"/>
        <rFont val="Calibri"/>
        <family val="2"/>
        <charset val="1"/>
      </rPr>
      <t xml:space="preserve">× 0.7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IF_NonNV_Hold_Trn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0.7</t>
    </r>
    <r>
      <rPr>
        <sz val="11"/>
        <color theme="1"/>
        <rFont val="Noto Sans CJK SC"/>
        <family val="2"/>
      </rPr>
      <t xml:space="preserve">）</t>
    </r>
  </si>
  <si>
    <t xml:space="preserve">cf_cx</t>
  </si>
  <si>
    <r>
      <rPr>
        <sz val="11"/>
        <color theme="1"/>
        <rFont val="Noto Sans CJK SC"/>
        <family val="2"/>
      </rPr>
      <t xml:space="preserve">自研晶片每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資本支出係數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</si>
  <si>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customCapexFactor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</si>
  <si>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雙邊敏感度時與收入係數同乘 </t>
    </r>
    <r>
      <rPr>
        <sz val="11"/>
        <color theme="1"/>
        <rFont val="Calibri"/>
        <family val="2"/>
        <charset val="1"/>
      </rPr>
      <t xml:space="preserve">0.7</t>
    </r>
  </si>
  <si>
    <t xml:space="preserve">colo_sh</t>
  </si>
  <si>
    <t xml:space="preserve">機房租用比例（第三方託管）</t>
  </si>
  <si>
    <t xml:space="preserve">S29</t>
  </si>
  <si>
    <r>
      <rPr>
        <sz val="11"/>
        <color theme="1"/>
        <rFont val="Noto Sans CJK SC"/>
        <family val="2"/>
      </rPr>
      <t xml:space="preserve">自建比例＝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本列；租用部分不計機房資本支出</t>
    </r>
  </si>
  <si>
    <t xml:space="preserve">rent_rec</t>
  </si>
  <si>
    <r>
      <rPr>
        <sz val="11"/>
        <color theme="1"/>
        <rFont val="Noto Sans CJK SC"/>
        <family val="2"/>
      </rPr>
      <t xml:space="preserve">租用機房年租金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機房資本支出（資本回收係數，</t>
    </r>
    <r>
      <rPr>
        <sz val="11"/>
        <color theme="1"/>
        <rFont val="Calibri"/>
        <family val="2"/>
        <charset val="1"/>
      </rPr>
      <t xml:space="preserve">C22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</si>
  <si>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對照表 </t>
    </r>
    <r>
      <rPr>
        <sz val="11"/>
        <color theme="1"/>
        <rFont val="Calibri"/>
        <family val="2"/>
        <charset val="1"/>
      </rPr>
      <t xml:space="preserve">r1 C22</t>
    </r>
  </si>
  <si>
    <t xml:space="preserve">rent_mw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</si>
  <si>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年機房租金（攤到全部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）＝租用比例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機房成本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回收係數</t>
    </r>
  </si>
  <si>
    <t xml:space="preserve">上列</t>
  </si>
  <si>
    <t xml:space="preserve">capex_g26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</si>
  <si>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現金資本支出指引（下限）</t>
    </r>
  </si>
  <si>
    <t xml:space="preserve">S11</t>
  </si>
  <si>
    <r>
      <rPr>
        <sz val="11"/>
        <color theme="1"/>
        <rFont val="Noto Sans CJK SC"/>
        <family val="2"/>
      </rPr>
      <t xml:space="preserve">上調自約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；首期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資本支出＝</t>
    </r>
    <r>
      <rPr>
        <sz val="11"/>
        <color theme="1"/>
        <rFont val="Calibri"/>
        <family val="2"/>
        <charset val="1"/>
      </rPr>
      <t xml:space="preserve">MAX(MW </t>
    </r>
    <r>
      <rPr>
        <sz val="11"/>
        <color theme="1"/>
        <rFont val="Noto Sans CJK SC"/>
        <family val="2"/>
      </rPr>
      <t xml:space="preserve">公式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指引 − 上半年實際 − 非 </t>
    </r>
    <r>
      <rPr>
        <sz val="11"/>
        <color theme="1"/>
        <rFont val="Calibri"/>
        <family val="2"/>
        <charset val="1"/>
      </rPr>
      <t xml:space="preserve">AI)</t>
    </r>
  </si>
  <si>
    <t xml:space="preserve">rd2</t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</si>
  <si>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讀法（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：只計成本；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計影子效益）</t>
    </r>
  </si>
  <si>
    <t xml:space="preserve">0/1</t>
  </si>
  <si>
    <r>
      <rPr>
        <sz val="11"/>
        <color theme="1"/>
        <rFont val="Noto Sans CJK SC"/>
        <family val="2"/>
      </rPr>
      <t xml:space="preserve">對照表 </t>
    </r>
    <r>
      <rPr>
        <sz val="11"/>
        <color theme="1"/>
        <rFont val="Calibri"/>
        <family val="2"/>
        <charset val="1"/>
      </rPr>
      <t xml:space="preserve">r1 C16</t>
    </r>
    <r>
      <rPr>
        <sz val="11"/>
        <color theme="1"/>
        <rFont val="Noto Sans CJK SC"/>
        <family val="2"/>
      </rPr>
      <t xml:space="preserve">（主值待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決定）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</si>
  <si>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Sens</t>
    </r>
  </si>
  <si>
    <t xml:space="preserve">ai_rr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</si>
  <si>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營收年化（</t>
    </r>
    <r>
      <rPr>
        <sz val="11"/>
        <color theme="1"/>
        <rFont val="Calibri"/>
        <family val="2"/>
        <charset val="1"/>
      </rPr>
      <t xml:space="preserve">AWS AI run-rate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&gt;25</t>
    </r>
    <r>
      <rPr>
        <sz val="11"/>
        <color theme="1"/>
        <rFont val="Noto Sans CJK SC"/>
        <family val="2"/>
      </rPr>
      <t xml:space="preserve">）</t>
    </r>
  </si>
  <si>
    <t xml:space="preserve">S04</t>
  </si>
  <si>
    <r>
      <rPr>
        <sz val="11"/>
        <color theme="1"/>
        <rFont val="Noto Sans CJK SC"/>
        <family val="2"/>
      </rPr>
      <t xml:space="preserve">只作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驗證列（</t>
    </r>
    <r>
      <rPr>
        <sz val="11"/>
        <color theme="1"/>
        <rFont val="Calibri"/>
        <family val="2"/>
        <charset val="1"/>
      </rPr>
      <t xml:space="preserve">C3</t>
    </r>
    <r>
      <rPr>
        <sz val="11"/>
        <color theme="1"/>
        <rFont val="Noto Sans CJK SC"/>
        <family val="2"/>
      </rPr>
      <t xml:space="preserve">）；不用於校準</t>
    </r>
  </si>
  <si>
    <r>
      <rPr>
        <b val="true"/>
        <sz val="11"/>
        <rFont val="Cambria"/>
        <family val="0"/>
        <charset val="1"/>
      </rPr>
      <t xml:space="preserve">D. AWS </t>
    </r>
    <r>
      <rPr>
        <b val="true"/>
        <sz val="11"/>
        <rFont val="Noto Sans CJK SC"/>
        <family val="2"/>
      </rPr>
      <t xml:space="preserve">其他（非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雲端）</t>
    </r>
  </si>
  <si>
    <t xml:space="preserve">g_awso_lt</t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</si>
  <si>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其他長期年增（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</si>
  <si>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gLT 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</si>
  <si>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2027–2030 </t>
    </r>
    <r>
      <rPr>
        <sz val="11"/>
        <color theme="1"/>
        <rFont val="Noto Sans CJK SC"/>
        <family val="2"/>
      </rPr>
      <t xml:space="preserve">由近期年增（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1H25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）線性收斂</t>
    </r>
  </si>
  <si>
    <t xml:space="preserve">cx_awso</t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</si>
  <si>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其他資本支出 </t>
    </r>
    <r>
      <rPr>
        <sz val="11"/>
        <color theme="1"/>
        <rFont val="Calibri"/>
        <family val="2"/>
        <charset val="1"/>
      </rPr>
      <t xml:space="preserve">÷ AWS </t>
    </r>
    <r>
      <rPr>
        <sz val="11"/>
        <color theme="1"/>
        <rFont val="Noto Sans CJK SC"/>
        <family val="2"/>
      </rPr>
      <t xml:space="preserve">其他營收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</si>
  <si>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cx 20%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</si>
  <si>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上緣＝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AWS PP&amp;E </t>
    </r>
    <r>
      <rPr>
        <sz val="11"/>
        <color theme="1"/>
        <rFont val="Noto Sans CJK SC"/>
        <family val="2"/>
      </rPr>
      <t xml:space="preserve">淨增加 </t>
    </r>
    <r>
      <rPr>
        <sz val="11"/>
        <color theme="1"/>
        <rFont val="Calibri"/>
        <family val="2"/>
        <charset val="1"/>
      </rPr>
      <t xml:space="preserve">÷ AWS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27.4%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</si>
  <si>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零售各營收線（</t>
    </r>
    <r>
      <rPr>
        <b val="true"/>
        <sz val="11"/>
        <rFont val="Cambria"/>
        <family val="0"/>
        <charset val="1"/>
      </rPr>
      <t xml:space="preserve">10-K </t>
    </r>
    <r>
      <rPr>
        <b val="true"/>
        <sz val="11"/>
        <rFont val="Noto Sans CJK SC"/>
        <family val="2"/>
      </rPr>
      <t xml:space="preserve">營收類別；北美＋國際）</t>
    </r>
  </si>
  <si>
    <t xml:space="preserve">g_os</t>
  </si>
  <si>
    <r>
      <rPr>
        <sz val="11"/>
        <color theme="1"/>
        <rFont val="Calibri"/>
        <family val="2"/>
        <charset val="1"/>
      </rPr>
      <t xml:space="preserve">Online stores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</si>
  <si>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2H25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年增）；</t>
    </r>
    <r>
      <rPr>
        <sz val="11"/>
        <color theme="1"/>
        <rFont val="Calibri"/>
        <family val="2"/>
        <charset val="1"/>
      </rPr>
      <t xml:space="preserve">2027–2030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年增線性收斂到本列</t>
    </r>
  </si>
  <si>
    <t xml:space="preserve">g_ps</t>
  </si>
  <si>
    <r>
      <rPr>
        <sz val="11"/>
        <color theme="1"/>
        <rFont val="Calibri"/>
        <family val="2"/>
        <charset val="1"/>
      </rPr>
      <t xml:space="preserve">Physical stores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起）</t>
    </r>
  </si>
  <si>
    <t xml:space="preserve">g_sp</t>
  </si>
  <si>
    <r>
      <rPr>
        <sz val="11"/>
        <color theme="1"/>
        <rFont val="Calibri"/>
        <family val="2"/>
        <charset val="1"/>
      </rPr>
      <t xml:space="preserve">Third-party seller services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起）</t>
    </r>
  </si>
  <si>
    <t xml:space="preserve">g_ad</t>
  </si>
  <si>
    <r>
      <rPr>
        <sz val="11"/>
        <color theme="1"/>
        <rFont val="Calibri"/>
        <family val="2"/>
        <charset val="1"/>
      </rPr>
      <t xml:space="preserve">Advertising services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起）</t>
    </r>
  </si>
  <si>
    <t xml:space="preserve">g_sub</t>
  </si>
  <si>
    <r>
      <rPr>
        <sz val="11"/>
        <color theme="1"/>
        <rFont val="Calibri"/>
        <family val="2"/>
        <charset val="1"/>
      </rPr>
      <t xml:space="preserve">Subscription services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起）</t>
    </r>
  </si>
  <si>
    <t xml:space="preserve">g_ot</t>
  </si>
  <si>
    <r>
      <rPr>
        <sz val="11"/>
        <color theme="1"/>
        <rFont val="Calibri"/>
        <family val="2"/>
        <charset val="1"/>
      </rPr>
      <t xml:space="preserve">Other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起）</t>
    </r>
  </si>
  <si>
    <t xml:space="preserve">m_ad</t>
  </si>
  <si>
    <r>
      <rPr>
        <sz val="11"/>
        <color theme="1"/>
        <rFont val="Noto Sans CJK SC"/>
        <family val="2"/>
      </rPr>
      <t xml:space="preserve">廣告營業利益率（分攤到北美／國際的方法：見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</si>
  <si>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（廣告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，分部未揭露）</t>
    </r>
  </si>
  <si>
    <r>
      <rPr>
        <sz val="11"/>
        <color theme="1"/>
        <rFont val="Noto Sans CJK SC"/>
        <family val="2"/>
      </rPr>
      <t xml:space="preserve">數位廣告同業 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 EBITDA </t>
    </r>
    <r>
      <rPr>
        <sz val="11"/>
        <color theme="1"/>
        <rFont val="Noto Sans CJK SC"/>
        <family val="2"/>
      </rPr>
      <t xml:space="preserve">率 </t>
    </r>
    <r>
      <rPr>
        <sz val="11"/>
        <color theme="1"/>
        <rFont val="Calibri"/>
        <family val="2"/>
        <charset val="1"/>
      </rPr>
      <t xml:space="preserve">50%–60%</t>
    </r>
    <r>
      <rPr>
        <sz val="11"/>
        <color theme="1"/>
        <rFont val="Noto Sans CJK SC"/>
        <family val="2"/>
      </rPr>
      <t xml:space="preserve">；零售本業利益率＝分部利益扣廣告利潤後的殘差</t>
    </r>
  </si>
  <si>
    <t xml:space="preserve">step_na</t>
  </si>
  <si>
    <r>
      <rPr>
        <sz val="11"/>
        <color theme="1"/>
        <rFont val="Noto Sans CJK SC"/>
        <family val="2"/>
      </rPr>
      <t xml:space="preserve">北美零售本業利益率每年改善（</t>
    </r>
    <r>
      <rPr>
        <sz val="11"/>
        <color theme="1"/>
        <rFont val="Calibri"/>
        <family val="2"/>
        <charset val="1"/>
      </rPr>
      <t xml:space="preserve">2027–2030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</si>
  <si>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</si>
  <si>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1H25 </t>
    </r>
    <r>
      <rPr>
        <sz val="11"/>
        <color theme="1"/>
        <rFont val="Noto Sans CJK SC"/>
        <family val="2"/>
      </rPr>
      <t xml:space="preserve">改善約 </t>
    </r>
    <r>
      <rPr>
        <sz val="11"/>
        <color theme="1"/>
        <rFont val="Calibri"/>
        <family val="2"/>
        <charset val="1"/>
      </rPr>
      <t xml:space="preserve">0.5pt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頁推導）</t>
    </r>
  </si>
  <si>
    <t xml:space="preserve">step_in</t>
  </si>
  <si>
    <r>
      <rPr>
        <sz val="11"/>
        <color theme="1"/>
        <rFont val="Noto Sans CJK SC"/>
        <family val="2"/>
      </rPr>
      <t xml:space="preserve">國際零售本業利益率每年改善（</t>
    </r>
    <r>
      <rPr>
        <sz val="11"/>
        <color theme="1"/>
        <rFont val="Calibri"/>
        <family val="2"/>
        <charset val="1"/>
      </rPr>
      <t xml:space="preserve">2027–2030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</si>
  <si>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1H25 </t>
    </r>
    <r>
      <rPr>
        <sz val="11"/>
        <color theme="1"/>
        <rFont val="Noto Sans CJK SC"/>
        <family val="2"/>
      </rPr>
      <t xml:space="preserve">約 −</t>
    </r>
    <r>
      <rPr>
        <sz val="11"/>
        <color theme="1"/>
        <rFont val="Calibri"/>
        <family val="2"/>
        <charset val="1"/>
      </rPr>
      <t xml:space="preserve">0.3pt</t>
    </r>
  </si>
  <si>
    <t xml:space="preserve">cx_rt</t>
  </si>
  <si>
    <r>
      <rPr>
        <sz val="11"/>
        <color theme="1"/>
        <rFont val="Noto Sans CJK SC"/>
        <family val="2"/>
      </rPr>
      <t xml:space="preserve">零售資本支出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零售營收（北美＋國際 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淨增加，</t>
    </r>
    <r>
      <rPr>
        <sz val="11"/>
        <color theme="1"/>
        <rFont val="Calibri"/>
        <family val="2"/>
        <charset val="1"/>
      </rPr>
      <t xml:space="preserve">2023–2025 </t>
    </r>
    <r>
      <rPr>
        <sz val="11"/>
        <color theme="1"/>
        <rFont val="Noto Sans CJK SC"/>
        <family val="2"/>
      </rPr>
      <t xml:space="preserve">平均）</t>
    </r>
  </si>
  <si>
    <r>
      <rPr>
        <sz val="11"/>
        <color theme="1"/>
        <rFont val="Calibri"/>
        <family val="2"/>
        <charset val="1"/>
      </rPr>
      <t xml:space="preserve">4.48%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5.84%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7.40%</t>
    </r>
    <r>
      <rPr>
        <sz val="11"/>
        <color theme="1"/>
        <rFont val="Noto Sans CJK SC"/>
        <family val="2"/>
      </rPr>
      <t xml:space="preserve">；含分攤的技術基礎設施，可能偏高（沿用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</si>
  <si>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公司層與現金</t>
    </r>
  </si>
  <si>
    <t xml:space="preserve">sbc_r</t>
  </si>
  <si>
    <r>
      <rPr>
        <sz val="11"/>
        <color theme="1"/>
        <rFont val="Noto Sans CJK SC"/>
        <family val="2"/>
      </rPr>
      <t xml:space="preserve">股份基礎給付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營收（近四季）</t>
    </r>
  </si>
  <si>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計入費用；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不加回（視同現金成本）</t>
    </r>
  </si>
  <si>
    <t xml:space="preserve">oth_r</t>
  </si>
  <si>
    <r>
      <rPr>
        <sz val="11"/>
        <color theme="1"/>
        <rFont val="Noto Sans CJK SC"/>
        <family val="2"/>
      </rPr>
      <t xml:space="preserve">營運現金其他項目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營收（營運現金流 −（淨利 − 業外淨額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稅率））− 分部 </t>
    </r>
    <r>
      <rPr>
        <sz val="11"/>
        <color theme="1"/>
        <rFont val="Calibri"/>
        <family val="2"/>
        <charset val="1"/>
      </rPr>
      <t xml:space="preserve">D&amp;A − SBC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2023–2025 </t>
    </r>
    <r>
      <rPr>
        <sz val="11"/>
        <color theme="1"/>
        <rFont val="Noto Sans CJK SC"/>
        <family val="2"/>
      </rPr>
      <t xml:space="preserve">平均）</t>
    </r>
  </si>
  <si>
    <r>
      <rPr>
        <sz val="11"/>
        <color theme="1"/>
        <rFont val="Calibri"/>
        <family val="2"/>
        <charset val="1"/>
      </rPr>
      <t xml:space="preserve">0.6%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2.3%</t>
    </r>
    <r>
      <rPr>
        <sz val="11"/>
        <color theme="1"/>
        <rFont val="Noto Sans CJK SC"/>
        <family val="2"/>
      </rPr>
      <t xml:space="preserve">；扣除業外（持股評價利益為非現金）；影音內容與營業租賃資產攤銷與其現金支出相抵，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只加回分部 </t>
    </r>
    <r>
      <rPr>
        <sz val="11"/>
        <color theme="1"/>
        <rFont val="Calibri"/>
        <family val="2"/>
        <charset val="1"/>
      </rPr>
      <t xml:space="preserve">D&amp;A</t>
    </r>
  </si>
  <si>
    <t xml:space="preserve">wc_2h26</t>
  </si>
  <si>
    <r>
      <rPr>
        <sz val="11"/>
        <color theme="1"/>
        <rFont val="Noto Sans CJK SC"/>
        <family val="2"/>
      </rPr>
      <t xml:space="preserve">首期營運資金（</t>
    </r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實際，</t>
    </r>
    <r>
      <rPr>
        <sz val="11"/>
        <color theme="1"/>
        <rFont val="Calibri"/>
        <family val="2"/>
        <charset val="1"/>
      </rPr>
      <t xml:space="preserve">C14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</si>
  <si>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全年 −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上半年（事實總帳 </t>
    </r>
    <r>
      <rPr>
        <sz val="11"/>
        <color theme="1"/>
        <rFont val="Calibri"/>
        <family val="2"/>
        <charset val="1"/>
      </rPr>
      <t xml:space="preserve">cf.wcChg.2h2025</t>
    </r>
    <r>
      <rPr>
        <sz val="11"/>
        <color theme="1"/>
        <rFont val="Noto Sans CJK SC"/>
        <family val="2"/>
      </rPr>
      <t xml:space="preserve">）</t>
    </r>
  </si>
  <si>
    <t xml:space="preserve">lease_pr</t>
  </si>
  <si>
    <t xml:space="preserve">融資租賃本金償還（每年）</t>
  </si>
  <si>
    <r>
      <rPr>
        <sz val="11"/>
        <color theme="1"/>
        <rFont val="Calibri"/>
        <family val="2"/>
        <charset val="1"/>
      </rPr>
      <t xml:space="preserve">2023 4.384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2024 2.043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2025 1.557</t>
    </r>
  </si>
  <si>
    <t xml:space="preserve">sh_g</t>
  </si>
  <si>
    <r>
      <rPr>
        <sz val="11"/>
        <color theme="1"/>
        <rFont val="Noto Sans CJK SC"/>
        <family val="2"/>
      </rPr>
      <t xml:space="preserve">稀釋股數年增（無回購，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稀釋）</t>
    </r>
  </si>
  <si>
    <t xml:space="preserve">S10</t>
  </si>
  <si>
    <r>
      <rPr>
        <sz val="11"/>
        <color theme="1"/>
        <rFont val="Noto Sans CJK SC"/>
        <family val="2"/>
      </rPr>
      <t xml:space="preserve">稀釋加權股數 </t>
    </r>
    <r>
      <rPr>
        <sz val="11"/>
        <color theme="1"/>
        <rFont val="Calibri"/>
        <family val="2"/>
        <charset val="1"/>
      </rPr>
      <t xml:space="preserve">2024→2025 +1.0%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2025→1H26 +0.6%</t>
    </r>
    <r>
      <rPr>
        <sz val="11"/>
        <color theme="1"/>
        <rFont val="Noto Sans CJK SC"/>
        <family val="2"/>
      </rPr>
      <t xml:space="preserve">（半年）</t>
    </r>
  </si>
  <si>
    <t xml:space="preserve">kd_book</t>
  </si>
  <si>
    <r>
      <rPr>
        <sz val="11"/>
        <color theme="1"/>
        <rFont val="Noto Sans CJK SC"/>
        <family val="2"/>
      </rPr>
      <t xml:space="preserve">既有債務平均利率（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利息費用 </t>
    </r>
    <r>
      <rPr>
        <sz val="11"/>
        <color theme="1"/>
        <rFont val="Calibri"/>
        <family val="2"/>
        <charset val="1"/>
      </rPr>
      <t xml:space="preserve">× 2 ÷ </t>
    </r>
    <r>
      <rPr>
        <sz val="11"/>
        <color theme="1"/>
        <rFont val="Noto Sans CJK SC"/>
        <family val="2"/>
      </rPr>
      <t xml:space="preserve">平均債務面額）</t>
    </r>
  </si>
  <si>
    <r>
      <rPr>
        <sz val="11"/>
        <color theme="1"/>
        <rFont val="Noto Sans CJK SC"/>
        <family val="2"/>
      </rPr>
      <t xml:space="preserve">既有 </t>
    </r>
    <r>
      <rPr>
        <sz val="11"/>
        <color theme="1"/>
        <rFont val="Calibri"/>
        <family val="2"/>
        <charset val="1"/>
      </rPr>
      <t xml:space="preserve">133.0 </t>
    </r>
    <r>
      <rPr>
        <sz val="11"/>
        <color theme="1"/>
        <rFont val="Noto Sans CJK SC"/>
        <family val="2"/>
      </rPr>
      <t xml:space="preserve">以本列計息；新增借款以 </t>
    </r>
    <r>
      <rPr>
        <sz val="11"/>
        <color theme="1"/>
        <rFont val="Calibri"/>
        <family val="2"/>
        <charset val="1"/>
      </rPr>
      <t xml:space="preserve">kd_new</t>
    </r>
  </si>
  <si>
    <t xml:space="preserve">y_cash</t>
  </si>
  <si>
    <r>
      <rPr>
        <sz val="11"/>
        <color theme="1"/>
        <rFont val="Noto Sans CJK SC"/>
        <family val="2"/>
      </rPr>
      <t xml:space="preserve">現金與有價證券收益率（</t>
    </r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利息收入 </t>
    </r>
    <r>
      <rPr>
        <sz val="11"/>
        <color theme="1"/>
        <rFont val="Calibri"/>
        <family val="2"/>
        <charset val="1"/>
      </rPr>
      <t xml:space="preserve">× 4 ÷ </t>
    </r>
    <r>
      <rPr>
        <sz val="11"/>
        <color theme="1"/>
        <rFont val="Noto Sans CJK SC"/>
        <family val="2"/>
      </rPr>
      <t xml:space="preserve">期末現金）</t>
    </r>
  </si>
  <si>
    <t xml:space="preserve">cash_q2</t>
  </si>
  <si>
    <r>
      <rPr>
        <sz val="11"/>
        <color theme="1"/>
        <rFont val="Noto Sans CJK SC"/>
        <family val="2"/>
      </rPr>
      <t xml:space="preserve">現金、約當現金與有價證券（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</si>
  <si>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t xml:space="preserve">min_cash</t>
  </si>
  <si>
    <t xml:space="preserve">最低現金（低於即舉債）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</si>
  <si>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minCash 50</t>
    </r>
    <r>
      <rPr>
        <sz val="11"/>
        <color theme="1"/>
        <rFont val="Noto Sans CJK SC"/>
        <family val="2"/>
      </rPr>
      <t xml:space="preserve">）</t>
    </r>
  </si>
  <si>
    <t xml:space="preserve">iss_2h26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</si>
  <si>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下半年已發行債券（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美元 </t>
    </r>
    <r>
      <rPr>
        <sz val="11"/>
        <color theme="1"/>
        <rFont val="Calibri"/>
        <family val="2"/>
        <charset val="1"/>
      </rPr>
      <t xml:space="preserve">25.0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英鎊 </t>
    </r>
    <r>
      <rPr>
        <sz val="11"/>
        <color theme="1"/>
        <rFont val="Calibri"/>
        <family val="2"/>
        <charset val="1"/>
      </rPr>
      <t xml:space="preserve">£3.25B ≈ 4.25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</si>
  <si>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S02</t>
    </r>
    <r>
      <rPr>
        <sz val="11"/>
        <color theme="1"/>
        <rFont val="Noto Sans CJK SC"/>
        <family val="2"/>
      </rPr>
      <t xml:space="preserve">（期後事項）；</t>
    </r>
    <r>
      <rPr>
        <sz val="11"/>
        <color theme="1"/>
        <rFont val="Calibri"/>
        <family val="2"/>
        <charset val="1"/>
      </rPr>
      <t xml:space="preserve">S12</t>
    </r>
  </si>
  <si>
    <t xml:space="preserve">inv_2h26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</si>
  <si>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下半年策略投資（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35.0 </t>
    </r>
    <r>
      <rPr>
        <sz val="11"/>
        <color theme="1"/>
        <rFont val="Noto Sans CJK SC"/>
        <family val="2"/>
      </rPr>
      <t xml:space="preserve">的期後補足 </t>
    </r>
    <r>
      <rPr>
        <sz val="11"/>
        <color theme="1"/>
        <rFont val="Calibri"/>
        <family val="2"/>
        <charset val="1"/>
      </rPr>
      <t xml:space="preserve">21.3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</si>
  <si>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尚可動用的 </t>
    </r>
    <r>
      <rPr>
        <sz val="11"/>
        <color theme="1"/>
        <rFont val="Calibri"/>
        <family val="2"/>
        <charset val="1"/>
      </rPr>
      <t xml:space="preserve">15.0 </t>
    </r>
    <r>
      <rPr>
        <sz val="11"/>
        <color theme="1"/>
        <rFont val="Noto Sans CJK SC"/>
        <family val="2"/>
      </rPr>
      <t xml:space="preserve">融資額度依里程碑，不列</t>
    </r>
  </si>
  <si>
    <t xml:space="preserve">pd_sh</t>
  </si>
  <si>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移入 </t>
    </r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的時點影響（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400bp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</si>
  <si>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營收指引年增 </t>
    </r>
    <r>
      <rPr>
        <sz val="11"/>
        <color theme="1"/>
        <rFont val="Calibri"/>
        <family val="2"/>
        <charset val="1"/>
      </rPr>
      <t xml:space="preserve">9%–12%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時點影響約 </t>
    </r>
    <r>
      <rPr>
        <sz val="11"/>
        <color theme="1"/>
        <rFont val="Calibri"/>
        <family val="2"/>
        <charset val="1"/>
      </rPr>
      <t xml:space="preserve">400bp</t>
    </r>
  </si>
  <si>
    <t xml:space="preserve">pd_amt</t>
  </si>
  <si>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時點影響金額（＝</t>
    </r>
    <r>
      <rPr>
        <sz val="11"/>
        <color theme="1"/>
        <rFont val="Calibri"/>
        <family val="2"/>
        <charset val="1"/>
      </rPr>
      <t xml:space="preserve">pd_sh × 2025Q3 </t>
    </r>
    <r>
      <rPr>
        <sz val="11"/>
        <color theme="1"/>
        <rFont val="Noto Sans CJK SC"/>
        <family val="2"/>
      </rPr>
      <t xml:space="preserve">合併營收）</t>
    </r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</si>
  <si>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Online stores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Third-party seller services </t>
    </r>
    <r>
      <rPr>
        <sz val="11"/>
        <color theme="1"/>
        <rFont val="Noto Sans CJK SC"/>
        <family val="2"/>
      </rPr>
      <t xml:space="preserve">扣除；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全年不受影響</t>
    </r>
  </si>
  <si>
    <t xml:space="preserve">dps</t>
  </si>
  <si>
    <t xml:space="preserve">每股股利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</si>
  <si>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未發放現金股利；</t>
    </r>
    <r>
      <rPr>
        <sz val="11"/>
        <color theme="1"/>
        <rFont val="Calibri"/>
        <family val="2"/>
        <charset val="1"/>
      </rPr>
      <t xml:space="preserve">2023–2026H1 </t>
    </r>
    <r>
      <rPr>
        <sz val="11"/>
        <color theme="1"/>
        <rFont val="Noto Sans CJK SC"/>
        <family val="2"/>
      </rPr>
      <t xml:space="preserve">無回購（授權剩 </t>
    </r>
    <r>
      <rPr>
        <sz val="11"/>
        <color theme="1"/>
        <rFont val="Calibri"/>
        <family val="2"/>
        <charset val="1"/>
      </rPr>
      <t xml:space="preserve">6.1B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</si>
  <si>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持股（分部加總與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都加；預測期業外評價損益設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</si>
  <si>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t xml:space="preserve">ant_val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</si>
  <si>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投後估值（</t>
    </r>
    <r>
      <rPr>
        <sz val="11"/>
        <color theme="1"/>
        <rFont val="Calibri"/>
        <family val="2"/>
        <charset val="1"/>
      </rPr>
      <t xml:space="preserve">Series H</t>
    </r>
    <r>
      <rPr>
        <sz val="11"/>
        <color theme="1"/>
        <rFont val="Noto Sans CJK SC"/>
        <family val="2"/>
      </rPr>
      <t xml:space="preserve">）</t>
    </r>
  </si>
  <si>
    <t xml:space="preserve">S25</t>
  </si>
  <si>
    <t xml:space="preserve">新創自報估值</t>
  </si>
  <si>
    <t xml:space="preserve">ant_sh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</si>
  <si>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持有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比例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</si>
  <si>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S26</t>
    </r>
  </si>
  <si>
    <r>
      <rPr>
        <sz val="11"/>
        <color theme="1"/>
        <rFont val="Calibri"/>
        <family val="2"/>
        <charset val="1"/>
      </rPr>
      <t xml:space="preserve">Fortune 15%–19%</t>
    </r>
    <r>
      <rPr>
        <sz val="11"/>
        <color theme="1"/>
        <rFont val="Noto Sans CJK SC"/>
        <family val="2"/>
      </rPr>
      <t xml:space="preserve">、帳列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投後 </t>
    </r>
    <r>
      <rPr>
        <sz val="11"/>
        <color theme="1"/>
        <rFont val="Calibri"/>
        <family val="2"/>
        <charset val="1"/>
      </rPr>
      <t xml:space="preserve">19.7%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Crypto Briefing 21%</t>
    </r>
    <r>
      <rPr>
        <sz val="11"/>
        <color theme="1"/>
        <rFont val="Noto Sans CJK SC"/>
        <family val="2"/>
      </rPr>
      <t xml:space="preserve">（無法查證）</t>
    </r>
  </si>
  <si>
    <t xml:space="preserve">oai_val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</si>
  <si>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投後估值（投前 </t>
    </r>
    <r>
      <rPr>
        <sz val="11"/>
        <color theme="1"/>
        <rFont val="Calibri"/>
        <family val="2"/>
        <charset val="1"/>
      </rPr>
      <t xml:space="preserve">730</t>
    </r>
    <r>
      <rPr>
        <sz val="11"/>
        <color theme="1"/>
        <rFont val="Noto Sans CJK SC"/>
        <family val="2"/>
      </rPr>
      <t xml:space="preserve">＋該輪 </t>
    </r>
    <r>
      <rPr>
        <sz val="11"/>
        <color theme="1"/>
        <rFont val="Calibri"/>
        <family val="2"/>
        <charset val="1"/>
      </rPr>
      <t xml:space="preserve">110</t>
    </r>
    <r>
      <rPr>
        <sz val="11"/>
        <color theme="1"/>
        <rFont val="Noto Sans CJK SC"/>
        <family val="2"/>
      </rPr>
      <t xml:space="preserve">）</t>
    </r>
  </si>
  <si>
    <t xml:space="preserve">S27</t>
  </si>
  <si>
    <t xml:space="preserve">oai_sh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</si>
  <si>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持有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比例（投入 </t>
    </r>
    <r>
      <rPr>
        <sz val="11"/>
        <color theme="1"/>
        <rFont val="Calibri"/>
        <family val="2"/>
        <charset val="1"/>
      </rPr>
      <t xml:space="preserve">50 ÷ 840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</si>
  <si>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資本結構（</t>
    </r>
    <r>
      <rPr>
        <sz val="11"/>
        <color theme="1"/>
        <rFont val="Calibri"/>
        <family val="2"/>
        <charset val="1"/>
      </rPr>
      <t xml:space="preserve">PBC</t>
    </r>
    <r>
      <rPr>
        <sz val="11"/>
        <color theme="1"/>
        <rFont val="Noto Sans CJK SC"/>
        <family val="2"/>
      </rPr>
      <t xml:space="preserve">＋基金會）可能使比例不同</t>
    </r>
  </si>
  <si>
    <t xml:space="preserve">liq_disc</t>
  </si>
  <si>
    <t xml:space="preserve">持股流動性折價</t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</si>
  <si>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</t>
    </r>
  </si>
  <si>
    <t xml:space="preserve">m_ai</t>
  </si>
  <si>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EV/EBITDA </t>
    </r>
    <r>
      <rPr>
        <sz val="11"/>
        <color theme="1"/>
        <rFont val="Noto Sans CJK SC"/>
        <family val="2"/>
      </rPr>
      <t xml:space="preserve">倍數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</si>
  <si>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（對照表 </t>
    </r>
    <r>
      <rPr>
        <sz val="11"/>
        <color theme="1"/>
        <rFont val="Calibri"/>
        <family val="2"/>
        <charset val="1"/>
      </rPr>
      <t xml:space="preserve">D6</t>
    </r>
    <r>
      <rPr>
        <sz val="11"/>
        <color theme="1"/>
        <rFont val="Noto Sans CJK SC"/>
        <family val="2"/>
      </rPr>
      <t xml:space="preserve">：跨 </t>
    </r>
    <r>
      <rPr>
        <sz val="11"/>
        <color theme="1"/>
        <rFont val="Calibri"/>
        <family val="2"/>
        <charset val="1"/>
      </rPr>
      <t xml:space="preserve">CRWV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可比）</t>
    </r>
  </si>
  <si>
    <r>
      <rPr>
        <sz val="11"/>
        <color theme="1"/>
        <rFont val="Calibri"/>
        <family val="2"/>
        <charset val="1"/>
      </rPr>
      <t xml:space="preserve">CRWV TTM 25.0×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ORCL 16.5×</t>
    </r>
    <r>
      <rPr>
        <sz val="11"/>
        <color theme="1"/>
        <rFont val="Noto Sans CJK SC"/>
        <family val="2"/>
      </rPr>
      <t xml:space="preserve">（只作對照）；已知可能偏低，</t>
    </r>
    <r>
      <rPr>
        <sz val="11"/>
        <color theme="1"/>
        <rFont val="Calibri"/>
        <family val="2"/>
        <charset val="1"/>
      </rPr>
      <t xml:space="preserve">Sens 10×</t>
    </r>
  </si>
  <si>
    <t xml:space="preserve">m_x</t>
  </si>
  <si>
    <r>
      <rPr>
        <sz val="11"/>
        <color theme="1"/>
        <rFont val="Noto Sans CJK SC"/>
        <family val="2"/>
      </rPr>
      <t xml:space="preserve">分部倍數乘數（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</si>
  <si>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Sens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</si>
  <si>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市場共識（只作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對照，不校準）</t>
    </r>
  </si>
  <si>
    <t xml:space="preserve">c_rev26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</si>
  <si>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</si>
  <si>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S16</t>
  </si>
  <si>
    <r>
      <rPr>
        <sz val="11"/>
        <color theme="1"/>
        <rFont val="Calibri"/>
        <family val="2"/>
        <charset val="1"/>
      </rPr>
      <t xml:space="preserve">2026-10-08 </t>
    </r>
    <r>
      <rPr>
        <sz val="11"/>
        <color theme="1"/>
        <rFont val="Noto Sans CJK SC"/>
        <family val="2"/>
      </rPr>
      <t xml:space="preserve">擷取；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口徑由供應商定義</t>
    </r>
  </si>
  <si>
    <t xml:space="preserve">c_ebitda26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</si>
  <si>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</si>
  <si>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c_ebit26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</si>
  <si>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EBIT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</si>
  <si>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c_ni26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</si>
  <si>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</si>
  <si>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</si>
  <si>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</si>
  <si>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c_capex26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</si>
  <si>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</si>
  <si>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c_fcf26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</si>
  <si>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自由現金流（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</si>
  <si>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</si>
  <si>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</si>
  <si>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c_ebitda27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</si>
  <si>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</si>
  <si>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c_ebit27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</si>
  <si>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EBIT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</si>
  <si>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c_ni27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</si>
  <si>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</si>
  <si>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</si>
  <si>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</si>
  <si>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c_capex27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</si>
  <si>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</si>
  <si>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c_fcf27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</si>
  <si>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自由現金流（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</si>
  <si>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</si>
  <si>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</si>
  <si>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c_ebitda28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</si>
  <si>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</si>
  <si>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c_ebit28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</si>
  <si>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EBIT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</si>
  <si>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c_ni28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</si>
  <si>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</si>
  <si>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</si>
  <si>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</si>
  <si>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c_capex28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</si>
  <si>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</si>
  <si>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c_fcf28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</si>
  <si>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自由現金流（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</si>
  <si>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c_sprev26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</si>
  <si>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</si>
  <si>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56 </t>
    </r>
    <r>
      <rPr>
        <sz val="11"/>
        <color theme="1"/>
        <rFont val="Noto Sans CJK SC"/>
        <family val="2"/>
      </rPr>
      <t xml:space="preserve">位</t>
    </r>
  </si>
  <si>
    <t xml:space="preserve">c_sprev27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</si>
  <si>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</si>
  <si>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t xml:space="preserve">c_speps26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</si>
  <si>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</si>
  <si>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評價利益）</t>
    </r>
  </si>
  <si>
    <t xml:space="preserve">c_speps27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</si>
  <si>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</si>
  <si>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t xml:space="preserve">g26q3_lo</t>
  </si>
  <si>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營收下緣</t>
    </r>
  </si>
  <si>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9%–12%</t>
    </r>
  </si>
  <si>
    <t xml:space="preserve">g26q3_hi</t>
  </si>
  <si>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營收上緣</t>
    </r>
  </si>
  <si>
    <t xml:space="preserve">g26q3_oilo</t>
  </si>
  <si>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營業利益下緣</t>
    </r>
  </si>
  <si>
    <t xml:space="preserve">g26q3_oihi</t>
  </si>
  <si>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營業利益上緣</t>
    </r>
  </si>
  <si>
    <r>
      <rPr>
        <b val="true"/>
        <sz val="11"/>
        <rFont val="Cambria"/>
        <family val="0"/>
        <charset val="1"/>
      </rPr>
      <t xml:space="preserve">I. v0.2.2 </t>
    </r>
    <r>
      <rPr>
        <b val="true"/>
        <sz val="11"/>
        <rFont val="Noto Sans CJK SC"/>
        <family val="2"/>
      </rPr>
      <t xml:space="preserve">對照（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差異拆解用）</t>
    </r>
  </si>
  <si>
    <t xml:space="preserve">v022_tp</t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</si>
  <si>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基準目標價（讀法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</si>
  <si>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legacy_v0.2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交接檔）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</si>
  <si>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220.09</t>
    </r>
    <r>
      <rPr>
        <sz val="11"/>
        <color theme="1"/>
        <rFont val="Noto Sans CJK SC"/>
        <family val="2"/>
      </rPr>
      <t xml:space="preserve">；三情境 </t>
    </r>
    <r>
      <rPr>
        <sz val="11"/>
        <color theme="1"/>
        <rFont val="Calibri"/>
        <family val="2"/>
        <charset val="1"/>
      </rPr>
      <t xml:space="preserve">212.33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201.71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201.14 </t>
    </r>
    <r>
      <rPr>
        <sz val="11"/>
        <color theme="1"/>
        <rFont val="Noto Sans CJK SC"/>
        <family val="2"/>
      </rPr>
      <t xml:space="preserve">皆賣出</t>
    </r>
  </si>
  <si>
    <t xml:space="preserve">v022_px</t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</si>
  <si>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</si>
  <si>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t xml:space="preserve">legacy_v0.2</t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</si>
  <si>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US$bn</t>
    </r>
    <r>
      <rPr>
        <sz val="11"/>
        <color theme="1"/>
        <rFont val="Noto Sans CJK SC"/>
        <family val="2"/>
      </rPr>
      <t xml:space="preserve">；股數十億股）：</t>
    </r>
    <r>
      <rPr>
        <sz val="11"/>
        <color theme="1"/>
        <rFont val="Calibri"/>
        <family val="2"/>
        <charset val="1"/>
      </rPr>
      <t xml:space="preserve">FY2023–FY2025</t>
    </r>
    <r>
      <rPr>
        <sz val="11"/>
        <color theme="1"/>
        <rFont val="Noto Sans CJK SC"/>
        <family val="2"/>
      </rPr>
      <t xml:space="preserve">、最近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季（</t>
    </r>
    <r>
      <rPr>
        <sz val="11"/>
        <color theme="1"/>
        <rFont val="Calibri"/>
        <family val="2"/>
        <charset val="1"/>
      </rPr>
      <t xml:space="preserve">2024Q3–2026Q2</t>
    </r>
    <r>
      <rPr>
        <sz val="11"/>
        <color theme="1"/>
        <rFont val="Noto Sans CJK SC"/>
        <family val="2"/>
      </rPr>
      <t xml:space="preserve">）與半年合計。資料取自 </t>
    </r>
    <r>
      <rPr>
        <sz val="11"/>
        <color theme="1"/>
        <rFont val="Calibri"/>
        <family val="2"/>
        <charset val="1"/>
      </rPr>
      <t xml:space="preserve">data/amazon_facts_20261008.json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、財報新聞稿逐季補充表），藍字＝事實值、黑字＝加總或換算。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（美國時間）公布，本版未納入</t>
    </r>
  </si>
  <si>
    <r>
      <rPr>
        <sz val="11"/>
        <color theme="1"/>
        <rFont val="Noto Sans CJK SC"/>
        <family val="2"/>
      </rPr>
      <t xml:space="preserve">核對列（綠底）：零售營收線合計＝北美＋國際、營收線合計＝合併營收、分部合計＝合併營收、分部營業利益合計＋未分攤＝合併營業利益；實績皆須為 </t>
    </r>
    <r>
      <rPr>
        <sz val="11"/>
        <color theme="1"/>
        <rFont val="Calibri"/>
        <family val="2"/>
        <charset val="1"/>
      </rPr>
      <t xml:space="preserve">0</t>
    </r>
  </si>
  <si>
    <t xml:space="preserve">FY2023A</t>
  </si>
  <si>
    <t xml:space="preserve">FY2024A</t>
  </si>
  <si>
    <t xml:space="preserve">FY2025A</t>
  </si>
  <si>
    <t xml:space="preserve">2024Q3</t>
  </si>
  <si>
    <t xml:space="preserve">2024Q4</t>
  </si>
  <si>
    <t xml:space="preserve">2025Q1</t>
  </si>
  <si>
    <t xml:space="preserve">2025Q2</t>
  </si>
  <si>
    <t xml:space="preserve">2025Q3</t>
  </si>
  <si>
    <t xml:space="preserve">2025Q4</t>
  </si>
  <si>
    <t xml:space="preserve">2026Q1</t>
  </si>
  <si>
    <t xml:space="preserve">2026Q2</t>
  </si>
  <si>
    <t xml:space="preserve">1H25</t>
  </si>
  <si>
    <t xml:space="preserve">2H25</t>
  </si>
  <si>
    <t xml:space="preserve">1H26</t>
  </si>
  <si>
    <r>
      <rPr>
        <b val="true"/>
        <sz val="11"/>
        <rFont val="Noto Sans CJK SC"/>
        <family val="2"/>
      </rPr>
      <t xml:space="preserve">近四季（</t>
    </r>
    <r>
      <rPr>
        <b val="true"/>
        <sz val="11"/>
        <rFont val="Cambria"/>
        <family val="0"/>
        <charset val="1"/>
      </rPr>
      <t xml:space="preserve">2025Q3–2026Q2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</si>
  <si>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官方報告分部營收（</t>
    </r>
    <r>
      <rPr>
        <b val="true"/>
        <sz val="11"/>
        <rFont val="Cambria"/>
        <family val="0"/>
        <charset val="1"/>
      </rPr>
      <t xml:space="preserve">10-K </t>
    </r>
    <r>
      <rPr>
        <b val="true"/>
        <sz val="11"/>
        <rFont val="Noto Sans CJK SC"/>
        <family val="2"/>
      </rPr>
      <t xml:space="preserve">附註：</t>
    </r>
    <r>
      <rPr>
        <b val="true"/>
        <sz val="11"/>
        <rFont val="Cambria"/>
        <family val="0"/>
        <charset val="1"/>
      </rPr>
      <t xml:space="preserve">North America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International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AWS</t>
    </r>
    <r>
      <rPr>
        <b val="true"/>
        <sz val="11"/>
        <rFont val="Noto Sans CJK SC"/>
        <family val="2"/>
      </rPr>
      <t xml:space="preserve">）</t>
    </r>
  </si>
  <si>
    <t xml:space="preserve">North America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</si>
  <si>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</si>
  <si>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S01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S08</t>
    </r>
    <r>
      <rPr>
        <sz val="11"/>
        <color theme="1"/>
        <rFont val="Noto Sans CJK SC"/>
        <family val="2"/>
      </rPr>
      <t xml:space="preserve">（逐季補充表）</t>
    </r>
  </si>
  <si>
    <t xml:space="preserve">International</t>
  </si>
  <si>
    <t xml:space="preserve">AWS</t>
  </si>
  <si>
    <t xml:space="preserve">合併營收</t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</si>
  <si>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營收線（</t>
    </r>
    <r>
      <rPr>
        <b val="true"/>
        <sz val="11"/>
        <rFont val="Cambria"/>
        <family val="0"/>
        <charset val="1"/>
      </rPr>
      <t xml:space="preserve">10-K </t>
    </r>
    <r>
      <rPr>
        <b val="true"/>
        <sz val="11"/>
        <rFont val="Noto Sans CJK SC"/>
        <family val="2"/>
      </rPr>
      <t xml:space="preserve">營收類別；零售各線＝北美＋國際，</t>
    </r>
    <r>
      <rPr>
        <b val="true"/>
        <sz val="11"/>
        <rFont val="Cambria"/>
        <family val="0"/>
        <charset val="1"/>
      </rPr>
      <t xml:space="preserve">AWS </t>
    </r>
    <r>
      <rPr>
        <b val="true"/>
        <sz val="11"/>
        <rFont val="Noto Sans CJK SC"/>
        <family val="2"/>
      </rPr>
      <t xml:space="preserve">線＝</t>
    </r>
    <r>
      <rPr>
        <b val="true"/>
        <sz val="11"/>
        <rFont val="Cambria"/>
        <family val="0"/>
        <charset val="1"/>
      </rPr>
      <t xml:space="preserve">AWS </t>
    </r>
    <r>
      <rPr>
        <b val="true"/>
        <sz val="11"/>
        <rFont val="Noto Sans CJK SC"/>
        <family val="2"/>
      </rPr>
      <t xml:space="preserve">分部）</t>
    </r>
  </si>
  <si>
    <t xml:space="preserve">Online stores</t>
  </si>
  <si>
    <t xml:space="preserve">Physical stores</t>
  </si>
  <si>
    <t xml:space="preserve">Third-party seller services</t>
  </si>
  <si>
    <t xml:space="preserve">Advertising services</t>
  </si>
  <si>
    <t xml:space="preserve">Subscription services</t>
  </si>
  <si>
    <t xml:space="preserve">Other</t>
  </si>
  <si>
    <r>
      <rPr>
        <sz val="11"/>
        <color theme="1"/>
        <rFont val="Noto Sans CJK SC"/>
        <family val="2"/>
      </rPr>
      <t xml:space="preserve">零售營收線合計（不含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</si>
  <si>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（營收線）</t>
    </r>
  </si>
  <si>
    <r>
      <rPr>
        <sz val="11"/>
        <color theme="1"/>
        <rFont val="Noto Sans CJK SC"/>
        <family val="2"/>
      </rPr>
      <t xml:space="preserve">檢查：零售營收線合計 − </t>
    </r>
    <r>
      <rPr>
        <sz val="11"/>
        <color theme="1"/>
        <rFont val="Calibri"/>
        <family val="2"/>
        <charset val="1"/>
      </rPr>
      <t xml:space="preserve">(North America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International)</t>
    </r>
  </si>
  <si>
    <r>
      <rPr>
        <sz val="11"/>
        <color theme="1"/>
        <rFont val="Noto Sans CJK SC"/>
        <family val="2"/>
      </rPr>
      <t xml:space="preserve">檢查：營收線合計（含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）− 合併營收</t>
    </r>
  </si>
  <si>
    <t xml:space="preserve">檢查：分部合計 − 合併營收</t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</si>
  <si>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分部營業利益</t>
    </r>
  </si>
  <si>
    <r>
      <rPr>
        <sz val="11"/>
        <color theme="1"/>
        <rFont val="Calibri"/>
        <family val="2"/>
        <charset val="1"/>
      </rPr>
      <t xml:space="preserve">North America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</si>
  <si>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International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</si>
  <si>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營業利益</t>
    </r>
  </si>
  <si>
    <t xml:space="preserve">合併營業利益</t>
  </si>
  <si>
    <r>
      <rPr>
        <sz val="11"/>
        <color theme="1"/>
        <rFont val="Noto Sans CJK SC"/>
        <family val="2"/>
      </rPr>
      <t xml:space="preserve">未分攤（合併 − 分部合計；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分部已含全部費用）</t>
    </r>
  </si>
  <si>
    <t xml:space="preserve">檢查：分部營業利益合計＋未分攤 − 合併營業利益</t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</si>
  <si>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分部折舊攤銷（不含影音內容與營業租賃資產攤銷；</t>
    </r>
    <r>
      <rPr>
        <b val="true"/>
        <sz val="11"/>
        <rFont val="Cambria"/>
        <family val="0"/>
        <charset val="1"/>
      </rPr>
      <t xml:space="preserve">2024 </t>
    </r>
    <r>
      <rPr>
        <b val="true"/>
        <sz val="11"/>
        <rFont val="Noto Sans CJK SC"/>
        <family val="2"/>
      </rPr>
      <t xml:space="preserve">季度 </t>
    </r>
    <r>
      <rPr>
        <b val="true"/>
        <sz val="11"/>
        <rFont val="Cambria"/>
        <family val="0"/>
        <charset val="1"/>
      </rPr>
      <t xml:space="preserve">facts </t>
    </r>
    <r>
      <rPr>
        <b val="true"/>
        <sz val="11"/>
        <rFont val="Noto Sans CJK SC"/>
        <family val="2"/>
      </rPr>
      <t xml:space="preserve">未收；</t>
    </r>
    <r>
      <rPr>
        <b val="true"/>
        <sz val="11"/>
        <rFont val="Cambria"/>
        <family val="0"/>
        <charset val="1"/>
      </rPr>
      <t xml:space="preserve">2025Q4</t>
    </r>
    <r>
      <rPr>
        <b val="true"/>
        <sz val="11"/>
        <rFont val="Noto Sans CJK SC"/>
        <family val="2"/>
      </rPr>
      <t xml:space="preserve">＝全年 − 前三季）</t>
    </r>
  </si>
  <si>
    <r>
      <rPr>
        <sz val="11"/>
        <color theme="1"/>
        <rFont val="Calibri"/>
        <family val="2"/>
        <charset val="1"/>
      </rPr>
      <t xml:space="preserve">North America </t>
    </r>
    <r>
      <rPr>
        <sz val="11"/>
        <color theme="1"/>
        <rFont val="Noto Sans CJK SC"/>
        <family val="2"/>
      </rPr>
      <t xml:space="preserve">折舊攤銷</t>
    </r>
  </si>
  <si>
    <r>
      <rPr>
        <sz val="11"/>
        <color theme="1"/>
        <rFont val="Calibri"/>
        <family val="2"/>
        <charset val="1"/>
      </rPr>
      <t xml:space="preserve">S01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S02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S03</t>
    </r>
  </si>
  <si>
    <r>
      <rPr>
        <sz val="11"/>
        <color theme="1"/>
        <rFont val="Calibri"/>
        <family val="2"/>
        <charset val="1"/>
      </rPr>
      <t xml:space="preserve">International </t>
    </r>
    <r>
      <rPr>
        <sz val="11"/>
        <color theme="1"/>
        <rFont val="Noto Sans CJK SC"/>
        <family val="2"/>
      </rPr>
      <t xml:space="preserve">折舊攤銷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</si>
  <si>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折舊攤銷</t>
    </r>
  </si>
  <si>
    <t xml:space="preserve">分部折舊攤銷合計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</si>
  <si>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損益（業外、稅、淨利）</t>
    </r>
  </si>
  <si>
    <t xml:space="preserve">利息費用</t>
  </si>
  <si>
    <r>
      <rPr>
        <sz val="11"/>
        <color theme="1"/>
        <rFont val="Calibri"/>
        <family val="2"/>
        <charset val="1"/>
      </rPr>
      <t xml:space="preserve">S01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S04</t>
    </r>
  </si>
  <si>
    <r>
      <rPr>
        <sz val="11"/>
        <color theme="1"/>
        <rFont val="Noto Sans CJK SC"/>
        <family val="2"/>
      </rPr>
      <t xml:space="preserve">利息收入（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</si>
  <si>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t xml:space="preserve">稅前淨利</t>
  </si>
  <si>
    <t xml:space="preserve">所得稅</t>
  </si>
  <si>
    <t xml:space="preserve">淨利</t>
  </si>
  <si>
    <r>
      <rPr>
        <sz val="11"/>
        <color theme="1"/>
        <rFont val="Noto Sans CJK SC"/>
        <family val="2"/>
      </rPr>
      <t xml:space="preserve">業外淨額（稅前 − 營業利益＋利息費用；含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等持股評價利益）</t>
    </r>
  </si>
  <si>
    <t xml:space="preserve">有效稅率</t>
  </si>
  <si>
    <t xml:space="preserve">稀釋加權股數</t>
  </si>
  <si>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稀釋加權股數）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</si>
  <si>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現金流量、資本支出與股東回饋</t>
    </r>
  </si>
  <si>
    <t xml:space="preserve">營運現金流</t>
  </si>
  <si>
    <r>
      <rPr>
        <sz val="11"/>
        <color theme="1"/>
        <rFont val="Calibri"/>
        <family val="2"/>
        <charset val="1"/>
      </rPr>
      <t xml:space="preserve">S01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S04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S05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S06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S07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S09</t>
    </r>
  </si>
  <si>
    <r>
      <rPr>
        <sz val="11"/>
        <color theme="1"/>
        <rFont val="Noto Sans CJK SC"/>
        <family val="2"/>
      </rPr>
      <t xml:space="preserve">資本支出（購置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，總額）</t>
    </r>
  </si>
  <si>
    <t xml:space="preserve">資本支出（現金，淨額＝購置 − 出售及獎勵）</t>
  </si>
  <si>
    <t xml:space="preserve">由同季新聞稿現金流量表換算</t>
  </si>
  <si>
    <t xml:space="preserve">折舊攤銷（現金流量表；含影音內容與營業租賃資產）</t>
  </si>
  <si>
    <t xml:space="preserve">股份基礎給付</t>
  </si>
  <si>
    <t xml:space="preserve">自由現金流（公司口徑＝營運現金流 − 資本支出淨額）</t>
  </si>
  <si>
    <t xml:space="preserve">融資租賃本金償還</t>
  </si>
  <si>
    <t xml:space="preserve">買回庫藏股</t>
  </si>
  <si>
    <t xml:space="preserve">現金股利</t>
  </si>
  <si>
    <r>
      <rPr>
        <sz val="11"/>
        <color theme="1"/>
        <rFont val="Noto Sans CJK SC"/>
        <family val="2"/>
      </rPr>
      <t xml:space="preserve">策略投資（收購與投資；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上半年含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</si>
  <si>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7. </t>
    </r>
    <r>
      <rPr>
        <b val="true"/>
        <sz val="11"/>
        <rFont val="Noto Sans CJK SC"/>
        <family val="2"/>
      </rPr>
      <t xml:space="preserve">資本支出分布（</t>
    </r>
    <r>
      <rPr>
        <b val="true"/>
        <sz val="11"/>
        <rFont val="Cambria"/>
        <family val="0"/>
        <charset val="1"/>
      </rPr>
      <t xml:space="preserve">PP&amp;E </t>
    </r>
    <r>
      <rPr>
        <b val="true"/>
        <sz val="11"/>
        <rFont val="Noto Sans CJK SC"/>
        <family val="2"/>
      </rPr>
      <t xml:space="preserve">淨增加，含融資租賃取得與已取得未付款；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10-Q </t>
    </r>
    <r>
      <rPr>
        <b val="true"/>
        <sz val="11"/>
        <rFont val="Noto Sans CJK SC"/>
        <family val="2"/>
      </rPr>
      <t xml:space="preserve">分部附註）</t>
    </r>
  </si>
  <si>
    <r>
      <rPr>
        <sz val="11"/>
        <color theme="1"/>
        <rFont val="Calibri"/>
        <family val="2"/>
        <charset val="1"/>
      </rPr>
      <t xml:space="preserve">North America PP&amp;E </t>
    </r>
    <r>
      <rPr>
        <sz val="11"/>
        <color theme="1"/>
        <rFont val="Noto Sans CJK SC"/>
        <family val="2"/>
      </rPr>
      <t xml:space="preserve">淨增加</t>
    </r>
  </si>
  <si>
    <r>
      <rPr>
        <sz val="11"/>
        <color theme="1"/>
        <rFont val="Calibri"/>
        <family val="2"/>
        <charset val="1"/>
      </rPr>
      <t xml:space="preserve">S01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S02</t>
    </r>
  </si>
  <si>
    <r>
      <rPr>
        <sz val="11"/>
        <color theme="1"/>
        <rFont val="Calibri"/>
        <family val="2"/>
        <charset val="1"/>
      </rPr>
      <t xml:space="preserve">International PP&amp;E </t>
    </r>
    <r>
      <rPr>
        <sz val="11"/>
        <color theme="1"/>
        <rFont val="Noto Sans CJK SC"/>
        <family val="2"/>
      </rPr>
      <t xml:space="preserve">淨增加</t>
    </r>
  </si>
  <si>
    <r>
      <rPr>
        <sz val="11"/>
        <color theme="1"/>
        <rFont val="Calibri"/>
        <family val="2"/>
        <charset val="1"/>
      </rPr>
      <t xml:space="preserve">AWS PP&amp;E </t>
    </r>
    <r>
      <rPr>
        <sz val="11"/>
        <color theme="1"/>
        <rFont val="Noto Sans CJK SC"/>
        <family val="2"/>
      </rPr>
      <t xml:space="preserve">淨增加</t>
    </r>
  </si>
  <si>
    <r>
      <rPr>
        <sz val="11"/>
        <color theme="1"/>
        <rFont val="Noto Sans CJK SC"/>
        <family val="2"/>
      </rPr>
      <t xml:space="preserve">公司層 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淨增加</t>
    </r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</si>
  <si>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淨增加合計</t>
    </r>
  </si>
  <si>
    <r>
      <rPr>
        <b val="true"/>
        <sz val="11"/>
        <rFont val="Cambria"/>
        <family val="0"/>
        <charset val="1"/>
      </rPr>
      <t xml:space="preserve">8. </t>
    </r>
    <r>
      <rPr>
        <b val="true"/>
        <sz val="11"/>
        <rFont val="Noto Sans CJK SC"/>
        <family val="2"/>
      </rPr>
      <t xml:space="preserve">期末餘額</t>
    </r>
  </si>
  <si>
    <t xml:space="preserve">現金、約當現金與有價證券</t>
  </si>
  <si>
    <t xml:space="preserve">債務面額</t>
  </si>
  <si>
    <r>
      <rPr>
        <sz val="11"/>
        <color theme="1"/>
        <rFont val="Calibri"/>
        <family val="2"/>
        <charset val="1"/>
      </rPr>
      <t xml:space="preserve">Thesis — </t>
    </r>
    <r>
      <rPr>
        <sz val="11"/>
        <color theme="1"/>
        <rFont val="Noto Sans CJK SC"/>
        <family val="2"/>
      </rPr>
      <t xml:space="preserve">命題模組：</t>
    </r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＝對外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年收入（</t>
    </r>
    <r>
      <rPr>
        <sz val="11"/>
        <color theme="1"/>
        <rFont val="Calibri"/>
        <family val="2"/>
        <charset val="1"/>
      </rPr>
      <t xml:space="preserve">Tokenomics v21.4 IF_HoldEcon × 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以同期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世代計價，</t>
    </r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資本支出（含自用）→ </t>
    </r>
    <r>
      <rPr>
        <sz val="11"/>
        <color theme="1"/>
        <rFont val="Calibri"/>
        <family val="2"/>
        <charset val="1"/>
      </rPr>
      <t xml:space="preserve">IT 6 </t>
    </r>
    <r>
      <rPr>
        <sz val="11"/>
        <color theme="1"/>
        <rFont val="Noto Sans CJK SC"/>
        <family val="2"/>
      </rPr>
      <t xml:space="preserve">年／機房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年折舊（次年起提列）→ 對外部分進 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營業利益、自用部分進北美／國際營業利益。三情境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依序排列</t>
    </r>
  </si>
  <si>
    <r>
      <rPr>
        <sz val="11"/>
        <color theme="1"/>
        <rFont val="Noto Sans CJK SC"/>
        <family val="2"/>
      </rPr>
      <t xml:space="preserve">情境差異集中在命題驅動：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＝公司容量目標速度＋新產能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價格軸高；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＝資本支出指引隱含速度（</t>
    </r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）＋基準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＝與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同速度（資本支出照指引）＋新產能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價格軸低。非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業務三情境相同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</si>
  <si>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A</t>
    </r>
    <r>
      <rPr>
        <b val="true"/>
        <sz val="12"/>
        <rFont val="Noto Sans CJK SC"/>
        <family val="2"/>
      </rPr>
      <t xml:space="preserve">（樂觀）：命題模組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</si>
  <si>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t xml:space="preserve">1H26A</t>
  </si>
  <si>
    <t xml:space="preserve">2H26E</t>
  </si>
  <si>
    <r>
      <rPr>
        <b val="true"/>
        <sz val="11"/>
        <rFont val="Cambria"/>
        <family val="0"/>
        <charset val="1"/>
      </rPr>
      <t xml:space="preserve">FY2026E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1H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2H </t>
    </r>
    <r>
      <rPr>
        <b val="true"/>
        <sz val="11"/>
        <rFont val="Noto Sans CJK SC"/>
        <family val="2"/>
      </rPr>
      <t xml:space="preserve">模型）</t>
    </r>
  </si>
  <si>
    <t xml:space="preserve">FY2027E</t>
  </si>
  <si>
    <t xml:space="preserve">FY2028E</t>
  </si>
  <si>
    <t xml:space="preserve">FY2029E</t>
  </si>
  <si>
    <t xml:space="preserve">FY2030E</t>
  </si>
  <si>
    <t xml:space="preserve">FY2031E</t>
  </si>
  <si>
    <t xml:space="preserve">FY2032E</t>
  </si>
  <si>
    <t xml:space="preserve">1H25A</t>
  </si>
  <si>
    <t xml:space="preserve">2H25A</t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</si>
  <si>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容量（對外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在役 </t>
    </r>
    <r>
      <rPr>
        <b val="true"/>
        <sz val="11"/>
        <rFont val="Cambria"/>
        <family val="0"/>
        <charset val="1"/>
      </rPr>
      <t xml:space="preserve">MW-IT</t>
    </r>
    <r>
      <rPr>
        <b val="true"/>
        <sz val="11"/>
        <rFont val="Noto Sans CJK SC"/>
        <family val="2"/>
      </rPr>
      <t xml:space="preserve">；期末）</t>
    </r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</si>
  <si>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（期末）</t>
    </r>
  </si>
  <si>
    <r>
      <rPr>
        <sz val="11"/>
        <color theme="1"/>
        <rFont val="Noto Sans CJK SC"/>
        <family val="2"/>
      </rPr>
      <t xml:space="preserve">期初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mw_open</t>
    </r>
    <r>
      <rPr>
        <sz val="11"/>
        <color theme="1"/>
        <rFont val="Noto Sans CJK SC"/>
        <family val="2"/>
      </rPr>
      <t xml:space="preserve">；每年新增＝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pace</t>
    </r>
    <r>
      <rPr>
        <sz val="11"/>
        <color theme="1"/>
        <rFont val="Noto Sans CJK SC"/>
        <family val="2"/>
      </rPr>
      <t xml:space="preserve">（情境）；歷史年底值只用於分拆與折舊年份</t>
    </r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</si>
  <si>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（期間）</t>
    </r>
  </si>
  <si>
    <t xml:space="preserve">期間長度</t>
  </si>
  <si>
    <r>
      <rPr>
        <sz val="11"/>
        <color theme="1"/>
        <rFont val="Noto Sans CJK SC"/>
        <family val="2"/>
      </rPr>
      <t xml:space="preserve">新增對外 </t>
    </r>
    <r>
      <rPr>
        <sz val="11"/>
        <color theme="1"/>
        <rFont val="Calibri"/>
        <family val="2"/>
        <charset val="1"/>
      </rPr>
      <t xml:space="preserve">AI MW</t>
    </r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</si>
  <si>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總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（含自用＝對外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對外比例）</t>
    </r>
  </si>
  <si>
    <r>
      <rPr>
        <sz val="11"/>
        <color theme="1"/>
        <rFont val="Calibri"/>
        <family val="2"/>
        <charset val="1"/>
      </rPr>
      <t xml:space="preserve">R–AA </t>
    </r>
    <r>
      <rPr>
        <sz val="11"/>
        <color theme="1"/>
        <rFont val="Noto Sans CJK SC"/>
        <family val="2"/>
      </rPr>
      <t xml:space="preserve">欄：依年份（折舊與汰換用）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</si>
  <si>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新增產能的世代與單位經濟（</t>
    </r>
    <r>
      <rPr>
        <b val="true"/>
        <sz val="11"/>
        <rFont val="Cambria"/>
        <family val="0"/>
        <charset val="1"/>
      </rPr>
      <t xml:space="preserve">Tokenomics v21.4 </t>
    </r>
    <r>
      <rPr>
        <b val="true"/>
        <sz val="11"/>
        <rFont val="Noto Sans CJK SC"/>
        <family val="2"/>
      </rPr>
      <t xml:space="preserve">基準成本；自研晶片以同期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世代計價，</t>
    </r>
    <r>
      <rPr>
        <b val="true"/>
        <sz val="11"/>
        <rFont val="Cambria"/>
        <family val="0"/>
        <charset val="1"/>
      </rPr>
      <t xml:space="preserve">C2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</si>
  <si>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新增中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比例</t>
    </r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</si>
  <si>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（含自研晶片係數）</t>
    </r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</si>
  <si>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加權營運費用（</t>
    </r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</si>
  <si>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；含自研晶片資本支出係數）</t>
    </r>
  </si>
  <si>
    <r>
      <rPr>
        <sz val="11"/>
        <color theme="1"/>
        <rFont val="Noto Sans CJK SC"/>
        <family val="2"/>
      </rPr>
      <t xml:space="preserve">期初後新增對外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累計（期末）</t>
    </r>
  </si>
  <si>
    <r>
      <rPr>
        <sz val="11"/>
        <color theme="1"/>
        <rFont val="Calibri"/>
        <family val="2"/>
        <charset val="1"/>
      </rPr>
      <t xml:space="preserve">  Σ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× HoldEcon</t>
    </r>
  </si>
  <si>
    <t xml:space="preserve">US$m</t>
  </si>
  <si>
    <r>
      <rPr>
        <sz val="11"/>
        <color theme="1"/>
        <rFont val="Calibri"/>
        <family val="2"/>
        <charset val="1"/>
      </rPr>
      <t xml:space="preserve">  Σ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營運費用</t>
    </r>
  </si>
  <si>
    <r>
      <rPr>
        <sz val="11"/>
        <color theme="1"/>
        <rFont val="Noto Sans CJK SC"/>
        <family val="2"/>
      </rPr>
      <t xml:space="preserve">新增機隊加權 </t>
    </r>
    <r>
      <rPr>
        <sz val="11"/>
        <color theme="1"/>
        <rFont val="Calibri"/>
        <family val="2"/>
        <charset val="1"/>
      </rPr>
      <t xml:space="preserve">HoldEcon</t>
    </r>
  </si>
  <si>
    <t xml:space="preserve">新增機隊加權營運費用</t>
  </si>
  <si>
    <r>
      <rPr>
        <sz val="11"/>
        <color theme="1"/>
        <rFont val="Noto Sans CJK SC"/>
        <family val="2"/>
      </rPr>
      <t xml:space="preserve">新增產能每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年收入＝新增機隊 </t>
    </r>
    <r>
      <rPr>
        <sz val="11"/>
        <color theme="1"/>
        <rFont val="Calibri"/>
        <family val="2"/>
        <charset val="1"/>
      </rPr>
      <t xml:space="preserve">HoldEcon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k</t>
    </r>
  </si>
  <si>
    <r>
      <rPr>
        <sz val="11"/>
        <color theme="1"/>
        <rFont val="Noto Sans CJK SC"/>
        <family val="2"/>
      </rPr>
      <t xml:space="preserve">期初機隊 </t>
    </r>
    <r>
      <rPr>
        <sz val="11"/>
        <color theme="1"/>
        <rFont val="Calibri"/>
        <family val="2"/>
        <charset val="1"/>
      </rPr>
      <t xml:space="preserve">2,080 MW </t>
    </r>
    <r>
      <rPr>
        <sz val="11"/>
        <color theme="1"/>
        <rFont val="Noto Sans CJK SC"/>
        <family val="2"/>
      </rPr>
      <t xml:space="preserve">三情境同用 </t>
    </r>
    <r>
      <rPr>
        <sz val="11"/>
        <color theme="1"/>
        <rFont val="Calibri"/>
        <family val="2"/>
        <charset val="1"/>
      </rPr>
      <t xml:space="preserve">rpm_open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k_B</t>
    </r>
    <r>
      <rPr>
        <sz val="11"/>
        <color theme="1"/>
        <rFont val="Noto Sans CJK SC"/>
        <family val="2"/>
      </rPr>
      <t xml:space="preserve">）；情境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只用於新產能</t>
    </r>
  </si>
  <si>
    <r>
      <rPr>
        <sz val="11"/>
        <color theme="1"/>
        <rFont val="Noto Sans CJK SC"/>
        <family val="2"/>
      </rPr>
      <t xml:space="preserve">新增產能平均在役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（期間）</t>
    </r>
  </si>
  <si>
    <r>
      <rPr>
        <b val="true"/>
        <sz val="11"/>
        <rFont val="Cambria"/>
        <family val="0"/>
        <charset val="1"/>
      </rPr>
      <t xml:space="preserve">3. AWS AI </t>
    </r>
    <r>
      <rPr>
        <b val="true"/>
        <sz val="11"/>
        <rFont val="Noto Sans CJK SC"/>
        <family val="2"/>
      </rPr>
      <t xml:space="preserve">損益（收入端不乘 </t>
    </r>
    <r>
      <rPr>
        <b val="true"/>
        <sz val="11"/>
        <rFont val="Cambria"/>
        <family val="0"/>
        <charset val="1"/>
      </rPr>
      <t xml:space="preserve">IF_Util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MW-year </t>
    </r>
    <r>
      <rPr>
        <b val="true"/>
        <sz val="11"/>
        <rFont val="Noto Sans CJK SC"/>
        <family val="2"/>
      </rPr>
      <t xml:space="preserve">計價）</t>
    </r>
  </si>
  <si>
    <r>
      <rPr>
        <b val="true"/>
        <sz val="11"/>
        <rFont val="Cambria"/>
        <family val="0"/>
        <charset val="1"/>
      </rPr>
      <t xml:space="preserve">AWS AI </t>
    </r>
    <r>
      <rPr>
        <b val="true"/>
        <sz val="11"/>
        <rFont val="Noto Sans CJK SC"/>
        <family val="2"/>
      </rPr>
      <t xml:space="preserve">營收（命題子列）</t>
    </r>
  </si>
  <si>
    <r>
      <rPr>
        <sz val="11"/>
        <color theme="1"/>
        <rFont val="Noto Sans CJK SC"/>
        <family val="2"/>
      </rPr>
      <t xml:space="preserve">實績欄為分拆估計（期初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），不是公司揭露值</t>
    </r>
  </si>
  <si>
    <r>
      <rPr>
        <sz val="11"/>
        <color theme="1"/>
        <rFont val="Noto Sans CJK SC"/>
        <family val="2"/>
      </rPr>
      <t xml:space="preserve">全機隊每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</si>
  <si>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營運成本（含自用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、租用機房租金 </t>
    </r>
    <r>
      <rPr>
        <sz val="11"/>
        <color theme="1"/>
        <rFont val="Calibri"/>
        <family val="2"/>
        <charset val="1"/>
      </rPr>
      <t xml:space="preserve">C22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</si>
  <si>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營收（實績，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</si>
  <si>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b val="true"/>
        <sz val="11"/>
        <rFont val="Cambria"/>
        <family val="0"/>
        <charset val="1"/>
      </rPr>
      <t xml:space="preserve">AWS </t>
    </r>
    <r>
      <rPr>
        <b val="true"/>
        <sz val="11"/>
        <rFont val="Noto Sans CJK SC"/>
        <family val="2"/>
      </rPr>
      <t xml:space="preserve">其他營收（非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雲端）</t>
    </r>
  </si>
  <si>
    <r>
      <rPr>
        <sz val="11"/>
        <color theme="1"/>
        <rFont val="Noto Sans CJK SC"/>
        <family val="2"/>
      </rPr>
      <t xml:space="preserve">實績＝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實績 − </t>
    </r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分拆估計（殘差，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</si>
  <si>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AWS </t>
    </r>
    <r>
      <rPr>
        <sz val="11"/>
        <color theme="1"/>
        <rFont val="Noto Sans CJK SC"/>
        <family val="2"/>
      </rPr>
      <t xml:space="preserve">其他年增</t>
    </r>
  </si>
  <si>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1H25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低估的可能）；收斂到 </t>
    </r>
    <r>
      <rPr>
        <sz val="11"/>
        <color theme="1"/>
        <rFont val="Calibri"/>
        <family val="2"/>
        <charset val="1"/>
      </rPr>
      <t xml:space="preserve">g_awso_lt</t>
    </r>
  </si>
  <si>
    <r>
      <rPr>
        <b val="true"/>
        <sz val="11"/>
        <rFont val="Cambria"/>
        <family val="0"/>
        <charset val="1"/>
      </rPr>
      <t xml:space="preserve">4. AI </t>
    </r>
    <r>
      <rPr>
        <b val="true"/>
        <sz val="11"/>
        <rFont val="Noto Sans CJK SC"/>
        <family val="2"/>
      </rPr>
      <t xml:space="preserve">資本支出（現金）→ 折舊（</t>
    </r>
    <r>
      <rPr>
        <b val="true"/>
        <sz val="11"/>
        <rFont val="Cambria"/>
        <family val="0"/>
        <charset val="1"/>
      </rPr>
      <t xml:space="preserve">IT 6 </t>
    </r>
    <r>
      <rPr>
        <b val="true"/>
        <sz val="11"/>
        <rFont val="Noto Sans CJK SC"/>
        <family val="2"/>
      </rPr>
      <t xml:space="preserve">年、機房 </t>
    </r>
    <r>
      <rPr>
        <b val="true"/>
        <sz val="11"/>
        <rFont val="Cambria"/>
        <family val="0"/>
        <charset val="1"/>
      </rPr>
      <t xml:space="preserve">20 </t>
    </r>
    <r>
      <rPr>
        <b val="true"/>
        <sz val="11"/>
        <rFont val="Noto Sans CJK SC"/>
        <family val="2"/>
      </rPr>
      <t xml:space="preserve">年；次年起提列）</t>
    </r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</si>
  <si>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資本支出（零售＋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</si>
  <si>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資本支出中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比例</t>
    </r>
  </si>
  <si>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資本支出（現金，含自用）</t>
    </r>
  </si>
  <si>
    <r>
      <rPr>
        <sz val="11"/>
        <color theme="1"/>
        <rFont val="Noto Sans CJK SC"/>
        <family val="2"/>
      </rPr>
      <t xml:space="preserve">實績＝公司資本支出淨額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（零售 </t>
    </r>
    <r>
      <rPr>
        <sz val="11"/>
        <color theme="1"/>
        <rFont val="Calibri"/>
        <family val="2"/>
        <charset val="1"/>
      </rPr>
      <t xml:space="preserve">cx_rt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cx_awso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MAX(MW </t>
    </r>
    <r>
      <rPr>
        <sz val="11"/>
        <color theme="1"/>
        <rFont val="Noto Sans CJK SC"/>
        <family val="2"/>
      </rPr>
      <t xml:space="preserve">公式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220 − </t>
    </r>
    <r>
      <rPr>
        <sz val="11"/>
        <color theme="1"/>
        <rFont val="Noto Sans CJK SC"/>
        <family val="2"/>
      </rPr>
      <t xml:space="preserve">上半年 − 非 </t>
    </r>
    <r>
      <rPr>
        <sz val="11"/>
        <color theme="1"/>
        <rFont val="Calibri"/>
        <family val="2"/>
        <charset val="1"/>
      </rPr>
      <t xml:space="preserve">AI)</t>
    </r>
    <r>
      <rPr>
        <sz val="11"/>
        <color theme="1"/>
        <rFont val="Noto Sans CJK SC"/>
        <family val="2"/>
      </rPr>
      <t xml:space="preserve">；之後＝新增 </t>
    </r>
    <r>
      <rPr>
        <sz val="11"/>
        <color theme="1"/>
        <rFont val="Calibri"/>
        <family val="2"/>
        <charset val="1"/>
      </rPr>
      <t xml:space="preserve">MW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＋自建機房）＋汰換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</si>
  <si>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汰換（折舊年限前新增的總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</si>
  <si>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其中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</t>
    </r>
  </si>
  <si>
    <t xml:space="preserve">  其中機房（自建部分）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</si>
  <si>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資本支出占公司資本支出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</si>
  <si>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</si>
  <si>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機房折舊</t>
    </r>
  </si>
  <si>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折舊合計（對外 → </t>
    </r>
    <r>
      <rPr>
        <b val="true"/>
        <sz val="11"/>
        <rFont val="Cambria"/>
        <family val="0"/>
        <charset val="1"/>
      </rPr>
      <t xml:space="preserve">AWS</t>
    </r>
    <r>
      <rPr>
        <b val="true"/>
        <sz val="11"/>
        <rFont val="Noto Sans CJK SC"/>
        <family val="2"/>
      </rPr>
      <t xml:space="preserve">；自用 → 零售分部）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</si>
  <si>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淨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（期末）</t>
    </r>
  </si>
  <si>
    <r>
      <rPr>
        <b val="true"/>
        <sz val="11"/>
        <rFont val="Cambria"/>
        <family val="0"/>
        <charset val="1"/>
      </rPr>
      <t xml:space="preserve">5. AWS AI </t>
    </r>
    <r>
      <rPr>
        <b val="true"/>
        <sz val="11"/>
        <rFont val="Noto Sans CJK SC"/>
        <family val="2"/>
      </rPr>
      <t xml:space="preserve">營業利益、自用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成本、</t>
    </r>
    <r>
      <rPr>
        <b val="true"/>
        <sz val="11"/>
        <rFont val="Cambria"/>
        <family val="0"/>
        <charset val="1"/>
      </rPr>
      <t xml:space="preserve">AWS </t>
    </r>
    <r>
      <rPr>
        <b val="true"/>
        <sz val="11"/>
        <rFont val="Noto Sans CJK SC"/>
        <family val="2"/>
      </rPr>
      <t xml:space="preserve">其他</t>
    </r>
  </si>
  <si>
    <r>
      <rPr>
        <sz val="11"/>
        <color theme="1"/>
        <rFont val="Calibri"/>
        <family val="2"/>
        <charset val="1"/>
      </rPr>
      <t xml:space="preserve">AWS AI EBITDA</t>
    </r>
    <r>
      <rPr>
        <sz val="11"/>
        <color theme="1"/>
        <rFont val="Noto Sans CJK SC"/>
        <family val="2"/>
      </rPr>
      <t xml:space="preserve">＝營收 − 對外比例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營運成本</t>
    </r>
  </si>
  <si>
    <r>
      <rPr>
        <b val="true"/>
        <sz val="11"/>
        <rFont val="Cambria"/>
        <family val="0"/>
        <charset val="1"/>
      </rPr>
      <t xml:space="preserve">AWS AI </t>
    </r>
    <r>
      <rPr>
        <b val="true"/>
        <sz val="11"/>
        <rFont val="Noto Sans CJK SC"/>
        <family val="2"/>
      </rPr>
      <t xml:space="preserve">營業利益＝</t>
    </r>
    <r>
      <rPr>
        <b val="true"/>
        <sz val="11"/>
        <rFont val="Cambria"/>
        <family val="0"/>
        <charset val="1"/>
      </rPr>
      <t xml:space="preserve">EBITDA − </t>
    </r>
    <r>
      <rPr>
        <b val="true"/>
        <sz val="11"/>
        <rFont val="Noto Sans CJK SC"/>
        <family val="2"/>
      </rPr>
      <t xml:space="preserve">對外比例 </t>
    </r>
    <r>
      <rPr>
        <b val="true"/>
        <sz val="11"/>
        <rFont val="Cambria"/>
        <family val="0"/>
        <charset val="1"/>
      </rPr>
      <t xml:space="preserve">× AI </t>
    </r>
    <r>
      <rPr>
        <b val="true"/>
        <sz val="11"/>
        <rFont val="Noto Sans CJK SC"/>
        <family val="2"/>
      </rPr>
      <t xml:space="preserve">折舊</t>
    </r>
  </si>
  <si>
    <r>
      <rPr>
        <sz val="11"/>
        <color theme="1"/>
        <rFont val="Calibri"/>
        <family val="2"/>
        <charset val="1"/>
      </rPr>
      <t xml:space="preserve">  AWS AI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</si>
  <si>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MW × HoldEcon × 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</si>
  <si>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rd2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C16 </t>
    </r>
    <r>
      <rPr>
        <sz val="11"/>
        <color theme="1"/>
        <rFont val="Noto Sans CJK SC"/>
        <family val="2"/>
      </rPr>
      <t xml:space="preserve">主值待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決定）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</si>
  <si>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成本淨額（營運＋折舊 −影子效益；分攤到北美／國際）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</si>
  <si>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營業利益（實績，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</si>
  <si>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其他營業利益</t>
    </r>
  </si>
  <si>
    <r>
      <rPr>
        <sz val="11"/>
        <color theme="1"/>
        <rFont val="Noto Sans CJK SC"/>
        <family val="2"/>
      </rPr>
      <t xml:space="preserve">實績＝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營業利益 − </t>
    </r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營業利益（殘差）</t>
    </r>
  </si>
  <si>
    <r>
      <rPr>
        <sz val="11"/>
        <color theme="1"/>
        <rFont val="Calibri"/>
        <family val="2"/>
        <charset val="1"/>
      </rPr>
      <t xml:space="preserve">  AWS </t>
    </r>
    <r>
      <rPr>
        <sz val="11"/>
        <color theme="1"/>
        <rFont val="Noto Sans CJK SC"/>
        <family val="2"/>
      </rPr>
      <t xml:space="preserve">其他營業利益率</t>
    </r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</si>
  <si>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起固定為近四季（</t>
    </r>
    <r>
      <rPr>
        <sz val="11"/>
        <color theme="1"/>
        <rFont val="Calibri"/>
        <family val="2"/>
        <charset val="1"/>
      </rPr>
      <t xml:space="preserve">2H25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）殘差利益率（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</si>
  <si>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AWS </t>
    </r>
    <r>
      <rPr>
        <sz val="11"/>
        <color theme="1"/>
        <rFont val="Noto Sans CJK SC"/>
        <family val="2"/>
      </rPr>
      <t xml:space="preserve">其他營收（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</si>
  <si>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折舊攤銷（分部）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</si>
  <si>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命題指標</t>
    </r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</si>
  <si>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ROIC</t>
    </r>
    <r>
      <rPr>
        <sz val="11"/>
        <color theme="1"/>
        <rFont val="Noto Sans CJK SC"/>
        <family val="2"/>
      </rPr>
      <t xml:space="preserve">（稅後營業利益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對外分攤的平均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淨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</si>
  <si>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C11</t>
    </r>
    <r>
      <rPr>
        <sz val="11"/>
        <color theme="1"/>
        <rFont val="Noto Sans CJK SC"/>
        <family val="2"/>
      </rPr>
      <t xml:space="preserve">：分子分母同口徑（對外）</t>
    </r>
  </si>
  <si>
    <r>
      <rPr>
        <sz val="11"/>
        <color theme="1"/>
        <rFont val="Noto Sans CJK SC"/>
        <family val="2"/>
      </rPr>
      <t xml:space="preserve">機隊平均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持有成本）</t>
    </r>
  </si>
  <si>
    <r>
      <rPr>
        <sz val="11"/>
        <color theme="1"/>
        <rFont val="Noto Sans CJK SC"/>
        <family val="2"/>
      </rPr>
      <t xml:space="preserve">打平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（對外 </t>
    </r>
    <r>
      <rPr>
        <sz val="11"/>
        <color theme="1"/>
        <rFont val="Calibri"/>
        <family val="2"/>
        <charset val="1"/>
      </rPr>
      <t xml:space="preserve">AI ROIC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所需的機隊平均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</si>
  <si>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上限檢查：全機隊每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 </t>
    </r>
    <r>
      <rPr>
        <sz val="11"/>
        <color theme="1"/>
        <rFont val="Calibri"/>
        <family val="2"/>
        <charset val="1"/>
      </rPr>
      <t xml:space="preserve">÷ Tokenomics P×Q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</si>
  <si>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上限，不得作預測；只作檢查</t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</si>
  <si>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</si>
  <si>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C</t>
    </r>
    <r>
      <rPr>
        <b val="true"/>
        <sz val="12"/>
        <rFont val="Noto Sans CJK SC"/>
        <family val="2"/>
      </rPr>
      <t xml:space="preserve">（保守）：命題模組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</si>
  <si>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sz val="11"/>
        <color theme="1"/>
        <rFont val="Calibri"/>
        <family val="2"/>
        <charset val="1"/>
      </rPr>
      <t xml:space="preserve">Seg — </t>
    </r>
    <r>
      <rPr>
        <sz val="11"/>
        <color theme="1"/>
        <rFont val="Noto Sans CJK SC"/>
        <family val="2"/>
      </rPr>
      <t xml:space="preserve">營收分部層：官方分部 </t>
    </r>
    <r>
      <rPr>
        <sz val="11"/>
        <color theme="1"/>
        <rFont val="Calibri"/>
        <family val="2"/>
        <charset val="1"/>
      </rPr>
      <t xml:space="preserve">North America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International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營收線 </t>
    </r>
    <r>
      <rPr>
        <sz val="11"/>
        <color theme="1"/>
        <rFont val="Calibri"/>
        <family val="2"/>
        <charset val="1"/>
      </rPr>
      <t xml:space="preserve">Online stores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Physical stores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Third-party seller services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Advertising services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Subscription services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Other</t>
    </r>
    <r>
      <rPr>
        <sz val="11"/>
        <color theme="1"/>
        <rFont val="Noto Sans CJK SC"/>
        <family val="2"/>
      </rPr>
      <t xml:space="preserve">（零售各線合計＝北美＋國際）與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（命題子列，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其他。核對列（綠底）每情境每年度皆須為 </t>
    </r>
    <r>
      <rPr>
        <sz val="11"/>
        <color theme="1"/>
        <rFont val="Calibri"/>
        <family val="2"/>
        <charset val="1"/>
      </rPr>
      <t xml:space="preserve">0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</si>
  <si>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A</t>
    </r>
    <r>
      <rPr>
        <b val="true"/>
        <sz val="12"/>
        <rFont val="Noto Sans CJK SC"/>
        <family val="2"/>
      </rPr>
      <t xml:space="preserve">（樂觀）：營收分部層（官方分部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</si>
  <si>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零售各營收線（</t>
    </r>
    <r>
      <rPr>
        <b val="true"/>
        <sz val="11"/>
        <rFont val="Cambria"/>
        <family val="0"/>
        <charset val="1"/>
      </rPr>
      <t xml:space="preserve">2H26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2H25 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2H25 </t>
    </r>
    <r>
      <rPr>
        <b val="true"/>
        <sz val="11"/>
        <rFont val="Noto Sans CJK SC"/>
        <family val="2"/>
      </rPr>
      <t xml:space="preserve">年增）− </t>
    </r>
    <r>
      <rPr>
        <b val="true"/>
        <sz val="11"/>
        <rFont val="Cambria"/>
        <family val="0"/>
        <charset val="1"/>
      </rPr>
      <t xml:space="preserve">Prime Day </t>
    </r>
    <r>
      <rPr>
        <b val="true"/>
        <sz val="11"/>
        <rFont val="Noto Sans CJK SC"/>
        <family val="2"/>
      </rPr>
      <t xml:space="preserve">時點；</t>
    </r>
    <r>
      <rPr>
        <b val="true"/>
        <sz val="11"/>
        <rFont val="Cambria"/>
        <family val="0"/>
        <charset val="1"/>
      </rPr>
      <t xml:space="preserve">2027–2030 </t>
    </r>
    <r>
      <rPr>
        <b val="true"/>
        <sz val="11"/>
        <rFont val="Noto Sans CJK SC"/>
        <family val="2"/>
      </rPr>
      <t xml:space="preserve">年增由 </t>
    </r>
    <r>
      <rPr>
        <b val="true"/>
        <sz val="11"/>
        <rFont val="Cambria"/>
        <family val="0"/>
        <charset val="1"/>
      </rPr>
      <t xml:space="preserve">2H25 </t>
    </r>
    <r>
      <rPr>
        <b val="true"/>
        <sz val="11"/>
        <rFont val="Noto Sans CJK SC"/>
        <family val="2"/>
      </rPr>
      <t xml:space="preserve">年增線性收斂到長期值；</t>
    </r>
    <r>
      <rPr>
        <b val="true"/>
        <sz val="11"/>
        <rFont val="Cambria"/>
        <family val="0"/>
        <charset val="1"/>
      </rPr>
      <t xml:space="preserve">2031–2032</t>
    </r>
    <r>
      <rPr>
        <b val="true"/>
        <sz val="11"/>
        <rFont val="Noto Sans CJK SC"/>
        <family val="2"/>
      </rPr>
      <t xml:space="preserve">＝長期值）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</si>
  <si>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頁實績；預測＝前期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＋年增）</t>
    </r>
  </si>
  <si>
    <r>
      <rPr>
        <sz val="11"/>
        <color theme="1"/>
        <rFont val="Calibri"/>
        <family val="2"/>
        <charset val="1"/>
      </rPr>
      <t xml:space="preserve">  Online stores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</si>
  <si>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1H25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移入 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2H24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成長基準，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g_os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另扣 </t>
    </r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時點（</t>
    </r>
    <r>
      <rPr>
        <sz val="11"/>
        <color theme="1"/>
        <rFont val="Calibri"/>
        <family val="2"/>
        <charset val="1"/>
      </rPr>
      <t xml:space="preserve">pd_amt</t>
    </r>
    <r>
      <rPr>
        <sz val="11"/>
        <color theme="1"/>
        <rFont val="Noto Sans CJK SC"/>
        <family val="2"/>
      </rPr>
      <t xml:space="preserve">，按 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比例分攤到 </t>
    </r>
    <r>
      <rPr>
        <sz val="11"/>
        <color theme="1"/>
        <rFont val="Calibri"/>
        <family val="2"/>
        <charset val="1"/>
      </rPr>
      <t xml:space="preserve">Online stores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Third-party seller services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</si>
  <si>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Physical stores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</si>
  <si>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1H25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移入 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2H24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成長基準，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g_ps</t>
    </r>
  </si>
  <si>
    <r>
      <rPr>
        <sz val="11"/>
        <color theme="1"/>
        <rFont val="Calibri"/>
        <family val="2"/>
        <charset val="1"/>
      </rPr>
      <t xml:space="preserve">  Third-party seller services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</si>
  <si>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1H25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移入 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2H24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成長基準，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g_sp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另扣 </t>
    </r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時點（</t>
    </r>
    <r>
      <rPr>
        <sz val="11"/>
        <color theme="1"/>
        <rFont val="Calibri"/>
        <family val="2"/>
        <charset val="1"/>
      </rPr>
      <t xml:space="preserve">pd_amt</t>
    </r>
    <r>
      <rPr>
        <sz val="11"/>
        <color theme="1"/>
        <rFont val="Noto Sans CJK SC"/>
        <family val="2"/>
      </rPr>
      <t xml:space="preserve">，按 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比例分攤到 </t>
    </r>
    <r>
      <rPr>
        <sz val="11"/>
        <color theme="1"/>
        <rFont val="Calibri"/>
        <family val="2"/>
        <charset val="1"/>
      </rPr>
      <t xml:space="preserve">Online stores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Third-party seller services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</si>
  <si>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Advertising services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</si>
  <si>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1H25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移入 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2H24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成長基準，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g_ad</t>
    </r>
  </si>
  <si>
    <r>
      <rPr>
        <sz val="11"/>
        <color theme="1"/>
        <rFont val="Calibri"/>
        <family val="2"/>
        <charset val="1"/>
      </rPr>
      <t xml:space="preserve">  Subscription services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</si>
  <si>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1H25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移入 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2H24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成長基準，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g_sub</t>
    </r>
  </si>
  <si>
    <r>
      <rPr>
        <sz val="11"/>
        <color theme="1"/>
        <rFont val="Calibri"/>
        <family val="2"/>
        <charset val="1"/>
      </rPr>
      <t xml:space="preserve">  Other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</si>
  <si>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1H25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移入 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2H24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成長基準，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g_ot</t>
    </r>
  </si>
  <si>
    <r>
      <rPr>
        <b val="true"/>
        <sz val="11"/>
        <rFont val="Noto Sans CJK SC"/>
        <family val="2"/>
      </rPr>
      <t xml:space="preserve">零售營收線合計（＝</t>
    </r>
    <r>
      <rPr>
        <b val="true"/>
        <sz val="11"/>
        <rFont val="Cambria"/>
        <family val="0"/>
        <charset val="1"/>
      </rPr>
      <t xml:space="preserve">North America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International</t>
    </r>
    <r>
      <rPr>
        <b val="true"/>
        <sz val="11"/>
        <rFont val="Noto Sans CJK SC"/>
        <family val="2"/>
      </rPr>
      <t xml:space="preserve">）</t>
    </r>
  </si>
  <si>
    <t xml:space="preserve">北美占零售營收比例（地區分攤）</t>
  </si>
  <si>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比例；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起固定為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）；各營收線不分地區揭露，故以本列分攤</t>
    </r>
  </si>
  <si>
    <r>
      <rPr>
        <sz val="11"/>
        <color theme="1"/>
        <rFont val="Noto Sans CJK SC"/>
        <family val="2"/>
      </rPr>
      <t xml:space="preserve">官方分部；預測＝零售營收線合計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北美比例</t>
    </r>
  </si>
  <si>
    <r>
      <rPr>
        <sz val="11"/>
        <color theme="1"/>
        <rFont val="Noto Sans CJK SC"/>
        <family val="2"/>
      </rPr>
      <t xml:space="preserve">官方分部；預測＝零售營收線合計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北美比例）</t>
    </r>
  </si>
  <si>
    <r>
      <rPr>
        <sz val="11"/>
        <color theme="1"/>
        <rFont val="Noto Sans CJK SC"/>
        <family val="2"/>
      </rPr>
      <t xml:space="preserve">廣告營收歸北美（＝廣告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北美比例）</t>
    </r>
  </si>
  <si>
    <r>
      <rPr>
        <sz val="11"/>
        <color theme="1"/>
        <rFont val="Noto Sans CJK SC"/>
        <family val="2"/>
      </rPr>
      <t xml:space="preserve">廣告營收依零售營收的地區比例分攤（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；公司未分地區揭露）</t>
    </r>
  </si>
  <si>
    <t xml:space="preserve">廣告營收歸國際</t>
  </si>
  <si>
    <r>
      <rPr>
        <b val="true"/>
        <sz val="11"/>
        <rFont val="Cambria"/>
        <family val="0"/>
        <charset val="1"/>
      </rPr>
      <t xml:space="preserve">2. AWS</t>
    </r>
    <r>
      <rPr>
        <b val="true"/>
        <sz val="11"/>
        <rFont val="Noto Sans CJK SC"/>
        <family val="2"/>
      </rPr>
      <t xml:space="preserve">（命題子列＋</t>
    </r>
    <r>
      <rPr>
        <b val="true"/>
        <sz val="11"/>
        <rFont val="Cambria"/>
        <family val="0"/>
        <charset val="1"/>
      </rPr>
      <t xml:space="preserve">AWS </t>
    </r>
    <r>
      <rPr>
        <b val="true"/>
        <sz val="11"/>
        <rFont val="Noto Sans CJK SC"/>
        <family val="2"/>
      </rPr>
      <t xml:space="preserve">其他）與合併營收</t>
    </r>
  </si>
  <si>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（命題子列）</t>
    </r>
  </si>
  <si>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</si>
  <si>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</t>
    </r>
  </si>
  <si>
    <r>
      <rPr>
        <sz val="11"/>
        <color theme="1"/>
        <rFont val="Noto Sans CJK SC"/>
        <family val="2"/>
      </rPr>
      <t xml:space="preserve">官方分部＝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營收線</t>
    </r>
  </si>
  <si>
    <t xml:space="preserve">合併營收（實績＝公司揭露；預測＝營收線加總）</t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</si>
  <si>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）：零售營收線合計 − </t>
    </r>
    <r>
      <rPr>
        <sz val="11"/>
        <color theme="1"/>
        <rFont val="Calibri"/>
        <family val="2"/>
        <charset val="1"/>
      </rPr>
      <t xml:space="preserve">(North America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International)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</si>
  <si>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 − </t>
    </r>
    <r>
      <rPr>
        <sz val="11"/>
        <color theme="1"/>
        <rFont val="Calibri"/>
        <family val="2"/>
        <charset val="1"/>
      </rPr>
      <t xml:space="preserve">AWS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</si>
  <si>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）：分部合計 − 合併營收</t>
    </r>
  </si>
  <si>
    <t xml:space="preserve">合併營收年增</t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</si>
  <si>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占合併營收</t>
    </r>
  </si>
  <si>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AWS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</si>
  <si>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</si>
  <si>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）：零售營收線合計 − </t>
    </r>
    <r>
      <rPr>
        <sz val="11"/>
        <color theme="1"/>
        <rFont val="Calibri"/>
        <family val="2"/>
        <charset val="1"/>
      </rPr>
      <t xml:space="preserve">(North America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International)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</si>
  <si>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 − </t>
    </r>
    <r>
      <rPr>
        <sz val="11"/>
        <color theme="1"/>
        <rFont val="Calibri"/>
        <family val="2"/>
        <charset val="1"/>
      </rPr>
      <t xml:space="preserve">AWS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</si>
  <si>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）：分部合計 − 合併營收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</si>
  <si>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C</t>
    </r>
    <r>
      <rPr>
        <b val="true"/>
        <sz val="12"/>
        <rFont val="Noto Sans CJK SC"/>
        <family val="2"/>
      </rPr>
      <t xml:space="preserve">（保守）：營收分部層（官方分部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</si>
  <si>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）：零售營收線合計 − </t>
    </r>
    <r>
      <rPr>
        <sz val="11"/>
        <color theme="1"/>
        <rFont val="Calibri"/>
        <family val="2"/>
        <charset val="1"/>
      </rPr>
      <t xml:space="preserve">(North America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International)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</si>
  <si>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 − </t>
    </r>
    <r>
      <rPr>
        <sz val="11"/>
        <color theme="1"/>
        <rFont val="Calibri"/>
        <family val="2"/>
        <charset val="1"/>
      </rPr>
      <t xml:space="preserve">AWS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</si>
  <si>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）：分部合計 − 合併營收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</si>
  <si>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分部營收 → 分部營業利益 → 合併營業利益 → 業外、稅 → 淨利 →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。廣告利潤率 </t>
    </r>
    <r>
      <rPr>
        <sz val="11"/>
        <color theme="1"/>
        <rFont val="Calibri"/>
        <family val="2"/>
        <charset val="1"/>
      </rPr>
      <t xml:space="preserve">m_ad </t>
    </r>
    <r>
      <rPr>
        <sz val="11"/>
        <color theme="1"/>
        <rFont val="Noto Sans CJK SC"/>
        <family val="2"/>
      </rPr>
      <t xml:space="preserve">驅動北美／國際利益率（廣告營收依零售地區比例分攤；零售本業利益率＝分部利益扣廣告利潤後的殘差）</t>
    </r>
  </si>
  <si>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4–10 </t>
    </r>
    <r>
      <rPr>
        <sz val="11"/>
        <color theme="1"/>
        <rFont val="Noto Sans CJK SC"/>
        <family val="2"/>
      </rPr>
      <t xml:space="preserve">列：跨情境核對（三情境絕對值合計；</t>
    </r>
    <r>
      <rPr>
        <sz val="11"/>
        <color theme="1"/>
        <rFont val="Calibri"/>
        <family val="2"/>
        <charset val="1"/>
      </rPr>
      <t xml:space="preserve">tools/segment_check </t>
    </r>
    <r>
      <rPr>
        <sz val="11"/>
        <color theme="1"/>
        <rFont val="Noto Sans CJK SC"/>
        <family val="2"/>
      </rPr>
      <t xml:space="preserve">讀本區）；實績欄為公司揭露值的核對</t>
    </r>
  </si>
  <si>
    <r>
      <rPr>
        <b val="true"/>
        <sz val="11"/>
        <rFont val="Noto Sans CJK SC"/>
        <family val="2"/>
      </rPr>
      <t xml:space="preserve">跨情境核對（三情境絕對值合計；應全為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</si>
  <si>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 − </t>
    </r>
    <r>
      <rPr>
        <sz val="11"/>
        <color theme="1"/>
        <rFont val="Calibri"/>
        <family val="2"/>
        <charset val="1"/>
      </rPr>
      <t xml:space="preserve">AWS</t>
    </r>
  </si>
  <si>
    <t xml:space="preserve">檢查：分部營業利益合計 − 合併營業利益</t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</si>
  <si>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A</t>
    </r>
    <r>
      <rPr>
        <b val="true"/>
        <sz val="12"/>
        <rFont val="Noto Sans CJK SC"/>
        <family val="2"/>
      </rPr>
      <t xml:space="preserve">（樂觀）：分部營收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</si>
  <si>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營收（</t>
    </r>
    <r>
      <rPr>
        <b val="true"/>
        <sz val="11"/>
        <rFont val="Cambria"/>
        <family val="0"/>
        <charset val="1"/>
      </rPr>
      <t xml:space="preserve">10-K </t>
    </r>
    <r>
      <rPr>
        <b val="true"/>
        <sz val="11"/>
        <rFont val="Noto Sans CJK SC"/>
        <family val="2"/>
      </rPr>
      <t xml:space="preserve">營收線與官方分部）</t>
    </r>
  </si>
  <si>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（營收線＝分部）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</si>
  <si>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）：營收線合計（含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）− 合併營收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</si>
  <si>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分部營業利益（廣告利潤率 </t>
    </r>
    <r>
      <rPr>
        <b val="true"/>
        <sz val="11"/>
        <rFont val="Cambria"/>
        <family val="0"/>
        <charset val="1"/>
      </rPr>
      <t xml:space="preserve">m_ad </t>
    </r>
    <r>
      <rPr>
        <b val="true"/>
        <sz val="11"/>
        <rFont val="Noto Sans CJK SC"/>
        <family val="2"/>
      </rPr>
      <t xml:space="preserve">計入北美／國際；零售本業利益率＝殘差；自用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成本按北美比例分攤）</t>
    </r>
  </si>
  <si>
    <r>
      <rPr>
        <sz val="11"/>
        <color theme="1"/>
        <rFont val="Calibri"/>
        <family val="2"/>
        <charset val="1"/>
      </rPr>
      <t xml:space="preserve">North America</t>
    </r>
    <r>
      <rPr>
        <sz val="11"/>
        <color theme="1"/>
        <rFont val="Noto Sans CJK SC"/>
        <family val="2"/>
      </rPr>
      <t xml:space="preserve">：廣告利潤（廣告營收 </t>
    </r>
    <r>
      <rPr>
        <sz val="11"/>
        <color theme="1"/>
        <rFont val="Calibri"/>
        <family val="2"/>
        <charset val="1"/>
      </rPr>
      <t xml:space="preserve">× m_ad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</si>
  <si>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North America</t>
    </r>
    <r>
      <rPr>
        <sz val="11"/>
        <color theme="1"/>
        <rFont val="Noto Sans CJK SC"/>
        <family val="2"/>
      </rPr>
      <t xml:space="preserve">：零售本業營收（分部 − 廣告）</t>
    </r>
  </si>
  <si>
    <r>
      <rPr>
        <sz val="11"/>
        <color theme="1"/>
        <rFont val="Calibri"/>
        <family val="2"/>
        <charset val="1"/>
      </rPr>
      <t xml:space="preserve">North America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成本淨額分攤</t>
    </r>
  </si>
  <si>
    <r>
      <rPr>
        <sz val="11"/>
        <color theme="1"/>
        <rFont val="Calibri"/>
        <family val="2"/>
        <charset val="1"/>
      </rPr>
      <t xml:space="preserve">North America</t>
    </r>
    <r>
      <rPr>
        <sz val="11"/>
        <color theme="1"/>
        <rFont val="Noto Sans CJK SC"/>
        <family val="2"/>
      </rPr>
      <t xml:space="preserve">：零售本業利益率（實績＝殘差，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</si>
  <si>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2H25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(1H26 − 1H25)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2027–2030 </t>
    </r>
    <r>
      <rPr>
        <sz val="11"/>
        <color theme="1"/>
        <rFont val="Noto Sans CJK SC"/>
        <family val="2"/>
      </rPr>
      <t xml:space="preserve">每年＋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step</t>
    </r>
    <r>
      <rPr>
        <sz val="11"/>
        <color theme="1"/>
        <rFont val="Noto Sans CJK SC"/>
        <family val="2"/>
      </rPr>
      <t xml:space="preserve">；之後持平</t>
    </r>
  </si>
  <si>
    <r>
      <rPr>
        <b val="true"/>
        <sz val="11"/>
        <rFont val="Cambria"/>
        <family val="0"/>
        <charset val="1"/>
      </rPr>
      <t xml:space="preserve">North America </t>
    </r>
    <r>
      <rPr>
        <b val="true"/>
        <sz val="1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</si>
  <si>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International</t>
    </r>
    <r>
      <rPr>
        <sz val="11"/>
        <color theme="1"/>
        <rFont val="Noto Sans CJK SC"/>
        <family val="2"/>
      </rPr>
      <t xml:space="preserve">：廣告利潤（廣告營收 </t>
    </r>
    <r>
      <rPr>
        <sz val="11"/>
        <color theme="1"/>
        <rFont val="Calibri"/>
        <family val="2"/>
        <charset val="1"/>
      </rPr>
      <t xml:space="preserve">× m_ad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</si>
  <si>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International</t>
    </r>
    <r>
      <rPr>
        <sz val="11"/>
        <color theme="1"/>
        <rFont val="Noto Sans CJK SC"/>
        <family val="2"/>
      </rPr>
      <t xml:space="preserve">：零售本業營收（分部 − 廣告）</t>
    </r>
  </si>
  <si>
    <r>
      <rPr>
        <sz val="11"/>
        <color theme="1"/>
        <rFont val="Calibri"/>
        <family val="2"/>
        <charset val="1"/>
      </rPr>
      <t xml:space="preserve">International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成本淨額分攤</t>
    </r>
  </si>
  <si>
    <r>
      <rPr>
        <sz val="11"/>
        <color theme="1"/>
        <rFont val="Calibri"/>
        <family val="2"/>
        <charset val="1"/>
      </rPr>
      <t xml:space="preserve">International</t>
    </r>
    <r>
      <rPr>
        <sz val="11"/>
        <color theme="1"/>
        <rFont val="Noto Sans CJK SC"/>
        <family val="2"/>
      </rPr>
      <t xml:space="preserve">：零售本業利益率（實績＝殘差，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</si>
  <si>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International </t>
    </r>
    <r>
      <rPr>
        <b val="true"/>
        <sz val="1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</si>
  <si>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營業利益（命題子列）</t>
    </r>
  </si>
  <si>
    <r>
      <rPr>
        <b val="true"/>
        <sz val="11"/>
        <rFont val="Cambria"/>
        <family val="0"/>
        <charset val="1"/>
      </rPr>
      <t xml:space="preserve">AWS </t>
    </r>
    <r>
      <rPr>
        <b val="true"/>
        <sz val="1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</si>
  <si>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未分攤（公司層；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</si>
  <si>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）：分部營業利益合計 − 合併營業利益</t>
    </r>
  </si>
  <si>
    <r>
      <rPr>
        <sz val="11"/>
        <color theme="1"/>
        <rFont val="Calibri"/>
        <family val="2"/>
        <charset val="1"/>
      </rPr>
      <t xml:space="preserve">North America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</si>
  <si>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Calibri"/>
        <family val="2"/>
        <charset val="1"/>
      </rPr>
      <t xml:space="preserve">International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</si>
  <si>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</si>
  <si>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營業利益率</t>
    </r>
  </si>
  <si>
    <t xml:space="preserve">合併營業利益率</t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</si>
  <si>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分部折舊攤銷（</t>
    </r>
    <r>
      <rPr>
        <b val="true"/>
        <sz val="11"/>
        <rFont val="Cambria"/>
        <family val="0"/>
        <charset val="1"/>
      </rPr>
      <t xml:space="preserve">PP&amp;E</t>
    </r>
    <r>
      <rPr>
        <b val="true"/>
        <sz val="11"/>
        <rFont val="Noto Sans CJK SC"/>
        <family val="2"/>
      </rPr>
      <t xml:space="preserve">）與 </t>
    </r>
    <r>
      <rPr>
        <b val="true"/>
        <sz val="11"/>
        <rFont val="Cambria"/>
        <family val="0"/>
        <charset val="1"/>
      </rPr>
      <t xml:space="preserve">EBITDA</t>
    </r>
    <r>
      <rPr>
        <b val="true"/>
        <sz val="11"/>
        <rFont val="Noto Sans CJK SC"/>
        <family val="2"/>
      </rPr>
      <t xml:space="preserve">（分部加總評價用）</t>
    </r>
  </si>
  <si>
    <r>
      <rPr>
        <sz val="11"/>
        <color theme="1"/>
        <rFont val="Noto Sans CJK SC"/>
        <family val="2"/>
      </rPr>
      <t xml:space="preserve">零售非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零售營收（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</si>
  <si>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Noto Sans CJK SC"/>
        <family val="2"/>
      </rPr>
      <t xml:space="preserve">分部折舊攤銷合計（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；不含影音內容與營業租賃資產）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</si>
  <si>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：廣告（＝廣告利潤，未分攤折舊）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</si>
  <si>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：零售本業（北美＋國際 營業利益＋折舊 − 廣告利潤；含自用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成本）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</si>
  <si>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</si>
  <si>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AWS AI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</si>
  <si>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（營業利益＋分部折舊攤銷）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</si>
  <si>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業外、稅、淨利、</t>
    </r>
    <r>
      <rPr>
        <b val="true"/>
        <sz val="11"/>
        <rFont val="Cambria"/>
        <family val="0"/>
        <charset val="1"/>
      </rPr>
      <t xml:space="preserve">EPS</t>
    </r>
  </si>
  <si>
    <t xml:space="preserve">利息收入（預測；實績含在業外其他）</t>
  </si>
  <si>
    <r>
      <rPr>
        <sz val="11"/>
        <color theme="1"/>
        <rFont val="Noto Sans CJK SC"/>
        <family val="2"/>
      </rPr>
      <t xml:space="preserve">業外其他（含利息收入與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等持股評價損益；預測期設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</si>
  <si>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持股價值另在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頁加入（不重複計算）</t>
    </r>
  </si>
  <si>
    <r>
      <rPr>
        <sz val="11"/>
        <color theme="1"/>
        <rFont val="Noto Sans CJK SC"/>
        <family val="2"/>
      </rPr>
      <t xml:space="preserve">無回購；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稀釋每年 </t>
    </r>
    <r>
      <rPr>
        <sz val="11"/>
        <color theme="1"/>
        <rFont val="Calibri"/>
        <family val="2"/>
        <charset val="1"/>
      </rPr>
      <t xml:space="preserve">sh_g</t>
    </r>
  </si>
  <si>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（稀釋）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</si>
  <si>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（不含業外其他，近似：扣除業外其他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稅率））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</si>
  <si>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S&amp;P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上半年業外含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評價利益約 </t>
    </r>
    <r>
      <rPr>
        <sz val="11"/>
        <color theme="1"/>
        <rFont val="Calibri"/>
        <family val="2"/>
        <charset val="1"/>
      </rPr>
      <t xml:space="preserve">69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</si>
  <si>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</si>
  <si>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</si>
  <si>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）：營收線合計（含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）− 合併營收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</si>
  <si>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）：分部營業利益合計 − 合併營業利益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</si>
  <si>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C</t>
    </r>
    <r>
      <rPr>
        <b val="true"/>
        <sz val="12"/>
        <rFont val="Noto Sans CJK SC"/>
        <family val="2"/>
      </rPr>
      <t xml:space="preserve">（保守）：分部營收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</si>
  <si>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）：營收線合計（含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）− 合併營收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</si>
  <si>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）：分部營業利益合計 − 合併營業利益</t>
    </r>
  </si>
  <si>
    <r>
      <rPr>
        <sz val="11"/>
        <color theme="1"/>
        <rFont val="Calibri"/>
        <family val="2"/>
        <charset val="1"/>
      </rPr>
      <t xml:space="preserve">CF — </t>
    </r>
    <r>
      <rPr>
        <sz val="11"/>
        <color theme="1"/>
        <rFont val="Noto Sans CJK SC"/>
        <family val="2"/>
      </rPr>
      <t xml:space="preserve">營運現金（淨利＋分部折舊＋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＋其他）− 資本支出（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其他＋零售）− 融資租賃本金 → 自由現金流；股利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、回購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無）；現金低於最低現金即舉債</t>
    </r>
  </si>
  <si>
    <t xml:space="preserve">收支關卡（地圖讀取；列標籤固定）</t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</si>
  <si>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</si>
  <si>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</si>
  <si>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</t>
    </r>
  </si>
  <si>
    <t xml:space="preserve">情境加權</t>
  </si>
  <si>
    <t xml:space="preserve">收支關卡：自由現金流扣股利（五年合計）</t>
  </si>
  <si>
    <r>
      <rPr>
        <sz val="11"/>
        <color theme="1"/>
        <rFont val="Calibri"/>
        <family val="2"/>
        <charset val="1"/>
      </rPr>
      <t xml:space="preserve">FY2026–FY2030</t>
    </r>
    <r>
      <rPr>
        <sz val="11"/>
        <color theme="1"/>
        <rFont val="Noto Sans CJK SC"/>
        <family val="2"/>
      </rPr>
      <t xml:space="preserve">（首年起五年；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模型）自由現金流扣股利合計；負值＝入不敷出（地圖收支關卡）</t>
    </r>
  </si>
  <si>
    <r>
      <rPr>
        <sz val="11"/>
        <color theme="1"/>
        <rFont val="Calibri"/>
        <family val="2"/>
        <charset val="1"/>
      </rPr>
      <t xml:space="preserve">FY2026–FY2030 </t>
    </r>
    <r>
      <rPr>
        <sz val="11"/>
        <color theme="1"/>
        <rFont val="Noto Sans CJK SC"/>
        <family val="2"/>
      </rPr>
      <t xml:space="preserve">新增借款合計（不含已發行債券）</t>
    </r>
  </si>
  <si>
    <t xml:space="preserve">是否需要舉債</t>
  </si>
  <si>
    <r>
      <rPr>
        <sz val="11"/>
        <color theme="1"/>
        <rFont val="Noto Sans CJK SC"/>
        <family val="2"/>
      </rPr>
      <t xml:space="preserve">已發行的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下半年債券 </t>
    </r>
    <r>
      <rPr>
        <sz val="11"/>
        <color theme="1"/>
        <rFont val="Calibri"/>
        <family val="2"/>
        <charset val="1"/>
      </rPr>
      <t xml:space="preserve">29.25 </t>
    </r>
    <r>
      <rPr>
        <sz val="11"/>
        <color theme="1"/>
        <rFont val="Noto Sans CJK SC"/>
        <family val="2"/>
      </rPr>
      <t xml:space="preserve">不計；現金低於最低現金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時舉債</t>
    </r>
  </si>
  <si>
    <t xml:space="preserve">回購是否需停止</t>
  </si>
  <si>
    <r>
      <rPr>
        <sz val="11"/>
        <color theme="1"/>
        <rFont val="Noto Sans CJK SC"/>
        <family val="2"/>
      </rPr>
      <t xml:space="preserve">無回購可減（</t>
    </r>
    <r>
      <rPr>
        <sz val="11"/>
        <color theme="1"/>
        <rFont val="Calibri"/>
        <family val="2"/>
        <charset val="1"/>
      </rPr>
      <t xml:space="preserve">2023–2026H1 </t>
    </r>
    <r>
      <rPr>
        <sz val="11"/>
        <color theme="1"/>
        <rFont val="Noto Sans CJK SC"/>
        <family val="2"/>
      </rPr>
      <t xml:space="preserve">皆為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</si>
  <si>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自由現金流（扣股利）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</si>
  <si>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A</t>
    </r>
    <r>
      <rPr>
        <b val="true"/>
        <sz val="12"/>
        <rFont val="Noto Sans CJK SC"/>
        <family val="2"/>
      </rPr>
      <t xml:space="preserve">（樂觀）：營運現金 − 資本支出 − 租賃本金 → 自由現金流；股利、回購、借款與淨現金</t>
    </r>
  </si>
  <si>
    <r>
      <rPr>
        <sz val="11"/>
        <color theme="1"/>
        <rFont val="Noto Sans CJK SC"/>
        <family val="2"/>
      </rPr>
      <t xml:space="preserve">分部折舊攤銷（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）</t>
    </r>
  </si>
  <si>
    <t xml:space="preserve">股份基礎給付（加回）</t>
  </si>
  <si>
    <t xml:space="preserve">其他營運項目（營運資金、影音內容與租賃現金支出、非現金業外）</t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</si>
  <si>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含首期營運資金（</t>
    </r>
    <r>
      <rPr>
        <sz val="11"/>
        <color theme="1"/>
        <rFont val="Calibri"/>
        <family val="2"/>
        <charset val="1"/>
      </rPr>
      <t xml:space="preserve">C14</t>
    </r>
    <r>
      <rPr>
        <sz val="11"/>
        <color theme="1"/>
        <rFont val="Noto Sans CJK SC"/>
        <family val="2"/>
      </rPr>
      <t xml:space="preserve">）；實績含持股評價利益的扣除</t>
    </r>
  </si>
  <si>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</si>
  <si>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其他（</t>
    </r>
    <r>
      <rPr>
        <sz val="11"/>
        <color theme="1"/>
        <rFont val="Calibri"/>
        <family val="2"/>
        <charset val="1"/>
      </rPr>
      <t xml:space="preserve">cx_awso × AWS </t>
    </r>
    <r>
      <rPr>
        <sz val="11"/>
        <color theme="1"/>
        <rFont val="Noto Sans CJK SC"/>
        <family val="2"/>
      </rPr>
      <t xml:space="preserve">其他營收）</t>
    </r>
  </si>
  <si>
    <r>
      <rPr>
        <sz val="11"/>
        <color theme="1"/>
        <rFont val="Noto Sans CJK SC"/>
        <family val="2"/>
      </rPr>
      <t xml:space="preserve">資本支出：零售（</t>
    </r>
    <r>
      <rPr>
        <sz val="11"/>
        <color theme="1"/>
        <rFont val="Calibri"/>
        <family val="2"/>
        <charset val="1"/>
      </rPr>
      <t xml:space="preserve">cx_rt × </t>
    </r>
    <r>
      <rPr>
        <sz val="11"/>
        <color theme="1"/>
        <rFont val="Noto Sans CJK SC"/>
        <family val="2"/>
      </rPr>
      <t xml:space="preserve">零售營收）</t>
    </r>
  </si>
  <si>
    <t xml:space="preserve">資本支出（現金，淨額）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</si>
  <si>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未揭露：以全年 </t>
    </r>
    <r>
      <rPr>
        <sz val="11"/>
        <color theme="1"/>
        <rFont val="Calibri"/>
        <family val="2"/>
        <charset val="1"/>
      </rPr>
      <t xml:space="preserve">÷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</si>
  <si>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自由現金流（營運現金流 − 資本支出 − 融資租賃本金）</t>
  </si>
  <si>
    <t xml:space="preserve">股利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</si>
  <si>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未配息</t>
    </r>
  </si>
  <si>
    <t xml:space="preserve">回購</t>
  </si>
  <si>
    <r>
      <rPr>
        <sz val="11"/>
        <color theme="1"/>
        <rFont val="Calibri"/>
        <family val="2"/>
        <charset val="1"/>
      </rPr>
      <t xml:space="preserve">2023–2026H1 </t>
    </r>
    <r>
      <rPr>
        <sz val="11"/>
        <color theme="1"/>
        <rFont val="Noto Sans CJK SC"/>
        <family val="2"/>
      </rPr>
      <t xml:space="preserve">無回購；模型不設回購（無可減的回購）</t>
    </r>
  </si>
  <si>
    <t xml:space="preserve">自由現金流扣股利</t>
  </si>
  <si>
    <r>
      <rPr>
        <sz val="11"/>
        <color theme="1"/>
        <rFont val="Noto Sans CJK SC"/>
        <family val="2"/>
      </rPr>
      <t xml:space="preserve">策略投資（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</si>
  <si>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已發行債券（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下半年）</t>
    </r>
  </si>
  <si>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起）</t>
    </r>
  </si>
  <si>
    <t xml:space="preserve">借款前現金</t>
  </si>
  <si>
    <t xml:space="preserve">新增借款（現金低於最低現金時）</t>
  </si>
  <si>
    <r>
      <rPr>
        <sz val="11"/>
        <color theme="1"/>
        <rFont val="Noto Sans CJK SC"/>
        <family val="2"/>
      </rPr>
      <t xml:space="preserve">到期債務假設全數再融資（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</si>
  <si>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期末現金與有價證券</t>
  </si>
  <si>
    <t xml:space="preserve">期末債務面額</t>
  </si>
  <si>
    <t xml:space="preserve">淨負債（債務 − 現金；負值＝淨現金）</t>
  </si>
  <si>
    <r>
      <rPr>
        <sz val="11"/>
        <color theme="1"/>
        <rFont val="Noto Sans CJK SC"/>
        <family val="2"/>
      </rPr>
      <t xml:space="preserve">利息費用（既有債務 </t>
    </r>
    <r>
      <rPr>
        <sz val="11"/>
        <color theme="1"/>
        <rFont val="Calibri"/>
        <family val="2"/>
        <charset val="1"/>
      </rPr>
      <t xml:space="preserve">× kd_book</t>
    </r>
    <r>
      <rPr>
        <sz val="11"/>
        <color theme="1"/>
        <rFont val="Noto Sans CJK SC"/>
        <family val="2"/>
      </rPr>
      <t xml:space="preserve">＋新增債務 </t>
    </r>
    <r>
      <rPr>
        <sz val="11"/>
        <color theme="1"/>
        <rFont val="Calibri"/>
        <family val="2"/>
        <charset val="1"/>
      </rPr>
      <t xml:space="preserve">× kd_new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</si>
  <si>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利息收入（期初現金 </t>
    </r>
    <r>
      <rPr>
        <sz val="11"/>
        <color theme="1"/>
        <rFont val="Calibri"/>
        <family val="2"/>
        <charset val="1"/>
      </rPr>
      <t xml:space="preserve">× y_cash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</si>
  <si>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收支關卡（本情境）：自由現金流扣股利 </t>
    </r>
    <r>
      <rPr>
        <b val="true"/>
        <sz val="11"/>
        <rFont val="Cambria"/>
        <family val="0"/>
        <charset val="1"/>
      </rPr>
      <t xml:space="preserve">FY2026–FY2030 </t>
    </r>
    <r>
      <rPr>
        <b val="true"/>
        <sz val="11"/>
        <rFont val="Noto Sans CJK SC"/>
        <family val="2"/>
      </rPr>
      <t xml:space="preserve">合計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</si>
  <si>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</si>
  <si>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C</t>
    </r>
    <r>
      <rPr>
        <b val="true"/>
        <sz val="12"/>
        <rFont val="Noto Sans CJK SC"/>
        <family val="2"/>
      </rPr>
      <t xml:space="preserve">（保守）：營運現金 − 資本支出 − 租賃本金 → 自由現金流；股利、回購、借款與淨現金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</si>
  <si>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目標價約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2027-10-27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FCFF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＋分部加總（同業 </t>
    </r>
    <r>
      <rPr>
        <sz val="11"/>
        <color theme="1"/>
        <rFont val="Calibri"/>
        <family val="2"/>
        <charset val="1"/>
      </rPr>
      <t xml:space="preserve">NTM EV/EBITDA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；情境權重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  <r>
      <rPr>
        <sz val="11"/>
        <color theme="1"/>
        <rFont val="Noto Sans CJK SC"/>
        <family val="2"/>
      </rPr>
      <t xml:space="preserve">；五級投資建議</t>
    </r>
  </si>
  <si>
    <r>
      <rPr>
        <b val="true"/>
        <sz val="12"/>
        <rFont val="Cambria"/>
        <family val="0"/>
        <charset val="1"/>
      </rPr>
      <t xml:space="preserve">0. </t>
    </r>
    <r>
      <rPr>
        <b val="true"/>
        <sz val="12"/>
        <rFont val="Noto Sans CJK SC"/>
        <family val="2"/>
      </rPr>
      <t xml:space="preserve">目標價（工作單第 </t>
    </r>
    <r>
      <rPr>
        <b val="true"/>
        <sz val="12"/>
        <rFont val="Cambria"/>
        <family val="0"/>
        <charset val="1"/>
      </rPr>
      <t xml:space="preserve">2 </t>
    </r>
    <r>
      <rPr>
        <b val="true"/>
        <sz val="12"/>
        <rFont val="Noto Sans CJK SC"/>
        <family val="2"/>
      </rPr>
      <t xml:space="preserve">節；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半導體 </t>
    </r>
    <r>
      <rPr>
        <b val="true"/>
        <sz val="12"/>
        <rFont val="Cambria"/>
        <family val="0"/>
        <charset val="1"/>
      </rPr>
      <t xml:space="preserve">v2 </t>
    </r>
    <r>
      <rPr>
        <b val="true"/>
        <sz val="12"/>
        <rFont val="Noto Sans CJK SC"/>
        <family val="2"/>
      </rPr>
      <t xml:space="preserve">口徑：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＋</t>
    </r>
    <r>
      <rPr>
        <b val="true"/>
        <sz val="12"/>
        <rFont val="Cambria"/>
        <family val="0"/>
        <charset val="1"/>
      </rPr>
      <t xml:space="preserve">Comparable </t>
    </r>
    <r>
      <rPr>
        <b val="true"/>
        <sz val="12"/>
        <rFont val="Noto Sans CJK SC"/>
        <family val="2"/>
      </rPr>
      <t xml:space="preserve">各半，</t>
    </r>
    <r>
      <rPr>
        <b val="true"/>
        <sz val="12"/>
        <rFont val="Cambria"/>
        <family val="0"/>
        <charset val="1"/>
      </rPr>
      <t xml:space="preserve">Comparable </t>
    </r>
    <r>
      <rPr>
        <b val="true"/>
        <sz val="12"/>
        <rFont val="Noto Sans CJK SC"/>
        <family val="2"/>
      </rPr>
      <t xml:space="preserve">在分部層做＝分部加總）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</si>
  <si>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</si>
  <si>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r>
      <rPr>
        <sz val="11"/>
        <color theme="1"/>
        <rFont val="Calibri"/>
        <family val="2"/>
        <charset val="1"/>
      </rPr>
      <t xml:space="preserve">FCFF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折到 </t>
    </r>
    <r>
      <rPr>
        <sz val="11"/>
        <color theme="1"/>
        <rFont val="Calibri"/>
        <family val="2"/>
        <charset val="1"/>
      </rPr>
      <t xml:space="preserve">2026-12-31</t>
    </r>
    <r>
      <rPr>
        <sz val="11"/>
        <color theme="1"/>
        <rFont val="Noto Sans CJK SC"/>
        <family val="2"/>
      </rPr>
      <t xml:space="preserve">，再以 </t>
    </r>
    <r>
      <rPr>
        <sz val="11"/>
        <color theme="1"/>
        <rFont val="Calibri"/>
        <family val="2"/>
        <charset val="1"/>
      </rPr>
      <t xml:space="preserve">ke </t>
    </r>
    <r>
      <rPr>
        <sz val="11"/>
        <color theme="1"/>
        <rFont val="Noto Sans CJK SC"/>
        <family val="2"/>
      </rPr>
      <t xml:space="preserve">推到 </t>
    </r>
    <r>
      <rPr>
        <sz val="11"/>
        <color theme="1"/>
        <rFont val="Calibri"/>
        <family val="2"/>
        <charset val="1"/>
      </rPr>
      <t xml:space="preserve">2027-10-27</t>
    </r>
  </si>
  <si>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（分部加總）情境價值</t>
    </r>
  </si>
  <si>
    <r>
      <rPr>
        <sz val="11"/>
        <color theme="1"/>
        <rFont val="Noto Sans CJK SC"/>
        <family val="2"/>
      </rPr>
      <t xml:space="preserve">廣告、零售本業、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其他、</t>
    </r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各乘同業倍數；＋持股 − 淨負債</t>
    </r>
  </si>
  <si>
    <r>
      <rPr>
        <sz val="11"/>
        <color theme="1"/>
        <rFont val="Noto Sans CJK SC"/>
        <family val="2"/>
      </rPr>
      <t xml:space="preserve">情境目標價（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</si>
  <si>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永續價值占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企業價值</t>
    </r>
  </si>
  <si>
    <t xml:space="preserve">情境權重</t>
  </si>
  <si>
    <r>
      <rPr>
        <sz val="11"/>
        <color theme="1"/>
        <rFont val="Calibri"/>
        <family val="2"/>
        <charset val="1"/>
      </rPr>
      <t xml:space="preserve">FY2028 AWS </t>
    </r>
    <r>
      <rPr>
        <sz val="11"/>
        <color theme="1"/>
        <rFont val="Noto Sans CJK SC"/>
        <family val="2"/>
      </rPr>
      <t xml:space="preserve">營業利益率</t>
    </r>
  </si>
  <si>
    <t xml:space="preserve">核心問題（一）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</si>
  <si>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自由現金流扣股利</t>
    </r>
  </si>
  <si>
    <t xml:space="preserve">核心問題（二）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</si>
  <si>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ROIC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</si>
  <si>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</t>
    </r>
  </si>
  <si>
    <t xml:space="preserve">FY2028 EPS</t>
  </si>
  <si>
    <r>
      <rPr>
        <sz val="11"/>
        <color theme="1"/>
        <rFont val="Noto Sans CJK SC"/>
        <family val="2"/>
      </rPr>
      <t xml:space="preserve">收支關卡（各情境）：自由現金流扣股利 </t>
    </r>
    <r>
      <rPr>
        <sz val="11"/>
        <color theme="1"/>
        <rFont val="Calibri"/>
        <family val="2"/>
        <charset val="1"/>
      </rPr>
      <t xml:space="preserve">FY2026–FY2030 </t>
    </r>
    <r>
      <rPr>
        <sz val="11"/>
        <color theme="1"/>
        <rFont val="Noto Sans CJK SC"/>
        <family val="2"/>
      </rPr>
      <t xml:space="preserve">合計</t>
    </r>
  </si>
  <si>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列</t>
    </r>
  </si>
  <si>
    <t xml:space="preserve">數值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</si>
  <si>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</si>
  <si>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</si>
  <si>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分部加總（工作單：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在分部層做）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</si>
  <si>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</si>
  <si>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情境目標價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</si>
  <si>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</si>
  <si>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同值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</si>
  <si>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</si>
  <si>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</si>
  <si>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t xml:space="preserve">上檔空間級距</t>
  </si>
  <si>
    <t xml:space="preserve">投資建議</t>
  </si>
  <si>
    <r>
      <rPr>
        <sz val="11"/>
        <color theme="1"/>
        <rFont val="Noto Sans CJK SC"/>
        <family val="2"/>
      </rPr>
      <t xml:space="preserve">五級固定規則：≥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放空、≤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</si>
  <si>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</si>
  <si>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S&amp;P Global 60 </t>
    </r>
    <r>
      <rPr>
        <sz val="11"/>
        <color theme="1"/>
        <rFont val="Noto Sans CJK SC"/>
        <family val="2"/>
      </rPr>
      <t xml:space="preserve">位平均（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</si>
  <si>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t xml:space="preserve">上檔空間：市場共識目標價</t>
  </si>
  <si>
    <r>
      <rPr>
        <sz val="11"/>
        <color theme="1"/>
        <rFont val="Noto Sans CJK SC"/>
        <family val="2"/>
      </rPr>
      <t xml:space="preserve">悲觀情境價（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</si>
  <si>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</si>
  <si>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（目標價時點）</t>
    </r>
  </si>
  <si>
    <r>
      <rPr>
        <sz val="11"/>
        <color theme="1"/>
        <rFont val="Noto Sans CJK SC"/>
        <family val="2"/>
      </rPr>
      <t xml:space="preserve">收支關卡（引用 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頁）：自由現金流扣股利五年合計（情境加權）</t>
    </r>
  </si>
  <si>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</si>
  <si>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</si>
  <si>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FCFF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＋分部折舊 − 資本支出 − 融資租賃本金＋其他營運項目（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不加回），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CAPM</t>
    </r>
    <r>
      <rPr>
        <sz val="11"/>
        <color theme="1"/>
        <rFont val="Noto Sans CJK SC"/>
        <family val="2"/>
      </rPr>
      <t xml:space="preserve">，沿用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輸入、現價更新），</t>
    </r>
    <r>
      <rPr>
        <sz val="11"/>
        <color theme="1"/>
        <rFont val="Calibri"/>
        <family val="2"/>
        <charset val="1"/>
      </rPr>
      <t xml:space="preserve">FY2027–FY2032 </t>
    </r>
    <r>
      <rPr>
        <sz val="11"/>
        <color theme="1"/>
        <rFont val="Noto Sans CJK SC"/>
        <family val="2"/>
      </rPr>
      <t xml:space="preserve">期中折現，永續價值＝</t>
    </r>
    <r>
      <rPr>
        <sz val="11"/>
        <color theme="1"/>
        <rFont val="Calibri"/>
        <family val="2"/>
        <charset val="1"/>
      </rPr>
      <t xml:space="preserve">FY2033 NOPAT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 ÷ RONIC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WACC − g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RONIC </t>
    </r>
    <r>
      <rPr>
        <sz val="11"/>
        <color theme="1"/>
        <rFont val="Noto Sans CJK SC"/>
        <family val="2"/>
      </rPr>
      <t xml:space="preserve">預設＝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；淨負債為模型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年底值；持股（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）加回。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（分部加總）：目標價時點未來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0.25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0.75 × FY2028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NTM EV/EBITDA </t>
    </r>
    <r>
      <rPr>
        <sz val="11"/>
        <color theme="1"/>
        <rFont val="Noto Sans CJK SC"/>
        <family val="2"/>
      </rPr>
      <t xml:space="preserve">中位數（零售、數位廣告、非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雲端；</t>
    </r>
    <r>
      <rPr>
        <sz val="11"/>
        <color theme="1"/>
        <rFont val="Calibri"/>
        <family val="2"/>
        <charset val="1"/>
      </rPr>
      <t xml:space="preserve">AWS AI 6×</t>
    </r>
    <r>
      <rPr>
        <sz val="11"/>
        <color theme="1"/>
        <rFont val="Noto Sans CJK SC"/>
        <family val="2"/>
      </rPr>
      <t xml:space="preserve">），減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年底淨負債、加持股。</t>
    </r>
  </si>
  <si>
    <r>
      <rPr>
        <b val="true"/>
        <sz val="11"/>
        <rFont val="Noto Sans CJK SC"/>
        <family val="2"/>
      </rPr>
      <t xml:space="preserve">同業 </t>
    </r>
    <r>
      <rPr>
        <b val="true"/>
        <sz val="11"/>
        <rFont val="Cambria"/>
        <family val="0"/>
        <charset val="1"/>
      </rPr>
      <t xml:space="preserve">NTM EV/EBITDA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StockAnalysis EV ÷ MarketScreener NTM EBITDA </t>
    </r>
    <r>
      <rPr>
        <b val="true"/>
        <sz val="11"/>
        <rFont val="Noto Sans CJK SC"/>
        <family val="2"/>
      </rPr>
      <t xml:space="preserve">共識，</t>
    </r>
    <r>
      <rPr>
        <b val="true"/>
        <sz val="11"/>
        <rFont val="Cambria"/>
        <family val="0"/>
        <charset val="1"/>
      </rPr>
      <t xml:space="preserve">2026-10-07</t>
    </r>
    <r>
      <rPr>
        <b val="true"/>
        <sz val="11"/>
        <rFont val="Noto Sans CJK SC"/>
        <family val="2"/>
      </rPr>
      <t xml:space="preserve">；沿用 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共用同業檔，本輪未更新）</t>
    </r>
  </si>
  <si>
    <t xml:space="preserve">同業</t>
  </si>
  <si>
    <t xml:space="preserve">代號</t>
  </si>
  <si>
    <t xml:space="preserve">NTM EV/EBITDA</t>
  </si>
  <si>
    <t xml:space="preserve">組別</t>
  </si>
  <si>
    <t xml:space="preserve">Walmart</t>
  </si>
  <si>
    <t xml:space="preserve">WMT</t>
  </si>
  <si>
    <t xml:space="preserve">零售</t>
  </si>
  <si>
    <t xml:space="preserve">S24</t>
  </si>
  <si>
    <t xml:space="preserve">Costco</t>
  </si>
  <si>
    <t xml:space="preserve">COST</t>
  </si>
  <si>
    <t xml:space="preserve">Target</t>
  </si>
  <si>
    <t xml:space="preserve">TGT</t>
  </si>
  <si>
    <t xml:space="preserve">Meta</t>
  </si>
  <si>
    <t xml:space="preserve">META</t>
  </si>
  <si>
    <r>
      <rPr>
        <sz val="11"/>
        <color theme="1"/>
        <rFont val="Noto Sans CJK SC"/>
        <family val="2"/>
      </rPr>
      <t xml:space="preserve">數位廣告（</t>
    </r>
    <r>
      <rPr>
        <sz val="11"/>
        <color theme="1"/>
        <rFont val="Calibri"/>
        <family val="2"/>
        <charset val="1"/>
      </rPr>
      <t xml:space="preserve">C18 </t>
    </r>
    <r>
      <rPr>
        <sz val="11"/>
        <color theme="1"/>
        <rFont val="Noto Sans CJK SC"/>
        <family val="2"/>
      </rPr>
      <t xml:space="preserve">共用組）</t>
    </r>
  </si>
  <si>
    <t xml:space="preserve">S23</t>
  </si>
  <si>
    <t xml:space="preserve">Pinterest</t>
  </si>
  <si>
    <t xml:space="preserve">PINS</t>
  </si>
  <si>
    <t xml:space="preserve">The Trade Desk</t>
  </si>
  <si>
    <t xml:space="preserve">TTD</t>
  </si>
  <si>
    <t xml:space="preserve">AppLovin</t>
  </si>
  <si>
    <t xml:space="preserve">APP</t>
  </si>
  <si>
    <t xml:space="preserve">Reddit</t>
  </si>
  <si>
    <t xml:space="preserve">RDDT</t>
  </si>
  <si>
    <t xml:space="preserve">Snap</t>
  </si>
  <si>
    <t xml:space="preserve">SNAP</t>
  </si>
  <si>
    <t xml:space="preserve">Oracle</t>
  </si>
  <si>
    <t xml:space="preserve">ORCL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</si>
  <si>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雲端（</t>
    </r>
    <r>
      <rPr>
        <sz val="11"/>
        <color theme="1"/>
        <rFont val="Calibri"/>
        <family val="2"/>
        <charset val="1"/>
      </rPr>
      <t xml:space="preserve">C12 </t>
    </r>
    <r>
      <rPr>
        <sz val="11"/>
        <color theme="1"/>
        <rFont val="Noto Sans CJK SC"/>
        <family val="2"/>
      </rPr>
      <t xml:space="preserve">共用組）</t>
    </r>
  </si>
  <si>
    <t xml:space="preserve">S22</t>
  </si>
  <si>
    <t xml:space="preserve">IBM</t>
  </si>
  <si>
    <t xml:space="preserve">SAP</t>
  </si>
  <si>
    <t xml:space="preserve">Salesforce</t>
  </si>
  <si>
    <t xml:space="preserve">CRM</t>
  </si>
  <si>
    <t xml:space="preserve">ServiceNow</t>
  </si>
  <si>
    <t xml:space="preserve">NOW</t>
  </si>
  <si>
    <t xml:space="preserve">Akamai</t>
  </si>
  <si>
    <t xml:space="preserve">AKAM</t>
  </si>
  <si>
    <t xml:space="preserve">Equinix</t>
  </si>
  <si>
    <t xml:space="preserve">EQIX</t>
  </si>
  <si>
    <t xml:space="preserve">DigitalOcean</t>
  </si>
  <si>
    <t xml:space="preserve">DOCN</t>
  </si>
  <si>
    <t xml:space="preserve">零售 中位數</t>
  </si>
  <si>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家</t>
    </r>
  </si>
  <si>
    <t xml:space="preserve">數位廣告 中位數</t>
  </si>
  <si>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家</t>
    </r>
  </si>
  <si>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雲端 中位數</t>
    </r>
  </si>
  <si>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家</t>
    </r>
  </si>
  <si>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m_ai</t>
    </r>
    <r>
      <rPr>
        <sz val="11"/>
        <color theme="1"/>
        <rFont val="Noto Sans CJK SC"/>
        <family val="2"/>
      </rPr>
      <t xml:space="preserve">，對照表 </t>
    </r>
    <r>
      <rPr>
        <sz val="11"/>
        <color theme="1"/>
        <rFont val="Calibri"/>
        <family val="2"/>
        <charset val="1"/>
      </rPr>
      <t xml:space="preserve">D6</t>
    </r>
    <r>
      <rPr>
        <sz val="11"/>
        <color theme="1"/>
        <rFont val="Noto Sans CJK SC"/>
        <family val="2"/>
      </rPr>
      <t xml:space="preserve">）；對照 </t>
    </r>
    <r>
      <rPr>
        <sz val="11"/>
        <color theme="1"/>
        <rFont val="Calibri"/>
        <family val="2"/>
        <charset val="1"/>
      </rPr>
      <t xml:space="preserve">CRWV TTM 25.0×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ORCL TTM 16.5×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NBIS 260×</t>
    </r>
    <r>
      <rPr>
        <sz val="11"/>
        <color theme="1"/>
        <rFont val="Noto Sans CJK SC"/>
        <family val="2"/>
      </rPr>
      <t xml:space="preserve">（只作對照）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</si>
  <si>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A</t>
    </r>
    <r>
      <rPr>
        <b val="true"/>
        <sz val="12"/>
        <rFont val="Noto Sans CJK SC"/>
        <family val="2"/>
      </rPr>
      <t xml:space="preserve">（樂觀）：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</si>
  <si>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（基準日 </t>
    </r>
    <r>
      <rPr>
        <b val="true"/>
        <sz val="11"/>
        <rFont val="Cambria"/>
        <family val="0"/>
        <charset val="1"/>
      </rPr>
      <t xml:space="preserve">2026-12-31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期中折現；永續價值＝</t>
    </r>
    <r>
      <rPr>
        <b val="true"/>
        <sz val="11"/>
        <rFont val="Cambria"/>
        <family val="0"/>
        <charset val="1"/>
      </rPr>
      <t xml:space="preserve">FY2033 NOPAT 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1 − g ÷ RONIC</t>
    </r>
    <r>
      <rPr>
        <b val="true"/>
        <sz val="11"/>
        <rFont val="Noto Sans CJK SC"/>
        <family val="2"/>
      </rPr>
      <t xml:space="preserve">）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WACC − g</t>
    </r>
    <r>
      <rPr>
        <b val="true"/>
        <sz val="11"/>
        <rFont val="Noto Sans CJK SC"/>
        <family val="2"/>
      </rPr>
      <t xml:space="preserve">））</t>
    </r>
  </si>
  <si>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＝合併營業利益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</si>
  <si>
    <t xml:space="preserve">＋分部折舊攤銷</t>
  </si>
  <si>
    <t xml:space="preserve">− 資本支出</t>
  </si>
  <si>
    <t xml:space="preserve">− 融資租賃本金</t>
  </si>
  <si>
    <t xml:space="preserve">＋其他營運項目</t>
  </si>
  <si>
    <r>
      <rPr>
        <b val="true"/>
        <sz val="11"/>
        <rFont val="Cambria"/>
        <family val="0"/>
        <charset val="1"/>
      </rPr>
      <t xml:space="preserve">FCFF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SBC </t>
    </r>
    <r>
      <rPr>
        <b val="true"/>
        <sz val="11"/>
        <rFont val="Noto Sans CJK SC"/>
        <family val="2"/>
      </rPr>
      <t xml:space="preserve">不加回，視同現金成本）</t>
    </r>
  </si>
  <si>
    <t xml:space="preserve">折現因子（期中）</t>
  </si>
  <si>
    <t xml:space="preserve">現值</t>
  </si>
  <si>
    <t xml:space="preserve">明確期現值合計</t>
  </si>
  <si>
    <r>
      <rPr>
        <sz val="11"/>
        <color theme="1"/>
        <rFont val="Noto Sans CJK SC"/>
        <family val="2"/>
      </rPr>
      <t xml:space="preserve">永續價值（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年底）</t>
    </r>
  </si>
  <si>
    <t xml:space="preserve">永續價值現值</t>
  </si>
  <si>
    <r>
      <rPr>
        <sz val="11"/>
        <color theme="1"/>
        <rFont val="Noto Sans CJK SC"/>
        <family val="2"/>
      </rPr>
      <t xml:space="preserve">企業價值（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</si>
  <si>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永續價值占 </t>
    </r>
    <r>
      <rPr>
        <sz val="11"/>
        <color theme="1"/>
        <rFont val="Calibri"/>
        <family val="2"/>
        <charset val="1"/>
      </rPr>
      <t xml:space="preserve">EV</t>
    </r>
  </si>
  <si>
    <r>
      <rPr>
        <sz val="11"/>
        <color theme="1"/>
        <rFont val="Noto Sans CJK SC"/>
        <family val="2"/>
      </rPr>
      <t xml:space="preserve">− 淨負債（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</si>
  <si>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＋持股：</t>
    </r>
    <r>
      <rPr>
        <sz val="11"/>
        <color theme="1"/>
        <rFont val="Calibri"/>
        <family val="2"/>
        <charset val="1"/>
      </rPr>
      <t xml:space="preserve">(Anthropic </t>
    </r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比例＋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比例</t>
    </r>
    <r>
      <rPr>
        <sz val="11"/>
        <color theme="1"/>
        <rFont val="Calibri"/>
        <family val="2"/>
        <charset val="1"/>
      </rPr>
      <t xml:space="preserve">)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流動性折價）</t>
    </r>
  </si>
  <si>
    <t xml:space="preserve">股權價值</t>
  </si>
  <si>
    <r>
      <rPr>
        <sz val="11"/>
        <color theme="1"/>
        <rFont val="Noto Sans CJK SC"/>
        <family val="2"/>
      </rPr>
      <t xml:space="preserve">每股價值（</t>
    </r>
    <r>
      <rPr>
        <sz val="11"/>
        <color theme="1"/>
        <rFont val="Calibri"/>
        <family val="2"/>
        <charset val="1"/>
      </rPr>
      <t xml:space="preserve">2026-12-31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稀釋股數 </t>
    </r>
    <r>
      <rPr>
        <sz val="11"/>
        <color theme="1"/>
        <rFont val="Calibri"/>
        <family val="2"/>
        <charset val="1"/>
      </rPr>
      <t xml:space="preserve">sh_val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</si>
  <si>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情境價值推到目標價時點（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ke</t>
    </r>
    <r>
      <rPr>
        <b val="true"/>
        <sz val="11"/>
        <rFont val="Noto Sans CJK SC"/>
        <family val="2"/>
      </rPr>
      <t xml:space="preserve">）</t>
    </r>
    <r>
      <rPr>
        <b val="true"/>
        <sz val="11"/>
        <rFont val="Cambria"/>
        <family val="0"/>
        <charset val="1"/>
      </rPr>
      <t xml:space="preserve">^tp_yf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</si>
  <si>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分部加總（</t>
    </r>
    <r>
      <rPr>
        <b val="true"/>
        <sz val="11"/>
        <rFont val="Cambria"/>
        <family val="0"/>
        <charset val="1"/>
      </rPr>
      <t xml:space="preserve">SOTP</t>
    </r>
    <r>
      <rPr>
        <b val="true"/>
        <sz val="11"/>
        <rFont val="Noto Sans CJK SC"/>
        <family val="2"/>
      </rPr>
      <t xml:space="preserve">；目標價時點的未來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個月 </t>
    </r>
    <r>
      <rPr>
        <b val="true"/>
        <sz val="11"/>
        <rFont val="Cambria"/>
        <family val="0"/>
        <charset val="1"/>
      </rPr>
      <t xml:space="preserve">EBITDA ≈ 0.25 × FY2027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0.75 × FY2028</t>
    </r>
    <r>
      <rPr>
        <b val="true"/>
        <sz val="11"/>
        <rFont val="Noto Sans CJK SC"/>
        <family val="2"/>
      </rPr>
      <t xml:space="preserve">）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同業 </t>
    </r>
    <r>
      <rPr>
        <b val="true"/>
        <sz val="11"/>
        <rFont val="Cambria"/>
        <family val="0"/>
        <charset val="1"/>
      </rPr>
      <t xml:space="preserve">NTM EV/EBITDA </t>
    </r>
    <r>
      <rPr>
        <b val="true"/>
        <sz val="1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</si>
  <si>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廣告：未來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EBITDA</t>
    </r>
  </si>
  <si>
    <t xml:space="preserve">廣告：倍數</t>
  </si>
  <si>
    <r>
      <rPr>
        <sz val="11"/>
        <color theme="1"/>
        <rFont val="Noto Sans CJK SC"/>
        <family val="2"/>
      </rPr>
      <t xml:space="preserve">廣告：</t>
    </r>
    <r>
      <rPr>
        <sz val="11"/>
        <color theme="1"/>
        <rFont val="Calibri"/>
        <family val="2"/>
        <charset val="1"/>
      </rPr>
      <t xml:space="preserve">EV</t>
    </r>
  </si>
  <si>
    <r>
      <rPr>
        <sz val="11"/>
        <color theme="1"/>
        <rFont val="Noto Sans CJK SC"/>
        <family val="2"/>
      </rPr>
      <t xml:space="preserve">零售本業：未來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EBITDA</t>
    </r>
  </si>
  <si>
    <t xml:space="preserve">零售本業：倍數</t>
  </si>
  <si>
    <r>
      <rPr>
        <sz val="11"/>
        <color theme="1"/>
        <rFont val="Noto Sans CJK SC"/>
        <family val="2"/>
      </rPr>
      <t xml:space="preserve">零售本業：</t>
    </r>
    <r>
      <rPr>
        <sz val="11"/>
        <color theme="1"/>
        <rFont val="Calibri"/>
        <family val="2"/>
        <charset val="1"/>
      </rPr>
      <t xml:space="preserve">EV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</si>
  <si>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雲端）：未來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EBITDA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</si>
  <si>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雲端）：倍數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</si>
  <si>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雲端）：</t>
    </r>
    <r>
      <rPr>
        <sz val="11"/>
        <color theme="1"/>
        <rFont val="Calibri"/>
        <family val="2"/>
        <charset val="1"/>
      </rPr>
      <t xml:space="preserve">EV</t>
    </r>
  </si>
  <si>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：未來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EBITDA</t>
    </r>
  </si>
  <si>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：倍數</t>
    </r>
  </si>
  <si>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EV</t>
    </r>
  </si>
  <si>
    <r>
      <rPr>
        <sz val="11"/>
        <color theme="1"/>
        <rFont val="Noto Sans CJK SC"/>
        <family val="2"/>
      </rPr>
      <t xml:space="preserve">分部 </t>
    </r>
    <r>
      <rPr>
        <sz val="11"/>
        <color theme="1"/>
        <rFont val="Calibri"/>
        <family val="2"/>
        <charset val="1"/>
      </rPr>
      <t xml:space="preserve">EV </t>
    </r>
    <r>
      <rPr>
        <sz val="11"/>
        <color theme="1"/>
        <rFont val="Noto Sans CJK SC"/>
        <family val="2"/>
      </rPr>
      <t xml:space="preserve">合計</t>
    </r>
  </si>
  <si>
    <r>
      <rPr>
        <sz val="11"/>
        <color theme="1"/>
        <rFont val="Noto Sans CJK SC"/>
        <family val="2"/>
      </rPr>
      <t xml:space="preserve">− 淨負債（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年底）</t>
    </r>
  </si>
  <si>
    <t xml:space="preserve">股權價值（＋持股）</t>
  </si>
  <si>
    <t xml:space="preserve">分部加總每股價值（目標價時點）</t>
  </si>
  <si>
    <r>
      <rPr>
        <b val="true"/>
        <sz val="11"/>
        <rFont val="Noto Sans CJK SC"/>
        <family val="2"/>
      </rPr>
      <t xml:space="preserve">情境目標價＝</t>
    </r>
    <r>
      <rPr>
        <b val="true"/>
        <sz val="11"/>
        <rFont val="Cambria"/>
        <family val="0"/>
        <charset val="1"/>
      </rPr>
      <t xml:space="preserve">w_dcf × DCF</t>
    </r>
    <r>
      <rPr>
        <b val="true"/>
        <sz val="11"/>
        <rFont val="Noto Sans CJK SC"/>
        <family val="2"/>
      </rPr>
      <t xml:space="preserve">＋（</t>
    </r>
    <r>
      <rPr>
        <b val="true"/>
        <sz val="11"/>
        <rFont val="Cambria"/>
        <family val="0"/>
        <charset val="1"/>
      </rPr>
      <t xml:space="preserve">1 − w_dcf</t>
    </r>
    <r>
      <rPr>
        <b val="true"/>
        <sz val="11"/>
        <rFont val="Noto Sans CJK SC"/>
        <family val="2"/>
      </rPr>
      <t xml:space="preserve">）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分部加總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</si>
  <si>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權重（</t>
    </r>
    <r>
      <rPr>
        <sz val="11"/>
        <color theme="1"/>
        <rFont val="Calibri"/>
        <family val="2"/>
        <charset val="1"/>
      </rPr>
      <t xml:space="preserve">DCF 45%</t>
    </r>
    <r>
      <rPr>
        <sz val="11"/>
        <color theme="1"/>
        <rFont val="Noto Sans CJK SC"/>
        <family val="2"/>
      </rPr>
      <t xml:space="preserve">＋分部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</si>
  <si>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</si>
  <si>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C</t>
    </r>
    <r>
      <rPr>
        <b val="true"/>
        <sz val="12"/>
        <rFont val="Noto Sans CJK SC"/>
        <family val="2"/>
      </rPr>
      <t xml:space="preserve">（保守）：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</si>
  <si>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市場共識、公司指引與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。只作事後對照，不為對上數字而調參數（共同規則第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</si>
  <si>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</si>
  <si>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</si>
  <si>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</si>
  <si>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</si>
  <si>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差距（</t>
    </r>
    <r>
      <rPr>
        <b val="true"/>
        <sz val="11"/>
        <rFont val="Cambria"/>
        <family val="0"/>
        <charset val="1"/>
      </rPr>
      <t xml:space="preserve">B ÷ </t>
    </r>
    <r>
      <rPr>
        <b val="true"/>
        <sz val="11"/>
        <rFont val="Noto Sans CJK SC"/>
        <family val="2"/>
      </rPr>
      <t xml:space="preserve">對照 −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</si>
  <si>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合併共識（</t>
    </r>
    <r>
      <rPr>
        <b val="true"/>
        <sz val="11"/>
        <rFont val="Cambria"/>
        <family val="0"/>
        <charset val="1"/>
      </rPr>
      <t xml:space="preserve">MarketScreener 2026-10-08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S&amp;P Global 2026-10-26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</si>
  <si>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</si>
  <si>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t xml:space="preserve">MarketScreener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</si>
  <si>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模型含 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實績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</si>
  <si>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</si>
  <si>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</si>
  <si>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t xml:space="preserve">FY2026 EBITDA</t>
  </si>
  <si>
    <r>
      <rPr>
        <sz val="11"/>
        <color theme="1"/>
        <rFont val="Noto Sans CJK SC"/>
        <family val="2"/>
      </rPr>
      <t xml:space="preserve">模型＝營業利益＋分部折舊（不含影音內容與營業租賃資產攤銷約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／年），口徑低於供應商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</si>
  <si>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EBIT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</si>
  <si>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</si>
  <si>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含上半年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評價利益</t>
    </r>
  </si>
  <si>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</si>
  <si>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（調整後，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模型不含業外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</si>
  <si>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</si>
  <si>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t xml:space="preserve">模型扣除業外其他（近似）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</si>
  <si>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</si>
  <si>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自由現金流</t>
    </r>
  </si>
  <si>
    <t xml:space="preserve">模型扣融資租賃本金；供應商口徑未揭露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</si>
  <si>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</si>
  <si>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）</t>
    </r>
  </si>
  <si>
    <t xml:space="preserve">FY2027 EBITDA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</si>
  <si>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EBIT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</si>
  <si>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</si>
  <si>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</si>
  <si>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（調整後，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模型不含業外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</si>
  <si>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</si>
  <si>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自由現金流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</si>
  <si>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</si>
  <si>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t xml:space="preserve">FY2028 EBITDA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</si>
  <si>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EBIT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</si>
  <si>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</si>
  <si>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</si>
  <si>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</si>
  <si>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自由現金流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</si>
  <si>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分部與營收線共識（逐分部）</t>
    </r>
  </si>
  <si>
    <t xml:space="preserve">FY2026 North America</t>
  </si>
  <si>
    <t xml:space="preserve">未找到</t>
  </si>
  <si>
    <t xml:space="preserve">未找到：本輪未取得公開的分部共識（免費來源只有合併數；網路搜尋額度用盡）</t>
  </si>
  <si>
    <t xml:space="preserve">FY2027 North America</t>
  </si>
  <si>
    <t xml:space="preserve">FY2026 International</t>
  </si>
  <si>
    <t xml:space="preserve">FY2027 International</t>
  </si>
  <si>
    <t xml:space="preserve">FY2026 AWS</t>
  </si>
  <si>
    <t xml:space="preserve">FY2027 AWS</t>
  </si>
  <si>
    <t xml:space="preserve">FY2026 Advertising services</t>
  </si>
  <si>
    <t xml:space="preserve">FY2027 Advertising services</t>
  </si>
  <si>
    <r>
      <rPr>
        <sz val="11"/>
        <color theme="1"/>
        <rFont val="Calibri"/>
        <family val="2"/>
        <charset val="1"/>
      </rPr>
      <t xml:space="preserve">FY2026 AWS AI</t>
    </r>
    <r>
      <rPr>
        <sz val="11"/>
        <color theme="1"/>
        <rFont val="Noto Sans CJK SC"/>
        <family val="2"/>
      </rPr>
      <t xml:space="preserve">（命題子列）</t>
    </r>
  </si>
  <si>
    <r>
      <rPr>
        <sz val="11"/>
        <color theme="1"/>
        <rFont val="Noto Sans CJK SC"/>
        <family val="2"/>
      </rPr>
      <t xml:space="preserve">公司不揭露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</si>
  <si>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FY2027 AWS AI</t>
    </r>
    <r>
      <rPr>
        <sz val="11"/>
        <color theme="1"/>
        <rFont val="Noto Sans CJK SC"/>
        <family val="2"/>
      </rPr>
      <t xml:space="preserve">（命題子列）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</si>
  <si>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公司指引與說法（驗證列；不用於校準）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</si>
  <si>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現金資本支出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220</t>
    </r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</si>
  <si>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法說（二手逐字稿）</t>
    </r>
  </si>
  <si>
    <r>
      <rPr>
        <sz val="11"/>
        <color theme="1"/>
        <rFont val="Calibri"/>
        <family val="2"/>
        <charset val="1"/>
      </rPr>
      <t xml:space="preserve">2H26 AI </t>
    </r>
    <r>
      <rPr>
        <sz val="11"/>
        <color theme="1"/>
        <rFont val="Noto Sans CJK SC"/>
        <family val="2"/>
      </rPr>
      <t xml:space="preserve">資本支出取 </t>
    </r>
    <r>
      <rPr>
        <sz val="11"/>
        <color theme="1"/>
        <rFont val="Calibri"/>
        <family val="2"/>
        <charset val="1"/>
      </rPr>
      <t xml:space="preserve">MAX(MW </t>
    </r>
    <r>
      <rPr>
        <sz val="11"/>
        <color theme="1"/>
        <rFont val="Noto Sans CJK SC"/>
        <family val="2"/>
      </rPr>
      <t xml:space="preserve">公式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指引下限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</si>
  <si>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營收指引中點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模型隱含 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2H26 × 2025Q3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比例）</t>
    </r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</si>
  <si>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新聞稿</t>
    </r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</si>
  <si>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197–202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時點約 −</t>
    </r>
    <r>
      <rPr>
        <sz val="11"/>
        <color theme="1"/>
        <rFont val="Calibri"/>
        <family val="2"/>
        <charset val="1"/>
      </rPr>
      <t xml:space="preserve">400bp</t>
    </r>
    <r>
      <rPr>
        <sz val="11"/>
        <color theme="1"/>
        <rFont val="Noto Sans CJK SC"/>
        <family val="2"/>
      </rPr>
      <t xml:space="preserve">、匯率 −</t>
    </r>
    <r>
      <rPr>
        <sz val="11"/>
        <color theme="1"/>
        <rFont val="Calibri"/>
        <family val="2"/>
        <charset val="1"/>
      </rPr>
      <t xml:space="preserve">80bp</t>
    </r>
    <r>
      <rPr>
        <sz val="11"/>
        <color theme="1"/>
        <rFont val="Noto Sans CJK SC"/>
        <family val="2"/>
      </rPr>
      <t xml:space="preserve">）；季節比例為 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</si>
  <si>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營業利益指引中點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模型隱含 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2H26 × 2025Q3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比例）</t>
    </r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</si>
  <si>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22.5–26.5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2025Q3 </t>
    </r>
    <r>
      <rPr>
        <sz val="11"/>
        <color theme="1"/>
        <rFont val="Noto Sans CJK SC"/>
        <family val="2"/>
      </rPr>
      <t xml:space="preserve">營業利益含 </t>
    </r>
    <r>
      <rPr>
        <sz val="11"/>
        <color theme="1"/>
        <rFont val="Calibri"/>
        <family val="2"/>
        <charset val="1"/>
      </rPr>
      <t xml:space="preserve">FTC </t>
    </r>
    <r>
      <rPr>
        <sz val="11"/>
        <color theme="1"/>
        <rFont val="Noto Sans CJK SC"/>
        <family val="2"/>
      </rPr>
      <t xml:space="preserve">和解等一次性費用，比例偏低</t>
    </r>
  </si>
  <si>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年化營收（評價日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</t>
    </r>
    <r>
      <rPr>
        <sz val="11"/>
        <color theme="1"/>
        <rFont val="Calibri"/>
        <family val="2"/>
        <charset val="1"/>
      </rPr>
      <t xml:space="preserve">&gt;25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</si>
  <si>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</si>
  <si>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Calibri"/>
        <family val="2"/>
        <charset val="1"/>
      </rPr>
      <t xml:space="preserve">C3</t>
    </r>
    <r>
      <rPr>
        <sz val="11"/>
        <color theme="1"/>
        <rFont val="Noto Sans CJK SC"/>
        <family val="2"/>
      </rPr>
      <t xml:space="preserve">：不回頭改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，差距本身是發現</t>
    </r>
  </si>
  <si>
    <r>
      <rPr>
        <sz val="11"/>
        <color theme="1"/>
        <rFont val="Noto Sans CJK SC"/>
        <family val="2"/>
      </rPr>
      <t xml:space="preserve">要對上公司說法：所需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不變）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</si>
  <si>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k_B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</si>
  <si>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要對上公司說法：所需對外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不變）</t>
    </r>
  </si>
  <si>
    <r>
      <rPr>
        <sz val="11"/>
        <color theme="1"/>
        <rFont val="Noto Sans CJK SC"/>
        <family val="2"/>
      </rPr>
      <t xml:space="preserve">對照期初 </t>
    </r>
    <r>
      <rPr>
        <sz val="11"/>
        <color theme="1"/>
        <rFont val="Calibri"/>
        <family val="2"/>
        <charset val="1"/>
      </rPr>
      <t xml:space="preserve">2,080 MW</t>
    </r>
  </si>
  <si>
    <r>
      <rPr>
        <sz val="11"/>
        <color theme="1"/>
        <rFont val="Noto Sans CJK SC"/>
        <family val="2"/>
      </rPr>
      <t xml:space="preserve">上限檢查：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 </t>
    </r>
    <r>
      <rPr>
        <sz val="11"/>
        <color theme="1"/>
        <rFont val="Calibri"/>
        <family val="2"/>
        <charset val="1"/>
      </rPr>
      <t xml:space="preserve">÷ Tokenomics P×Q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</si>
  <si>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Tokenomics v21.4</t>
  </si>
  <si>
    <r>
      <rPr>
        <b val="true"/>
        <sz val="11"/>
        <rFont val="Cambria"/>
        <family val="0"/>
        <charset val="1"/>
      </rPr>
      <t xml:space="preserve">D. v0.3 vs v0.2.2</t>
    </r>
    <r>
      <rPr>
        <b val="true"/>
        <sz val="11"/>
        <rFont val="Noto Sans CJK SC"/>
        <family val="2"/>
      </rPr>
      <t xml:space="preserve">：目標價差異拆解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</si>
  <si>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基準目標價（讀法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；現價 </t>
    </r>
    <r>
      <rPr>
        <sz val="11"/>
        <color theme="1"/>
        <rFont val="Calibri"/>
        <family val="2"/>
        <charset val="1"/>
      </rPr>
      <t xml:space="preserve">259.92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</si>
  <si>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加權目標價</t>
    </r>
  </si>
  <si>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</t>
    </r>
  </si>
  <si>
    <t xml:space="preserve">總差異</t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</si>
  <si>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）評價權重：</t>
    </r>
    <r>
      <rPr>
        <sz val="11"/>
        <color theme="1"/>
        <rFont val="Calibri"/>
        <family val="2"/>
        <charset val="1"/>
      </rPr>
      <t xml:space="preserve">DCF 45%</t>
    </r>
    <r>
      <rPr>
        <sz val="11"/>
        <color theme="1"/>
        <rFont val="Noto Sans CJK SC"/>
        <family val="2"/>
      </rPr>
      <t xml:space="preserve">＋分部 </t>
    </r>
    <r>
      <rPr>
        <sz val="11"/>
        <color theme="1"/>
        <rFont val="Calibri"/>
        <family val="2"/>
        <charset val="1"/>
      </rPr>
      <t xml:space="preserve">55% → </t>
    </r>
    <r>
      <rPr>
        <sz val="11"/>
        <color theme="1"/>
        <rFont val="Noto Sans CJK SC"/>
        <family val="2"/>
      </rPr>
      <t xml:space="preserve">各半（以情境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計）</t>
    </r>
  </si>
  <si>
    <t xml:space="preserve">方法變更</t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</si>
  <si>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）情境加權（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以基準情境為目標價）</t>
    </r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</si>
  <si>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）其餘：營收結構改官方分部、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折舊與自用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成本進分部營業利益、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永續法（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）、分部加總口徑、現價與日期</t>
    </r>
  </si>
  <si>
    <r>
      <rPr>
        <sz val="11"/>
        <color theme="1"/>
        <rFont val="Noto Sans CJK SC"/>
        <family val="2"/>
      </rPr>
      <t xml:space="preserve">未再細分：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引擎（</t>
    </r>
    <r>
      <rPr>
        <sz val="11"/>
        <color theme="1"/>
        <rFont val="Calibri"/>
        <family val="2"/>
        <charset val="1"/>
      </rPr>
      <t xml:space="preserve">legacy_v0.2</t>
    </r>
    <r>
      <rPr>
        <sz val="11"/>
        <color theme="1"/>
        <rFont val="Noto Sans CJK SC"/>
        <family val="2"/>
      </rPr>
      <t xml:space="preserve">）與本版結構不同，無法逐項替換重算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</si>
  <si>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上檔空間（基準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當時現價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</si>
  <si>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評等：賣出（舊三級口徑）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</si>
  <si>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）：對情境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目標價、</t>
    </r>
    <r>
      <rPr>
        <sz val="11"/>
        <color theme="1"/>
        <rFont val="Calibri"/>
        <family val="2"/>
        <charset val="1"/>
      </rPr>
      <t xml:space="preserve">FY2028 AWS </t>
    </r>
    <r>
      <rPr>
        <sz val="11"/>
        <color theme="1"/>
        <rFont val="Noto Sans CJK SC"/>
        <family val="2"/>
      </rPr>
      <t xml:space="preserve">營業利益率、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與收支關卡的影響。每個案例是一個完整推導區塊（本頁第 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列起，與主頁同一引擎）</t>
    </r>
  </si>
  <si>
    <t xml:space="preserve">案例</t>
  </si>
  <si>
    <t xml:space="preserve">設定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</si>
  <si>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目標價</t>
    </r>
  </si>
  <si>
    <t xml:space="preserve">相對基準</t>
  </si>
  <si>
    <r>
      <rPr>
        <b val="true"/>
        <sz val="11"/>
        <rFont val="Cambria"/>
        <family val="0"/>
        <charset val="1"/>
      </rPr>
      <t xml:space="preserve">FY2028 AWS </t>
    </r>
    <r>
      <rPr>
        <b val="true"/>
        <sz val="11"/>
        <rFont val="Noto Sans CJK SC"/>
        <family val="2"/>
      </rPr>
      <t xml:space="preserve">營業利益率</t>
    </r>
  </si>
  <si>
    <t xml:space="preserve">收支關卡（五年）</t>
  </si>
  <si>
    <t xml:space="preserve">驅動類別</t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</si>
  <si>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</si>
  <si>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主頁情境 </t>
    </r>
    <r>
      <rPr>
        <sz val="11"/>
        <color theme="1"/>
        <rFont val="Calibri"/>
        <family val="2"/>
        <charset val="1"/>
      </rPr>
      <t xml:space="preserve">B</t>
    </r>
  </si>
  <si>
    <t xml:space="preserve">—</t>
  </si>
  <si>
    <r>
      <rPr>
        <sz val="11"/>
        <color theme="1"/>
        <rFont val="Noto Sans CJK SC"/>
        <family val="2"/>
      </rPr>
      <t xml:space="preserve">新產能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低（價格軸低 </t>
    </r>
    <r>
      <rPr>
        <sz val="11"/>
        <color theme="1"/>
        <rFont val="Calibri"/>
        <family val="2"/>
        <charset val="1"/>
      </rPr>
      <t xml:space="preserve">k_C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</si>
  <si>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 </t>
    </r>
    <r>
      <rPr>
        <sz val="11"/>
        <color theme="1"/>
        <rFont val="Calibri"/>
        <family val="2"/>
        <charset val="1"/>
      </rPr>
      <t xml:space="preserve">0.574 </t>
    </r>
    <r>
      <rPr>
        <sz val="11"/>
        <color theme="1"/>
        <rFont val="Noto Sans CJK SC"/>
        <family val="2"/>
      </rPr>
      <t xml:space="preserve">混合</t>
    </r>
  </si>
  <si>
    <t xml:space="preserve">命題</t>
  </si>
  <si>
    <r>
      <rPr>
        <sz val="11"/>
        <color theme="1"/>
        <rFont val="Noto Sans CJK SC"/>
        <family val="2"/>
      </rPr>
      <t xml:space="preserve">新產能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高（價格軸高 </t>
    </r>
    <r>
      <rPr>
        <sz val="11"/>
        <color theme="1"/>
        <rFont val="Calibri"/>
        <family val="2"/>
        <charset val="1"/>
      </rPr>
      <t xml:space="preserve">k_A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</si>
  <si>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現貨改用 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牌價</t>
    </r>
  </si>
  <si>
    <r>
      <rPr>
        <sz val="11"/>
        <color theme="1"/>
        <rFont val="Noto Sans CJK SC"/>
        <family val="2"/>
      </rPr>
      <t xml:space="preserve">對外比例 </t>
    </r>
    <r>
      <rPr>
        <sz val="11"/>
        <color theme="1"/>
        <rFont val="Calibri"/>
        <family val="2"/>
        <charset val="1"/>
      </rPr>
      <t xml:space="preserve">60%</t>
    </r>
  </si>
  <si>
    <t xml:space="preserve">C23 −20pt</t>
  </si>
  <si>
    <r>
      <rPr>
        <sz val="11"/>
        <color theme="1"/>
        <rFont val="Noto Sans CJK SC"/>
        <family val="2"/>
      </rPr>
      <t xml:space="preserve">對外比例 </t>
    </r>
    <r>
      <rPr>
        <sz val="11"/>
        <color theme="1"/>
        <rFont val="Calibri"/>
        <family val="2"/>
        <charset val="1"/>
      </rPr>
      <t xml:space="preserve">100%</t>
    </r>
  </si>
  <si>
    <t xml:space="preserve">C23 +20pt</t>
  </si>
  <si>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 </t>
    </r>
    <r>
      <rPr>
        <sz val="11"/>
        <color theme="1"/>
        <rFont val="Calibri"/>
        <family val="2"/>
        <charset val="1"/>
      </rPr>
      <t xml:space="preserve">× 0.75</t>
    </r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</si>
  <si>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每年新增 −</t>
    </r>
    <r>
      <rPr>
        <sz val="11"/>
        <color theme="1"/>
        <rFont val="Calibri"/>
        <family val="2"/>
        <charset val="1"/>
      </rPr>
      <t xml:space="preserve">25%</t>
    </r>
  </si>
  <si>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 </t>
    </r>
    <r>
      <rPr>
        <sz val="11"/>
        <color theme="1"/>
        <rFont val="Calibri"/>
        <family val="2"/>
        <charset val="1"/>
      </rPr>
      <t xml:space="preserve">× 1.25</t>
    </r>
  </si>
  <si>
    <t xml:space="preserve">+25%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</si>
  <si>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</si>
  <si>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Tokenomics 6 </t>
    </r>
    <r>
      <rPr>
        <sz val="11"/>
        <color theme="1"/>
        <rFont val="Noto Sans CJK SC"/>
        <family val="2"/>
      </rPr>
      <t xml:space="preserve">年 → </t>
    </r>
    <r>
      <rPr>
        <sz val="11"/>
        <color theme="1"/>
        <rFont val="Calibri"/>
        <family val="2"/>
        <charset val="1"/>
      </rPr>
      <t xml:space="preserve">5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</si>
  <si>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</t>
    </r>
  </si>
  <si>
    <t xml:space="preserve">6 → 7</t>
  </si>
  <si>
    <r>
      <rPr>
        <sz val="11"/>
        <color theme="1"/>
        <rFont val="Noto Sans CJK SC"/>
        <family val="2"/>
      </rPr>
      <t xml:space="preserve">自研晶片係數 </t>
    </r>
    <r>
      <rPr>
        <sz val="11"/>
        <color theme="1"/>
        <rFont val="Calibri"/>
        <family val="2"/>
        <charset val="1"/>
      </rPr>
      <t xml:space="preserve">0.7</t>
    </r>
    <r>
      <rPr>
        <sz val="11"/>
        <color theme="1"/>
        <rFont val="Noto Sans CJK SC"/>
        <family val="2"/>
      </rPr>
      <t xml:space="preserve">（收入與資本支出）</t>
    </r>
  </si>
  <si>
    <r>
      <rPr>
        <sz val="11"/>
        <color theme="1"/>
        <rFont val="Calibri"/>
        <family val="2"/>
        <charset val="1"/>
      </rPr>
      <t xml:space="preserve">C2 </t>
    </r>
    <r>
      <rPr>
        <sz val="11"/>
        <color theme="1"/>
        <rFont val="Noto Sans CJK SC"/>
        <family val="2"/>
      </rPr>
      <t xml:space="preserve">敏感度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</si>
  <si>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（影子效益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</si>
  <si>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C16</t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</si>
  <si>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其他長期成長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</si>
  <si>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Calibri"/>
        <family val="2"/>
        <charset val="1"/>
      </rPr>
      <t xml:space="preserve">g_awso_lt </t>
    </r>
    <r>
      <rPr>
        <sz val="11"/>
        <color theme="1"/>
        <rFont val="Noto Sans CJK SC"/>
        <family val="2"/>
      </rPr>
      <t xml:space="preserve">低</t>
    </r>
  </si>
  <si>
    <t xml:space="preserve">業務</t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</si>
  <si>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其他長期成長 </t>
    </r>
    <r>
      <rPr>
        <sz val="11"/>
        <color theme="1"/>
        <rFont val="Calibri"/>
        <family val="2"/>
        <charset val="1"/>
      </rPr>
      <t xml:space="preserve">11%</t>
    </r>
  </si>
  <si>
    <r>
      <rPr>
        <sz val="11"/>
        <color theme="1"/>
        <rFont val="Calibri"/>
        <family val="2"/>
        <charset val="1"/>
      </rPr>
      <t xml:space="preserve">g_awso_lt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</si>
  <si>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廣告利益率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</si>
  <si>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Calibri"/>
        <family val="2"/>
        <charset val="1"/>
      </rPr>
      <t xml:space="preserve">m_ad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</si>
  <si>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廣告利益率 </t>
    </r>
    <r>
      <rPr>
        <sz val="11"/>
        <color theme="1"/>
        <rFont val="Calibri"/>
        <family val="2"/>
        <charset val="1"/>
      </rPr>
      <t xml:space="preserve">60%</t>
    </r>
  </si>
  <si>
    <r>
      <rPr>
        <sz val="11"/>
        <color theme="1"/>
        <rFont val="Calibri"/>
        <family val="2"/>
        <charset val="1"/>
      </rPr>
      <t xml:space="preserve">m_ad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</si>
  <si>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廣告長期成長 </t>
    </r>
    <r>
      <rPr>
        <sz val="11"/>
        <color theme="1"/>
        <rFont val="Calibri"/>
        <family val="2"/>
        <charset val="1"/>
      </rPr>
      <t xml:space="preserve">7%</t>
    </r>
  </si>
  <si>
    <r>
      <rPr>
        <sz val="11"/>
        <color theme="1"/>
        <rFont val="Calibri"/>
        <family val="2"/>
        <charset val="1"/>
      </rPr>
      <t xml:space="preserve">g_ad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</si>
  <si>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廣告長期成長 </t>
    </r>
    <r>
      <rPr>
        <sz val="11"/>
        <color theme="1"/>
        <rFont val="Calibri"/>
        <family val="2"/>
        <charset val="1"/>
      </rPr>
      <t xml:space="preserve">13%</t>
    </r>
  </si>
  <si>
    <r>
      <rPr>
        <sz val="11"/>
        <color theme="1"/>
        <rFont val="Calibri"/>
        <family val="2"/>
        <charset val="1"/>
      </rPr>
      <t xml:space="preserve">g_ad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</si>
  <si>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北美零售利益率年改善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</si>
  <si>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step_na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</si>
  <si>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北美零售利益率年改善 </t>
    </r>
    <r>
      <rPr>
        <sz val="11"/>
        <color theme="1"/>
        <rFont val="Calibri"/>
        <family val="2"/>
        <charset val="1"/>
      </rPr>
      <t xml:space="preserve">0.6pt</t>
    </r>
  </si>
  <si>
    <r>
      <rPr>
        <sz val="11"/>
        <color theme="1"/>
        <rFont val="Calibri"/>
        <family val="2"/>
        <charset val="1"/>
      </rPr>
      <t xml:space="preserve">step_na </t>
    </r>
    <r>
      <rPr>
        <sz val="11"/>
        <color theme="1"/>
        <rFont val="Noto Sans CJK SC"/>
        <family val="2"/>
      </rPr>
      <t xml:space="preserve">高</t>
    </r>
  </si>
  <si>
    <t xml:space="preserve">WACC −1pt</t>
  </si>
  <si>
    <t xml:space="preserve">評價</t>
  </si>
  <si>
    <t xml:space="preserve">WACC +1pt</t>
  </si>
  <si>
    <r>
      <rPr>
        <sz val="11"/>
        <color theme="1"/>
        <rFont val="Noto Sans CJK SC"/>
        <family val="2"/>
      </rPr>
      <t xml:space="preserve">永續成長 </t>
    </r>
    <r>
      <rPr>
        <sz val="11"/>
        <color theme="1"/>
        <rFont val="Calibri"/>
        <family val="2"/>
        <charset val="1"/>
      </rPr>
      <t xml:space="preserve">g 2%</t>
    </r>
  </si>
  <si>
    <r>
      <rPr>
        <sz val="11"/>
        <color theme="1"/>
        <rFont val="Noto Sans CJK SC"/>
        <family val="2"/>
      </rPr>
      <t xml:space="preserve">永續成長 </t>
    </r>
    <r>
      <rPr>
        <sz val="11"/>
        <color theme="1"/>
        <rFont val="Calibri"/>
        <family val="2"/>
        <charset val="1"/>
      </rPr>
      <t xml:space="preserve">g 4%</t>
    </r>
  </si>
  <si>
    <r>
      <rPr>
        <sz val="11"/>
        <color theme="1"/>
        <rFont val="Calibri"/>
        <family val="2"/>
        <charset val="1"/>
      </rPr>
      <t xml:space="preserve">RONIC 20%</t>
    </r>
    <r>
      <rPr>
        <sz val="11"/>
        <color theme="1"/>
        <rFont val="Noto Sans CJK SC"/>
        <family val="2"/>
      </rPr>
      <t xml:space="preserve">（永續成長創造價值）</t>
    </r>
  </si>
  <si>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</si>
  <si>
    <r>
      <rPr>
        <sz val="11"/>
        <color theme="1"/>
        <rFont val="Noto Sans CJK SC"/>
        <family val="2"/>
      </rPr>
      <t xml:space="preserve">分部倍數 </t>
    </r>
    <r>
      <rPr>
        <sz val="11"/>
        <color theme="1"/>
        <rFont val="Calibri"/>
        <family val="2"/>
        <charset val="1"/>
      </rPr>
      <t xml:space="preserve">× 0.8</t>
    </r>
  </si>
  <si>
    <r>
      <rPr>
        <sz val="11"/>
        <color theme="1"/>
        <rFont val="Noto Sans CJK SC"/>
        <family val="2"/>
      </rPr>
      <t xml:space="preserve">零售、廣告、非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</t>
    </r>
  </si>
  <si>
    <r>
      <rPr>
        <sz val="11"/>
        <color theme="1"/>
        <rFont val="Noto Sans CJK SC"/>
        <family val="2"/>
      </rPr>
      <t xml:space="preserve">分部倍數 </t>
    </r>
    <r>
      <rPr>
        <sz val="11"/>
        <color theme="1"/>
        <rFont val="Calibri"/>
        <family val="2"/>
        <charset val="1"/>
      </rPr>
      <t xml:space="preserve">× 1.2</t>
    </r>
  </si>
  <si>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10×</t>
    </r>
  </si>
  <si>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6×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</si>
  <si>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持股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</si>
  <si>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18%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</si>
  <si>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持股 </t>
    </r>
    <r>
      <rPr>
        <sz val="11"/>
        <color theme="1"/>
        <rFont val="Calibri"/>
        <family val="2"/>
        <charset val="1"/>
      </rPr>
      <t xml:space="preserve">21%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</si>
  <si>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</si>
  <si>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</si>
  <si>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</si>
  <si>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基準區塊目標價 −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目標價（應為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</si>
  <si>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讀法：相對基準＝案例目標價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基準目標價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；每列只動一個輸入（自研晶片係數同時動收入與資本支出）。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</si>
  <si>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基準區塊（無覆寫）：營收分部層（官方分部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</si>
  <si>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基準區塊（無覆寫）：命題模組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</si>
  <si>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基準區塊（無覆寫）：分部營收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</si>
  <si>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基準區塊（無覆寫）：營運現金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</si>
  <si>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基準區塊（無覆寫）：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</si>
  <si>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案例：新產能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低（價格軸低 </t>
    </r>
    <r>
      <rPr>
        <b val="true"/>
        <sz val="12"/>
        <rFont val="Cambria"/>
        <family val="0"/>
        <charset val="1"/>
      </rPr>
      <t xml:space="preserve">k_C</t>
    </r>
    <r>
      <rPr>
        <b val="true"/>
        <sz val="12"/>
        <rFont val="Noto Sans CJK SC"/>
        <family val="2"/>
      </rPr>
      <t xml:space="preserve">）：營收分部層（官方分部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</si>
  <si>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案例：新產能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低（價格軸低 </t>
    </r>
    <r>
      <rPr>
        <b val="true"/>
        <sz val="12"/>
        <rFont val="Cambria"/>
        <family val="0"/>
        <charset val="1"/>
      </rPr>
      <t xml:space="preserve">k_C</t>
    </r>
    <r>
      <rPr>
        <b val="true"/>
        <sz val="12"/>
        <rFont val="Noto Sans CJK SC"/>
        <family val="2"/>
      </rPr>
      <t xml:space="preserve">）：命題模組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</si>
  <si>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案例：新產能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低（價格軸低 </t>
    </r>
    <r>
      <rPr>
        <b val="true"/>
        <sz val="12"/>
        <rFont val="Cambria"/>
        <family val="0"/>
        <charset val="1"/>
      </rPr>
      <t xml:space="preserve">k_C</t>
    </r>
    <r>
      <rPr>
        <b val="true"/>
        <sz val="12"/>
        <rFont val="Noto Sans CJK SC"/>
        <family val="2"/>
      </rPr>
      <t xml:space="preserve">）：分部營收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</si>
  <si>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案例：新產能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低（價格軸低 </t>
    </r>
    <r>
      <rPr>
        <b val="true"/>
        <sz val="12"/>
        <rFont val="Cambria"/>
        <family val="0"/>
        <charset val="1"/>
      </rPr>
      <t xml:space="preserve">k_C</t>
    </r>
    <r>
      <rPr>
        <b val="true"/>
        <sz val="12"/>
        <rFont val="Noto Sans CJK SC"/>
        <family val="2"/>
      </rPr>
      <t xml:space="preserve">）：營運現金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</si>
  <si>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案例：新產能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低（價格軸低 </t>
    </r>
    <r>
      <rPr>
        <b val="true"/>
        <sz val="12"/>
        <rFont val="Cambria"/>
        <family val="0"/>
        <charset val="1"/>
      </rPr>
      <t xml:space="preserve">k_C</t>
    </r>
    <r>
      <rPr>
        <b val="true"/>
        <sz val="12"/>
        <rFont val="Noto Sans CJK SC"/>
        <family val="2"/>
      </rPr>
      <t xml:space="preserve">）：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</si>
  <si>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案例：新產能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高（價格軸高 </t>
    </r>
    <r>
      <rPr>
        <b val="true"/>
        <sz val="12"/>
        <rFont val="Cambria"/>
        <family val="0"/>
        <charset val="1"/>
      </rPr>
      <t xml:space="preserve">k_A</t>
    </r>
    <r>
      <rPr>
        <b val="true"/>
        <sz val="12"/>
        <rFont val="Noto Sans CJK SC"/>
        <family val="2"/>
      </rPr>
      <t xml:space="preserve">）：營收分部層（官方分部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</si>
  <si>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案例：新產能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高（價格軸高 </t>
    </r>
    <r>
      <rPr>
        <b val="true"/>
        <sz val="12"/>
        <rFont val="Cambria"/>
        <family val="0"/>
        <charset val="1"/>
      </rPr>
      <t xml:space="preserve">k_A</t>
    </r>
    <r>
      <rPr>
        <b val="true"/>
        <sz val="12"/>
        <rFont val="Noto Sans CJK SC"/>
        <family val="2"/>
      </rPr>
      <t xml:space="preserve">）：命題模組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</si>
  <si>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案例：新產能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高（價格軸高 </t>
    </r>
    <r>
      <rPr>
        <b val="true"/>
        <sz val="12"/>
        <rFont val="Cambria"/>
        <family val="0"/>
        <charset val="1"/>
      </rPr>
      <t xml:space="preserve">k_A</t>
    </r>
    <r>
      <rPr>
        <b val="true"/>
        <sz val="12"/>
        <rFont val="Noto Sans CJK SC"/>
        <family val="2"/>
      </rPr>
      <t xml:space="preserve">）：分部營收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</si>
  <si>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案例：新產能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高（價格軸高 </t>
    </r>
    <r>
      <rPr>
        <b val="true"/>
        <sz val="12"/>
        <rFont val="Cambria"/>
        <family val="0"/>
        <charset val="1"/>
      </rPr>
      <t xml:space="preserve">k_A</t>
    </r>
    <r>
      <rPr>
        <b val="true"/>
        <sz val="12"/>
        <rFont val="Noto Sans CJK SC"/>
        <family val="2"/>
      </rPr>
      <t xml:space="preserve">）：營運現金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</si>
  <si>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案例：新產能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高（價格軸高 </t>
    </r>
    <r>
      <rPr>
        <b val="true"/>
        <sz val="12"/>
        <rFont val="Cambria"/>
        <family val="0"/>
        <charset val="1"/>
      </rPr>
      <t xml:space="preserve">k_A</t>
    </r>
    <r>
      <rPr>
        <b val="true"/>
        <sz val="12"/>
        <rFont val="Noto Sans CJK SC"/>
        <family val="2"/>
      </rPr>
      <t xml:space="preserve">）：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</si>
  <si>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案例：對外比例 </t>
    </r>
    <r>
      <rPr>
        <b val="true"/>
        <sz val="12"/>
        <rFont val="Cambria"/>
        <family val="0"/>
        <charset val="1"/>
      </rPr>
      <t xml:space="preserve">60%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</si>
  <si>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案例：對外比例 </t>
    </r>
    <r>
      <rPr>
        <b val="true"/>
        <sz val="12"/>
        <rFont val="Cambria"/>
        <family val="0"/>
        <charset val="1"/>
      </rPr>
      <t xml:space="preserve">60%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</si>
  <si>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案例：對外比例 </t>
    </r>
    <r>
      <rPr>
        <b val="true"/>
        <sz val="12"/>
        <rFont val="Cambria"/>
        <family val="0"/>
        <charset val="1"/>
      </rPr>
      <t xml:space="preserve">60%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</si>
  <si>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案例：對外比例 </t>
    </r>
    <r>
      <rPr>
        <b val="true"/>
        <sz val="12"/>
        <rFont val="Cambria"/>
        <family val="0"/>
        <charset val="1"/>
      </rPr>
      <t xml:space="preserve">60%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</si>
  <si>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案例：對外比例 </t>
    </r>
    <r>
      <rPr>
        <b val="true"/>
        <sz val="12"/>
        <rFont val="Cambria"/>
        <family val="0"/>
        <charset val="1"/>
      </rPr>
      <t xml:space="preserve">60%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</si>
  <si>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案例：對外比例 </t>
    </r>
    <r>
      <rPr>
        <b val="true"/>
        <sz val="12"/>
        <rFont val="Cambria"/>
        <family val="0"/>
        <charset val="1"/>
      </rPr>
      <t xml:space="preserve">100%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</si>
  <si>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案例：對外比例 </t>
    </r>
    <r>
      <rPr>
        <b val="true"/>
        <sz val="12"/>
        <rFont val="Cambria"/>
        <family val="0"/>
        <charset val="1"/>
      </rPr>
      <t xml:space="preserve">100%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</si>
  <si>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案例：對外比例 </t>
    </r>
    <r>
      <rPr>
        <b val="true"/>
        <sz val="12"/>
        <rFont val="Cambria"/>
        <family val="0"/>
        <charset val="1"/>
      </rPr>
      <t xml:space="preserve">100%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</si>
  <si>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案例：對外比例 </t>
    </r>
    <r>
      <rPr>
        <b val="true"/>
        <sz val="12"/>
        <rFont val="Cambria"/>
        <family val="0"/>
        <charset val="1"/>
      </rPr>
      <t xml:space="preserve">100%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</si>
  <si>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案例：對外比例 </t>
    </r>
    <r>
      <rPr>
        <b val="true"/>
        <sz val="12"/>
        <rFont val="Cambria"/>
        <family val="0"/>
        <charset val="1"/>
      </rPr>
      <t xml:space="preserve">100%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</si>
  <si>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速度 </t>
    </r>
    <r>
      <rPr>
        <b val="true"/>
        <sz val="12"/>
        <rFont val="Cambria"/>
        <family val="0"/>
        <charset val="1"/>
      </rPr>
      <t xml:space="preserve">× 0.75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</si>
  <si>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速度 </t>
    </r>
    <r>
      <rPr>
        <b val="true"/>
        <sz val="12"/>
        <rFont val="Cambria"/>
        <family val="0"/>
        <charset val="1"/>
      </rPr>
      <t xml:space="preserve">× 0.75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</si>
  <si>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速度 </t>
    </r>
    <r>
      <rPr>
        <b val="true"/>
        <sz val="12"/>
        <rFont val="Cambria"/>
        <family val="0"/>
        <charset val="1"/>
      </rPr>
      <t xml:space="preserve">× 0.75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</si>
  <si>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速度 </t>
    </r>
    <r>
      <rPr>
        <b val="true"/>
        <sz val="12"/>
        <rFont val="Cambria"/>
        <family val="0"/>
        <charset val="1"/>
      </rPr>
      <t xml:space="preserve">× 0.75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</si>
  <si>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速度 </t>
    </r>
    <r>
      <rPr>
        <b val="true"/>
        <sz val="12"/>
        <rFont val="Cambria"/>
        <family val="0"/>
        <charset val="1"/>
      </rPr>
      <t xml:space="preserve">× 0.75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</si>
  <si>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速度 </t>
    </r>
    <r>
      <rPr>
        <b val="true"/>
        <sz val="12"/>
        <rFont val="Cambria"/>
        <family val="0"/>
        <charset val="1"/>
      </rPr>
      <t xml:space="preserve">× 1.25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</si>
  <si>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速度 </t>
    </r>
    <r>
      <rPr>
        <b val="true"/>
        <sz val="12"/>
        <rFont val="Cambria"/>
        <family val="0"/>
        <charset val="1"/>
      </rPr>
      <t xml:space="preserve">× 1.25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</si>
  <si>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速度 </t>
    </r>
    <r>
      <rPr>
        <b val="true"/>
        <sz val="12"/>
        <rFont val="Cambria"/>
        <family val="0"/>
        <charset val="1"/>
      </rPr>
      <t xml:space="preserve">× 1.25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</si>
  <si>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速度 </t>
    </r>
    <r>
      <rPr>
        <b val="true"/>
        <sz val="12"/>
        <rFont val="Cambria"/>
        <family val="0"/>
        <charset val="1"/>
      </rPr>
      <t xml:space="preserve">× 1.25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</si>
  <si>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速度 </t>
    </r>
    <r>
      <rPr>
        <b val="true"/>
        <sz val="12"/>
        <rFont val="Cambria"/>
        <family val="0"/>
        <charset val="1"/>
      </rPr>
      <t xml:space="preserve">× 1.25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</si>
  <si>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AI IT </t>
    </r>
    <r>
      <rPr>
        <b val="true"/>
        <sz val="12"/>
        <rFont val="Noto Sans CJK SC"/>
        <family val="2"/>
      </rPr>
      <t xml:space="preserve">折舊 </t>
    </r>
    <r>
      <rPr>
        <b val="true"/>
        <sz val="12"/>
        <rFont val="Cambria"/>
        <family val="0"/>
        <charset val="1"/>
      </rPr>
      <t xml:space="preserve">5 </t>
    </r>
    <r>
      <rPr>
        <b val="true"/>
        <sz val="12"/>
        <rFont val="Noto Sans CJK SC"/>
        <family val="2"/>
      </rPr>
      <t xml:space="preserve">年：營收分部層（官方分部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</si>
  <si>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AI IT </t>
    </r>
    <r>
      <rPr>
        <b val="true"/>
        <sz val="12"/>
        <rFont val="Noto Sans CJK SC"/>
        <family val="2"/>
      </rPr>
      <t xml:space="preserve">折舊 </t>
    </r>
    <r>
      <rPr>
        <b val="true"/>
        <sz val="12"/>
        <rFont val="Cambria"/>
        <family val="0"/>
        <charset val="1"/>
      </rPr>
      <t xml:space="preserve">5 </t>
    </r>
    <r>
      <rPr>
        <b val="true"/>
        <sz val="12"/>
        <rFont val="Noto Sans CJK SC"/>
        <family val="2"/>
      </rPr>
      <t xml:space="preserve">年：命題模組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</si>
  <si>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AI IT </t>
    </r>
    <r>
      <rPr>
        <b val="true"/>
        <sz val="12"/>
        <rFont val="Noto Sans CJK SC"/>
        <family val="2"/>
      </rPr>
      <t xml:space="preserve">折舊 </t>
    </r>
    <r>
      <rPr>
        <b val="true"/>
        <sz val="12"/>
        <rFont val="Cambria"/>
        <family val="0"/>
        <charset val="1"/>
      </rPr>
      <t xml:space="preserve">5 </t>
    </r>
    <r>
      <rPr>
        <b val="true"/>
        <sz val="12"/>
        <rFont val="Noto Sans CJK SC"/>
        <family val="2"/>
      </rPr>
      <t xml:space="preserve">年：分部營收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</si>
  <si>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AI IT </t>
    </r>
    <r>
      <rPr>
        <b val="true"/>
        <sz val="12"/>
        <rFont val="Noto Sans CJK SC"/>
        <family val="2"/>
      </rPr>
      <t xml:space="preserve">折舊 </t>
    </r>
    <r>
      <rPr>
        <b val="true"/>
        <sz val="12"/>
        <rFont val="Cambria"/>
        <family val="0"/>
        <charset val="1"/>
      </rPr>
      <t xml:space="preserve">5 </t>
    </r>
    <r>
      <rPr>
        <b val="true"/>
        <sz val="12"/>
        <rFont val="Noto Sans CJK SC"/>
        <family val="2"/>
      </rPr>
      <t xml:space="preserve">年：營運現金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</si>
  <si>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AI IT </t>
    </r>
    <r>
      <rPr>
        <b val="true"/>
        <sz val="12"/>
        <rFont val="Noto Sans CJK SC"/>
        <family val="2"/>
      </rPr>
      <t xml:space="preserve">折舊 </t>
    </r>
    <r>
      <rPr>
        <b val="true"/>
        <sz val="12"/>
        <rFont val="Cambria"/>
        <family val="0"/>
        <charset val="1"/>
      </rPr>
      <t xml:space="preserve">5 </t>
    </r>
    <r>
      <rPr>
        <b val="true"/>
        <sz val="12"/>
        <rFont val="Noto Sans CJK SC"/>
        <family val="2"/>
      </rPr>
      <t xml:space="preserve">年：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</si>
  <si>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AI IT </t>
    </r>
    <r>
      <rPr>
        <b val="true"/>
        <sz val="12"/>
        <rFont val="Noto Sans CJK SC"/>
        <family val="2"/>
      </rPr>
      <t xml:space="preserve">折舊 </t>
    </r>
    <r>
      <rPr>
        <b val="true"/>
        <sz val="12"/>
        <rFont val="Cambria"/>
        <family val="0"/>
        <charset val="1"/>
      </rPr>
      <t xml:space="preserve">7 </t>
    </r>
    <r>
      <rPr>
        <b val="true"/>
        <sz val="12"/>
        <rFont val="Noto Sans CJK SC"/>
        <family val="2"/>
      </rPr>
      <t xml:space="preserve">年：營收分部層（官方分部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</si>
  <si>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AI IT </t>
    </r>
    <r>
      <rPr>
        <b val="true"/>
        <sz val="12"/>
        <rFont val="Noto Sans CJK SC"/>
        <family val="2"/>
      </rPr>
      <t xml:space="preserve">折舊 </t>
    </r>
    <r>
      <rPr>
        <b val="true"/>
        <sz val="12"/>
        <rFont val="Cambria"/>
        <family val="0"/>
        <charset val="1"/>
      </rPr>
      <t xml:space="preserve">7 </t>
    </r>
    <r>
      <rPr>
        <b val="true"/>
        <sz val="12"/>
        <rFont val="Noto Sans CJK SC"/>
        <family val="2"/>
      </rPr>
      <t xml:space="preserve">年：命題模組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</si>
  <si>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AI IT </t>
    </r>
    <r>
      <rPr>
        <b val="true"/>
        <sz val="12"/>
        <rFont val="Noto Sans CJK SC"/>
        <family val="2"/>
      </rPr>
      <t xml:space="preserve">折舊 </t>
    </r>
    <r>
      <rPr>
        <b val="true"/>
        <sz val="12"/>
        <rFont val="Cambria"/>
        <family val="0"/>
        <charset val="1"/>
      </rPr>
      <t xml:space="preserve">7 </t>
    </r>
    <r>
      <rPr>
        <b val="true"/>
        <sz val="12"/>
        <rFont val="Noto Sans CJK SC"/>
        <family val="2"/>
      </rPr>
      <t xml:space="preserve">年：分部營收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</si>
  <si>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AI IT </t>
    </r>
    <r>
      <rPr>
        <b val="true"/>
        <sz val="12"/>
        <rFont val="Noto Sans CJK SC"/>
        <family val="2"/>
      </rPr>
      <t xml:space="preserve">折舊 </t>
    </r>
    <r>
      <rPr>
        <b val="true"/>
        <sz val="12"/>
        <rFont val="Cambria"/>
        <family val="0"/>
        <charset val="1"/>
      </rPr>
      <t xml:space="preserve">7 </t>
    </r>
    <r>
      <rPr>
        <b val="true"/>
        <sz val="12"/>
        <rFont val="Noto Sans CJK SC"/>
        <family val="2"/>
      </rPr>
      <t xml:space="preserve">年：營運現金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</si>
  <si>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AI IT </t>
    </r>
    <r>
      <rPr>
        <b val="true"/>
        <sz val="12"/>
        <rFont val="Noto Sans CJK SC"/>
        <family val="2"/>
      </rPr>
      <t xml:space="preserve">折舊 </t>
    </r>
    <r>
      <rPr>
        <b val="true"/>
        <sz val="12"/>
        <rFont val="Cambria"/>
        <family val="0"/>
        <charset val="1"/>
      </rPr>
      <t xml:space="preserve">7 </t>
    </r>
    <r>
      <rPr>
        <b val="true"/>
        <sz val="12"/>
        <rFont val="Noto Sans CJK SC"/>
        <family val="2"/>
      </rPr>
      <t xml:space="preserve">年：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</si>
  <si>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案例：自研晶片係數 </t>
    </r>
    <r>
      <rPr>
        <b val="true"/>
        <sz val="12"/>
        <rFont val="Cambria"/>
        <family val="0"/>
        <charset val="1"/>
      </rPr>
      <t xml:space="preserve">0.7</t>
    </r>
    <r>
      <rPr>
        <b val="true"/>
        <sz val="12"/>
        <rFont val="Noto Sans CJK SC"/>
        <family val="2"/>
      </rPr>
      <t xml:space="preserve">（收入與資本支出）：營收分部層（官方分部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</si>
  <si>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案例：自研晶片係數 </t>
    </r>
    <r>
      <rPr>
        <b val="true"/>
        <sz val="12"/>
        <rFont val="Cambria"/>
        <family val="0"/>
        <charset val="1"/>
      </rPr>
      <t xml:space="preserve">0.7</t>
    </r>
    <r>
      <rPr>
        <b val="true"/>
        <sz val="12"/>
        <rFont val="Noto Sans CJK SC"/>
        <family val="2"/>
      </rPr>
      <t xml:space="preserve">（收入與資本支出）：命題模組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</si>
  <si>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案例：自研晶片係數 </t>
    </r>
    <r>
      <rPr>
        <b val="true"/>
        <sz val="12"/>
        <rFont val="Cambria"/>
        <family val="0"/>
        <charset val="1"/>
      </rPr>
      <t xml:space="preserve">0.7</t>
    </r>
    <r>
      <rPr>
        <b val="true"/>
        <sz val="12"/>
        <rFont val="Noto Sans CJK SC"/>
        <family val="2"/>
      </rPr>
      <t xml:space="preserve">（收入與資本支出）：分部營收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</si>
  <si>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案例：自研晶片係數 </t>
    </r>
    <r>
      <rPr>
        <b val="true"/>
        <sz val="12"/>
        <rFont val="Cambria"/>
        <family val="0"/>
        <charset val="1"/>
      </rPr>
      <t xml:space="preserve">0.7</t>
    </r>
    <r>
      <rPr>
        <b val="true"/>
        <sz val="12"/>
        <rFont val="Noto Sans CJK SC"/>
        <family val="2"/>
      </rPr>
      <t xml:space="preserve">（收入與資本支出）：營運現金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</si>
  <si>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案例：自研晶片係數 </t>
    </r>
    <r>
      <rPr>
        <b val="true"/>
        <sz val="12"/>
        <rFont val="Cambria"/>
        <family val="0"/>
        <charset val="1"/>
      </rPr>
      <t xml:space="preserve">0.7</t>
    </r>
    <r>
      <rPr>
        <b val="true"/>
        <sz val="12"/>
        <rFont val="Noto Sans CJK SC"/>
        <family val="2"/>
      </rPr>
      <t xml:space="preserve">（收入與資本支出）：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</si>
  <si>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案例：自用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讀法 </t>
    </r>
    <r>
      <rPr>
        <b val="true"/>
        <sz val="12"/>
        <rFont val="Cambria"/>
        <family val="0"/>
        <charset val="1"/>
      </rPr>
      <t xml:space="preserve">2</t>
    </r>
    <r>
      <rPr>
        <b val="true"/>
        <sz val="12"/>
        <rFont val="Noto Sans CJK SC"/>
        <family val="2"/>
      </rPr>
      <t xml:space="preserve">（影子效益 </t>
    </r>
    <r>
      <rPr>
        <b val="true"/>
        <sz val="12"/>
        <rFont val="Cambria"/>
        <family val="0"/>
        <charset val="1"/>
      </rPr>
      <t xml:space="preserve">k</t>
    </r>
    <r>
      <rPr>
        <b val="true"/>
        <sz val="12"/>
        <rFont val="Noto Sans CJK SC"/>
        <family val="2"/>
      </rPr>
      <t xml:space="preserve">＝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）：營收分部層（官方分部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</si>
  <si>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案例：自用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讀法 </t>
    </r>
    <r>
      <rPr>
        <b val="true"/>
        <sz val="12"/>
        <rFont val="Cambria"/>
        <family val="0"/>
        <charset val="1"/>
      </rPr>
      <t xml:space="preserve">2</t>
    </r>
    <r>
      <rPr>
        <b val="true"/>
        <sz val="12"/>
        <rFont val="Noto Sans CJK SC"/>
        <family val="2"/>
      </rPr>
      <t xml:space="preserve">（影子效益 </t>
    </r>
    <r>
      <rPr>
        <b val="true"/>
        <sz val="12"/>
        <rFont val="Cambria"/>
        <family val="0"/>
        <charset val="1"/>
      </rPr>
      <t xml:space="preserve">k</t>
    </r>
    <r>
      <rPr>
        <b val="true"/>
        <sz val="12"/>
        <rFont val="Noto Sans CJK SC"/>
        <family val="2"/>
      </rPr>
      <t xml:space="preserve">＝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）：命題模組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</si>
  <si>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案例：自用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讀法 </t>
    </r>
    <r>
      <rPr>
        <b val="true"/>
        <sz val="12"/>
        <rFont val="Cambria"/>
        <family val="0"/>
        <charset val="1"/>
      </rPr>
      <t xml:space="preserve">2</t>
    </r>
    <r>
      <rPr>
        <b val="true"/>
        <sz val="12"/>
        <rFont val="Noto Sans CJK SC"/>
        <family val="2"/>
      </rPr>
      <t xml:space="preserve">（影子效益 </t>
    </r>
    <r>
      <rPr>
        <b val="true"/>
        <sz val="12"/>
        <rFont val="Cambria"/>
        <family val="0"/>
        <charset val="1"/>
      </rPr>
      <t xml:space="preserve">k</t>
    </r>
    <r>
      <rPr>
        <b val="true"/>
        <sz val="12"/>
        <rFont val="Noto Sans CJK SC"/>
        <family val="2"/>
      </rPr>
      <t xml:space="preserve">＝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）：分部營收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</si>
  <si>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案例：自用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讀法 </t>
    </r>
    <r>
      <rPr>
        <b val="true"/>
        <sz val="12"/>
        <rFont val="Cambria"/>
        <family val="0"/>
        <charset val="1"/>
      </rPr>
      <t xml:space="preserve">2</t>
    </r>
    <r>
      <rPr>
        <b val="true"/>
        <sz val="12"/>
        <rFont val="Noto Sans CJK SC"/>
        <family val="2"/>
      </rPr>
      <t xml:space="preserve">（影子效益 </t>
    </r>
    <r>
      <rPr>
        <b val="true"/>
        <sz val="12"/>
        <rFont val="Cambria"/>
        <family val="0"/>
        <charset val="1"/>
      </rPr>
      <t xml:space="preserve">k</t>
    </r>
    <r>
      <rPr>
        <b val="true"/>
        <sz val="12"/>
        <rFont val="Noto Sans CJK SC"/>
        <family val="2"/>
      </rPr>
      <t xml:space="preserve">＝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）：營運現金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</si>
  <si>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案例：自用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讀法 </t>
    </r>
    <r>
      <rPr>
        <b val="true"/>
        <sz val="12"/>
        <rFont val="Cambria"/>
        <family val="0"/>
        <charset val="1"/>
      </rPr>
      <t xml:space="preserve">2</t>
    </r>
    <r>
      <rPr>
        <b val="true"/>
        <sz val="12"/>
        <rFont val="Noto Sans CJK SC"/>
        <family val="2"/>
      </rPr>
      <t xml:space="preserve">（影子效益 </t>
    </r>
    <r>
      <rPr>
        <b val="true"/>
        <sz val="12"/>
        <rFont val="Cambria"/>
        <family val="0"/>
        <charset val="1"/>
      </rPr>
      <t xml:space="preserve">k</t>
    </r>
    <r>
      <rPr>
        <b val="true"/>
        <sz val="12"/>
        <rFont val="Noto Sans CJK SC"/>
        <family val="2"/>
      </rPr>
      <t xml:space="preserve">＝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）：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</si>
  <si>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</t>
    </r>
    <r>
      <rPr>
        <b val="true"/>
        <sz val="12"/>
        <rFont val="Noto Sans CJK SC"/>
        <family val="2"/>
      </rPr>
      <t xml:space="preserve">其他長期成長 </t>
    </r>
    <r>
      <rPr>
        <b val="true"/>
        <sz val="12"/>
        <rFont val="Cambria"/>
        <family val="0"/>
        <charset val="1"/>
      </rPr>
      <t xml:space="preserve">5%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</si>
  <si>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</t>
    </r>
    <r>
      <rPr>
        <b val="true"/>
        <sz val="12"/>
        <rFont val="Noto Sans CJK SC"/>
        <family val="2"/>
      </rPr>
      <t xml:space="preserve">其他長期成長 </t>
    </r>
    <r>
      <rPr>
        <b val="true"/>
        <sz val="12"/>
        <rFont val="Cambria"/>
        <family val="0"/>
        <charset val="1"/>
      </rPr>
      <t xml:space="preserve">5%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</si>
  <si>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</t>
    </r>
    <r>
      <rPr>
        <b val="true"/>
        <sz val="12"/>
        <rFont val="Noto Sans CJK SC"/>
        <family val="2"/>
      </rPr>
      <t xml:space="preserve">其他長期成長 </t>
    </r>
    <r>
      <rPr>
        <b val="true"/>
        <sz val="12"/>
        <rFont val="Cambria"/>
        <family val="0"/>
        <charset val="1"/>
      </rPr>
      <t xml:space="preserve">5%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</si>
  <si>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</t>
    </r>
    <r>
      <rPr>
        <b val="true"/>
        <sz val="12"/>
        <rFont val="Noto Sans CJK SC"/>
        <family val="2"/>
      </rPr>
      <t xml:space="preserve">其他長期成長 </t>
    </r>
    <r>
      <rPr>
        <b val="true"/>
        <sz val="12"/>
        <rFont val="Cambria"/>
        <family val="0"/>
        <charset val="1"/>
      </rPr>
      <t xml:space="preserve">5%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</si>
  <si>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</t>
    </r>
    <r>
      <rPr>
        <b val="true"/>
        <sz val="12"/>
        <rFont val="Noto Sans CJK SC"/>
        <family val="2"/>
      </rPr>
      <t xml:space="preserve">其他長期成長 </t>
    </r>
    <r>
      <rPr>
        <b val="true"/>
        <sz val="12"/>
        <rFont val="Cambria"/>
        <family val="0"/>
        <charset val="1"/>
      </rPr>
      <t xml:space="preserve">5%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</si>
  <si>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</t>
    </r>
    <r>
      <rPr>
        <b val="true"/>
        <sz val="12"/>
        <rFont val="Noto Sans CJK SC"/>
        <family val="2"/>
      </rPr>
      <t xml:space="preserve">其他長期成長 </t>
    </r>
    <r>
      <rPr>
        <b val="true"/>
        <sz val="12"/>
        <rFont val="Cambria"/>
        <family val="0"/>
        <charset val="1"/>
      </rPr>
      <t xml:space="preserve">11%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</si>
  <si>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</t>
    </r>
    <r>
      <rPr>
        <b val="true"/>
        <sz val="12"/>
        <rFont val="Noto Sans CJK SC"/>
        <family val="2"/>
      </rPr>
      <t xml:space="preserve">其他長期成長 </t>
    </r>
    <r>
      <rPr>
        <b val="true"/>
        <sz val="12"/>
        <rFont val="Cambria"/>
        <family val="0"/>
        <charset val="1"/>
      </rPr>
      <t xml:space="preserve">11%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</si>
  <si>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</t>
    </r>
    <r>
      <rPr>
        <b val="true"/>
        <sz val="12"/>
        <rFont val="Noto Sans CJK SC"/>
        <family val="2"/>
      </rPr>
      <t xml:space="preserve">其他長期成長 </t>
    </r>
    <r>
      <rPr>
        <b val="true"/>
        <sz val="12"/>
        <rFont val="Cambria"/>
        <family val="0"/>
        <charset val="1"/>
      </rPr>
      <t xml:space="preserve">11%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</si>
  <si>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</t>
    </r>
    <r>
      <rPr>
        <b val="true"/>
        <sz val="12"/>
        <rFont val="Noto Sans CJK SC"/>
        <family val="2"/>
      </rPr>
      <t xml:space="preserve">其他長期成長 </t>
    </r>
    <r>
      <rPr>
        <b val="true"/>
        <sz val="12"/>
        <rFont val="Cambria"/>
        <family val="0"/>
        <charset val="1"/>
      </rPr>
      <t xml:space="preserve">11%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</si>
  <si>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</t>
    </r>
    <r>
      <rPr>
        <b val="true"/>
        <sz val="12"/>
        <rFont val="Noto Sans CJK SC"/>
        <family val="2"/>
      </rPr>
      <t xml:space="preserve">其他長期成長 </t>
    </r>
    <r>
      <rPr>
        <b val="true"/>
        <sz val="12"/>
        <rFont val="Cambria"/>
        <family val="0"/>
        <charset val="1"/>
      </rPr>
      <t xml:space="preserve">11%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</si>
  <si>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案例：廣告利益率 </t>
    </r>
    <r>
      <rPr>
        <b val="true"/>
        <sz val="12"/>
        <rFont val="Cambria"/>
        <family val="0"/>
        <charset val="1"/>
      </rPr>
      <t xml:space="preserve">40%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</si>
  <si>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案例：廣告利益率 </t>
    </r>
    <r>
      <rPr>
        <b val="true"/>
        <sz val="12"/>
        <rFont val="Cambria"/>
        <family val="0"/>
        <charset val="1"/>
      </rPr>
      <t xml:space="preserve">40%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</si>
  <si>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案例：廣告利益率 </t>
    </r>
    <r>
      <rPr>
        <b val="true"/>
        <sz val="12"/>
        <rFont val="Cambria"/>
        <family val="0"/>
        <charset val="1"/>
      </rPr>
      <t xml:space="preserve">40%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</si>
  <si>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案例：廣告利益率 </t>
    </r>
    <r>
      <rPr>
        <b val="true"/>
        <sz val="12"/>
        <rFont val="Cambria"/>
        <family val="0"/>
        <charset val="1"/>
      </rPr>
      <t xml:space="preserve">40%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</si>
  <si>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案例：廣告利益率 </t>
    </r>
    <r>
      <rPr>
        <b val="true"/>
        <sz val="12"/>
        <rFont val="Cambria"/>
        <family val="0"/>
        <charset val="1"/>
      </rPr>
      <t xml:space="preserve">40%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</si>
  <si>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案例：廣告利益率 </t>
    </r>
    <r>
      <rPr>
        <b val="true"/>
        <sz val="12"/>
        <rFont val="Cambria"/>
        <family val="0"/>
        <charset val="1"/>
      </rPr>
      <t xml:space="preserve">60%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</si>
  <si>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案例：廣告利益率 </t>
    </r>
    <r>
      <rPr>
        <b val="true"/>
        <sz val="12"/>
        <rFont val="Cambria"/>
        <family val="0"/>
        <charset val="1"/>
      </rPr>
      <t xml:space="preserve">60%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</si>
  <si>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案例：廣告利益率 </t>
    </r>
    <r>
      <rPr>
        <b val="true"/>
        <sz val="12"/>
        <rFont val="Cambria"/>
        <family val="0"/>
        <charset val="1"/>
      </rPr>
      <t xml:space="preserve">60%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</si>
  <si>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案例：廣告利益率 </t>
    </r>
    <r>
      <rPr>
        <b val="true"/>
        <sz val="12"/>
        <rFont val="Cambria"/>
        <family val="0"/>
        <charset val="1"/>
      </rPr>
      <t xml:space="preserve">60%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</si>
  <si>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案例：廣告利益率 </t>
    </r>
    <r>
      <rPr>
        <b val="true"/>
        <sz val="12"/>
        <rFont val="Cambria"/>
        <family val="0"/>
        <charset val="1"/>
      </rPr>
      <t xml:space="preserve">60%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</si>
  <si>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案例：廣告長期成長 </t>
    </r>
    <r>
      <rPr>
        <b val="true"/>
        <sz val="12"/>
        <rFont val="Cambria"/>
        <family val="0"/>
        <charset val="1"/>
      </rPr>
      <t xml:space="preserve">7%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</si>
  <si>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案例：廣告長期成長 </t>
    </r>
    <r>
      <rPr>
        <b val="true"/>
        <sz val="12"/>
        <rFont val="Cambria"/>
        <family val="0"/>
        <charset val="1"/>
      </rPr>
      <t xml:space="preserve">7%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</si>
  <si>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案例：廣告長期成長 </t>
    </r>
    <r>
      <rPr>
        <b val="true"/>
        <sz val="12"/>
        <rFont val="Cambria"/>
        <family val="0"/>
        <charset val="1"/>
      </rPr>
      <t xml:space="preserve">7%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</si>
  <si>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案例：廣告長期成長 </t>
    </r>
    <r>
      <rPr>
        <b val="true"/>
        <sz val="12"/>
        <rFont val="Cambria"/>
        <family val="0"/>
        <charset val="1"/>
      </rPr>
      <t xml:space="preserve">7%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</si>
  <si>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案例：廣告長期成長 </t>
    </r>
    <r>
      <rPr>
        <b val="true"/>
        <sz val="12"/>
        <rFont val="Cambria"/>
        <family val="0"/>
        <charset val="1"/>
      </rPr>
      <t xml:space="preserve">7%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</si>
  <si>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案例：廣告長期成長 </t>
    </r>
    <r>
      <rPr>
        <b val="true"/>
        <sz val="12"/>
        <rFont val="Cambria"/>
        <family val="0"/>
        <charset val="1"/>
      </rPr>
      <t xml:space="preserve">13%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</si>
  <si>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案例：廣告長期成長 </t>
    </r>
    <r>
      <rPr>
        <b val="true"/>
        <sz val="12"/>
        <rFont val="Cambria"/>
        <family val="0"/>
        <charset val="1"/>
      </rPr>
      <t xml:space="preserve">13%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</si>
  <si>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案例：廣告長期成長 </t>
    </r>
    <r>
      <rPr>
        <b val="true"/>
        <sz val="12"/>
        <rFont val="Cambria"/>
        <family val="0"/>
        <charset val="1"/>
      </rPr>
      <t xml:space="preserve">13%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</si>
  <si>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案例：廣告長期成長 </t>
    </r>
    <r>
      <rPr>
        <b val="true"/>
        <sz val="12"/>
        <rFont val="Cambria"/>
        <family val="0"/>
        <charset val="1"/>
      </rPr>
      <t xml:space="preserve">13%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</si>
  <si>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案例：廣告長期成長 </t>
    </r>
    <r>
      <rPr>
        <b val="true"/>
        <sz val="12"/>
        <rFont val="Cambria"/>
        <family val="0"/>
        <charset val="1"/>
      </rPr>
      <t xml:space="preserve">13%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</si>
  <si>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案例：北美零售利益率年改善 </t>
    </r>
    <r>
      <rPr>
        <b val="true"/>
        <sz val="12"/>
        <rFont val="Cambria"/>
        <family val="0"/>
        <charset val="1"/>
      </rPr>
      <t xml:space="preserve">0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</si>
  <si>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案例：北美零售利益率年改善 </t>
    </r>
    <r>
      <rPr>
        <b val="true"/>
        <sz val="12"/>
        <rFont val="Cambria"/>
        <family val="0"/>
        <charset val="1"/>
      </rPr>
      <t xml:space="preserve">0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</si>
  <si>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案例：北美零售利益率年改善 </t>
    </r>
    <r>
      <rPr>
        <b val="true"/>
        <sz val="12"/>
        <rFont val="Cambria"/>
        <family val="0"/>
        <charset val="1"/>
      </rPr>
      <t xml:space="preserve">0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</si>
  <si>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案例：北美零售利益率年改善 </t>
    </r>
    <r>
      <rPr>
        <b val="true"/>
        <sz val="12"/>
        <rFont val="Cambria"/>
        <family val="0"/>
        <charset val="1"/>
      </rPr>
      <t xml:space="preserve">0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</si>
  <si>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案例：北美零售利益率年改善 </t>
    </r>
    <r>
      <rPr>
        <b val="true"/>
        <sz val="12"/>
        <rFont val="Cambria"/>
        <family val="0"/>
        <charset val="1"/>
      </rPr>
      <t xml:space="preserve">0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</si>
  <si>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案例：北美零售利益率年改善 </t>
    </r>
    <r>
      <rPr>
        <b val="true"/>
        <sz val="12"/>
        <rFont val="Cambria"/>
        <family val="0"/>
        <charset val="1"/>
      </rPr>
      <t xml:space="preserve">0.6pt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</si>
  <si>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案例：北美零售利益率年改善 </t>
    </r>
    <r>
      <rPr>
        <b val="true"/>
        <sz val="12"/>
        <rFont val="Cambria"/>
        <family val="0"/>
        <charset val="1"/>
      </rPr>
      <t xml:space="preserve">0.6pt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</si>
  <si>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案例：北美零售利益率年改善 </t>
    </r>
    <r>
      <rPr>
        <b val="true"/>
        <sz val="12"/>
        <rFont val="Cambria"/>
        <family val="0"/>
        <charset val="1"/>
      </rPr>
      <t xml:space="preserve">0.6pt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</si>
  <si>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案例：北美零售利益率年改善 </t>
    </r>
    <r>
      <rPr>
        <b val="true"/>
        <sz val="12"/>
        <rFont val="Cambria"/>
        <family val="0"/>
        <charset val="1"/>
      </rPr>
      <t xml:space="preserve">0.6pt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</si>
  <si>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案例：北美零售利益率年改善 </t>
    </r>
    <r>
      <rPr>
        <b val="true"/>
        <sz val="12"/>
        <rFont val="Cambria"/>
        <family val="0"/>
        <charset val="1"/>
      </rPr>
      <t xml:space="preserve">0.6pt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</si>
  <si>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WACC −1pt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</si>
  <si>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WACC −1pt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</si>
  <si>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WACC −1pt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</si>
  <si>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WACC −1pt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</si>
  <si>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WACC −1pt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</si>
  <si>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WACC +1pt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</si>
  <si>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WACC +1pt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</si>
  <si>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WACC +1pt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</si>
  <si>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WACC +1pt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</si>
  <si>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WACC +1pt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</si>
  <si>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案例：永續成長 </t>
    </r>
    <r>
      <rPr>
        <b val="true"/>
        <sz val="12"/>
        <rFont val="Cambria"/>
        <family val="0"/>
        <charset val="1"/>
      </rPr>
      <t xml:space="preserve">g 2%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</si>
  <si>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案例：永續成長 </t>
    </r>
    <r>
      <rPr>
        <b val="true"/>
        <sz val="12"/>
        <rFont val="Cambria"/>
        <family val="0"/>
        <charset val="1"/>
      </rPr>
      <t xml:space="preserve">g 2%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</si>
  <si>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案例：永續成長 </t>
    </r>
    <r>
      <rPr>
        <b val="true"/>
        <sz val="12"/>
        <rFont val="Cambria"/>
        <family val="0"/>
        <charset val="1"/>
      </rPr>
      <t xml:space="preserve">g 2%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</si>
  <si>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案例：永續成長 </t>
    </r>
    <r>
      <rPr>
        <b val="true"/>
        <sz val="12"/>
        <rFont val="Cambria"/>
        <family val="0"/>
        <charset val="1"/>
      </rPr>
      <t xml:space="preserve">g 2%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</si>
  <si>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案例：永續成長 </t>
    </r>
    <r>
      <rPr>
        <b val="true"/>
        <sz val="12"/>
        <rFont val="Cambria"/>
        <family val="0"/>
        <charset val="1"/>
      </rPr>
      <t xml:space="preserve">g 2%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</si>
  <si>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案例：永續成長 </t>
    </r>
    <r>
      <rPr>
        <b val="true"/>
        <sz val="12"/>
        <rFont val="Cambria"/>
        <family val="0"/>
        <charset val="1"/>
      </rPr>
      <t xml:space="preserve">g 4%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</si>
  <si>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案例：永續成長 </t>
    </r>
    <r>
      <rPr>
        <b val="true"/>
        <sz val="12"/>
        <rFont val="Cambria"/>
        <family val="0"/>
        <charset val="1"/>
      </rPr>
      <t xml:space="preserve">g 4%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</si>
  <si>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案例：永續成長 </t>
    </r>
    <r>
      <rPr>
        <b val="true"/>
        <sz val="12"/>
        <rFont val="Cambria"/>
        <family val="0"/>
        <charset val="1"/>
      </rPr>
      <t xml:space="preserve">g 4%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</si>
  <si>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案例：永續成長 </t>
    </r>
    <r>
      <rPr>
        <b val="true"/>
        <sz val="12"/>
        <rFont val="Cambria"/>
        <family val="0"/>
        <charset val="1"/>
      </rPr>
      <t xml:space="preserve">g 4%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</si>
  <si>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案例：永續成長 </t>
    </r>
    <r>
      <rPr>
        <b val="true"/>
        <sz val="12"/>
        <rFont val="Cambria"/>
        <family val="0"/>
        <charset val="1"/>
      </rPr>
      <t xml:space="preserve">g 4%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</si>
  <si>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RONIC 20%</t>
    </r>
    <r>
      <rPr>
        <b val="true"/>
        <sz val="12"/>
        <rFont val="Noto Sans CJK SC"/>
        <family val="2"/>
      </rPr>
      <t xml:space="preserve">（永續成長創造價值）：營收分部層（官方分部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</si>
  <si>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RONIC 20%</t>
    </r>
    <r>
      <rPr>
        <b val="true"/>
        <sz val="12"/>
        <rFont val="Noto Sans CJK SC"/>
        <family val="2"/>
      </rPr>
      <t xml:space="preserve">（永續成長創造價值）：命題模組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</si>
  <si>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RONIC 20%</t>
    </r>
    <r>
      <rPr>
        <b val="true"/>
        <sz val="12"/>
        <rFont val="Noto Sans CJK SC"/>
        <family val="2"/>
      </rPr>
      <t xml:space="preserve">（永續成長創造價值）：分部營收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</si>
  <si>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RONIC 20%</t>
    </r>
    <r>
      <rPr>
        <b val="true"/>
        <sz val="12"/>
        <rFont val="Noto Sans CJK SC"/>
        <family val="2"/>
      </rPr>
      <t xml:space="preserve">（永續成長創造價值）：營運現金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</si>
  <si>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RONIC 20%</t>
    </r>
    <r>
      <rPr>
        <b val="true"/>
        <sz val="12"/>
        <rFont val="Noto Sans CJK SC"/>
        <family val="2"/>
      </rPr>
      <t xml:space="preserve">（永續成長創造價值）：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</si>
  <si>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案例：分部倍數 </t>
    </r>
    <r>
      <rPr>
        <b val="true"/>
        <sz val="12"/>
        <rFont val="Cambria"/>
        <family val="0"/>
        <charset val="1"/>
      </rPr>
      <t xml:space="preserve">× 0.8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</si>
  <si>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案例：分部倍數 </t>
    </r>
    <r>
      <rPr>
        <b val="true"/>
        <sz val="12"/>
        <rFont val="Cambria"/>
        <family val="0"/>
        <charset val="1"/>
      </rPr>
      <t xml:space="preserve">× 0.8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</si>
  <si>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案例：分部倍數 </t>
    </r>
    <r>
      <rPr>
        <b val="true"/>
        <sz val="12"/>
        <rFont val="Cambria"/>
        <family val="0"/>
        <charset val="1"/>
      </rPr>
      <t xml:space="preserve">× 0.8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</si>
  <si>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案例：分部倍數 </t>
    </r>
    <r>
      <rPr>
        <b val="true"/>
        <sz val="12"/>
        <rFont val="Cambria"/>
        <family val="0"/>
        <charset val="1"/>
      </rPr>
      <t xml:space="preserve">× 0.8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</si>
  <si>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案例：分部倍數 </t>
    </r>
    <r>
      <rPr>
        <b val="true"/>
        <sz val="12"/>
        <rFont val="Cambria"/>
        <family val="0"/>
        <charset val="1"/>
      </rPr>
      <t xml:space="preserve">× 0.8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</si>
  <si>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案例：分部倍數 </t>
    </r>
    <r>
      <rPr>
        <b val="true"/>
        <sz val="12"/>
        <rFont val="Cambria"/>
        <family val="0"/>
        <charset val="1"/>
      </rPr>
      <t xml:space="preserve">× 1.2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</si>
  <si>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案例：分部倍數 </t>
    </r>
    <r>
      <rPr>
        <b val="true"/>
        <sz val="12"/>
        <rFont val="Cambria"/>
        <family val="0"/>
        <charset val="1"/>
      </rPr>
      <t xml:space="preserve">× 1.2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</si>
  <si>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案例：分部倍數 </t>
    </r>
    <r>
      <rPr>
        <b val="true"/>
        <sz val="12"/>
        <rFont val="Cambria"/>
        <family val="0"/>
        <charset val="1"/>
      </rPr>
      <t xml:space="preserve">× 1.2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</si>
  <si>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案例：分部倍數 </t>
    </r>
    <r>
      <rPr>
        <b val="true"/>
        <sz val="12"/>
        <rFont val="Cambria"/>
        <family val="0"/>
        <charset val="1"/>
      </rPr>
      <t xml:space="preserve">× 1.2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</si>
  <si>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案例：分部倍數 </t>
    </r>
    <r>
      <rPr>
        <b val="true"/>
        <sz val="12"/>
        <rFont val="Cambria"/>
        <family val="0"/>
        <charset val="1"/>
      </rPr>
      <t xml:space="preserve">× 1.2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</si>
  <si>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AI </t>
    </r>
    <r>
      <rPr>
        <b val="true"/>
        <sz val="12"/>
        <rFont val="Noto Sans CJK SC"/>
        <family val="2"/>
      </rPr>
      <t xml:space="preserve">倍數 </t>
    </r>
    <r>
      <rPr>
        <b val="true"/>
        <sz val="12"/>
        <rFont val="Cambria"/>
        <family val="0"/>
        <charset val="1"/>
      </rPr>
      <t xml:space="preserve">10×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</si>
  <si>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AI </t>
    </r>
    <r>
      <rPr>
        <b val="true"/>
        <sz val="12"/>
        <rFont val="Noto Sans CJK SC"/>
        <family val="2"/>
      </rPr>
      <t xml:space="preserve">倍數 </t>
    </r>
    <r>
      <rPr>
        <b val="true"/>
        <sz val="12"/>
        <rFont val="Cambria"/>
        <family val="0"/>
        <charset val="1"/>
      </rPr>
      <t xml:space="preserve">10×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</si>
  <si>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AI </t>
    </r>
    <r>
      <rPr>
        <b val="true"/>
        <sz val="12"/>
        <rFont val="Noto Sans CJK SC"/>
        <family val="2"/>
      </rPr>
      <t xml:space="preserve">倍數 </t>
    </r>
    <r>
      <rPr>
        <b val="true"/>
        <sz val="12"/>
        <rFont val="Cambria"/>
        <family val="0"/>
        <charset val="1"/>
      </rPr>
      <t xml:space="preserve">10×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</si>
  <si>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AI </t>
    </r>
    <r>
      <rPr>
        <b val="true"/>
        <sz val="12"/>
        <rFont val="Noto Sans CJK SC"/>
        <family val="2"/>
      </rPr>
      <t xml:space="preserve">倍數 </t>
    </r>
    <r>
      <rPr>
        <b val="true"/>
        <sz val="12"/>
        <rFont val="Cambria"/>
        <family val="0"/>
        <charset val="1"/>
      </rPr>
      <t xml:space="preserve">10×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</si>
  <si>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AI </t>
    </r>
    <r>
      <rPr>
        <b val="true"/>
        <sz val="12"/>
        <rFont val="Noto Sans CJK SC"/>
        <family val="2"/>
      </rPr>
      <t xml:space="preserve">倍數 </t>
    </r>
    <r>
      <rPr>
        <b val="true"/>
        <sz val="12"/>
        <rFont val="Cambria"/>
        <family val="0"/>
        <charset val="1"/>
      </rPr>
      <t xml:space="preserve">10×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</si>
  <si>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Anthropic </t>
    </r>
    <r>
      <rPr>
        <b val="true"/>
        <sz val="12"/>
        <rFont val="Noto Sans CJK SC"/>
        <family val="2"/>
      </rPr>
      <t xml:space="preserve">持股 </t>
    </r>
    <r>
      <rPr>
        <b val="true"/>
        <sz val="12"/>
        <rFont val="Cambria"/>
        <family val="0"/>
        <charset val="1"/>
      </rPr>
      <t xml:space="preserve">15%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</si>
  <si>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Anthropic </t>
    </r>
    <r>
      <rPr>
        <b val="true"/>
        <sz val="12"/>
        <rFont val="Noto Sans CJK SC"/>
        <family val="2"/>
      </rPr>
      <t xml:space="preserve">持股 </t>
    </r>
    <r>
      <rPr>
        <b val="true"/>
        <sz val="12"/>
        <rFont val="Cambria"/>
        <family val="0"/>
        <charset val="1"/>
      </rPr>
      <t xml:space="preserve">15%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</si>
  <si>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Anthropic </t>
    </r>
    <r>
      <rPr>
        <b val="true"/>
        <sz val="12"/>
        <rFont val="Noto Sans CJK SC"/>
        <family val="2"/>
      </rPr>
      <t xml:space="preserve">持股 </t>
    </r>
    <r>
      <rPr>
        <b val="true"/>
        <sz val="12"/>
        <rFont val="Cambria"/>
        <family val="0"/>
        <charset val="1"/>
      </rPr>
      <t xml:space="preserve">15%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</si>
  <si>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Anthropic </t>
    </r>
    <r>
      <rPr>
        <b val="true"/>
        <sz val="12"/>
        <rFont val="Noto Sans CJK SC"/>
        <family val="2"/>
      </rPr>
      <t xml:space="preserve">持股 </t>
    </r>
    <r>
      <rPr>
        <b val="true"/>
        <sz val="12"/>
        <rFont val="Cambria"/>
        <family val="0"/>
        <charset val="1"/>
      </rPr>
      <t xml:space="preserve">15%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</si>
  <si>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Anthropic </t>
    </r>
    <r>
      <rPr>
        <b val="true"/>
        <sz val="12"/>
        <rFont val="Noto Sans CJK SC"/>
        <family val="2"/>
      </rPr>
      <t xml:space="preserve">持股 </t>
    </r>
    <r>
      <rPr>
        <b val="true"/>
        <sz val="12"/>
        <rFont val="Cambria"/>
        <family val="0"/>
        <charset val="1"/>
      </rPr>
      <t xml:space="preserve">15%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</si>
  <si>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Anthropic </t>
    </r>
    <r>
      <rPr>
        <b val="true"/>
        <sz val="12"/>
        <rFont val="Noto Sans CJK SC"/>
        <family val="2"/>
      </rPr>
      <t xml:space="preserve">持股 </t>
    </r>
    <r>
      <rPr>
        <b val="true"/>
        <sz val="12"/>
        <rFont val="Cambria"/>
        <family val="0"/>
        <charset val="1"/>
      </rPr>
      <t xml:space="preserve">21%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</si>
  <si>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Anthropic </t>
    </r>
    <r>
      <rPr>
        <b val="true"/>
        <sz val="12"/>
        <rFont val="Noto Sans CJK SC"/>
        <family val="2"/>
      </rPr>
      <t xml:space="preserve">持股 </t>
    </r>
    <r>
      <rPr>
        <b val="true"/>
        <sz val="12"/>
        <rFont val="Cambria"/>
        <family val="0"/>
        <charset val="1"/>
      </rPr>
      <t xml:space="preserve">21%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</si>
  <si>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Anthropic </t>
    </r>
    <r>
      <rPr>
        <b val="true"/>
        <sz val="12"/>
        <rFont val="Noto Sans CJK SC"/>
        <family val="2"/>
      </rPr>
      <t xml:space="preserve">持股 </t>
    </r>
    <r>
      <rPr>
        <b val="true"/>
        <sz val="12"/>
        <rFont val="Cambria"/>
        <family val="0"/>
        <charset val="1"/>
      </rPr>
      <t xml:space="preserve">21%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</si>
  <si>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Anthropic </t>
    </r>
    <r>
      <rPr>
        <b val="true"/>
        <sz val="12"/>
        <rFont val="Noto Sans CJK SC"/>
        <family val="2"/>
      </rPr>
      <t xml:space="preserve">持股 </t>
    </r>
    <r>
      <rPr>
        <b val="true"/>
        <sz val="12"/>
        <rFont val="Cambria"/>
        <family val="0"/>
        <charset val="1"/>
      </rPr>
      <t xml:space="preserve">21%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</si>
  <si>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Anthropic </t>
    </r>
    <r>
      <rPr>
        <b val="true"/>
        <sz val="12"/>
        <rFont val="Noto Sans CJK SC"/>
        <family val="2"/>
      </rPr>
      <t xml:space="preserve">持股 </t>
    </r>
    <r>
      <rPr>
        <b val="true"/>
        <sz val="12"/>
        <rFont val="Cambria"/>
        <family val="0"/>
        <charset val="1"/>
      </rPr>
      <t xml:space="preserve">21%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</si>
  <si>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DCF </t>
    </r>
    <r>
      <rPr>
        <b val="true"/>
        <sz val="12"/>
        <rFont val="Noto Sans CJK SC"/>
        <family val="2"/>
      </rPr>
      <t xml:space="preserve">權重 </t>
    </r>
    <r>
      <rPr>
        <b val="true"/>
        <sz val="12"/>
        <rFont val="Cambria"/>
        <family val="0"/>
        <charset val="1"/>
      </rPr>
      <t xml:space="preserve">30%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</si>
  <si>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DCF </t>
    </r>
    <r>
      <rPr>
        <b val="true"/>
        <sz val="12"/>
        <rFont val="Noto Sans CJK SC"/>
        <family val="2"/>
      </rPr>
      <t xml:space="preserve">權重 </t>
    </r>
    <r>
      <rPr>
        <b val="true"/>
        <sz val="12"/>
        <rFont val="Cambria"/>
        <family val="0"/>
        <charset val="1"/>
      </rPr>
      <t xml:space="preserve">30%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</si>
  <si>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DCF </t>
    </r>
    <r>
      <rPr>
        <b val="true"/>
        <sz val="12"/>
        <rFont val="Noto Sans CJK SC"/>
        <family val="2"/>
      </rPr>
      <t xml:space="preserve">權重 </t>
    </r>
    <r>
      <rPr>
        <b val="true"/>
        <sz val="12"/>
        <rFont val="Cambria"/>
        <family val="0"/>
        <charset val="1"/>
      </rPr>
      <t xml:space="preserve">30%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</si>
  <si>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DCF </t>
    </r>
    <r>
      <rPr>
        <b val="true"/>
        <sz val="12"/>
        <rFont val="Noto Sans CJK SC"/>
        <family val="2"/>
      </rPr>
      <t xml:space="preserve">權重 </t>
    </r>
    <r>
      <rPr>
        <b val="true"/>
        <sz val="12"/>
        <rFont val="Cambria"/>
        <family val="0"/>
        <charset val="1"/>
      </rPr>
      <t xml:space="preserve">30%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</si>
  <si>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DCF </t>
    </r>
    <r>
      <rPr>
        <b val="true"/>
        <sz val="12"/>
        <rFont val="Noto Sans CJK SC"/>
        <family val="2"/>
      </rPr>
      <t xml:space="preserve">權重 </t>
    </r>
    <r>
      <rPr>
        <b val="true"/>
        <sz val="12"/>
        <rFont val="Cambria"/>
        <family val="0"/>
        <charset val="1"/>
      </rPr>
      <t xml:space="preserve">30%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</si>
  <si>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DCF </t>
    </r>
    <r>
      <rPr>
        <b val="true"/>
        <sz val="12"/>
        <rFont val="Noto Sans CJK SC"/>
        <family val="2"/>
      </rPr>
      <t xml:space="preserve">權重 </t>
    </r>
    <r>
      <rPr>
        <b val="true"/>
        <sz val="12"/>
        <rFont val="Cambria"/>
        <family val="0"/>
        <charset val="1"/>
      </rPr>
      <t xml:space="preserve">70%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</si>
  <si>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DCF </t>
    </r>
    <r>
      <rPr>
        <b val="true"/>
        <sz val="12"/>
        <rFont val="Noto Sans CJK SC"/>
        <family val="2"/>
      </rPr>
      <t xml:space="preserve">權重 </t>
    </r>
    <r>
      <rPr>
        <b val="true"/>
        <sz val="12"/>
        <rFont val="Cambria"/>
        <family val="0"/>
        <charset val="1"/>
      </rPr>
      <t xml:space="preserve">70%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</si>
  <si>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DCF </t>
    </r>
    <r>
      <rPr>
        <b val="true"/>
        <sz val="12"/>
        <rFont val="Noto Sans CJK SC"/>
        <family val="2"/>
      </rPr>
      <t xml:space="preserve">權重 </t>
    </r>
    <r>
      <rPr>
        <b val="true"/>
        <sz val="12"/>
        <rFont val="Cambria"/>
        <family val="0"/>
        <charset val="1"/>
      </rPr>
      <t xml:space="preserve">70%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</si>
  <si>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DCF </t>
    </r>
    <r>
      <rPr>
        <b val="true"/>
        <sz val="12"/>
        <rFont val="Noto Sans CJK SC"/>
        <family val="2"/>
      </rPr>
      <t xml:space="preserve">權重 </t>
    </r>
    <r>
      <rPr>
        <b val="true"/>
        <sz val="12"/>
        <rFont val="Cambria"/>
        <family val="0"/>
        <charset val="1"/>
      </rPr>
      <t xml:space="preserve">70%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</si>
  <si>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DCF </t>
    </r>
    <r>
      <rPr>
        <b val="true"/>
        <sz val="12"/>
        <rFont val="Noto Sans CJK SC"/>
        <family val="2"/>
      </rPr>
      <t xml:space="preserve">權重 </t>
    </r>
    <r>
      <rPr>
        <b val="true"/>
        <sz val="12"/>
        <rFont val="Cambria"/>
        <family val="0"/>
        <charset val="1"/>
      </rPr>
      <t xml:space="preserve">70%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</si>
  <si>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Sources — </t>
    </r>
    <r>
      <rPr>
        <b val="true"/>
        <sz val="11"/>
        <rFont val="Noto Sans CJK SC"/>
        <family val="2"/>
      </rPr>
      <t xml:space="preserve">每個來源一列（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頁、</t>
    </r>
    <r>
      <rPr>
        <b val="true"/>
        <sz val="11"/>
        <rFont val="Cambria"/>
        <family val="0"/>
        <charset val="1"/>
      </rPr>
      <t xml:space="preserve">Q </t>
    </r>
    <r>
      <rPr>
        <b val="true"/>
        <sz val="11"/>
        <rFont val="Noto Sans CJK SC"/>
        <family val="2"/>
      </rPr>
      <t xml:space="preserve">頁以編號引用）。公司新聞稿與法說屬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（經查核）與 </t>
    </r>
    <r>
      <rPr>
        <b val="true"/>
        <sz val="11"/>
        <rFont val="Cambria"/>
        <family val="0"/>
        <charset val="1"/>
      </rPr>
      <t xml:space="preserve">10-Q</t>
    </r>
    <r>
      <rPr>
        <b val="true"/>
        <sz val="11"/>
        <rFont val="Noto Sans CJK SC"/>
        <family val="2"/>
      </rPr>
      <t xml:space="preserve">（核閱）為 </t>
    </r>
    <r>
      <rPr>
        <b val="true"/>
        <sz val="11"/>
        <rFont val="Cambria"/>
        <family val="0"/>
        <charset val="1"/>
      </rPr>
      <t xml:space="preserve">Verified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SemiAnalysis </t>
    </r>
    <r>
      <rPr>
        <b val="true"/>
        <sz val="11"/>
        <rFont val="Noto Sans CJK SC"/>
        <family val="2"/>
      </rPr>
      <t xml:space="preserve">未使用</t>
    </r>
  </si>
  <si>
    <t xml:space="preserve">編號</t>
  </si>
  <si>
    <t xml:space="preserve">文件</t>
  </si>
  <si>
    <t xml:space="preserve">日期</t>
  </si>
  <si>
    <t xml:space="preserve">網址</t>
  </si>
  <si>
    <r>
      <rPr>
        <sz val="11"/>
        <color theme="1"/>
        <rFont val="Calibri"/>
        <family val="2"/>
        <charset val="1"/>
      </rPr>
      <t xml:space="preserve">Form 10-K 2025</t>
    </r>
    <r>
      <rPr>
        <sz val="11"/>
        <color theme="1"/>
        <rFont val="Noto Sans CJK SC"/>
        <family val="2"/>
      </rPr>
      <t xml:space="preserve">（期末 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，經查核）</t>
    </r>
  </si>
  <si>
    <t xml:space="preserve">2026-02-06</t>
  </si>
  <si>
    <t xml:space="preserve">https://www.sec.gov/Archives/edgar/data/1018724/000101872426000004/amzn-20251231.htm</t>
  </si>
  <si>
    <r>
      <rPr>
        <sz val="11"/>
        <color theme="1"/>
        <rFont val="Calibri"/>
        <family val="2"/>
        <charset val="1"/>
      </rPr>
      <t xml:space="preserve">Form 10-Q 2026Q2</t>
    </r>
    <r>
      <rPr>
        <sz val="11"/>
        <color theme="1"/>
        <rFont val="Noto Sans CJK SC"/>
        <family val="2"/>
      </rPr>
      <t xml:space="preserve">（期末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，核閱未查核）</t>
    </r>
  </si>
  <si>
    <t xml:space="preserve">2026-07-31</t>
  </si>
  <si>
    <t xml:space="preserve">https://www.sec.gov/Archives/edgar/data/1018724/000101872426000026/amzn-20260630.htm</t>
  </si>
  <si>
    <t xml:space="preserve">S03</t>
  </si>
  <si>
    <r>
      <rPr>
        <sz val="11"/>
        <color theme="1"/>
        <rFont val="Calibri"/>
        <family val="2"/>
        <charset val="1"/>
      </rPr>
      <t xml:space="preserve">Form 10-Q 2025Q3</t>
    </r>
    <r>
      <rPr>
        <sz val="11"/>
        <color theme="1"/>
        <rFont val="Noto Sans CJK SC"/>
        <family val="2"/>
      </rPr>
      <t xml:space="preserve">（分部 </t>
    </r>
    <r>
      <rPr>
        <sz val="11"/>
        <color theme="1"/>
        <rFont val="Calibri"/>
        <family val="2"/>
        <charset val="1"/>
      </rPr>
      <t xml:space="preserve">D&amp;A </t>
    </r>
    <r>
      <rPr>
        <sz val="11"/>
        <color theme="1"/>
        <rFont val="Noto Sans CJK SC"/>
        <family val="2"/>
      </rPr>
      <t xml:space="preserve">前九個月）</t>
    </r>
  </si>
  <si>
    <t xml:space="preserve">2025-10-31</t>
  </si>
  <si>
    <t xml:space="preserve">https://www.sec.gov/Archives/edgar/data/1018724/000101872425000123/amzn-20250930.htm</t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</si>
  <si>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；逐季補充表、指引）</t>
    </r>
  </si>
  <si>
    <t xml:space="preserve">2026-07-30</t>
  </si>
  <si>
    <t xml:space="preserve">https://www.sec.gov/Archives/edgar/data/1018724/000101872426000024/amzn-20260630xex991.htm</t>
  </si>
  <si>
    <t xml:space="preserve">S05</t>
  </si>
  <si>
    <r>
      <rPr>
        <sz val="11"/>
        <color theme="1"/>
        <rFont val="Calibri"/>
        <family val="2"/>
        <charset val="1"/>
      </rPr>
      <t xml:space="preserve">2026Q1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</si>
  <si>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t xml:space="preserve">2026-04-29</t>
  </si>
  <si>
    <t xml:space="preserve">https://www.sec.gov/Archives/edgar/data/1018724/000101872426000012/amzn-20260331xex991.htm</t>
  </si>
  <si>
    <t xml:space="preserve">S06</t>
  </si>
  <si>
    <r>
      <rPr>
        <sz val="11"/>
        <color theme="1"/>
        <rFont val="Calibri"/>
        <family val="2"/>
        <charset val="1"/>
      </rPr>
      <t xml:space="preserve">2025Q4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</si>
  <si>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t xml:space="preserve">2026-02-05</t>
  </si>
  <si>
    <t xml:space="preserve">https://www.sec.gov/Archives/edgar/data/1018724/000101872426000002/amzn-20251231xex991.htm</t>
  </si>
  <si>
    <t xml:space="preserve">S07</t>
  </si>
  <si>
    <r>
      <rPr>
        <sz val="11"/>
        <color theme="1"/>
        <rFont val="Calibri"/>
        <family val="2"/>
        <charset val="1"/>
      </rPr>
      <t xml:space="preserve">2025Q3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</si>
  <si>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t xml:space="preserve">2025-10-30</t>
  </si>
  <si>
    <t xml:space="preserve">https://www.sec.gov/Archives/edgar/data/1018724/000101872425000121/amzn-20250930xex991.htm</t>
  </si>
  <si>
    <t xml:space="preserve">S08</t>
  </si>
  <si>
    <r>
      <rPr>
        <sz val="11"/>
        <color theme="1"/>
        <rFont val="Calibri"/>
        <family val="2"/>
        <charset val="1"/>
      </rPr>
      <t xml:space="preserve">2024Q4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；逐季補充表）</t>
    </r>
  </si>
  <si>
    <t xml:space="preserve">2025-02-06</t>
  </si>
  <si>
    <t xml:space="preserve">https://www.sec.gov/Archives/edgar/data/1018724/000101872425000002/amzn-20241231xex991.htm</t>
  </si>
  <si>
    <t xml:space="preserve">S09</t>
  </si>
  <si>
    <r>
      <rPr>
        <sz val="11"/>
        <color theme="1"/>
        <rFont val="Calibri"/>
        <family val="2"/>
        <charset val="1"/>
      </rPr>
      <t xml:space="preserve">2024Q3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</si>
  <si>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t xml:space="preserve">2024-10-31</t>
  </si>
  <si>
    <t xml:space="preserve">https://www.sec.gov/Archives/edgar/data/1018724/000101872424000158/amzn-20240930xex991.htm</t>
  </si>
  <si>
    <r>
      <rPr>
        <sz val="11"/>
        <color theme="1"/>
        <rFont val="Calibri"/>
        <family val="2"/>
        <charset val="1"/>
      </rPr>
      <t xml:space="preserve">SEC XBRL companyfacts</t>
    </r>
    <r>
      <rPr>
        <sz val="11"/>
        <color theme="1"/>
        <rFont val="Noto Sans CJK SC"/>
        <family val="2"/>
      </rPr>
      <t xml:space="preserve">（稀釋加權股數）</t>
    </r>
  </si>
  <si>
    <t xml:space="preserve">2026-10-08</t>
  </si>
  <si>
    <t xml:space="preserve">https://data.sec.gov/api/xbrl/companyfacts/CIK0001018724.json</t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</si>
  <si>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法說會逐字稿（二手轉錄：</t>
    </r>
    <r>
      <rPr>
        <sz val="11"/>
        <color theme="1"/>
        <rFont val="Calibri"/>
        <family val="2"/>
        <charset val="1"/>
      </rPr>
      <t xml:space="preserve">Webull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現金資本支出約 </t>
    </r>
    <r>
      <rPr>
        <sz val="11"/>
        <color theme="1"/>
        <rFont val="Calibri"/>
        <family val="2"/>
        <charset val="1"/>
      </rPr>
      <t xml:space="preserve">220</t>
    </r>
    <r>
      <rPr>
        <sz val="11"/>
        <color theme="1"/>
        <rFont val="Noto Sans CJK SC"/>
        <family val="2"/>
      </rPr>
      <t xml:space="preserve">）</t>
    </r>
  </si>
  <si>
    <t xml:space="preserve">https://www.webull.com/news/15364638750483456</t>
  </si>
  <si>
    <t xml:space="preserve">S12</t>
  </si>
  <si>
    <r>
      <rPr>
        <sz val="11"/>
        <color theme="1"/>
        <rFont val="Calibri"/>
        <family val="2"/>
        <charset val="1"/>
      </rPr>
      <t xml:space="preserve">424B5 </t>
    </r>
    <r>
      <rPr>
        <sz val="11"/>
        <color theme="1"/>
        <rFont val="Noto Sans CJK SC"/>
        <family val="2"/>
      </rPr>
      <t xml:space="preserve">英鎊票據公開說明書補充（</t>
    </r>
    <r>
      <rPr>
        <sz val="11"/>
        <color theme="1"/>
        <rFont val="Calibri"/>
        <family val="2"/>
        <charset val="1"/>
      </rPr>
      <t xml:space="preserve">£3.25B</t>
    </r>
    <r>
      <rPr>
        <sz val="11"/>
        <color theme="1"/>
        <rFont val="Noto Sans CJK SC"/>
        <family val="2"/>
      </rPr>
      <t xml:space="preserve">）</t>
    </r>
  </si>
  <si>
    <t xml:space="preserve">2026-09-11</t>
  </si>
  <si>
    <t xml:space="preserve">https://www.sec.gov/Archives/edgar/data/1018724/000110465926107122/tm2624614-3_424b5.htm</t>
  </si>
  <si>
    <t xml:space="preserve">S13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</si>
  <si>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歷史股價（</t>
    </r>
    <r>
      <rPr>
        <sz val="11"/>
        <color theme="1"/>
        <rFont val="Calibri"/>
        <family val="2"/>
        <charset val="1"/>
      </rPr>
      <t xml:space="preserve">AMZN 2026-10-26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249.09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同值）</t>
    </r>
  </si>
  <si>
    <t xml:space="preserve">2026-10-26</t>
  </si>
  <si>
    <t xml:space="preserve">https://stockanalysis.com/stocks/amzn/history/</t>
  </si>
  <si>
    <t xml:space="preserve">S14</t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</si>
  <si>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AMZN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249.09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2026-10-26 16:00 EDT</t>
    </r>
    <r>
      <rPr>
        <sz val="11"/>
        <color theme="1"/>
        <rFont val="Noto Sans CJK SC"/>
        <family val="2"/>
      </rPr>
      <t xml:space="preserve">）</t>
    </r>
  </si>
  <si>
    <t xml:space="preserve">https://finance.yahoo.com/quote/AMZN/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</si>
  <si>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預估頁（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332.24</t>
    </r>
    <r>
      <rPr>
        <sz val="11"/>
        <color theme="1"/>
        <rFont val="Noto Sans CJK SC"/>
        <family val="2"/>
      </rPr>
      <t xml:space="preserve">、營收與調整後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共識）</t>
    </r>
  </si>
  <si>
    <t xml:space="preserve">https://stockanalysis.com/stocks/amzn/forecast/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</si>
  <si>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年度共識（</t>
    </r>
    <r>
      <rPr>
        <sz val="11"/>
        <color theme="1"/>
        <rFont val="Calibri"/>
        <family val="2"/>
        <charset val="1"/>
      </rPr>
      <t xml:space="preserve">S&amp;P Capital IQ </t>
    </r>
    <r>
      <rPr>
        <sz val="11"/>
        <color theme="1"/>
        <rFont val="Noto Sans CJK SC"/>
        <family val="2"/>
      </rPr>
      <t xml:space="preserve">系；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EBIT</t>
    </r>
    <r>
      <rPr>
        <sz val="11"/>
        <color theme="1"/>
        <rFont val="Noto Sans CJK SC"/>
        <family val="2"/>
      </rPr>
      <t xml:space="preserve">、淨利、</t>
    </r>
    <r>
      <rPr>
        <sz val="11"/>
        <color theme="1"/>
        <rFont val="Calibri"/>
        <family val="2"/>
        <charset val="1"/>
      </rPr>
      <t xml:space="preserve">GAAP EPS</t>
    </r>
    <r>
      <rPr>
        <sz val="11"/>
        <color theme="1"/>
        <rFont val="Noto Sans CJK SC"/>
        <family val="2"/>
      </rPr>
      <t xml:space="preserve">、資本支出、</t>
    </r>
    <r>
      <rPr>
        <sz val="11"/>
        <color theme="1"/>
        <rFont val="Calibri"/>
        <family val="2"/>
        <charset val="1"/>
      </rPr>
      <t xml:space="preserve">FCF</t>
    </r>
    <r>
      <rPr>
        <sz val="11"/>
        <color theme="1"/>
        <rFont val="Noto Sans CJK SC"/>
        <family val="2"/>
      </rPr>
      <t xml:space="preserve">）</t>
    </r>
  </si>
  <si>
    <t xml:space="preserve">https://www.marketscreener.com/quote/stock/AMAZON-COM-INC-12864605/finances/</t>
  </si>
  <si>
    <r>
      <rPr>
        <sz val="11"/>
        <color theme="1"/>
        <rFont val="Calibri"/>
        <family val="2"/>
        <charset val="1"/>
      </rPr>
      <t xml:space="preserve">Tokenomics v21.4 </t>
    </r>
    <r>
      <rPr>
        <sz val="11"/>
        <color theme="1"/>
        <rFont val="Noto Sans CJK SC"/>
        <family val="2"/>
      </rPr>
      <t xml:space="preserve">快照（</t>
    </r>
    <r>
      <rPr>
        <sz val="11"/>
        <color theme="1"/>
        <rFont val="Calibri"/>
        <family val="2"/>
        <charset val="1"/>
      </rPr>
      <t xml:space="preserve">amazon/data/tokenomics_snapshot_v21.4.json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master 3ac70ac</t>
    </r>
    <r>
      <rPr>
        <sz val="11"/>
        <color theme="1"/>
        <rFont val="Noto Sans CJK SC"/>
        <family val="2"/>
      </rPr>
      <t xml:space="preserve">）</t>
    </r>
  </si>
  <si>
    <t xml:space="preserve">2026-10-25</t>
  </si>
  <si>
    <t xml:space="preserve">amazon/data/tokenomics_snapshot_v21.4.json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</si>
  <si>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證據（</t>
    </r>
    <r>
      <rPr>
        <sz val="11"/>
        <color theme="1"/>
        <rFont val="Calibri"/>
        <family val="2"/>
        <charset val="1"/>
      </rPr>
      <t xml:space="preserve">amazon/data/kevidence_amazon_20261008.json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Silicon Data H100 </t>
    </r>
    <r>
      <rPr>
        <sz val="11"/>
        <color theme="1"/>
        <rFont val="Noto Sans CJK SC"/>
        <family val="2"/>
      </rPr>
      <t xml:space="preserve">指數、</t>
    </r>
    <r>
      <rPr>
        <sz val="11"/>
        <color theme="1"/>
        <rFont val="Calibri"/>
        <family val="2"/>
        <charset val="1"/>
      </rPr>
      <t xml:space="preserve">AWS p5 </t>
    </r>
    <r>
      <rPr>
        <sz val="11"/>
        <color theme="1"/>
        <rFont val="Noto Sans CJK SC"/>
        <family val="2"/>
      </rPr>
      <t xml:space="preserve">牌價）</t>
    </r>
  </si>
  <si>
    <t xml:space="preserve">amazon/data/kevidence_amazon_20261008.json</t>
  </si>
  <si>
    <t xml:space="preserve">S19</t>
  </si>
  <si>
    <r>
      <rPr>
        <sz val="11"/>
        <color theme="1"/>
        <rFont val="Calibri"/>
        <family val="2"/>
        <charset val="1"/>
      </rPr>
      <t xml:space="preserve">Epoch AI </t>
    </r>
    <r>
      <rPr>
        <sz val="11"/>
        <color theme="1"/>
        <rFont val="Noto Sans CJK SC"/>
        <family val="2"/>
      </rPr>
      <t xml:space="preserve">資料中心目錄（</t>
    </r>
    <r>
      <rPr>
        <sz val="11"/>
        <color theme="1"/>
        <rFont val="Calibri"/>
        <family val="2"/>
        <charset val="1"/>
      </rPr>
      <t xml:space="preserve">New Carlisle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Ridgeland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Madison</t>
    </r>
    <r>
      <rPr>
        <sz val="11"/>
        <color theme="1"/>
        <rFont val="Noto Sans CJK SC"/>
        <family val="2"/>
      </rPr>
      <t xml:space="preserve">）</t>
    </r>
  </si>
  <si>
    <t xml:space="preserve">2026-10-05</t>
  </si>
  <si>
    <t xml:space="preserve">https://epoch.ai/data/ai-data-centers/directory/</t>
  </si>
  <si>
    <t xml:space="preserve">Analogy</t>
  </si>
  <si>
    <r>
      <rPr>
        <sz val="11"/>
        <color theme="1"/>
        <rFont val="Calibri"/>
        <family val="2"/>
        <charset val="1"/>
      </rPr>
      <t xml:space="preserve">v0.1a </t>
    </r>
    <r>
      <rPr>
        <sz val="11"/>
        <color theme="1"/>
        <rFont val="Noto Sans CJK SC"/>
        <family val="2"/>
      </rPr>
      <t xml:space="preserve">資料報告（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、對外比例、世代占比的推導）</t>
    </r>
  </si>
  <si>
    <r>
      <rPr>
        <sz val="11"/>
        <color theme="1"/>
        <rFont val="Calibri"/>
        <family val="2"/>
        <charset val="1"/>
      </rPr>
      <t xml:space="preserve">amazon/docs/reports/20261008_amazon_v0.1a_</t>
    </r>
    <r>
      <rPr>
        <sz val="11"/>
        <color theme="1"/>
        <rFont val="Noto Sans CJK SC"/>
        <family val="2"/>
      </rPr>
      <t xml:space="preserve">資料</t>
    </r>
    <r>
      <rPr>
        <sz val="11"/>
        <color theme="1"/>
        <rFont val="Calibri"/>
        <family val="2"/>
        <charset val="1"/>
      </rPr>
      <t xml:space="preserve">.md</t>
    </r>
  </si>
  <si>
    <t xml:space="preserve">S21</t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</si>
  <si>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交接檔（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速度、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規格、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、持股、同業倍數；本版沿用）</t>
    </r>
  </si>
  <si>
    <r>
      <rPr>
        <sz val="11"/>
        <color theme="1"/>
        <rFont val="Calibri"/>
        <family val="2"/>
        <charset val="1"/>
      </rPr>
      <t xml:space="preserve">amazon/legacy_v0.2/docs_handoff_v0_2_2.md</t>
    </r>
    <r>
      <rPr>
        <sz val="11"/>
        <color theme="1"/>
        <rFont val="Noto Sans CJK SC"/>
        <family val="2"/>
      </rPr>
      <t xml:space="preserve">（搬移前：</t>
    </r>
    <r>
      <rPr>
        <sz val="11"/>
        <color theme="1"/>
        <rFont val="Calibri"/>
        <family val="2"/>
        <charset val="1"/>
      </rPr>
      <t xml:space="preserve">amazon/docs/handoff/20261025_Amazon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</si>
  <si>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共用非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雲端同業檔（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IBM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AKAM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EQIX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DOCN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EV ÷ MarketScreener NTM EBITDA</t>
    </r>
    <r>
      <rPr>
        <sz val="11"/>
        <color theme="1"/>
        <rFont val="Noto Sans CJK SC"/>
        <family val="2"/>
      </rPr>
      <t xml:space="preserve">）</t>
    </r>
  </si>
  <si>
    <t xml:space="preserve">2026-10-07</t>
  </si>
  <si>
    <t xml:space="preserve">amazon/data/peers_cloud_20261008.json</t>
  </si>
  <si>
    <r>
      <rPr>
        <sz val="11"/>
        <color theme="1"/>
        <rFont val="Noto Sans CJK SC"/>
        <family val="2"/>
      </rPr>
      <t xml:space="preserve">共用數位廣告同業檔（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PINS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TTD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APP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RDDT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SNAP</t>
    </r>
    <r>
      <rPr>
        <sz val="11"/>
        <color theme="1"/>
        <rFont val="Noto Sans CJK SC"/>
        <family val="2"/>
      </rPr>
      <t xml:space="preserve">）</t>
    </r>
  </si>
  <si>
    <t xml:space="preserve">amazon/data/peers_ads_20261009.json</t>
  </si>
  <si>
    <r>
      <rPr>
        <sz val="11"/>
        <color theme="1"/>
        <rFont val="Noto Sans CJK SC"/>
        <family val="2"/>
      </rPr>
      <t xml:space="preserve">零售同業（</t>
    </r>
    <r>
      <rPr>
        <sz val="11"/>
        <color theme="1"/>
        <rFont val="Calibri"/>
        <family val="2"/>
        <charset val="1"/>
      </rPr>
      <t xml:space="preserve">WMT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TGT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val.peer.retail.*</t>
    </r>
    <r>
      <rPr>
        <sz val="11"/>
        <color theme="1"/>
        <rFont val="Noto Sans CJK SC"/>
        <family val="2"/>
      </rPr>
      <t xml:space="preserve">）</t>
    </r>
  </si>
  <si>
    <t xml:space="preserve">amazon/data/amazon_facts_20261008.json</t>
  </si>
  <si>
    <r>
      <rPr>
        <sz val="11"/>
        <color theme="1"/>
        <rFont val="Calibri"/>
        <family val="2"/>
        <charset val="1"/>
      </rPr>
      <t xml:space="preserve">Anthropic Series H </t>
    </r>
    <r>
      <rPr>
        <sz val="11"/>
        <color theme="1"/>
        <rFont val="Noto Sans CJK SC"/>
        <family val="2"/>
      </rPr>
      <t xml:space="preserve">投後估值 </t>
    </r>
    <r>
      <rPr>
        <sz val="11"/>
        <color theme="1"/>
        <rFont val="Calibri"/>
        <family val="2"/>
        <charset val="1"/>
      </rPr>
      <t xml:space="preserve">965B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W.Media</t>
    </r>
    <r>
      <rPr>
        <sz val="11"/>
        <color theme="1"/>
        <rFont val="Noto Sans CJK SC"/>
        <family val="2"/>
      </rPr>
      <t xml:space="preserve">）</t>
    </r>
  </si>
  <si>
    <t xml:space="preserve">2026-06-01</t>
  </si>
  <si>
    <t xml:space="preserve">https://w.media/anthropic-valuation-touches-us-965-billion-surpassing-openai/</t>
  </si>
  <si>
    <t xml:space="preserve">S26</t>
  </si>
  <si>
    <r>
      <rPr>
        <sz val="11"/>
        <color theme="1"/>
        <rFont val="Calibri"/>
        <family val="2"/>
        <charset val="1"/>
      </rPr>
      <t xml:space="preserve">Fortune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持有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mid-to-high teens</t>
    </r>
  </si>
  <si>
    <t xml:space="preserve">2026-06-04</t>
  </si>
  <si>
    <t xml:space="preserve">https://www.fortune.com/2026/06/04/amazon-google-billions-anthropic-ipo/</t>
  </si>
  <si>
    <r>
      <rPr>
        <sz val="11"/>
        <color theme="1"/>
        <rFont val="Calibri"/>
        <family val="2"/>
        <charset val="1"/>
      </rPr>
      <t xml:space="preserve">GeekWire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OpenAI 50B</t>
    </r>
    <r>
      <rPr>
        <sz val="11"/>
        <color theme="1"/>
        <rFont val="Noto Sans CJK SC"/>
        <family val="2"/>
      </rPr>
      <t xml:space="preserve">、投前 </t>
    </r>
    <r>
      <rPr>
        <sz val="11"/>
        <color theme="1"/>
        <rFont val="Calibri"/>
        <family val="2"/>
        <charset val="1"/>
      </rPr>
      <t xml:space="preserve">730B</t>
    </r>
  </si>
  <si>
    <t xml:space="preserve">2026-02-27</t>
  </si>
  <si>
    <t xml:space="preserve">https://www.geekwire.com/2026/amazon-invests-50b-in-openai-deepens-aws-partnership-with-expanded-100b-cloud-deal/</t>
  </si>
  <si>
    <r>
      <rPr>
        <sz val="11"/>
        <color theme="1"/>
        <rFont val="Noto Sans CJK SC"/>
        <family val="2"/>
      </rPr>
      <t xml:space="preserve">美國財政部每日殖利率曲線（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5.28%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沿用）</t>
    </r>
  </si>
  <si>
    <t xml:space="preserve">https://home.treasury.gov/resource-center/data-chart-center/interest-rates/TextView?type=daily_treasury_par_yield_curve_rates</t>
  </si>
  <si>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SourceMaterial</t>
    </r>
    <r>
      <rPr>
        <sz val="11"/>
        <color theme="1"/>
        <rFont val="Noto Sans CJK SC"/>
        <family val="2"/>
      </rPr>
      <t xml:space="preserve">：第三方託管約占 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運算力五分之一（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）</t>
    </r>
  </si>
  <si>
    <t xml:space="preserve">2025-11-24</t>
  </si>
  <si>
    <t xml:space="preserve">amazon/data/amazon_facts_20261008.json → mw.colo.share</t>
  </si>
  <si>
    <t xml:space="preserve">S30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</si>
  <si>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Brian Nowak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AWS 2026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6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8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Invezz </t>
    </r>
    <r>
      <rPr>
        <sz val="11"/>
        <color theme="1"/>
        <rFont val="Noto Sans CJK SC"/>
        <family val="2"/>
      </rPr>
      <t xml:space="preserve">轉述）</t>
    </r>
  </si>
  <si>
    <t xml:space="preserve">2026-08-18</t>
  </si>
  <si>
    <t xml:space="preserve">https://invezz.com/news/2026/08/18/could-amazon-stock-double-by-end-of-next-year-heres-what-morgan-stanley-says/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</si>
</sst>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#,##0.00##"/>
    <numFmt numFmtId="166" formatCode="0.0%"/>
    <numFmt numFmtId="167" formatCode="#,##0.0000"/>
    <numFmt numFmtId="168" formatCode="#,##0.000"/>
    <numFmt numFmtId="169" formatCode="0.00%"/>
    <numFmt numFmtId="170" formatCode="0.00"/>
    <numFmt numFmtId="171" formatCode="#,##0"/>
    <numFmt numFmtId="172" formatCode="0.0"/>
    <numFmt numFmtId="173" formatCode="0%"/>
    <numFmt numFmtId="174" formatCode="0.000"/>
    <numFmt numFmtId="175" formatCode="#,##0.00"/>
    <numFmt numFmtId="176" formatCode="#,##0.0"/>
    <numFmt numFmtId="177" formatCode="@"/>
    <numFmt numFmtId="178" formatCode="0.0000"/>
    <numFmt numFmtId="179" formatCode="\+0.0%;\-0.0%;0.0%"/>
    <numFmt numFmtId="180" formatCode="0.0000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2"/>
      <name val="Noto Sans CJK SC"/>
      <family val="2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3" t="s">
        <v>2</v>
      </c>
    </row>
    <row r="4" customFormat="false" ht="17.15" hidden="false" customHeight="false" outlineLevel="0" collapsed="false">
      <c r="A4" s="3" t="s">
        <v>3</v>
      </c>
    </row>
    <row r="5" customFormat="false" ht="17.15" hidden="false" customHeight="false" outlineLevel="0" collapsed="false">
      <c r="A5" s="1" t="str">
        <f aca="false">"投資建議："&amp;Val!B24&amp;"（加權目標價 US$"&amp;TEXT(Val!B19,"0.00")&amp;"，現價 US$"&amp;TEXT(px,"0.00")&amp;"〔2026-10-26〕，上檔空間 "&amp;TEXT(Val!B21,"+0.0%;-0.0%")&amp;"；依五級固定規則）"</f>
        <v>投資建議：中立（加權目標價 US$193.22，現價 US$249.09〔2026-10-26〕，上檔空間 -22.4%；依五級固定規則）</v>
      </c>
    </row>
    <row r="6" customFormat="false" ht="17.15" hidden="false" customHeight="false" outlineLevel="0" collapsed="false">
      <c r="A6" s="2" t="str">
        <f aca="false">"命題答案（情境 B）：FY2028 對外 AI ROIC "&amp;TEXT(Thesis!$I$112,"0.0%")&amp;"，低於 WACC "&amp;TEXT(wacc,"0.0%")&amp;"；打平所需機隊平均 k "&amp;TEXT(Thesis!$I$114,"0.00")&amp;"，模型 k "&amp;TEXT(Thesis!$I$113,"0.00")&amp;"。FY2028 AWS 營業利益率 "&amp;TEXT(PL!$I$117,"0.0%")&amp;"（FY2025 "&amp;TEXT(PL!$D$117,"0.0%")&amp;"）；FY2028 自由現金流扣股利 "&amp;TEXT(CF!$I$59,"#,##0.0")&amp;"；收支關卡（FY2026–FY2030 合計，情境加權）"&amp;TEXT(CF!E6,"#,##0.0")&amp;"。"</f>
        <v>命題答案（情境 B）：FY2028 對外 AI ROIC 6.6%，低於 WACC 12.5%；打平所需機隊平均 k 1.26，模型 k 0.99。FY2028 AWS 營業利益率 34.9%（FY2025 35.4%）；FY2028 自由現金流扣股利 -4.0；收支關卡（FY2026–FY2030 合計，情境加權）40.2。</v>
      </c>
    </row>
    <row r="7" customFormat="false" ht="17.15" hidden="false" customHeight="false" outlineLevel="0" collapsed="false">
      <c r="A7" s="2" t="str">
        <f aca="false">"重點觀察 1：目標價 US$"&amp;TEXT(Val!B19,"0.00")&amp;"＝DCF "&amp;TEXT(Val!B17,"0.00")&amp;"（永續價值占 EV "&amp;TEXT(Val!C8,"0%")&amp;"）與分部加總 "&amp;TEXT(Val!B18,"0.00")&amp;" 各半；DCF 低是因為 WACC "&amp;TEXT(wacc,"0.0%")&amp;" 下，2027–2029 的 AI 資本支出（情境 B FY2027 "&amp;TEXT(CF!$H$54,"#,##0")&amp;"）讓 FCFF 為負，而 AI 增量報酬低於資金成本。"</f>
        <v>重點觀察 1：目標價 US$193.22＝DCF 105.70（永續價值占 EV 98%）與分部加總 280.74 各半；DCF 低是因為 WACC 12.5% 下，2027–2029 的 AI 資本支出（情境 B FY2027 278）讓 FCFF 為負，而 AI 增量報酬低於資金成本。</v>
      </c>
    </row>
    <row r="8" customFormat="false" ht="17.15" hidden="false" customHeight="false" outlineLevel="0" collapsed="false">
      <c r="A8" s="2" t="str">
        <f aca="false">"重點觀察 2：分部加總中 AWS 其他（非 AI 雲端）占 "&amp;TEXT(Val!$C$162/Val!$C$166,"0%")&amp;"、廣告占 "&amp;TEXT(Val!$C$156/Val!$C$166,"0%")&amp;"；零售本業 EBITDA 扣除自用 AI 成本後僅 "&amp;TEXT(Val!$C$157,"#,##0")&amp;"，廣告利潤（m_ad 50%）幾乎是零售分部的全部利潤。"</f>
        <v>重點觀察 2：分部加總中 AWS 其他（非 AI 雲端）占 50%、廣告占 18%；零售本業 EBITDA 扣除自用 AI 成本後僅 31，廣告利潤（m_ad 50%）幾乎是零售分部的全部利潤。</v>
      </c>
    </row>
    <row r="9" customFormat="false" ht="17.15" hidden="false" customHeight="false" outlineLevel="0" collapsed="false">
      <c r="A9" s="2" t="str">
        <f aca="false">"重點觀察 3：三情境目標價 A "&amp;TEXT(Val!B7,"0")&amp;"／B "&amp;TEXT(Val!C7,"0")&amp;"／C "&amp;TEXT(Val!D7,"0")&amp;"；新產能 k 是最大的命題驅動（Sens：k_C "&amp;TEXT(Sens!D5,"+0%;-0%")&amp;"、k_A "&amp;TEXT(Sens!D6,"+0%;-0%")&amp;"），對外比例 ±20pt 為 "&amp;TEXT(Sens!D7,"+0%;-0%")&amp;"／"&amp;TEXT(Sens!D8,"+0%;-0%")&amp;"；市場共識目標價 "&amp;TEXT(cons_tp,"0")&amp;"。"</f>
        <v>重點觀察 3：三情境目標價 A 232／B 185／C 171；新產能 k 是最大的命題驅動（Sens：k_C -8%、k_A +25%），對外比例 ±20pt 為 -21%／+12%；市場共識目標價 332。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3" t="s">
        <v>4</v>
      </c>
    </row>
    <row r="12" customFormat="false" ht="17.15" hidden="false" customHeight="false" outlineLevel="0" collapsed="false">
      <c r="A12" s="4" t="s">
        <v>5</v>
      </c>
    </row>
    <row r="13" customFormat="false" ht="17.15" hidden="false" customHeight="false" outlineLevel="0" collapsed="false">
      <c r="A13" s="4" t="s">
        <v>6</v>
      </c>
    </row>
    <row r="14" customFormat="false" ht="17.15" hidden="false" customHeight="false" outlineLevel="0" collapsed="false">
      <c r="A14" s="4" t="s">
        <v>7</v>
      </c>
    </row>
    <row r="15" customFormat="false" ht="17.15" hidden="false" customHeight="false" outlineLevel="0" collapsed="false">
      <c r="A15" s="4" t="s">
        <v>8</v>
      </c>
    </row>
    <row r="16" customFormat="false" ht="17.15" hidden="false" customHeight="false" outlineLevel="0" collapsed="false">
      <c r="A16" s="4" t="s">
        <v>9</v>
      </c>
    </row>
    <row r="17" customFormat="false" ht="15" hidden="false" customHeight="false" outlineLevel="0" collapsed="false">
      <c r="A17" s="2"/>
    </row>
    <row r="18" customFormat="false" ht="17.15" hidden="false" customHeight="false" outlineLevel="0" collapsed="false">
      <c r="A18" s="2" t="s">
        <v>10</v>
      </c>
    </row>
    <row r="19" customFormat="false" ht="17.15" hidden="false" customHeight="false" outlineLevel="0" collapsed="false">
      <c r="A19" s="2" t="s">
        <v>11</v>
      </c>
    </row>
    <row r="20" customFormat="false" ht="17.15" hidden="false" customHeight="false" outlineLevel="0" collapsed="false">
      <c r="A20" s="2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70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6"/>
    <col collapsed="false" customWidth="true" hidden="false" outlineLevel="0" max="8" min="8" style="0" width="6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13</v>
      </c>
    </row>
    <row r="2" customFormat="false" ht="17.15" hidden="false" customHeight="false" outlineLevel="0" collapsed="false">
      <c r="A2" s="5" t="s">
        <v>14</v>
      </c>
    </row>
    <row r="3" customFormat="false" ht="15" hidden="false" customHeight="false" outlineLevel="0" collapsed="false">
      <c r="A3" s="6" t="s">
        <v>15</v>
      </c>
      <c r="B3" s="6" t="s">
        <v>16</v>
      </c>
      <c r="C3" s="6" t="s">
        <v>17</v>
      </c>
      <c r="D3" s="6" t="s">
        <v>18</v>
      </c>
      <c r="E3" s="6" t="s">
        <v>19</v>
      </c>
      <c r="F3" s="6" t="s">
        <v>20</v>
      </c>
      <c r="G3" s="6" t="s">
        <v>21</v>
      </c>
      <c r="H3" s="6" t="s">
        <v>22</v>
      </c>
      <c r="I3" s="6" t="s">
        <v>23</v>
      </c>
    </row>
    <row r="4" customFormat="false" ht="17.15" hidden="false" customHeight="false" outlineLevel="0" collapsed="false">
      <c r="A4" s="1" t="s">
        <v>24</v>
      </c>
    </row>
    <row r="5" customFormat="false" ht="17.15" hidden="false" customHeight="false" outlineLevel="0" collapsed="false">
      <c r="A5" s="0" t="s">
        <v>25</v>
      </c>
      <c r="B5" s="0" t="s">
        <v>26</v>
      </c>
      <c r="C5" s="0" t="s">
        <v>27</v>
      </c>
      <c r="E5" s="7" t="n">
        <v>249.09</v>
      </c>
      <c r="G5" s="8" t="s">
        <v>28</v>
      </c>
      <c r="H5" s="8" t="s">
        <v>29</v>
      </c>
      <c r="I5" s="5" t="s">
        <v>30</v>
      </c>
    </row>
    <row r="6" customFormat="false" ht="17.15" hidden="false" customHeight="false" outlineLevel="0" collapsed="false">
      <c r="A6" s="0" t="s">
        <v>31</v>
      </c>
      <c r="B6" s="5" t="s">
        <v>32</v>
      </c>
      <c r="C6" s="5" t="s">
        <v>33</v>
      </c>
      <c r="E6" s="7" t="n">
        <v>10.786314</v>
      </c>
      <c r="G6" s="8" t="s">
        <v>28</v>
      </c>
      <c r="H6" s="8" t="s">
        <v>34</v>
      </c>
      <c r="I6" s="8" t="s">
        <v>35</v>
      </c>
    </row>
    <row r="7" customFormat="false" ht="17.15" hidden="false" customHeight="false" outlineLevel="0" collapsed="false">
      <c r="A7" s="0" t="s">
        <v>36</v>
      </c>
      <c r="B7" s="5" t="s">
        <v>37</v>
      </c>
      <c r="C7" s="5" t="s">
        <v>33</v>
      </c>
      <c r="E7" s="7" t="n">
        <v>0.244</v>
      </c>
      <c r="G7" s="8" t="s">
        <v>28</v>
      </c>
      <c r="H7" s="8" t="s">
        <v>34</v>
      </c>
      <c r="I7" s="8" t="s">
        <v>38</v>
      </c>
    </row>
    <row r="8" customFormat="false" ht="17.15" hidden="false" customHeight="false" outlineLevel="0" collapsed="false">
      <c r="A8" s="0" t="s">
        <v>39</v>
      </c>
      <c r="B8" s="5" t="s">
        <v>40</v>
      </c>
      <c r="C8" s="5" t="s">
        <v>33</v>
      </c>
      <c r="E8" s="9" t="n">
        <f aca="false">sh_out+sh_awd</f>
        <v>11.030314</v>
      </c>
      <c r="G8" s="8" t="s">
        <v>41</v>
      </c>
      <c r="H8" s="5" t="s">
        <v>42</v>
      </c>
      <c r="I8" s="5" t="s">
        <v>43</v>
      </c>
    </row>
    <row r="9" customFormat="false" ht="17.15" hidden="false" customHeight="false" outlineLevel="0" collapsed="false">
      <c r="A9" s="0" t="s">
        <v>44</v>
      </c>
      <c r="B9" s="5" t="s">
        <v>45</v>
      </c>
      <c r="C9" s="0" t="s">
        <v>27</v>
      </c>
      <c r="D9" s="7" t="n">
        <v>230</v>
      </c>
      <c r="E9" s="7" t="n">
        <v>332.24</v>
      </c>
      <c r="F9" s="7" t="n">
        <v>405</v>
      </c>
      <c r="G9" s="8" t="s">
        <v>46</v>
      </c>
      <c r="H9" s="8" t="s">
        <v>47</v>
      </c>
      <c r="I9" s="5" t="s">
        <v>48</v>
      </c>
    </row>
    <row r="10" customFormat="false" ht="17.15" hidden="false" customHeight="false" outlineLevel="0" collapsed="false">
      <c r="A10" s="1" t="s">
        <v>49</v>
      </c>
    </row>
    <row r="11" customFormat="false" ht="17.15" hidden="false" customHeight="false" outlineLevel="0" collapsed="false">
      <c r="A11" s="0" t="s">
        <v>50</v>
      </c>
      <c r="B11" s="5" t="s">
        <v>51</v>
      </c>
      <c r="C11" s="0" t="s">
        <v>52</v>
      </c>
      <c r="E11" s="10" t="n">
        <v>0.0528</v>
      </c>
      <c r="G11" s="8" t="s">
        <v>28</v>
      </c>
      <c r="H11" s="8" t="s">
        <v>53</v>
      </c>
      <c r="I11" s="5" t="s">
        <v>54</v>
      </c>
    </row>
    <row r="12" customFormat="false" ht="17.15" hidden="false" customHeight="false" outlineLevel="0" collapsed="false">
      <c r="A12" s="0" t="s">
        <v>55</v>
      </c>
      <c r="B12" s="0" t="s">
        <v>56</v>
      </c>
      <c r="C12" s="0" t="s">
        <v>57</v>
      </c>
      <c r="D12" s="11" t="n">
        <v>1.46</v>
      </c>
      <c r="E12" s="11" t="n">
        <v>1.5135</v>
      </c>
      <c r="F12" s="11" t="n">
        <v>1.567</v>
      </c>
      <c r="G12" s="8" t="s">
        <v>41</v>
      </c>
      <c r="H12" s="5" t="s">
        <v>58</v>
      </c>
      <c r="I12" s="8" t="s">
        <v>59</v>
      </c>
    </row>
    <row r="13" customFormat="false" ht="17.15" hidden="false" customHeight="false" outlineLevel="0" collapsed="false">
      <c r="A13" s="0" t="s">
        <v>60</v>
      </c>
      <c r="B13" s="5" t="s">
        <v>61</v>
      </c>
      <c r="C13" s="0" t="s">
        <v>52</v>
      </c>
      <c r="D13" s="10" t="n">
        <v>0.04</v>
      </c>
      <c r="E13" s="10" t="n">
        <v>0.05</v>
      </c>
      <c r="F13" s="10" t="n">
        <v>0.06</v>
      </c>
      <c r="G13" s="8" t="s">
        <v>62</v>
      </c>
      <c r="H13" s="5" t="s">
        <v>63</v>
      </c>
    </row>
    <row r="14" customFormat="false" ht="17.15" hidden="false" customHeight="false" outlineLevel="0" collapsed="false">
      <c r="A14" s="0" t="s">
        <v>64</v>
      </c>
      <c r="B14" s="5" t="s">
        <v>65</v>
      </c>
      <c r="C14" s="0" t="s">
        <v>52</v>
      </c>
      <c r="E14" s="10" t="n">
        <v>0.0633</v>
      </c>
      <c r="G14" s="8" t="s">
        <v>46</v>
      </c>
      <c r="H14" s="8" t="s">
        <v>34</v>
      </c>
      <c r="I14" s="5" t="s">
        <v>66</v>
      </c>
    </row>
    <row r="15" customFormat="false" ht="17.15" hidden="false" customHeight="false" outlineLevel="0" collapsed="false">
      <c r="A15" s="0" t="s">
        <v>67</v>
      </c>
      <c r="B15" s="5" t="s">
        <v>68</v>
      </c>
      <c r="C15" s="0" t="s">
        <v>52</v>
      </c>
      <c r="D15" s="10" t="n">
        <v>0.135</v>
      </c>
      <c r="E15" s="12" t="n">
        <f aca="false">AVERAGE(Q!$C$40,Q!$D$40,Q!$E$40)</f>
        <v>0.173584526621026</v>
      </c>
      <c r="F15" s="10" t="n">
        <v>0.23</v>
      </c>
      <c r="G15" s="8" t="s">
        <v>41</v>
      </c>
      <c r="H15" s="8" t="s">
        <v>69</v>
      </c>
      <c r="I15" s="8" t="s">
        <v>70</v>
      </c>
    </row>
    <row r="16" customFormat="false" ht="17.15" hidden="false" customHeight="false" outlineLevel="0" collapsed="false">
      <c r="A16" s="0" t="s">
        <v>71</v>
      </c>
      <c r="B16" s="5" t="s">
        <v>72</v>
      </c>
      <c r="C16" s="0" t="s">
        <v>73</v>
      </c>
      <c r="E16" s="7" t="n">
        <v>132.995</v>
      </c>
      <c r="G16" s="8" t="s">
        <v>28</v>
      </c>
      <c r="H16" s="8" t="s">
        <v>34</v>
      </c>
      <c r="I16" s="5" t="s">
        <v>74</v>
      </c>
    </row>
    <row r="17" customFormat="false" ht="17.15" hidden="false" customHeight="false" outlineLevel="0" collapsed="false">
      <c r="A17" s="0" t="s">
        <v>75</v>
      </c>
      <c r="B17" s="5" t="s">
        <v>76</v>
      </c>
      <c r="C17" s="0" t="s">
        <v>52</v>
      </c>
      <c r="E17" s="12" t="n">
        <f aca="false">rf+beta*erp</f>
        <v>0.128475</v>
      </c>
      <c r="G17" s="8" t="s">
        <v>41</v>
      </c>
      <c r="H17" s="8" t="s">
        <v>77</v>
      </c>
    </row>
    <row r="18" customFormat="false" ht="17.15" hidden="false" customHeight="false" outlineLevel="0" collapsed="false">
      <c r="A18" s="0" t="s">
        <v>78</v>
      </c>
      <c r="B18" s="0" t="s">
        <v>79</v>
      </c>
      <c r="C18" s="0" t="s">
        <v>52</v>
      </c>
      <c r="E18" s="12" t="n">
        <f aca="false">px*sh_out/(px*sh_out+debt_q2)*ke+debt_q2/(px*sh_out+debt_q2)*kd_new*(1-tax)</f>
        <v>0.124882746650253</v>
      </c>
      <c r="G18" s="8" t="s">
        <v>41</v>
      </c>
      <c r="H18" s="5" t="s">
        <v>80</v>
      </c>
    </row>
    <row r="19" customFormat="false" ht="17.15" hidden="false" customHeight="false" outlineLevel="0" collapsed="false">
      <c r="A19" s="13" t="s">
        <v>81</v>
      </c>
      <c r="B19" s="14" t="s">
        <v>82</v>
      </c>
      <c r="C19" s="13" t="s">
        <v>52</v>
      </c>
      <c r="D19" s="15" t="n">
        <v>0.02</v>
      </c>
      <c r="E19" s="15" t="n">
        <v>0.03</v>
      </c>
      <c r="F19" s="15" t="n">
        <v>0.04</v>
      </c>
      <c r="G19" s="13" t="s">
        <v>62</v>
      </c>
      <c r="H19" s="14" t="s">
        <v>83</v>
      </c>
      <c r="I19" s="13"/>
    </row>
    <row r="20" customFormat="false" ht="17.15" hidden="false" customHeight="false" outlineLevel="0" collapsed="false">
      <c r="A20" s="13" t="s">
        <v>84</v>
      </c>
      <c r="B20" s="14" t="s">
        <v>85</v>
      </c>
      <c r="C20" s="13" t="s">
        <v>52</v>
      </c>
      <c r="D20" s="13"/>
      <c r="E20" s="16" t="n">
        <f aca="false">wacc</f>
        <v>0.124882746650253</v>
      </c>
      <c r="F20" s="15" t="n">
        <v>0.2</v>
      </c>
      <c r="G20" s="13" t="s">
        <v>62</v>
      </c>
      <c r="H20" s="14" t="s">
        <v>86</v>
      </c>
      <c r="I20" s="14" t="s">
        <v>87</v>
      </c>
    </row>
    <row r="21" customFormat="false" ht="17.15" hidden="false" customHeight="false" outlineLevel="0" collapsed="false">
      <c r="A21" s="13" t="s">
        <v>88</v>
      </c>
      <c r="B21" s="14" t="s">
        <v>89</v>
      </c>
      <c r="C21" s="13" t="s">
        <v>52</v>
      </c>
      <c r="D21" s="13"/>
      <c r="E21" s="15" t="n">
        <v>0.5</v>
      </c>
      <c r="F21" s="13"/>
      <c r="G21" s="13" t="s">
        <v>62</v>
      </c>
      <c r="H21" s="14" t="s">
        <v>90</v>
      </c>
      <c r="I21" s="13" t="s">
        <v>91</v>
      </c>
    </row>
    <row r="22" customFormat="false" ht="17.15" hidden="false" customHeight="false" outlineLevel="0" collapsed="false">
      <c r="A22" s="13" t="s">
        <v>92</v>
      </c>
      <c r="B22" s="14" t="s">
        <v>93</v>
      </c>
      <c r="C22" s="13" t="s">
        <v>52</v>
      </c>
      <c r="D22" s="13"/>
      <c r="E22" s="15" t="n">
        <v>0.25</v>
      </c>
      <c r="F22" s="13"/>
      <c r="G22" s="13" t="s">
        <v>62</v>
      </c>
      <c r="H22" s="14" t="s">
        <v>94</v>
      </c>
      <c r="I22" s="14" t="s">
        <v>95</v>
      </c>
    </row>
    <row r="23" customFormat="false" ht="17.15" hidden="false" customHeight="false" outlineLevel="0" collapsed="false">
      <c r="A23" s="13" t="s">
        <v>96</v>
      </c>
      <c r="B23" s="14" t="s">
        <v>97</v>
      </c>
      <c r="C23" s="13" t="s">
        <v>52</v>
      </c>
      <c r="D23" s="13"/>
      <c r="E23" s="15" t="n">
        <v>0.5</v>
      </c>
      <c r="F23" s="13"/>
      <c r="G23" s="13" t="s">
        <v>62</v>
      </c>
      <c r="H23" s="14" t="s">
        <v>94</v>
      </c>
      <c r="I23" s="14" t="s">
        <v>95</v>
      </c>
    </row>
    <row r="24" customFormat="false" ht="17.15" hidden="false" customHeight="false" outlineLevel="0" collapsed="false">
      <c r="A24" s="13" t="s">
        <v>98</v>
      </c>
      <c r="B24" s="14" t="s">
        <v>99</v>
      </c>
      <c r="C24" s="13" t="s">
        <v>52</v>
      </c>
      <c r="D24" s="13"/>
      <c r="E24" s="15" t="n">
        <v>0.25</v>
      </c>
      <c r="F24" s="13"/>
      <c r="G24" s="13" t="s">
        <v>62</v>
      </c>
      <c r="H24" s="14" t="s">
        <v>94</v>
      </c>
      <c r="I24" s="14" t="s">
        <v>95</v>
      </c>
    </row>
    <row r="25" customFormat="false" ht="17.15" hidden="false" customHeight="false" outlineLevel="0" collapsed="false">
      <c r="A25" s="0" t="s">
        <v>100</v>
      </c>
      <c r="B25" s="5" t="s">
        <v>101</v>
      </c>
      <c r="C25" s="5" t="s">
        <v>102</v>
      </c>
      <c r="E25" s="9" t="n">
        <f aca="false">(DATE(2027,10,27)-DATE(2026,12,31))/365</f>
        <v>0.821917808219178</v>
      </c>
      <c r="G25" s="8" t="s">
        <v>41</v>
      </c>
      <c r="H25" s="5" t="s">
        <v>103</v>
      </c>
      <c r="I25" s="8" t="s">
        <v>104</v>
      </c>
    </row>
    <row r="26" customFormat="false" ht="17.15" hidden="false" customHeight="false" outlineLevel="0" collapsed="false">
      <c r="A26" s="1" t="s">
        <v>105</v>
      </c>
    </row>
    <row r="27" customFormat="false" ht="17.15" hidden="false" customHeight="false" outlineLevel="0" collapsed="false">
      <c r="A27" s="0" t="s">
        <v>106</v>
      </c>
      <c r="B27" s="5" t="s">
        <v>107</v>
      </c>
      <c r="C27" s="0" t="s">
        <v>108</v>
      </c>
      <c r="E27" s="7" t="n">
        <v>120</v>
      </c>
      <c r="G27" s="8" t="s">
        <v>62</v>
      </c>
      <c r="H27" s="5" t="s">
        <v>109</v>
      </c>
      <c r="I27" s="5" t="s">
        <v>110</v>
      </c>
    </row>
    <row r="28" customFormat="false" ht="17.15" hidden="false" customHeight="false" outlineLevel="0" collapsed="false">
      <c r="A28" s="0" t="s">
        <v>111</v>
      </c>
      <c r="B28" s="5" t="s">
        <v>112</v>
      </c>
      <c r="C28" s="0" t="s">
        <v>108</v>
      </c>
      <c r="E28" s="7" t="n">
        <v>360</v>
      </c>
      <c r="G28" s="8" t="s">
        <v>62</v>
      </c>
      <c r="H28" s="5" t="s">
        <v>109</v>
      </c>
      <c r="I28" s="5" t="s">
        <v>113</v>
      </c>
    </row>
    <row r="29" customFormat="false" ht="17.15" hidden="false" customHeight="false" outlineLevel="0" collapsed="false">
      <c r="A29" s="0" t="s">
        <v>114</v>
      </c>
      <c r="B29" s="5" t="s">
        <v>115</v>
      </c>
      <c r="C29" s="0" t="s">
        <v>108</v>
      </c>
      <c r="D29" s="7" t="n">
        <v>1100</v>
      </c>
      <c r="E29" s="7" t="n">
        <v>1440</v>
      </c>
      <c r="F29" s="7" t="n">
        <v>1800</v>
      </c>
      <c r="G29" s="8" t="s">
        <v>62</v>
      </c>
      <c r="H29" s="5" t="s">
        <v>109</v>
      </c>
      <c r="I29" s="8" t="s">
        <v>116</v>
      </c>
    </row>
    <row r="30" customFormat="false" ht="17.15" hidden="false" customHeight="false" outlineLevel="0" collapsed="false">
      <c r="A30" s="0" t="s">
        <v>117</v>
      </c>
      <c r="B30" s="5" t="s">
        <v>118</v>
      </c>
      <c r="C30" s="0" t="s">
        <v>108</v>
      </c>
      <c r="D30" s="7" t="n">
        <v>1400</v>
      </c>
      <c r="E30" s="7" t="n">
        <v>2080</v>
      </c>
      <c r="F30" s="7" t="n">
        <v>2970</v>
      </c>
      <c r="G30" s="8" t="s">
        <v>41</v>
      </c>
      <c r="H30" s="8" t="s">
        <v>119</v>
      </c>
      <c r="I30" s="8" t="s">
        <v>120</v>
      </c>
    </row>
    <row r="31" customFormat="false" ht="17.15" hidden="false" customHeight="false" outlineLevel="0" collapsed="false">
      <c r="A31" s="13" t="s">
        <v>121</v>
      </c>
      <c r="B31" s="14" t="s">
        <v>122</v>
      </c>
      <c r="C31" s="13" t="s">
        <v>123</v>
      </c>
      <c r="D31" s="13"/>
      <c r="E31" s="17" t="n">
        <v>3733</v>
      </c>
      <c r="F31" s="13"/>
      <c r="G31" s="13" t="s">
        <v>41</v>
      </c>
      <c r="H31" s="14" t="s">
        <v>124</v>
      </c>
      <c r="I31" s="14" t="s">
        <v>125</v>
      </c>
    </row>
    <row r="32" customFormat="false" ht="17.15" hidden="false" customHeight="false" outlineLevel="0" collapsed="false">
      <c r="A32" s="13" t="s">
        <v>126</v>
      </c>
      <c r="B32" s="14" t="s">
        <v>127</v>
      </c>
      <c r="C32" s="13" t="s">
        <v>123</v>
      </c>
      <c r="D32" s="13"/>
      <c r="E32" s="17" t="n">
        <v>3634.3</v>
      </c>
      <c r="F32" s="13"/>
      <c r="G32" s="13" t="s">
        <v>41</v>
      </c>
      <c r="H32" s="14" t="s">
        <v>128</v>
      </c>
      <c r="I32" s="14" t="s">
        <v>129</v>
      </c>
    </row>
    <row r="33" customFormat="false" ht="17.15" hidden="false" customHeight="false" outlineLevel="0" collapsed="false">
      <c r="A33" s="13" t="s">
        <v>130</v>
      </c>
      <c r="B33" s="14" t="s">
        <v>131</v>
      </c>
      <c r="C33" s="13" t="s">
        <v>123</v>
      </c>
      <c r="D33" s="13"/>
      <c r="E33" s="18" t="n">
        <f aca="false">pace_B</f>
        <v>3634.3</v>
      </c>
      <c r="F33" s="13"/>
      <c r="G33" s="13" t="s">
        <v>62</v>
      </c>
      <c r="H33" s="14" t="s">
        <v>86</v>
      </c>
      <c r="I33" s="13" t="s">
        <v>132</v>
      </c>
    </row>
    <row r="34" customFormat="false" ht="17.15" hidden="false" customHeight="false" outlineLevel="0" collapsed="false">
      <c r="A34" s="13" t="s">
        <v>133</v>
      </c>
      <c r="B34" s="14" t="s">
        <v>134</v>
      </c>
      <c r="C34" s="13" t="s">
        <v>52</v>
      </c>
      <c r="D34" s="15" t="n">
        <v>0.6</v>
      </c>
      <c r="E34" s="15" t="n">
        <v>0.8</v>
      </c>
      <c r="F34" s="15" t="n">
        <v>1</v>
      </c>
      <c r="G34" s="13" t="s">
        <v>62</v>
      </c>
      <c r="H34" s="14" t="s">
        <v>135</v>
      </c>
      <c r="I34" s="13" t="s">
        <v>136</v>
      </c>
    </row>
    <row r="35" customFormat="false" ht="17.15" hidden="false" customHeight="false" outlineLevel="0" collapsed="false">
      <c r="A35" s="0" t="s">
        <v>137</v>
      </c>
      <c r="B35" s="5" t="s">
        <v>138</v>
      </c>
      <c r="C35" s="0" t="s">
        <v>52</v>
      </c>
      <c r="D35" s="10" t="n">
        <v>0.7</v>
      </c>
      <c r="E35" s="10" t="n">
        <v>0.8</v>
      </c>
      <c r="F35" s="10" t="n">
        <v>0.9</v>
      </c>
      <c r="G35" s="8" t="s">
        <v>62</v>
      </c>
      <c r="H35" s="5" t="s">
        <v>139</v>
      </c>
      <c r="I35" s="8" t="s">
        <v>140</v>
      </c>
    </row>
    <row r="36" customFormat="false" ht="17.15" hidden="false" customHeight="false" outlineLevel="0" collapsed="false">
      <c r="A36" s="0" t="s">
        <v>141</v>
      </c>
      <c r="B36" s="0" t="s">
        <v>142</v>
      </c>
      <c r="C36" s="0" t="s">
        <v>143</v>
      </c>
      <c r="E36" s="7" t="n">
        <v>2.82</v>
      </c>
      <c r="G36" s="8" t="s">
        <v>28</v>
      </c>
      <c r="H36" s="8" t="s">
        <v>144</v>
      </c>
      <c r="I36" s="8" t="s">
        <v>145</v>
      </c>
    </row>
    <row r="37" customFormat="false" ht="17.15" hidden="false" customHeight="false" outlineLevel="0" collapsed="false">
      <c r="A37" s="0" t="s">
        <v>146</v>
      </c>
      <c r="B37" s="0" t="s">
        <v>147</v>
      </c>
      <c r="C37" s="0" t="s">
        <v>143</v>
      </c>
      <c r="E37" s="7" t="n">
        <v>6.88</v>
      </c>
      <c r="G37" s="8" t="s">
        <v>28</v>
      </c>
      <c r="H37" s="8" t="s">
        <v>144</v>
      </c>
      <c r="I37" s="5" t="s">
        <v>148</v>
      </c>
    </row>
    <row r="38" customFormat="false" ht="17.15" hidden="false" customHeight="false" outlineLevel="0" collapsed="false">
      <c r="A38" s="0" t="s">
        <v>149</v>
      </c>
      <c r="B38" s="5" t="s">
        <v>150</v>
      </c>
      <c r="C38" s="0" t="s">
        <v>151</v>
      </c>
      <c r="E38" s="7" t="n">
        <v>9.5715</v>
      </c>
      <c r="G38" s="8" t="s">
        <v>62</v>
      </c>
      <c r="H38" s="5" t="s">
        <v>152</v>
      </c>
      <c r="I38" s="5" t="s">
        <v>153</v>
      </c>
    </row>
    <row r="39" customFormat="false" ht="17.15" hidden="false" customHeight="false" outlineLevel="0" collapsed="false">
      <c r="A39" s="0" t="s">
        <v>154</v>
      </c>
      <c r="B39" s="5" t="s">
        <v>155</v>
      </c>
      <c r="C39" s="0" t="s">
        <v>151</v>
      </c>
      <c r="E39" s="7" t="n">
        <v>7.0191</v>
      </c>
      <c r="G39" s="8" t="s">
        <v>62</v>
      </c>
      <c r="H39" s="5" t="s">
        <v>156</v>
      </c>
      <c r="I39" s="8" t="s">
        <v>157</v>
      </c>
    </row>
    <row r="40" customFormat="false" ht="17.15" hidden="false" customHeight="false" outlineLevel="0" collapsed="false">
      <c r="A40" s="0" t="s">
        <v>158</v>
      </c>
      <c r="B40" s="0" t="s">
        <v>159</v>
      </c>
      <c r="C40" s="0" t="s">
        <v>151</v>
      </c>
      <c r="E40" s="7" t="n">
        <v>9.70308728611469</v>
      </c>
      <c r="G40" s="8" t="s">
        <v>41</v>
      </c>
      <c r="H40" s="8" t="s">
        <v>160</v>
      </c>
      <c r="I40" s="8" t="s">
        <v>161</v>
      </c>
    </row>
    <row r="41" customFormat="false" ht="17.15" hidden="false" customHeight="false" outlineLevel="0" collapsed="false">
      <c r="A41" s="0" t="s">
        <v>162</v>
      </c>
      <c r="B41" s="0" t="s">
        <v>163</v>
      </c>
      <c r="C41" s="0" t="s">
        <v>151</v>
      </c>
      <c r="E41" s="7" t="n">
        <v>8.82816556596761</v>
      </c>
      <c r="G41" s="8" t="s">
        <v>41</v>
      </c>
      <c r="H41" s="8" t="s">
        <v>160</v>
      </c>
      <c r="I41" s="8" t="s">
        <v>161</v>
      </c>
    </row>
    <row r="42" customFormat="false" ht="17.15" hidden="false" customHeight="false" outlineLevel="0" collapsed="false">
      <c r="A42" s="0" t="s">
        <v>164</v>
      </c>
      <c r="B42" s="0" t="s">
        <v>165</v>
      </c>
      <c r="C42" s="0" t="s">
        <v>151</v>
      </c>
      <c r="E42" s="7" t="n">
        <v>10.8864110021101</v>
      </c>
      <c r="G42" s="8" t="s">
        <v>41</v>
      </c>
      <c r="H42" s="8" t="s">
        <v>160</v>
      </c>
      <c r="I42" s="8" t="s">
        <v>161</v>
      </c>
    </row>
    <row r="43" customFormat="false" ht="17.15" hidden="false" customHeight="false" outlineLevel="0" collapsed="false">
      <c r="A43" s="0" t="s">
        <v>166</v>
      </c>
      <c r="B43" s="0" t="s">
        <v>167</v>
      </c>
      <c r="C43" s="0" t="s">
        <v>151</v>
      </c>
      <c r="E43" s="7" t="n">
        <v>12.2254710045841</v>
      </c>
      <c r="G43" s="8" t="s">
        <v>41</v>
      </c>
      <c r="H43" s="8" t="s">
        <v>160</v>
      </c>
      <c r="I43" s="8" t="s">
        <v>161</v>
      </c>
    </row>
    <row r="44" customFormat="false" ht="17.15" hidden="false" customHeight="false" outlineLevel="0" collapsed="false">
      <c r="A44" s="0" t="s">
        <v>168</v>
      </c>
      <c r="B44" s="0" t="s">
        <v>169</v>
      </c>
      <c r="C44" s="0" t="s">
        <v>170</v>
      </c>
      <c r="E44" s="7" t="n">
        <v>27.510214</v>
      </c>
      <c r="G44" s="8" t="s">
        <v>41</v>
      </c>
      <c r="H44" s="8" t="s">
        <v>160</v>
      </c>
    </row>
    <row r="45" customFormat="false" ht="17.15" hidden="false" customHeight="false" outlineLevel="0" collapsed="false">
      <c r="A45" s="0" t="s">
        <v>171</v>
      </c>
      <c r="B45" s="0" t="s">
        <v>172</v>
      </c>
      <c r="C45" s="0" t="s">
        <v>170</v>
      </c>
      <c r="E45" s="7" t="n">
        <v>24.015174</v>
      </c>
      <c r="G45" s="8" t="s">
        <v>41</v>
      </c>
      <c r="H45" s="8" t="s">
        <v>160</v>
      </c>
    </row>
    <row r="46" customFormat="false" ht="17.15" hidden="false" customHeight="false" outlineLevel="0" collapsed="false">
      <c r="A46" s="0" t="s">
        <v>173</v>
      </c>
      <c r="B46" s="0" t="s">
        <v>174</v>
      </c>
      <c r="C46" s="0" t="s">
        <v>170</v>
      </c>
      <c r="E46" s="7" t="n">
        <v>32.237224</v>
      </c>
      <c r="G46" s="8" t="s">
        <v>41</v>
      </c>
      <c r="H46" s="8" t="s">
        <v>160</v>
      </c>
    </row>
    <row r="47" customFormat="false" ht="17.15" hidden="false" customHeight="false" outlineLevel="0" collapsed="false">
      <c r="A47" s="0" t="s">
        <v>175</v>
      </c>
      <c r="B47" s="0" t="s">
        <v>176</v>
      </c>
      <c r="C47" s="0" t="s">
        <v>170</v>
      </c>
      <c r="E47" s="7" t="n">
        <v>37.586352</v>
      </c>
      <c r="G47" s="8" t="s">
        <v>41</v>
      </c>
      <c r="H47" s="8" t="s">
        <v>160</v>
      </c>
    </row>
    <row r="48" customFormat="false" ht="17.15" hidden="false" customHeight="false" outlineLevel="0" collapsed="false">
      <c r="A48" s="0" t="s">
        <v>177</v>
      </c>
      <c r="B48" s="0" t="s">
        <v>178</v>
      </c>
      <c r="C48" s="0" t="s">
        <v>151</v>
      </c>
      <c r="E48" s="7" t="n">
        <v>1.88466748019734</v>
      </c>
      <c r="G48" s="8" t="s">
        <v>41</v>
      </c>
      <c r="H48" s="8" t="s">
        <v>160</v>
      </c>
    </row>
    <row r="49" customFormat="false" ht="17.15" hidden="false" customHeight="false" outlineLevel="0" collapsed="false">
      <c r="A49" s="0" t="s">
        <v>179</v>
      </c>
      <c r="B49" s="0" t="s">
        <v>180</v>
      </c>
      <c r="C49" s="0" t="s">
        <v>151</v>
      </c>
      <c r="E49" s="7" t="n">
        <v>1.812232738713</v>
      </c>
      <c r="G49" s="8" t="s">
        <v>41</v>
      </c>
      <c r="H49" s="8" t="s">
        <v>160</v>
      </c>
    </row>
    <row r="50" customFormat="false" ht="17.15" hidden="false" customHeight="false" outlineLevel="0" collapsed="false">
      <c r="A50" s="0" t="s">
        <v>181</v>
      </c>
      <c r="B50" s="0" t="s">
        <v>182</v>
      </c>
      <c r="C50" s="0" t="s">
        <v>151</v>
      </c>
      <c r="E50" s="7" t="n">
        <v>1.98263481314457</v>
      </c>
      <c r="G50" s="8" t="s">
        <v>41</v>
      </c>
      <c r="H50" s="8" t="s">
        <v>160</v>
      </c>
    </row>
    <row r="51" customFormat="false" ht="17.15" hidden="false" customHeight="false" outlineLevel="0" collapsed="false">
      <c r="A51" s="0" t="s">
        <v>183</v>
      </c>
      <c r="B51" s="0" t="s">
        <v>184</v>
      </c>
      <c r="C51" s="0" t="s">
        <v>151</v>
      </c>
      <c r="E51" s="7" t="n">
        <v>2.09349554831403</v>
      </c>
      <c r="G51" s="8" t="s">
        <v>41</v>
      </c>
      <c r="H51" s="8" t="s">
        <v>160</v>
      </c>
    </row>
    <row r="52" customFormat="false" ht="17.15" hidden="false" customHeight="false" outlineLevel="0" collapsed="false">
      <c r="A52" s="0" t="s">
        <v>185</v>
      </c>
      <c r="B52" s="0" t="s">
        <v>186</v>
      </c>
      <c r="C52" s="0" t="s">
        <v>143</v>
      </c>
      <c r="E52" s="7" t="n">
        <v>1.54259654785589</v>
      </c>
      <c r="G52" s="8" t="s">
        <v>41</v>
      </c>
      <c r="H52" s="8" t="s">
        <v>160</v>
      </c>
      <c r="I52" s="8" t="s">
        <v>187</v>
      </c>
    </row>
    <row r="53" customFormat="false" ht="17.15" hidden="false" customHeight="false" outlineLevel="0" collapsed="false">
      <c r="A53" s="0" t="s">
        <v>188</v>
      </c>
      <c r="B53" s="0" t="s">
        <v>189</v>
      </c>
      <c r="C53" s="0" t="s">
        <v>170</v>
      </c>
      <c r="E53" s="7" t="n">
        <v>12.67</v>
      </c>
      <c r="G53" s="8" t="s">
        <v>41</v>
      </c>
      <c r="H53" s="8" t="s">
        <v>160</v>
      </c>
    </row>
    <row r="54" customFormat="false" ht="17.15" hidden="false" customHeight="false" outlineLevel="0" collapsed="false">
      <c r="A54" s="0" t="s">
        <v>190</v>
      </c>
      <c r="B54" s="0" t="s">
        <v>191</v>
      </c>
      <c r="C54" s="5" t="s">
        <v>102</v>
      </c>
      <c r="D54" s="7" t="n">
        <v>5</v>
      </c>
      <c r="E54" s="7" t="n">
        <v>6</v>
      </c>
      <c r="F54" s="7" t="n">
        <v>7</v>
      </c>
      <c r="G54" s="8" t="s">
        <v>41</v>
      </c>
      <c r="H54" s="8" t="s">
        <v>160</v>
      </c>
      <c r="I54" s="5" t="s">
        <v>192</v>
      </c>
    </row>
    <row r="55" customFormat="false" ht="17.15" hidden="false" customHeight="false" outlineLevel="0" collapsed="false">
      <c r="A55" s="0" t="s">
        <v>193</v>
      </c>
      <c r="B55" s="5" t="s">
        <v>194</v>
      </c>
      <c r="C55" s="5" t="s">
        <v>102</v>
      </c>
      <c r="D55" s="7" t="n">
        <v>15</v>
      </c>
      <c r="E55" s="7" t="n">
        <v>20</v>
      </c>
      <c r="F55" s="7" t="n">
        <v>30</v>
      </c>
      <c r="G55" s="8" t="s">
        <v>62</v>
      </c>
      <c r="H55" s="5" t="s">
        <v>195</v>
      </c>
      <c r="I55" s="5" t="s">
        <v>196</v>
      </c>
    </row>
    <row r="56" customFormat="false" ht="17.15" hidden="false" customHeight="false" outlineLevel="0" collapsed="false">
      <c r="A56" s="0" t="s">
        <v>197</v>
      </c>
      <c r="B56" s="0" t="s">
        <v>198</v>
      </c>
      <c r="C56" s="0" t="s">
        <v>151</v>
      </c>
      <c r="D56" s="7" t="n">
        <v>36.2296</v>
      </c>
      <c r="E56" s="7" t="n">
        <v>49.5137840363362</v>
      </c>
      <c r="F56" s="7" t="n">
        <v>78.4975</v>
      </c>
      <c r="G56" s="8" t="s">
        <v>41</v>
      </c>
      <c r="H56" s="8" t="s">
        <v>160</v>
      </c>
      <c r="I56" s="5" t="s">
        <v>199</v>
      </c>
    </row>
    <row r="57" customFormat="false" ht="17.15" hidden="false" customHeight="false" outlineLevel="0" collapsed="false">
      <c r="A57" s="0" t="s">
        <v>200</v>
      </c>
      <c r="B57" s="0" t="s">
        <v>201</v>
      </c>
      <c r="C57" s="0" t="s">
        <v>57</v>
      </c>
      <c r="D57" s="19" t="n">
        <f aca="false">p_long_lo/tk_he_vr200</f>
        <v>0.574137388847276</v>
      </c>
      <c r="E57" s="19" t="n">
        <f aca="false">p_long/tk_he_vr200</f>
        <v>0.782914621155376</v>
      </c>
      <c r="G57" s="8" t="s">
        <v>41</v>
      </c>
      <c r="H57" s="8" t="s">
        <v>202</v>
      </c>
      <c r="I57" s="8" t="s">
        <v>203</v>
      </c>
    </row>
    <row r="58" customFormat="false" ht="17.15" hidden="false" customHeight="false" outlineLevel="0" collapsed="false">
      <c r="A58" s="0" t="s">
        <v>204</v>
      </c>
      <c r="B58" s="0" t="s">
        <v>205</v>
      </c>
      <c r="C58" s="0" t="s">
        <v>57</v>
      </c>
      <c r="E58" s="19" t="n">
        <f aca="false">p_spot/tk_gpuhr</f>
        <v>1.82808654921445</v>
      </c>
      <c r="F58" s="19" t="n">
        <f aca="false">p_list/tk_gpuhr</f>
        <v>4.46001257397001</v>
      </c>
      <c r="G58" s="8" t="s">
        <v>41</v>
      </c>
      <c r="H58" s="8" t="s">
        <v>206</v>
      </c>
      <c r="I58" s="5" t="s">
        <v>207</v>
      </c>
    </row>
    <row r="59" customFormat="false" ht="17.15" hidden="false" customHeight="false" outlineLevel="0" collapsed="false">
      <c r="A59" s="0" t="s">
        <v>208</v>
      </c>
      <c r="B59" s="5" t="s">
        <v>209</v>
      </c>
      <c r="C59" s="0" t="s">
        <v>57</v>
      </c>
      <c r="E59" s="19" t="n">
        <f aca="false">long_sh*k_long+(1-long_sh)*k_spot_hi</f>
        <v>1.5183342117183</v>
      </c>
      <c r="G59" s="8" t="s">
        <v>41</v>
      </c>
      <c r="H59" s="5" t="s">
        <v>210</v>
      </c>
    </row>
    <row r="60" customFormat="false" ht="17.15" hidden="false" customHeight="false" outlineLevel="0" collapsed="false">
      <c r="A60" s="0" t="s">
        <v>211</v>
      </c>
      <c r="B60" s="5" t="s">
        <v>212</v>
      </c>
      <c r="C60" s="0" t="s">
        <v>57</v>
      </c>
      <c r="E60" s="19" t="n">
        <f aca="false">long_sh*k_long+(1-long_sh)*k_spot</f>
        <v>0.991949006767191</v>
      </c>
      <c r="G60" s="8" t="s">
        <v>41</v>
      </c>
      <c r="H60" s="5" t="s">
        <v>213</v>
      </c>
      <c r="I60" s="5" t="s">
        <v>214</v>
      </c>
    </row>
    <row r="61" customFormat="false" ht="17.15" hidden="false" customHeight="false" outlineLevel="0" collapsed="false">
      <c r="A61" s="0" t="s">
        <v>215</v>
      </c>
      <c r="B61" s="5" t="s">
        <v>216</v>
      </c>
      <c r="C61" s="0" t="s">
        <v>57</v>
      </c>
      <c r="E61" s="19" t="n">
        <f aca="false">long_sh*k_long_lo+(1-long_sh)*k_spot</f>
        <v>0.824927220920711</v>
      </c>
      <c r="G61" s="8" t="s">
        <v>41</v>
      </c>
      <c r="H61" s="5" t="s">
        <v>217</v>
      </c>
    </row>
    <row r="62" customFormat="false" ht="17.15" hidden="false" customHeight="false" outlineLevel="0" collapsed="false">
      <c r="A62" s="0" t="s">
        <v>218</v>
      </c>
      <c r="B62" s="5" t="s">
        <v>219</v>
      </c>
      <c r="C62" s="0" t="s">
        <v>52</v>
      </c>
      <c r="E62" s="10" t="n">
        <v>0.55</v>
      </c>
      <c r="G62" s="8" t="s">
        <v>62</v>
      </c>
      <c r="H62" s="8" t="s">
        <v>220</v>
      </c>
      <c r="I62" s="8" t="s">
        <v>221</v>
      </c>
    </row>
    <row r="63" customFormat="false" ht="17.15" hidden="false" customHeight="false" outlineLevel="0" collapsed="false">
      <c r="A63" s="0" t="s">
        <v>222</v>
      </c>
      <c r="B63" s="5" t="s">
        <v>223</v>
      </c>
      <c r="C63" s="0" t="s">
        <v>52</v>
      </c>
      <c r="E63" s="10" t="n">
        <v>0.15</v>
      </c>
      <c r="G63" s="8" t="s">
        <v>62</v>
      </c>
      <c r="H63" s="8" t="s">
        <v>220</v>
      </c>
    </row>
    <row r="64" customFormat="false" ht="17.15" hidden="false" customHeight="false" outlineLevel="0" collapsed="false">
      <c r="A64" s="0" t="s">
        <v>224</v>
      </c>
      <c r="B64" s="5" t="s">
        <v>225</v>
      </c>
      <c r="C64" s="0" t="s">
        <v>52</v>
      </c>
      <c r="E64" s="10" t="n">
        <v>0.15</v>
      </c>
      <c r="G64" s="8" t="s">
        <v>62</v>
      </c>
      <c r="H64" s="8" t="s">
        <v>220</v>
      </c>
    </row>
    <row r="65" customFormat="false" ht="17.15" hidden="false" customHeight="false" outlineLevel="0" collapsed="false">
      <c r="A65" s="0" t="s">
        <v>226</v>
      </c>
      <c r="B65" s="5" t="s">
        <v>227</v>
      </c>
      <c r="C65" s="0" t="s">
        <v>52</v>
      </c>
      <c r="E65" s="10" t="n">
        <v>0.15</v>
      </c>
      <c r="G65" s="8" t="s">
        <v>62</v>
      </c>
      <c r="H65" s="8" t="s">
        <v>220</v>
      </c>
    </row>
    <row r="66" customFormat="false" ht="17.15" hidden="false" customHeight="false" outlineLevel="0" collapsed="false">
      <c r="A66" s="0" t="s">
        <v>228</v>
      </c>
      <c r="B66" s="5" t="s">
        <v>229</v>
      </c>
      <c r="C66" s="0" t="s">
        <v>151</v>
      </c>
      <c r="E66" s="9" t="n">
        <f aca="false">(mo_trn2+mo_h100)*tk_he_h100+mo_gb200*tk_he_gb200+mo_gb300*tk_he_gb300</f>
        <v>9.74934758549194</v>
      </c>
      <c r="G66" s="8" t="s">
        <v>41</v>
      </c>
      <c r="H66" s="5" t="s">
        <v>230</v>
      </c>
    </row>
    <row r="67" customFormat="false" ht="17.15" hidden="false" customHeight="false" outlineLevel="0" collapsed="false">
      <c r="A67" s="0" t="s">
        <v>231</v>
      </c>
      <c r="B67" s="5" t="s">
        <v>232</v>
      </c>
      <c r="C67" s="0" t="s">
        <v>151</v>
      </c>
      <c r="E67" s="9" t="n">
        <f aca="false">(mo_trn2+mo_h100)*tk_ox_h100+mo_gb200*tk_ox_gb200+mo_gb300*tk_ox_gb300</f>
        <v>1.88849736891677</v>
      </c>
      <c r="G67" s="8" t="s">
        <v>41</v>
      </c>
      <c r="H67" s="5" t="s">
        <v>230</v>
      </c>
    </row>
    <row r="68" customFormat="false" ht="17.15" hidden="false" customHeight="false" outlineLevel="0" collapsed="false">
      <c r="A68" s="0" t="s">
        <v>233</v>
      </c>
      <c r="B68" s="5" t="s">
        <v>234</v>
      </c>
      <c r="C68" s="0" t="s">
        <v>151</v>
      </c>
      <c r="E68" s="9" t="n">
        <f aca="false">he_open*k_B</f>
        <v>9.67085565405685</v>
      </c>
      <c r="G68" s="8" t="s">
        <v>41</v>
      </c>
      <c r="H68" s="5" t="s">
        <v>235</v>
      </c>
    </row>
    <row r="69" customFormat="false" ht="17.15" hidden="false" customHeight="false" outlineLevel="0" collapsed="false">
      <c r="A69" s="0" t="s">
        <v>236</v>
      </c>
      <c r="B69" s="5" t="s">
        <v>237</v>
      </c>
      <c r="C69" s="0" t="s">
        <v>52</v>
      </c>
      <c r="D69" s="10" t="n">
        <v>0.4</v>
      </c>
      <c r="E69" s="10" t="n">
        <v>0.5</v>
      </c>
      <c r="F69" s="10" t="n">
        <v>0.6</v>
      </c>
      <c r="G69" s="8" t="s">
        <v>62</v>
      </c>
      <c r="H69" s="5" t="s">
        <v>238</v>
      </c>
      <c r="I69" s="8" t="s">
        <v>239</v>
      </c>
    </row>
    <row r="70" customFormat="false" ht="17.15" hidden="false" customHeight="false" outlineLevel="0" collapsed="false">
      <c r="A70" s="0" t="s">
        <v>240</v>
      </c>
      <c r="B70" s="0" t="s">
        <v>241</v>
      </c>
      <c r="C70" s="0" t="s">
        <v>52</v>
      </c>
      <c r="E70" s="10" t="n">
        <v>0</v>
      </c>
      <c r="G70" s="8" t="s">
        <v>62</v>
      </c>
      <c r="H70" s="5" t="s">
        <v>242</v>
      </c>
    </row>
    <row r="71" customFormat="false" ht="17.15" hidden="false" customHeight="false" outlineLevel="0" collapsed="false">
      <c r="A71" s="0" t="s">
        <v>243</v>
      </c>
      <c r="B71" s="0" t="s">
        <v>244</v>
      </c>
      <c r="C71" s="0" t="s">
        <v>52</v>
      </c>
      <c r="E71" s="10" t="n">
        <v>0.5</v>
      </c>
      <c r="G71" s="8" t="s">
        <v>62</v>
      </c>
      <c r="H71" s="5" t="s">
        <v>242</v>
      </c>
    </row>
    <row r="72" customFormat="false" ht="17.15" hidden="false" customHeight="false" outlineLevel="0" collapsed="false">
      <c r="A72" s="0" t="s">
        <v>245</v>
      </c>
      <c r="B72" s="0" t="s">
        <v>246</v>
      </c>
      <c r="C72" s="0" t="s">
        <v>52</v>
      </c>
      <c r="E72" s="10" t="n">
        <v>1</v>
      </c>
      <c r="G72" s="8" t="s">
        <v>62</v>
      </c>
      <c r="H72" s="5" t="s">
        <v>242</v>
      </c>
    </row>
    <row r="73" customFormat="false" ht="17.15" hidden="false" customHeight="false" outlineLevel="0" collapsed="false">
      <c r="A73" s="0" t="s">
        <v>247</v>
      </c>
      <c r="B73" s="5" t="s">
        <v>248</v>
      </c>
      <c r="C73" s="0" t="s">
        <v>57</v>
      </c>
      <c r="D73" s="11" t="n">
        <v>0.7</v>
      </c>
      <c r="E73" s="11" t="n">
        <v>1</v>
      </c>
      <c r="G73" s="8" t="s">
        <v>62</v>
      </c>
      <c r="H73" s="5" t="s">
        <v>249</v>
      </c>
      <c r="I73" s="5" t="s">
        <v>250</v>
      </c>
    </row>
    <row r="74" customFormat="false" ht="17.15" hidden="false" customHeight="false" outlineLevel="0" collapsed="false">
      <c r="A74" s="0" t="s">
        <v>251</v>
      </c>
      <c r="B74" s="5" t="s">
        <v>252</v>
      </c>
      <c r="C74" s="0" t="s">
        <v>57</v>
      </c>
      <c r="D74" s="11" t="n">
        <v>0.7</v>
      </c>
      <c r="E74" s="11" t="n">
        <v>1</v>
      </c>
      <c r="G74" s="8" t="s">
        <v>62</v>
      </c>
      <c r="H74" s="5" t="s">
        <v>253</v>
      </c>
      <c r="I74" s="5" t="s">
        <v>254</v>
      </c>
    </row>
    <row r="75" customFormat="false" ht="17.15" hidden="false" customHeight="false" outlineLevel="0" collapsed="false">
      <c r="A75" s="0" t="s">
        <v>255</v>
      </c>
      <c r="B75" s="5" t="s">
        <v>256</v>
      </c>
      <c r="C75" s="0" t="s">
        <v>52</v>
      </c>
      <c r="D75" s="10" t="n">
        <v>0.1</v>
      </c>
      <c r="E75" s="10" t="n">
        <v>0.2</v>
      </c>
      <c r="F75" s="10" t="n">
        <v>0.3</v>
      </c>
      <c r="G75" s="8" t="s">
        <v>46</v>
      </c>
      <c r="H75" s="8" t="s">
        <v>257</v>
      </c>
      <c r="I75" s="5" t="s">
        <v>258</v>
      </c>
    </row>
    <row r="76" customFormat="false" ht="17.15" hidden="false" customHeight="false" outlineLevel="0" collapsed="false">
      <c r="A76" s="0" t="s">
        <v>259</v>
      </c>
      <c r="B76" s="5" t="s">
        <v>260</v>
      </c>
      <c r="C76" s="0" t="s">
        <v>52</v>
      </c>
      <c r="E76" s="10" t="n">
        <v>0.1</v>
      </c>
      <c r="G76" s="8" t="s">
        <v>62</v>
      </c>
      <c r="H76" s="5" t="s">
        <v>261</v>
      </c>
    </row>
    <row r="77" customFormat="false" ht="17.15" hidden="false" customHeight="false" outlineLevel="0" collapsed="false">
      <c r="A77" s="0" t="s">
        <v>262</v>
      </c>
      <c r="B77" s="5" t="s">
        <v>263</v>
      </c>
      <c r="C77" s="0" t="s">
        <v>151</v>
      </c>
      <c r="E77" s="9" t="n">
        <f aca="false">colo_sh*tk_fac*rent_rec</f>
        <v>0.2534</v>
      </c>
      <c r="G77" s="8" t="s">
        <v>41</v>
      </c>
      <c r="H77" s="5" t="s">
        <v>264</v>
      </c>
    </row>
    <row r="78" customFormat="false" ht="17.15" hidden="false" customHeight="false" outlineLevel="0" collapsed="false">
      <c r="A78" s="0" t="s">
        <v>265</v>
      </c>
      <c r="B78" s="0" t="s">
        <v>266</v>
      </c>
      <c r="C78" s="0" t="s">
        <v>73</v>
      </c>
      <c r="E78" s="7" t="n">
        <v>220</v>
      </c>
      <c r="G78" s="8" t="s">
        <v>46</v>
      </c>
      <c r="H78" s="8" t="s">
        <v>267</v>
      </c>
      <c r="I78" s="5" t="s">
        <v>268</v>
      </c>
    </row>
    <row r="79" customFormat="false" ht="17.15" hidden="false" customHeight="false" outlineLevel="0" collapsed="false">
      <c r="A79" s="0" t="s">
        <v>269</v>
      </c>
      <c r="B79" s="5" t="s">
        <v>270</v>
      </c>
      <c r="C79" s="0" t="s">
        <v>271</v>
      </c>
      <c r="E79" s="7" t="n">
        <v>0</v>
      </c>
      <c r="F79" s="7" t="n">
        <v>1</v>
      </c>
      <c r="G79" s="8" t="s">
        <v>62</v>
      </c>
      <c r="H79" s="5" t="s">
        <v>272</v>
      </c>
      <c r="I79" s="5" t="s">
        <v>273</v>
      </c>
    </row>
    <row r="80" customFormat="false" ht="17.15" hidden="false" customHeight="false" outlineLevel="0" collapsed="false">
      <c r="A80" s="0" t="s">
        <v>274</v>
      </c>
      <c r="B80" s="5" t="s">
        <v>275</v>
      </c>
      <c r="C80" s="0" t="s">
        <v>73</v>
      </c>
      <c r="E80" s="7" t="n">
        <v>25</v>
      </c>
      <c r="G80" s="8" t="s">
        <v>46</v>
      </c>
      <c r="H80" s="8" t="s">
        <v>276</v>
      </c>
      <c r="I80" s="5" t="s">
        <v>277</v>
      </c>
    </row>
    <row r="81" customFormat="false" ht="17.15" hidden="false" customHeight="false" outlineLevel="0" collapsed="false">
      <c r="A81" s="1" t="s">
        <v>278</v>
      </c>
    </row>
    <row r="82" customFormat="false" ht="17.15" hidden="false" customHeight="false" outlineLevel="0" collapsed="false">
      <c r="A82" s="0" t="s">
        <v>279</v>
      </c>
      <c r="B82" s="0" t="s">
        <v>280</v>
      </c>
      <c r="C82" s="0" t="s">
        <v>52</v>
      </c>
      <c r="D82" s="10" t="n">
        <v>0.05</v>
      </c>
      <c r="E82" s="10" t="n">
        <v>0.08</v>
      </c>
      <c r="F82" s="10" t="n">
        <v>0.11</v>
      </c>
      <c r="G82" s="8" t="s">
        <v>62</v>
      </c>
      <c r="H82" s="5" t="s">
        <v>281</v>
      </c>
      <c r="I82" s="8" t="s">
        <v>282</v>
      </c>
    </row>
    <row r="83" customFormat="false" ht="17.15" hidden="false" customHeight="false" outlineLevel="0" collapsed="false">
      <c r="A83" s="0" t="s">
        <v>283</v>
      </c>
      <c r="B83" s="0" t="s">
        <v>284</v>
      </c>
      <c r="C83" s="0" t="s">
        <v>52</v>
      </c>
      <c r="D83" s="10" t="n">
        <v>0.15</v>
      </c>
      <c r="E83" s="10" t="n">
        <v>0.2</v>
      </c>
      <c r="F83" s="10" t="n">
        <v>0.27</v>
      </c>
      <c r="G83" s="8" t="s">
        <v>62</v>
      </c>
      <c r="H83" s="5" t="s">
        <v>285</v>
      </c>
      <c r="I83" s="5" t="s">
        <v>286</v>
      </c>
    </row>
    <row r="84" customFormat="false" ht="17.15" hidden="false" customHeight="false" outlineLevel="0" collapsed="false">
      <c r="A84" s="1" t="s">
        <v>287</v>
      </c>
    </row>
    <row r="85" customFormat="false" ht="17.15" hidden="false" customHeight="false" outlineLevel="0" collapsed="false">
      <c r="A85" s="0" t="s">
        <v>288</v>
      </c>
      <c r="B85" s="0" t="s">
        <v>289</v>
      </c>
      <c r="C85" s="0" t="s">
        <v>52</v>
      </c>
      <c r="D85" s="10" t="n">
        <v>0.03</v>
      </c>
      <c r="E85" s="10" t="n">
        <v>0.05</v>
      </c>
      <c r="F85" s="10" t="n">
        <v>0.07</v>
      </c>
      <c r="G85" s="8" t="s">
        <v>62</v>
      </c>
      <c r="H85" s="5" t="s">
        <v>86</v>
      </c>
      <c r="I85" s="8" t="s">
        <v>290</v>
      </c>
    </row>
    <row r="86" customFormat="false" ht="17.15" hidden="false" customHeight="false" outlineLevel="0" collapsed="false">
      <c r="A86" s="0" t="s">
        <v>291</v>
      </c>
      <c r="B86" s="0" t="s">
        <v>292</v>
      </c>
      <c r="C86" s="0" t="s">
        <v>52</v>
      </c>
      <c r="D86" s="10" t="n">
        <v>0.01</v>
      </c>
      <c r="E86" s="10" t="n">
        <v>0.03</v>
      </c>
      <c r="F86" s="10" t="n">
        <v>0.05</v>
      </c>
      <c r="G86" s="8" t="s">
        <v>62</v>
      </c>
      <c r="H86" s="5" t="s">
        <v>86</v>
      </c>
      <c r="I86" s="8" t="s">
        <v>290</v>
      </c>
    </row>
    <row r="87" customFormat="false" ht="17.15" hidden="false" customHeight="false" outlineLevel="0" collapsed="false">
      <c r="A87" s="0" t="s">
        <v>293</v>
      </c>
      <c r="B87" s="0" t="s">
        <v>294</v>
      </c>
      <c r="C87" s="0" t="s">
        <v>52</v>
      </c>
      <c r="D87" s="10" t="n">
        <v>0.05</v>
      </c>
      <c r="E87" s="10" t="n">
        <v>0.07</v>
      </c>
      <c r="F87" s="10" t="n">
        <v>0.09</v>
      </c>
      <c r="G87" s="8" t="s">
        <v>62</v>
      </c>
      <c r="H87" s="5" t="s">
        <v>86</v>
      </c>
      <c r="I87" s="8" t="s">
        <v>290</v>
      </c>
    </row>
    <row r="88" customFormat="false" ht="17.15" hidden="false" customHeight="false" outlineLevel="0" collapsed="false">
      <c r="A88" s="0" t="s">
        <v>295</v>
      </c>
      <c r="B88" s="0" t="s">
        <v>296</v>
      </c>
      <c r="C88" s="0" t="s">
        <v>52</v>
      </c>
      <c r="D88" s="10" t="n">
        <v>0.07</v>
      </c>
      <c r="E88" s="10" t="n">
        <v>0.1</v>
      </c>
      <c r="F88" s="10" t="n">
        <v>0.13</v>
      </c>
      <c r="G88" s="8" t="s">
        <v>62</v>
      </c>
      <c r="H88" s="5" t="s">
        <v>86</v>
      </c>
      <c r="I88" s="8" t="s">
        <v>290</v>
      </c>
    </row>
    <row r="89" customFormat="false" ht="17.15" hidden="false" customHeight="false" outlineLevel="0" collapsed="false">
      <c r="A89" s="0" t="s">
        <v>297</v>
      </c>
      <c r="B89" s="0" t="s">
        <v>298</v>
      </c>
      <c r="C89" s="0" t="s">
        <v>52</v>
      </c>
      <c r="D89" s="10" t="n">
        <v>0.05</v>
      </c>
      <c r="E89" s="10" t="n">
        <v>0.07</v>
      </c>
      <c r="F89" s="10" t="n">
        <v>0.09</v>
      </c>
      <c r="G89" s="8" t="s">
        <v>62</v>
      </c>
      <c r="H89" s="5" t="s">
        <v>86</v>
      </c>
      <c r="I89" s="8" t="s">
        <v>290</v>
      </c>
    </row>
    <row r="90" customFormat="false" ht="17.15" hidden="false" customHeight="false" outlineLevel="0" collapsed="false">
      <c r="A90" s="0" t="s">
        <v>299</v>
      </c>
      <c r="B90" s="0" t="s">
        <v>300</v>
      </c>
      <c r="C90" s="0" t="s">
        <v>52</v>
      </c>
      <c r="D90" s="10" t="n">
        <v>0.02</v>
      </c>
      <c r="E90" s="10" t="n">
        <v>0.05</v>
      </c>
      <c r="F90" s="10" t="n">
        <v>0.08</v>
      </c>
      <c r="G90" s="8" t="s">
        <v>62</v>
      </c>
      <c r="H90" s="5" t="s">
        <v>86</v>
      </c>
      <c r="I90" s="8" t="s">
        <v>290</v>
      </c>
    </row>
    <row r="91" customFormat="false" ht="17.15" hidden="false" customHeight="false" outlineLevel="0" collapsed="false">
      <c r="A91" s="0" t="s">
        <v>301</v>
      </c>
      <c r="B91" s="5" t="s">
        <v>302</v>
      </c>
      <c r="C91" s="0" t="s">
        <v>52</v>
      </c>
      <c r="D91" s="10" t="n">
        <v>0.4</v>
      </c>
      <c r="E91" s="10" t="n">
        <v>0.5</v>
      </c>
      <c r="F91" s="10" t="n">
        <v>0.6</v>
      </c>
      <c r="G91" s="8" t="s">
        <v>62</v>
      </c>
      <c r="H91" s="5" t="s">
        <v>303</v>
      </c>
      <c r="I91" s="5" t="s">
        <v>304</v>
      </c>
    </row>
    <row r="92" customFormat="false" ht="17.15" hidden="false" customHeight="false" outlineLevel="0" collapsed="false">
      <c r="A92" s="0" t="s">
        <v>305</v>
      </c>
      <c r="B92" s="5" t="s">
        <v>306</v>
      </c>
      <c r="C92" s="0" t="s">
        <v>307</v>
      </c>
      <c r="D92" s="10" t="n">
        <v>0</v>
      </c>
      <c r="E92" s="10" t="n">
        <v>0.003</v>
      </c>
      <c r="F92" s="10" t="n">
        <v>0.006</v>
      </c>
      <c r="G92" s="8" t="s">
        <v>62</v>
      </c>
      <c r="H92" s="5" t="s">
        <v>308</v>
      </c>
    </row>
    <row r="93" customFormat="false" ht="17.15" hidden="false" customHeight="false" outlineLevel="0" collapsed="false">
      <c r="A93" s="0" t="s">
        <v>309</v>
      </c>
      <c r="B93" s="5" t="s">
        <v>310</v>
      </c>
      <c r="C93" s="0" t="s">
        <v>307</v>
      </c>
      <c r="D93" s="10" t="n">
        <v>-0.003</v>
      </c>
      <c r="E93" s="10" t="n">
        <v>0</v>
      </c>
      <c r="F93" s="10" t="n">
        <v>0.003</v>
      </c>
      <c r="G93" s="8" t="s">
        <v>62</v>
      </c>
      <c r="H93" s="5" t="s">
        <v>311</v>
      </c>
    </row>
    <row r="94" customFormat="false" ht="17.15" hidden="false" customHeight="false" outlineLevel="0" collapsed="false">
      <c r="A94" s="0" t="s">
        <v>312</v>
      </c>
      <c r="B94" s="5" t="s">
        <v>313</v>
      </c>
      <c r="C94" s="0" t="s">
        <v>52</v>
      </c>
      <c r="E94" s="12" t="n">
        <f aca="false">AVERAGE((Q!$C$55+Q!$C$56)/(Q!$C$5+Q!$C$6),(Q!$D$55+Q!$D$56)/(Q!$D$5+Q!$D$6),(Q!$E$55+Q!$E$56)/(Q!$E$5+Q!$E$6))</f>
        <v>0.0590737529079913</v>
      </c>
      <c r="G94" s="8" t="s">
        <v>41</v>
      </c>
      <c r="H94" s="8" t="s">
        <v>69</v>
      </c>
      <c r="I94" s="8" t="s">
        <v>314</v>
      </c>
    </row>
    <row r="95" customFormat="false" ht="17.15" hidden="false" customHeight="false" outlineLevel="0" collapsed="false">
      <c r="A95" s="1" t="s">
        <v>315</v>
      </c>
    </row>
    <row r="96" customFormat="false" ht="17.15" hidden="false" customHeight="false" outlineLevel="0" collapsed="false">
      <c r="A96" s="0" t="s">
        <v>316</v>
      </c>
      <c r="B96" s="5" t="s">
        <v>317</v>
      </c>
      <c r="C96" s="0" t="s">
        <v>52</v>
      </c>
      <c r="E96" s="12" t="n">
        <f aca="false">Q!$Q$48/Q!$Q$8</f>
        <v>0.0248994430693069</v>
      </c>
      <c r="G96" s="8" t="s">
        <v>41</v>
      </c>
      <c r="H96" s="8" t="s">
        <v>276</v>
      </c>
      <c r="I96" s="8" t="s">
        <v>318</v>
      </c>
    </row>
    <row r="97" customFormat="false" ht="17.15" hidden="false" customHeight="false" outlineLevel="0" collapsed="false">
      <c r="A97" s="0" t="s">
        <v>319</v>
      </c>
      <c r="B97" s="5" t="s">
        <v>320</v>
      </c>
      <c r="C97" s="0" t="s">
        <v>52</v>
      </c>
      <c r="D97" s="10" t="n">
        <v>-0.005</v>
      </c>
      <c r="E97" s="12" t="n">
        <f aca="false">AVERAGE((Q!$C$44-(Q!$C$38-Q!$C$39*(1-Q!$C$40))-Q!$C$32-Q!$C$48)/Q!$C$8,(Q!$D$44-(Q!$D$38-Q!$D$39*(1-Q!$D$40))-Q!$D$32-Q!$D$48)/Q!$D$8,(Q!$E$44-(Q!$E$38-Q!$E$39*(1-Q!$E$40))-Q!$E$32-Q!$E$48)/Q!$E$8)</f>
        <v>0.0119845812666467</v>
      </c>
      <c r="F97" s="10" t="n">
        <v>0.02</v>
      </c>
      <c r="G97" s="8" t="s">
        <v>41</v>
      </c>
      <c r="H97" s="8" t="s">
        <v>69</v>
      </c>
      <c r="I97" s="8" t="s">
        <v>321</v>
      </c>
    </row>
    <row r="98" customFormat="false" ht="17.15" hidden="false" customHeight="false" outlineLevel="0" collapsed="false">
      <c r="A98" s="0" t="s">
        <v>322</v>
      </c>
      <c r="B98" s="5" t="s">
        <v>323</v>
      </c>
      <c r="C98" s="0" t="s">
        <v>73</v>
      </c>
      <c r="E98" s="7" t="n">
        <v>1.947</v>
      </c>
      <c r="G98" s="8" t="s">
        <v>41</v>
      </c>
      <c r="H98" s="8" t="s">
        <v>34</v>
      </c>
      <c r="I98" s="8" t="s">
        <v>324</v>
      </c>
    </row>
    <row r="99" customFormat="false" ht="17.15" hidden="false" customHeight="false" outlineLevel="0" collapsed="false">
      <c r="A99" s="0" t="s">
        <v>325</v>
      </c>
      <c r="B99" s="5" t="s">
        <v>326</v>
      </c>
      <c r="C99" s="0" t="s">
        <v>73</v>
      </c>
      <c r="D99" s="7" t="n">
        <v>1.5</v>
      </c>
      <c r="E99" s="7" t="n">
        <v>1.6</v>
      </c>
      <c r="F99" s="7" t="n">
        <v>3</v>
      </c>
      <c r="G99" s="8" t="s">
        <v>62</v>
      </c>
      <c r="H99" s="8" t="s">
        <v>69</v>
      </c>
      <c r="I99" s="8" t="s">
        <v>327</v>
      </c>
    </row>
    <row r="100" customFormat="false" ht="17.15" hidden="false" customHeight="false" outlineLevel="0" collapsed="false">
      <c r="A100" s="0" t="s">
        <v>328</v>
      </c>
      <c r="B100" s="5" t="s">
        <v>329</v>
      </c>
      <c r="C100" s="0" t="s">
        <v>52</v>
      </c>
      <c r="D100" s="10" t="n">
        <v>0</v>
      </c>
      <c r="E100" s="10" t="n">
        <v>0.008</v>
      </c>
      <c r="F100" s="10" t="n">
        <v>0.015</v>
      </c>
      <c r="G100" s="8" t="s">
        <v>41</v>
      </c>
      <c r="H100" s="8" t="s">
        <v>330</v>
      </c>
      <c r="I100" s="5" t="s">
        <v>331</v>
      </c>
    </row>
    <row r="101" customFormat="false" ht="17.15" hidden="false" customHeight="false" outlineLevel="0" collapsed="false">
      <c r="A101" s="0" t="s">
        <v>332</v>
      </c>
      <c r="B101" s="5" t="s">
        <v>333</v>
      </c>
      <c r="C101" s="0" t="s">
        <v>52</v>
      </c>
      <c r="E101" s="12" t="n">
        <f aca="false">Q!$P$34*2/((Q!$E$62+Q!$M$62)/2)</f>
        <v>0.0418964381091111</v>
      </c>
      <c r="G101" s="8" t="s">
        <v>41</v>
      </c>
      <c r="H101" s="8" t="s">
        <v>34</v>
      </c>
      <c r="I101" s="5" t="s">
        <v>334</v>
      </c>
    </row>
    <row r="102" customFormat="false" ht="17.15" hidden="false" customHeight="false" outlineLevel="0" collapsed="false">
      <c r="A102" s="0" t="s">
        <v>335</v>
      </c>
      <c r="B102" s="5" t="s">
        <v>336</v>
      </c>
      <c r="C102" s="0" t="s">
        <v>52</v>
      </c>
      <c r="E102" s="12" t="n">
        <f aca="false">Q!$M$35*4/Q!$M$61</f>
        <v>0.0421179302045728</v>
      </c>
      <c r="G102" s="8" t="s">
        <v>41</v>
      </c>
      <c r="H102" s="8" t="s">
        <v>34</v>
      </c>
    </row>
    <row r="103" customFormat="false" ht="17.15" hidden="false" customHeight="false" outlineLevel="0" collapsed="false">
      <c r="A103" s="0" t="s">
        <v>337</v>
      </c>
      <c r="B103" s="5" t="s">
        <v>338</v>
      </c>
      <c r="C103" s="0" t="s">
        <v>73</v>
      </c>
      <c r="E103" s="7" t="n">
        <v>122.988</v>
      </c>
      <c r="G103" s="8" t="s">
        <v>28</v>
      </c>
      <c r="H103" s="8" t="s">
        <v>34</v>
      </c>
    </row>
    <row r="104" customFormat="false" ht="17.15" hidden="false" customHeight="false" outlineLevel="0" collapsed="false">
      <c r="A104" s="0" t="s">
        <v>339</v>
      </c>
      <c r="B104" s="5" t="s">
        <v>340</v>
      </c>
      <c r="C104" s="0" t="s">
        <v>73</v>
      </c>
      <c r="D104" s="7" t="n">
        <v>30</v>
      </c>
      <c r="E104" s="7" t="n">
        <v>50</v>
      </c>
      <c r="F104" s="7" t="n">
        <v>80</v>
      </c>
      <c r="G104" s="8" t="s">
        <v>62</v>
      </c>
      <c r="H104" s="5" t="s">
        <v>341</v>
      </c>
    </row>
    <row r="105" customFormat="false" ht="17.15" hidden="false" customHeight="false" outlineLevel="0" collapsed="false">
      <c r="A105" s="0" t="s">
        <v>342</v>
      </c>
      <c r="B105" s="0" t="s">
        <v>343</v>
      </c>
      <c r="C105" s="0" t="s">
        <v>73</v>
      </c>
      <c r="E105" s="9" t="n">
        <f aca="false">25+4.25</f>
        <v>29.25</v>
      </c>
      <c r="G105" s="8" t="s">
        <v>46</v>
      </c>
      <c r="H105" s="8" t="s">
        <v>344</v>
      </c>
    </row>
    <row r="106" customFormat="false" ht="17.15" hidden="false" customHeight="false" outlineLevel="0" collapsed="false">
      <c r="A106" s="0" t="s">
        <v>345</v>
      </c>
      <c r="B106" s="0" t="s">
        <v>346</v>
      </c>
      <c r="C106" s="0" t="s">
        <v>73</v>
      </c>
      <c r="E106" s="7" t="n">
        <v>21.3</v>
      </c>
      <c r="G106" s="8" t="s">
        <v>46</v>
      </c>
      <c r="H106" s="8" t="s">
        <v>34</v>
      </c>
      <c r="I106" s="8" t="s">
        <v>347</v>
      </c>
    </row>
    <row r="107" customFormat="false" ht="17.15" hidden="false" customHeight="false" outlineLevel="0" collapsed="false">
      <c r="A107" s="0" t="s">
        <v>348</v>
      </c>
      <c r="B107" s="0" t="s">
        <v>349</v>
      </c>
      <c r="C107" s="0" t="s">
        <v>52</v>
      </c>
      <c r="D107" s="10" t="n">
        <v>0.03</v>
      </c>
      <c r="E107" s="10" t="n">
        <v>0.04</v>
      </c>
      <c r="F107" s="10" t="n">
        <v>0.05</v>
      </c>
      <c r="G107" s="8" t="s">
        <v>46</v>
      </c>
      <c r="H107" s="8" t="s">
        <v>276</v>
      </c>
      <c r="I107" s="8" t="s">
        <v>350</v>
      </c>
    </row>
    <row r="108" customFormat="false" ht="17.15" hidden="false" customHeight="false" outlineLevel="0" collapsed="false">
      <c r="A108" s="0" t="s">
        <v>351</v>
      </c>
      <c r="B108" s="0" t="s">
        <v>352</v>
      </c>
      <c r="C108" s="0" t="s">
        <v>73</v>
      </c>
      <c r="E108" s="9" t="n">
        <f aca="false">pd_sh*Q!$J$8</f>
        <v>7.20676</v>
      </c>
      <c r="G108" s="8" t="s">
        <v>41</v>
      </c>
      <c r="H108" s="8" t="s">
        <v>276</v>
      </c>
      <c r="I108" s="8" t="s">
        <v>353</v>
      </c>
    </row>
    <row r="109" customFormat="false" ht="17.15" hidden="false" customHeight="false" outlineLevel="0" collapsed="false">
      <c r="A109" s="0" t="s">
        <v>354</v>
      </c>
      <c r="B109" s="5" t="s">
        <v>355</v>
      </c>
      <c r="C109" s="0" t="s">
        <v>27</v>
      </c>
      <c r="E109" s="7" t="n">
        <v>0</v>
      </c>
      <c r="G109" s="8" t="s">
        <v>28</v>
      </c>
      <c r="H109" s="8" t="s">
        <v>34</v>
      </c>
      <c r="I109" s="8" t="s">
        <v>356</v>
      </c>
    </row>
    <row r="110" customFormat="false" ht="17.15" hidden="false" customHeight="false" outlineLevel="0" collapsed="false">
      <c r="A110" s="1" t="s">
        <v>357</v>
      </c>
    </row>
    <row r="111" customFormat="false" ht="17.15" hidden="false" customHeight="false" outlineLevel="0" collapsed="false">
      <c r="A111" s="0" t="s">
        <v>358</v>
      </c>
      <c r="B111" s="0" t="s">
        <v>359</v>
      </c>
      <c r="C111" s="0" t="s">
        <v>73</v>
      </c>
      <c r="E111" s="7" t="n">
        <v>965</v>
      </c>
      <c r="G111" s="8" t="s">
        <v>46</v>
      </c>
      <c r="H111" s="8" t="s">
        <v>360</v>
      </c>
      <c r="I111" s="5" t="s">
        <v>361</v>
      </c>
    </row>
    <row r="112" customFormat="false" ht="17.15" hidden="false" customHeight="false" outlineLevel="0" collapsed="false">
      <c r="A112" s="0" t="s">
        <v>362</v>
      </c>
      <c r="B112" s="0" t="s">
        <v>363</v>
      </c>
      <c r="C112" s="0" t="s">
        <v>52</v>
      </c>
      <c r="D112" s="10" t="n">
        <v>0.15</v>
      </c>
      <c r="E112" s="10" t="n">
        <v>0.18</v>
      </c>
      <c r="F112" s="10" t="n">
        <v>0.21</v>
      </c>
      <c r="G112" s="8" t="s">
        <v>62</v>
      </c>
      <c r="H112" s="5" t="s">
        <v>364</v>
      </c>
      <c r="I112" s="8" t="s">
        <v>365</v>
      </c>
    </row>
    <row r="113" customFormat="false" ht="17.15" hidden="false" customHeight="false" outlineLevel="0" collapsed="false">
      <c r="A113" s="0" t="s">
        <v>366</v>
      </c>
      <c r="B113" s="0" t="s">
        <v>367</v>
      </c>
      <c r="C113" s="0" t="s">
        <v>73</v>
      </c>
      <c r="E113" s="7" t="n">
        <v>840</v>
      </c>
      <c r="G113" s="8" t="s">
        <v>41</v>
      </c>
      <c r="H113" s="8" t="s">
        <v>368</v>
      </c>
    </row>
    <row r="114" customFormat="false" ht="17.15" hidden="false" customHeight="false" outlineLevel="0" collapsed="false">
      <c r="A114" s="0" t="s">
        <v>369</v>
      </c>
      <c r="B114" s="0" t="s">
        <v>370</v>
      </c>
      <c r="C114" s="0" t="s">
        <v>52</v>
      </c>
      <c r="E114" s="10" t="n">
        <v>0.0595</v>
      </c>
      <c r="G114" s="8" t="s">
        <v>41</v>
      </c>
      <c r="H114" s="5" t="s">
        <v>242</v>
      </c>
      <c r="I114" s="5" t="s">
        <v>371</v>
      </c>
    </row>
    <row r="115" customFormat="false" ht="17.15" hidden="false" customHeight="false" outlineLevel="0" collapsed="false">
      <c r="A115" s="0" t="s">
        <v>372</v>
      </c>
      <c r="B115" s="5" t="s">
        <v>373</v>
      </c>
      <c r="C115" s="0" t="s">
        <v>52</v>
      </c>
      <c r="D115" s="10" t="n">
        <v>0</v>
      </c>
      <c r="E115" s="10" t="n">
        <v>0.2</v>
      </c>
      <c r="F115" s="10" t="n">
        <v>0.4</v>
      </c>
      <c r="G115" s="8" t="s">
        <v>62</v>
      </c>
      <c r="H115" s="5" t="s">
        <v>374</v>
      </c>
    </row>
    <row r="116" customFormat="false" ht="17.15" hidden="false" customHeight="false" outlineLevel="0" collapsed="false">
      <c r="A116" s="0" t="s">
        <v>375</v>
      </c>
      <c r="B116" s="0" t="s">
        <v>376</v>
      </c>
      <c r="C116" s="0" t="s">
        <v>57</v>
      </c>
      <c r="D116" s="11" t="n">
        <v>4</v>
      </c>
      <c r="E116" s="11" t="n">
        <v>6</v>
      </c>
      <c r="F116" s="11" t="n">
        <v>10</v>
      </c>
      <c r="G116" s="8" t="s">
        <v>62</v>
      </c>
      <c r="H116" s="5" t="s">
        <v>377</v>
      </c>
      <c r="I116" s="8" t="s">
        <v>378</v>
      </c>
    </row>
    <row r="117" customFormat="false" ht="17.15" hidden="false" customHeight="false" outlineLevel="0" collapsed="false">
      <c r="A117" s="0" t="s">
        <v>379</v>
      </c>
      <c r="B117" s="5" t="s">
        <v>380</v>
      </c>
      <c r="C117" s="0" t="s">
        <v>57</v>
      </c>
      <c r="D117" s="11" t="n">
        <v>0.8</v>
      </c>
      <c r="E117" s="11" t="n">
        <v>1</v>
      </c>
      <c r="F117" s="11" t="n">
        <v>1.2</v>
      </c>
      <c r="G117" s="8" t="s">
        <v>62</v>
      </c>
      <c r="H117" s="8" t="s">
        <v>381</v>
      </c>
    </row>
    <row r="118" customFormat="false" ht="17.15" hidden="false" customHeight="false" outlineLevel="0" collapsed="false">
      <c r="A118" s="1" t="s">
        <v>382</v>
      </c>
    </row>
    <row r="119" customFormat="false" ht="17.15" hidden="false" customHeight="false" outlineLevel="0" collapsed="false">
      <c r="A119" s="0" t="s">
        <v>383</v>
      </c>
      <c r="B119" s="5" t="s">
        <v>384</v>
      </c>
      <c r="C119" s="0" t="s">
        <v>73</v>
      </c>
      <c r="E119" s="7" t="n">
        <v>828.285</v>
      </c>
      <c r="G119" s="8" t="s">
        <v>46</v>
      </c>
      <c r="H119" s="8" t="s">
        <v>385</v>
      </c>
      <c r="I119" s="8" t="s">
        <v>386</v>
      </c>
    </row>
    <row r="120" customFormat="false" ht="17.15" hidden="false" customHeight="false" outlineLevel="0" collapsed="false">
      <c r="A120" s="0" t="s">
        <v>387</v>
      </c>
      <c r="B120" s="5" t="s">
        <v>388</v>
      </c>
      <c r="C120" s="0" t="s">
        <v>73</v>
      </c>
      <c r="E120" s="7" t="n">
        <v>216.957</v>
      </c>
      <c r="G120" s="8" t="s">
        <v>46</v>
      </c>
      <c r="H120" s="8" t="s">
        <v>385</v>
      </c>
      <c r="I120" s="8" t="s">
        <v>386</v>
      </c>
    </row>
    <row r="121" customFormat="false" ht="17.15" hidden="false" customHeight="false" outlineLevel="0" collapsed="false">
      <c r="A121" s="0" t="s">
        <v>389</v>
      </c>
      <c r="B121" s="5" t="s">
        <v>390</v>
      </c>
      <c r="C121" s="0" t="s">
        <v>73</v>
      </c>
      <c r="E121" s="7" t="n">
        <v>109.867</v>
      </c>
      <c r="G121" s="8" t="s">
        <v>46</v>
      </c>
      <c r="H121" s="8" t="s">
        <v>385</v>
      </c>
      <c r="I121" s="8" t="s">
        <v>386</v>
      </c>
    </row>
    <row r="122" customFormat="false" ht="17.15" hidden="false" customHeight="false" outlineLevel="0" collapsed="false">
      <c r="A122" s="0" t="s">
        <v>391</v>
      </c>
      <c r="B122" s="5" t="s">
        <v>392</v>
      </c>
      <c r="C122" s="0" t="s">
        <v>73</v>
      </c>
      <c r="E122" s="7" t="n">
        <v>140.133</v>
      </c>
      <c r="G122" s="8" t="s">
        <v>46</v>
      </c>
      <c r="H122" s="8" t="s">
        <v>385</v>
      </c>
      <c r="I122" s="8" t="s">
        <v>386</v>
      </c>
    </row>
    <row r="123" customFormat="false" ht="17.15" hidden="false" customHeight="false" outlineLevel="0" collapsed="false">
      <c r="A123" s="0" t="s">
        <v>393</v>
      </c>
      <c r="B123" s="5" t="s">
        <v>394</v>
      </c>
      <c r="C123" s="0" t="s">
        <v>27</v>
      </c>
      <c r="E123" s="7" t="n">
        <v>12.88</v>
      </c>
      <c r="G123" s="8" t="s">
        <v>46</v>
      </c>
      <c r="H123" s="8" t="s">
        <v>385</v>
      </c>
      <c r="I123" s="8" t="s">
        <v>386</v>
      </c>
    </row>
    <row r="124" customFormat="false" ht="17.15" hidden="false" customHeight="false" outlineLevel="0" collapsed="false">
      <c r="A124" s="0" t="s">
        <v>395</v>
      </c>
      <c r="B124" s="5" t="s">
        <v>396</v>
      </c>
      <c r="C124" s="0" t="s">
        <v>73</v>
      </c>
      <c r="E124" s="7" t="n">
        <v>220.5</v>
      </c>
      <c r="G124" s="8" t="s">
        <v>46</v>
      </c>
      <c r="H124" s="8" t="s">
        <v>385</v>
      </c>
      <c r="I124" s="8" t="s">
        <v>386</v>
      </c>
    </row>
    <row r="125" customFormat="false" ht="17.15" hidden="false" customHeight="false" outlineLevel="0" collapsed="false">
      <c r="A125" s="0" t="s">
        <v>397</v>
      </c>
      <c r="B125" s="5" t="s">
        <v>398</v>
      </c>
      <c r="C125" s="0" t="s">
        <v>73</v>
      </c>
      <c r="E125" s="7" t="n">
        <v>-34.027</v>
      </c>
      <c r="G125" s="8" t="s">
        <v>46</v>
      </c>
      <c r="H125" s="8" t="s">
        <v>385</v>
      </c>
      <c r="I125" s="8" t="s">
        <v>386</v>
      </c>
    </row>
    <row r="126" customFormat="false" ht="17.15" hidden="false" customHeight="false" outlineLevel="0" collapsed="false">
      <c r="A126" s="0" t="s">
        <v>399</v>
      </c>
      <c r="B126" s="5" t="s">
        <v>400</v>
      </c>
      <c r="C126" s="0" t="s">
        <v>73</v>
      </c>
      <c r="E126" s="7" t="n">
        <v>947.853</v>
      </c>
      <c r="G126" s="8" t="s">
        <v>46</v>
      </c>
      <c r="H126" s="8" t="s">
        <v>385</v>
      </c>
      <c r="I126" s="8" t="s">
        <v>386</v>
      </c>
    </row>
    <row r="127" customFormat="false" ht="17.15" hidden="false" customHeight="false" outlineLevel="0" collapsed="false">
      <c r="A127" s="0" t="s">
        <v>401</v>
      </c>
      <c r="B127" s="5" t="s">
        <v>402</v>
      </c>
      <c r="C127" s="0" t="s">
        <v>73</v>
      </c>
      <c r="E127" s="7" t="n">
        <v>273.452</v>
      </c>
      <c r="G127" s="8" t="s">
        <v>46</v>
      </c>
      <c r="H127" s="8" t="s">
        <v>385</v>
      </c>
      <c r="I127" s="8" t="s">
        <v>386</v>
      </c>
    </row>
    <row r="128" customFormat="false" ht="17.15" hidden="false" customHeight="false" outlineLevel="0" collapsed="false">
      <c r="A128" s="0" t="s">
        <v>403</v>
      </c>
      <c r="B128" s="5" t="s">
        <v>404</v>
      </c>
      <c r="C128" s="0" t="s">
        <v>73</v>
      </c>
      <c r="E128" s="7" t="n">
        <v>140.372</v>
      </c>
      <c r="G128" s="8" t="s">
        <v>46</v>
      </c>
      <c r="H128" s="8" t="s">
        <v>385</v>
      </c>
      <c r="I128" s="8" t="s">
        <v>386</v>
      </c>
    </row>
    <row r="129" customFormat="false" ht="17.15" hidden="false" customHeight="false" outlineLevel="0" collapsed="false">
      <c r="A129" s="0" t="s">
        <v>405</v>
      </c>
      <c r="B129" s="5" t="s">
        <v>406</v>
      </c>
      <c r="C129" s="0" t="s">
        <v>73</v>
      </c>
      <c r="E129" s="7" t="n">
        <v>115.541</v>
      </c>
      <c r="G129" s="8" t="s">
        <v>46</v>
      </c>
      <c r="H129" s="8" t="s">
        <v>385</v>
      </c>
      <c r="I129" s="8" t="s">
        <v>386</v>
      </c>
    </row>
    <row r="130" customFormat="false" ht="17.15" hidden="false" customHeight="false" outlineLevel="0" collapsed="false">
      <c r="A130" s="0" t="s">
        <v>407</v>
      </c>
      <c r="B130" s="5" t="s">
        <v>408</v>
      </c>
      <c r="C130" s="0" t="s">
        <v>27</v>
      </c>
      <c r="E130" s="7" t="n">
        <v>10.51</v>
      </c>
      <c r="G130" s="8" t="s">
        <v>46</v>
      </c>
      <c r="H130" s="8" t="s">
        <v>385</v>
      </c>
      <c r="I130" s="8" t="s">
        <v>386</v>
      </c>
    </row>
    <row r="131" customFormat="false" ht="17.15" hidden="false" customHeight="false" outlineLevel="0" collapsed="false">
      <c r="A131" s="0" t="s">
        <v>409</v>
      </c>
      <c r="B131" s="5" t="s">
        <v>410</v>
      </c>
      <c r="C131" s="0" t="s">
        <v>73</v>
      </c>
      <c r="E131" s="7" t="n">
        <v>275.063</v>
      </c>
      <c r="G131" s="8" t="s">
        <v>46</v>
      </c>
      <c r="H131" s="8" t="s">
        <v>385</v>
      </c>
      <c r="I131" s="8" t="s">
        <v>386</v>
      </c>
    </row>
    <row r="132" customFormat="false" ht="17.15" hidden="false" customHeight="false" outlineLevel="0" collapsed="false">
      <c r="A132" s="0" t="s">
        <v>411</v>
      </c>
      <c r="B132" s="5" t="s">
        <v>412</v>
      </c>
      <c r="C132" s="0" t="s">
        <v>73</v>
      </c>
      <c r="E132" s="7" t="n">
        <v>-5.631</v>
      </c>
      <c r="G132" s="8" t="s">
        <v>46</v>
      </c>
      <c r="H132" s="8" t="s">
        <v>385</v>
      </c>
      <c r="I132" s="8" t="s">
        <v>386</v>
      </c>
    </row>
    <row r="133" customFormat="false" ht="17.15" hidden="false" customHeight="false" outlineLevel="0" collapsed="false">
      <c r="A133" s="0" t="s">
        <v>413</v>
      </c>
      <c r="B133" s="5" t="s">
        <v>414</v>
      </c>
      <c r="C133" s="0" t="s">
        <v>73</v>
      </c>
      <c r="E133" s="7" t="n">
        <v>1097.389</v>
      </c>
      <c r="G133" s="8" t="s">
        <v>46</v>
      </c>
      <c r="H133" s="8" t="s">
        <v>385</v>
      </c>
      <c r="I133" s="8" t="s">
        <v>386</v>
      </c>
    </row>
    <row r="134" customFormat="false" ht="17.15" hidden="false" customHeight="false" outlineLevel="0" collapsed="false">
      <c r="A134" s="0" t="s">
        <v>415</v>
      </c>
      <c r="B134" s="5" t="s">
        <v>416</v>
      </c>
      <c r="C134" s="0" t="s">
        <v>73</v>
      </c>
      <c r="E134" s="7" t="n">
        <v>355.29</v>
      </c>
      <c r="G134" s="8" t="s">
        <v>46</v>
      </c>
      <c r="H134" s="8" t="s">
        <v>385</v>
      </c>
      <c r="I134" s="8" t="s">
        <v>386</v>
      </c>
    </row>
    <row r="135" customFormat="false" ht="17.15" hidden="false" customHeight="false" outlineLevel="0" collapsed="false">
      <c r="A135" s="0" t="s">
        <v>417</v>
      </c>
      <c r="B135" s="5" t="s">
        <v>418</v>
      </c>
      <c r="C135" s="0" t="s">
        <v>73</v>
      </c>
      <c r="E135" s="7" t="n">
        <v>182.749</v>
      </c>
      <c r="G135" s="8" t="s">
        <v>46</v>
      </c>
      <c r="H135" s="8" t="s">
        <v>385</v>
      </c>
      <c r="I135" s="8" t="s">
        <v>386</v>
      </c>
    </row>
    <row r="136" customFormat="false" ht="17.15" hidden="false" customHeight="false" outlineLevel="0" collapsed="false">
      <c r="A136" s="0" t="s">
        <v>419</v>
      </c>
      <c r="B136" s="5" t="s">
        <v>420</v>
      </c>
      <c r="C136" s="0" t="s">
        <v>73</v>
      </c>
      <c r="E136" s="7" t="n">
        <v>147.701</v>
      </c>
      <c r="G136" s="8" t="s">
        <v>46</v>
      </c>
      <c r="H136" s="8" t="s">
        <v>385</v>
      </c>
      <c r="I136" s="8" t="s">
        <v>386</v>
      </c>
    </row>
    <row r="137" customFormat="false" ht="17.15" hidden="false" customHeight="false" outlineLevel="0" collapsed="false">
      <c r="A137" s="0" t="s">
        <v>421</v>
      </c>
      <c r="B137" s="5" t="s">
        <v>422</v>
      </c>
      <c r="C137" s="0" t="s">
        <v>27</v>
      </c>
      <c r="E137" s="7" t="n">
        <v>13.81</v>
      </c>
      <c r="G137" s="8" t="s">
        <v>46</v>
      </c>
      <c r="H137" s="8" t="s">
        <v>385</v>
      </c>
      <c r="I137" s="8" t="s">
        <v>386</v>
      </c>
    </row>
    <row r="138" customFormat="false" ht="17.15" hidden="false" customHeight="false" outlineLevel="0" collapsed="false">
      <c r="A138" s="0" t="s">
        <v>423</v>
      </c>
      <c r="B138" s="5" t="s">
        <v>424</v>
      </c>
      <c r="C138" s="0" t="s">
        <v>73</v>
      </c>
      <c r="E138" s="7" t="n">
        <v>292.927</v>
      </c>
      <c r="G138" s="8" t="s">
        <v>46</v>
      </c>
      <c r="H138" s="8" t="s">
        <v>385</v>
      </c>
      <c r="I138" s="8" t="s">
        <v>386</v>
      </c>
    </row>
    <row r="139" customFormat="false" ht="17.15" hidden="false" customHeight="false" outlineLevel="0" collapsed="false">
      <c r="A139" s="0" t="s">
        <v>425</v>
      </c>
      <c r="B139" s="5" t="s">
        <v>426</v>
      </c>
      <c r="C139" s="0" t="s">
        <v>73</v>
      </c>
      <c r="E139" s="7" t="n">
        <v>41.402</v>
      </c>
      <c r="G139" s="8" t="s">
        <v>46</v>
      </c>
      <c r="H139" s="8" t="s">
        <v>385</v>
      </c>
      <c r="I139" s="8" t="s">
        <v>386</v>
      </c>
    </row>
    <row r="140" customFormat="false" ht="17.15" hidden="false" customHeight="false" outlineLevel="0" collapsed="false">
      <c r="A140" s="0" t="s">
        <v>427</v>
      </c>
      <c r="B140" s="5" t="s">
        <v>428</v>
      </c>
      <c r="C140" s="0" t="s">
        <v>73</v>
      </c>
      <c r="D140" s="7" t="n">
        <v>815.9</v>
      </c>
      <c r="E140" s="7" t="n">
        <v>828.74</v>
      </c>
      <c r="F140" s="7" t="n">
        <v>842</v>
      </c>
      <c r="G140" s="8" t="s">
        <v>46</v>
      </c>
      <c r="H140" s="8" t="s">
        <v>47</v>
      </c>
      <c r="I140" s="8" t="s">
        <v>429</v>
      </c>
    </row>
    <row r="141" customFormat="false" ht="17.15" hidden="false" customHeight="false" outlineLevel="0" collapsed="false">
      <c r="A141" s="0" t="s">
        <v>430</v>
      </c>
      <c r="B141" s="5" t="s">
        <v>431</v>
      </c>
      <c r="C141" s="0" t="s">
        <v>73</v>
      </c>
      <c r="E141" s="7" t="n">
        <v>949.92</v>
      </c>
      <c r="G141" s="8" t="s">
        <v>46</v>
      </c>
      <c r="H141" s="8" t="s">
        <v>47</v>
      </c>
    </row>
    <row r="142" customFormat="false" ht="17.15" hidden="false" customHeight="false" outlineLevel="0" collapsed="false">
      <c r="A142" s="0" t="s">
        <v>432</v>
      </c>
      <c r="B142" s="5" t="s">
        <v>433</v>
      </c>
      <c r="C142" s="0" t="s">
        <v>27</v>
      </c>
      <c r="D142" s="7" t="n">
        <v>7.65</v>
      </c>
      <c r="E142" s="7" t="n">
        <v>7.92</v>
      </c>
      <c r="F142" s="7" t="n">
        <v>8.3</v>
      </c>
      <c r="G142" s="8" t="s">
        <v>46</v>
      </c>
      <c r="H142" s="8" t="s">
        <v>47</v>
      </c>
      <c r="I142" s="8" t="s">
        <v>434</v>
      </c>
    </row>
    <row r="143" customFormat="false" ht="17.15" hidden="false" customHeight="false" outlineLevel="0" collapsed="false">
      <c r="A143" s="0" t="s">
        <v>435</v>
      </c>
      <c r="B143" s="5" t="s">
        <v>436</v>
      </c>
      <c r="C143" s="0" t="s">
        <v>27</v>
      </c>
      <c r="E143" s="7" t="n">
        <v>10.43</v>
      </c>
      <c r="G143" s="8" t="s">
        <v>46</v>
      </c>
      <c r="H143" s="8" t="s">
        <v>47</v>
      </c>
    </row>
    <row r="144" customFormat="false" ht="17.15" hidden="false" customHeight="false" outlineLevel="0" collapsed="false">
      <c r="A144" s="0" t="s">
        <v>437</v>
      </c>
      <c r="B144" s="5" t="s">
        <v>438</v>
      </c>
      <c r="C144" s="0" t="s">
        <v>73</v>
      </c>
      <c r="E144" s="7" t="n">
        <v>197</v>
      </c>
      <c r="G144" s="8" t="s">
        <v>46</v>
      </c>
      <c r="H144" s="8" t="s">
        <v>276</v>
      </c>
      <c r="I144" s="5" t="s">
        <v>439</v>
      </c>
    </row>
    <row r="145" customFormat="false" ht="17.15" hidden="false" customHeight="false" outlineLevel="0" collapsed="false">
      <c r="A145" s="0" t="s">
        <v>440</v>
      </c>
      <c r="B145" s="5" t="s">
        <v>441</v>
      </c>
      <c r="C145" s="0" t="s">
        <v>73</v>
      </c>
      <c r="E145" s="7" t="n">
        <v>202</v>
      </c>
      <c r="G145" s="8" t="s">
        <v>46</v>
      </c>
      <c r="H145" s="8" t="s">
        <v>276</v>
      </c>
    </row>
    <row r="146" customFormat="false" ht="17.15" hidden="false" customHeight="false" outlineLevel="0" collapsed="false">
      <c r="A146" s="0" t="s">
        <v>442</v>
      </c>
      <c r="B146" s="5" t="s">
        <v>443</v>
      </c>
      <c r="C146" s="0" t="s">
        <v>73</v>
      </c>
      <c r="E146" s="7" t="n">
        <v>22.5</v>
      </c>
      <c r="G146" s="8" t="s">
        <v>46</v>
      </c>
      <c r="H146" s="8" t="s">
        <v>276</v>
      </c>
    </row>
    <row r="147" customFormat="false" ht="17.15" hidden="false" customHeight="false" outlineLevel="0" collapsed="false">
      <c r="A147" s="0" t="s">
        <v>444</v>
      </c>
      <c r="B147" s="5" t="s">
        <v>445</v>
      </c>
      <c r="C147" s="0" t="s">
        <v>73</v>
      </c>
      <c r="E147" s="7" t="n">
        <v>26.5</v>
      </c>
      <c r="G147" s="8" t="s">
        <v>46</v>
      </c>
      <c r="H147" s="8" t="s">
        <v>276</v>
      </c>
    </row>
    <row r="148" customFormat="false" ht="17.15" hidden="false" customHeight="false" outlineLevel="0" collapsed="false">
      <c r="A148" s="1" t="s">
        <v>446</v>
      </c>
    </row>
    <row r="149" customFormat="false" ht="17.15" hidden="false" customHeight="false" outlineLevel="0" collapsed="false">
      <c r="A149" s="0" t="s">
        <v>447</v>
      </c>
      <c r="B149" s="0" t="s">
        <v>448</v>
      </c>
      <c r="C149" s="0" t="s">
        <v>27</v>
      </c>
      <c r="E149" s="7" t="n">
        <v>201.71</v>
      </c>
      <c r="G149" s="8" t="s">
        <v>41</v>
      </c>
      <c r="H149" s="8" t="s">
        <v>449</v>
      </c>
      <c r="I149" s="5" t="s">
        <v>450</v>
      </c>
    </row>
    <row r="150" customFormat="false" ht="17.15" hidden="false" customHeight="false" outlineLevel="0" collapsed="false">
      <c r="A150" s="0" t="s">
        <v>451</v>
      </c>
      <c r="B150" s="0" t="s">
        <v>452</v>
      </c>
      <c r="C150" s="0" t="s">
        <v>27</v>
      </c>
      <c r="E150" s="7" t="n">
        <v>259.92</v>
      </c>
      <c r="G150" s="8" t="s">
        <v>28</v>
      </c>
      <c r="H150" s="8" t="s">
        <v>453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17" min="3" style="0" width="11"/>
    <col collapsed="false" customWidth="true" hidden="false" outlineLevel="0" max="18" min="18" style="0" width="22"/>
    <col collapsed="false" customWidth="true" hidden="false" outlineLevel="0" max="19" min="19" style="0" width="60"/>
  </cols>
  <sheetData>
    <row r="1" customFormat="false" ht="17.15" hidden="false" customHeight="false" outlineLevel="0" collapsed="false">
      <c r="A1" s="0" t="s">
        <v>454</v>
      </c>
    </row>
    <row r="2" customFormat="false" ht="17.15" hidden="false" customHeight="false" outlineLevel="0" collapsed="false">
      <c r="A2" s="5" t="s">
        <v>455</v>
      </c>
    </row>
    <row r="3" customFormat="false" ht="17.15" hidden="false" customHeight="false" outlineLevel="0" collapsed="false">
      <c r="A3" s="6" t="s">
        <v>16</v>
      </c>
      <c r="B3" s="6" t="s">
        <v>17</v>
      </c>
      <c r="C3" s="20" t="s">
        <v>456</v>
      </c>
      <c r="D3" s="20" t="s">
        <v>457</v>
      </c>
      <c r="E3" s="20" t="s">
        <v>458</v>
      </c>
      <c r="F3" s="20" t="s">
        <v>459</v>
      </c>
      <c r="G3" s="20" t="s">
        <v>460</v>
      </c>
      <c r="H3" s="20" t="s">
        <v>461</v>
      </c>
      <c r="I3" s="20" t="s">
        <v>462</v>
      </c>
      <c r="J3" s="20" t="s">
        <v>463</v>
      </c>
      <c r="K3" s="20" t="s">
        <v>464</v>
      </c>
      <c r="L3" s="20" t="s">
        <v>465</v>
      </c>
      <c r="M3" s="20" t="s">
        <v>466</v>
      </c>
      <c r="N3" s="20" t="s">
        <v>467</v>
      </c>
      <c r="O3" s="20" t="s">
        <v>468</v>
      </c>
      <c r="P3" s="20" t="s">
        <v>469</v>
      </c>
      <c r="Q3" s="6" t="s">
        <v>470</v>
      </c>
      <c r="R3" s="6" t="s">
        <v>21</v>
      </c>
      <c r="S3" s="6" t="s">
        <v>22</v>
      </c>
    </row>
    <row r="4" customFormat="false" ht="17.15" hidden="false" customHeight="false" outlineLevel="0" collapsed="false">
      <c r="A4" s="1" t="s">
        <v>471</v>
      </c>
    </row>
    <row r="5" customFormat="false" ht="17.15" hidden="false" customHeight="false" outlineLevel="0" collapsed="false">
      <c r="A5" s="0" t="s">
        <v>472</v>
      </c>
      <c r="B5" s="0" t="s">
        <v>73</v>
      </c>
      <c r="C5" s="21" t="n">
        <v>352.828</v>
      </c>
      <c r="D5" s="21" t="n">
        <v>387.497</v>
      </c>
      <c r="E5" s="21" t="n">
        <v>426.305</v>
      </c>
      <c r="F5" s="21" t="n">
        <v>95.537</v>
      </c>
      <c r="G5" s="21" t="n">
        <v>115.586</v>
      </c>
      <c r="H5" s="21" t="n">
        <v>92.887</v>
      </c>
      <c r="I5" s="21" t="n">
        <v>100.068</v>
      </c>
      <c r="J5" s="21" t="n">
        <v>106.267</v>
      </c>
      <c r="K5" s="21" t="n">
        <v>127.083</v>
      </c>
      <c r="L5" s="21" t="n">
        <v>104.143</v>
      </c>
      <c r="M5" s="21" t="n">
        <v>116.177</v>
      </c>
      <c r="N5" s="22" t="n">
        <f aca="false">H5+I5</f>
        <v>192.955</v>
      </c>
      <c r="O5" s="22" t="n">
        <f aca="false">J5+K5</f>
        <v>233.35</v>
      </c>
      <c r="P5" s="22" t="n">
        <f aca="false">L5+M5</f>
        <v>220.32</v>
      </c>
      <c r="Q5" s="22" t="n">
        <f aca="false">J5+K5+L5+M5</f>
        <v>453.67</v>
      </c>
      <c r="R5" s="8" t="s">
        <v>473</v>
      </c>
      <c r="S5" s="8" t="s">
        <v>474</v>
      </c>
    </row>
    <row r="6" customFormat="false" ht="17.15" hidden="false" customHeight="false" outlineLevel="0" collapsed="false">
      <c r="A6" s="0" t="s">
        <v>475</v>
      </c>
      <c r="B6" s="0" t="s">
        <v>73</v>
      </c>
      <c r="C6" s="21" t="n">
        <v>131.2</v>
      </c>
      <c r="D6" s="21" t="n">
        <v>142.906</v>
      </c>
      <c r="E6" s="21" t="n">
        <v>161.894</v>
      </c>
      <c r="F6" s="21" t="n">
        <v>35.888</v>
      </c>
      <c r="G6" s="21" t="n">
        <v>43.42</v>
      </c>
      <c r="H6" s="21" t="n">
        <v>33.513</v>
      </c>
      <c r="I6" s="21" t="n">
        <v>36.761</v>
      </c>
      <c r="J6" s="21" t="n">
        <v>40.896</v>
      </c>
      <c r="K6" s="21" t="n">
        <v>50.724</v>
      </c>
      <c r="L6" s="21" t="n">
        <v>39.789</v>
      </c>
      <c r="M6" s="21" t="n">
        <v>42.197</v>
      </c>
      <c r="N6" s="22" t="n">
        <f aca="false">H6+I6</f>
        <v>70.274</v>
      </c>
      <c r="O6" s="22" t="n">
        <f aca="false">J6+K6</f>
        <v>91.62</v>
      </c>
      <c r="P6" s="22" t="n">
        <f aca="false">L6+M6</f>
        <v>81.986</v>
      </c>
      <c r="Q6" s="22" t="n">
        <f aca="false">J6+K6+L6+M6</f>
        <v>173.606</v>
      </c>
      <c r="R6" s="8" t="s">
        <v>473</v>
      </c>
      <c r="S6" s="8" t="s">
        <v>474</v>
      </c>
    </row>
    <row r="7" customFormat="false" ht="17.15" hidden="false" customHeight="false" outlineLevel="0" collapsed="false">
      <c r="A7" s="0" t="s">
        <v>476</v>
      </c>
      <c r="B7" s="0" t="s">
        <v>73</v>
      </c>
      <c r="C7" s="21" t="n">
        <v>90.757</v>
      </c>
      <c r="D7" s="21" t="n">
        <v>107.556</v>
      </c>
      <c r="E7" s="21" t="n">
        <v>128.725</v>
      </c>
      <c r="F7" s="21" t="n">
        <v>27.452</v>
      </c>
      <c r="G7" s="21" t="n">
        <v>28.786</v>
      </c>
      <c r="H7" s="21" t="n">
        <v>29.267</v>
      </c>
      <c r="I7" s="21" t="n">
        <v>30.873</v>
      </c>
      <c r="J7" s="21" t="n">
        <v>33.006</v>
      </c>
      <c r="K7" s="21" t="n">
        <v>35.579</v>
      </c>
      <c r="L7" s="21" t="n">
        <v>37.587</v>
      </c>
      <c r="M7" s="21" t="n">
        <v>42.232</v>
      </c>
      <c r="N7" s="22" t="n">
        <f aca="false">H7+I7</f>
        <v>60.14</v>
      </c>
      <c r="O7" s="22" t="n">
        <f aca="false">J7+K7</f>
        <v>68.585</v>
      </c>
      <c r="P7" s="22" t="n">
        <f aca="false">L7+M7</f>
        <v>79.819</v>
      </c>
      <c r="Q7" s="22" t="n">
        <f aca="false">J7+K7+L7+M7</f>
        <v>148.404</v>
      </c>
      <c r="R7" s="8" t="s">
        <v>473</v>
      </c>
      <c r="S7" s="8" t="s">
        <v>474</v>
      </c>
    </row>
    <row r="8" customFormat="false" ht="17.15" hidden="false" customHeight="false" outlineLevel="0" collapsed="false">
      <c r="A8" s="5" t="s">
        <v>477</v>
      </c>
      <c r="B8" s="0" t="s">
        <v>73</v>
      </c>
      <c r="C8" s="21" t="n">
        <v>574.785</v>
      </c>
      <c r="D8" s="21" t="n">
        <v>637.959</v>
      </c>
      <c r="E8" s="21" t="n">
        <v>716.924</v>
      </c>
      <c r="F8" s="21" t="n">
        <v>158.877</v>
      </c>
      <c r="G8" s="21" t="n">
        <v>187.792</v>
      </c>
      <c r="H8" s="21" t="n">
        <v>155.667</v>
      </c>
      <c r="I8" s="21" t="n">
        <v>167.702</v>
      </c>
      <c r="J8" s="21" t="n">
        <v>180.169</v>
      </c>
      <c r="K8" s="21" t="n">
        <v>213.386</v>
      </c>
      <c r="L8" s="21" t="n">
        <v>181.519</v>
      </c>
      <c r="M8" s="21" t="n">
        <v>200.606</v>
      </c>
      <c r="N8" s="22" t="n">
        <f aca="false">H8+I8</f>
        <v>323.369</v>
      </c>
      <c r="O8" s="22" t="n">
        <f aca="false">J8+K8</f>
        <v>393.555</v>
      </c>
      <c r="P8" s="22" t="n">
        <f aca="false">L8+M8</f>
        <v>382.125</v>
      </c>
      <c r="Q8" s="22" t="n">
        <f aca="false">J8+K8+L8+M8</f>
        <v>775.68</v>
      </c>
      <c r="R8" s="8" t="s">
        <v>473</v>
      </c>
      <c r="S8" s="8" t="s">
        <v>474</v>
      </c>
    </row>
    <row r="9" customFormat="false" ht="17.15" hidden="false" customHeight="false" outlineLevel="0" collapsed="false">
      <c r="A9" s="1" t="s">
        <v>478</v>
      </c>
    </row>
    <row r="10" customFormat="false" ht="17.15" hidden="false" customHeight="false" outlineLevel="0" collapsed="false">
      <c r="A10" s="0" t="s">
        <v>479</v>
      </c>
      <c r="B10" s="0" t="s">
        <v>73</v>
      </c>
      <c r="C10" s="21" t="n">
        <v>231.872</v>
      </c>
      <c r="D10" s="21" t="n">
        <v>247.029</v>
      </c>
      <c r="E10" s="21" t="n">
        <v>269.287</v>
      </c>
      <c r="F10" s="21" t="n">
        <v>61.411</v>
      </c>
      <c r="G10" s="21" t="n">
        <v>75.556</v>
      </c>
      <c r="H10" s="21" t="n">
        <v>57.407</v>
      </c>
      <c r="I10" s="21" t="n">
        <v>61.485</v>
      </c>
      <c r="J10" s="21" t="n">
        <v>67.407</v>
      </c>
      <c r="K10" s="21" t="n">
        <v>82.988</v>
      </c>
      <c r="L10" s="21" t="n">
        <v>64.254</v>
      </c>
      <c r="M10" s="21" t="n">
        <v>70.432</v>
      </c>
      <c r="N10" s="22" t="n">
        <f aca="false">H10+I10</f>
        <v>118.892</v>
      </c>
      <c r="O10" s="22" t="n">
        <f aca="false">J10+K10</f>
        <v>150.395</v>
      </c>
      <c r="P10" s="22" t="n">
        <f aca="false">L10+M10</f>
        <v>134.686</v>
      </c>
      <c r="Q10" s="22" t="n">
        <f aca="false">J10+K10+L10+M10</f>
        <v>285.081</v>
      </c>
      <c r="R10" s="8" t="s">
        <v>473</v>
      </c>
      <c r="S10" s="8" t="s">
        <v>474</v>
      </c>
    </row>
    <row r="11" customFormat="false" ht="17.15" hidden="false" customHeight="false" outlineLevel="0" collapsed="false">
      <c r="A11" s="0" t="s">
        <v>480</v>
      </c>
      <c r="B11" s="0" t="s">
        <v>73</v>
      </c>
      <c r="C11" s="21" t="n">
        <v>20.03</v>
      </c>
      <c r="D11" s="21" t="n">
        <v>21.215</v>
      </c>
      <c r="E11" s="21" t="n">
        <v>22.561</v>
      </c>
      <c r="F11" s="21" t="n">
        <v>5.228</v>
      </c>
      <c r="G11" s="21" t="n">
        <v>5.579</v>
      </c>
      <c r="H11" s="21" t="n">
        <v>5.533</v>
      </c>
      <c r="I11" s="21" t="n">
        <v>5.595</v>
      </c>
      <c r="J11" s="21" t="n">
        <v>5.578</v>
      </c>
      <c r="K11" s="21" t="n">
        <v>5.855</v>
      </c>
      <c r="L11" s="21" t="n">
        <v>5.785</v>
      </c>
      <c r="M11" s="21" t="n">
        <v>5.794</v>
      </c>
      <c r="N11" s="22" t="n">
        <f aca="false">H11+I11</f>
        <v>11.128</v>
      </c>
      <c r="O11" s="22" t="n">
        <f aca="false">J11+K11</f>
        <v>11.433</v>
      </c>
      <c r="P11" s="22" t="n">
        <f aca="false">L11+M11</f>
        <v>11.579</v>
      </c>
      <c r="Q11" s="22" t="n">
        <f aca="false">J11+K11+L11+M11</f>
        <v>23.012</v>
      </c>
      <c r="R11" s="8" t="s">
        <v>473</v>
      </c>
      <c r="S11" s="8" t="s">
        <v>474</v>
      </c>
    </row>
    <row r="12" customFormat="false" ht="17.15" hidden="false" customHeight="false" outlineLevel="0" collapsed="false">
      <c r="A12" s="0" t="s">
        <v>481</v>
      </c>
      <c r="B12" s="0" t="s">
        <v>73</v>
      </c>
      <c r="C12" s="21" t="n">
        <v>140.053</v>
      </c>
      <c r="D12" s="21" t="n">
        <v>156.146</v>
      </c>
      <c r="E12" s="21" t="n">
        <v>172.162</v>
      </c>
      <c r="F12" s="21" t="n">
        <v>37.864</v>
      </c>
      <c r="G12" s="21" t="n">
        <v>47.485</v>
      </c>
      <c r="H12" s="21" t="n">
        <v>36.512</v>
      </c>
      <c r="I12" s="21" t="n">
        <v>40.348</v>
      </c>
      <c r="J12" s="21" t="n">
        <v>42.486</v>
      </c>
      <c r="K12" s="21" t="n">
        <v>52.816</v>
      </c>
      <c r="L12" s="21" t="n">
        <v>41.578</v>
      </c>
      <c r="M12" s="21" t="n">
        <v>46.78</v>
      </c>
      <c r="N12" s="22" t="n">
        <f aca="false">H12+I12</f>
        <v>76.86</v>
      </c>
      <c r="O12" s="22" t="n">
        <f aca="false">J12+K12</f>
        <v>95.302</v>
      </c>
      <c r="P12" s="22" t="n">
        <f aca="false">L12+M12</f>
        <v>88.358</v>
      </c>
      <c r="Q12" s="22" t="n">
        <f aca="false">J12+K12+L12+M12</f>
        <v>183.66</v>
      </c>
      <c r="R12" s="8" t="s">
        <v>473</v>
      </c>
      <c r="S12" s="8" t="s">
        <v>474</v>
      </c>
    </row>
    <row r="13" customFormat="false" ht="17.15" hidden="false" customHeight="false" outlineLevel="0" collapsed="false">
      <c r="A13" s="0" t="s">
        <v>482</v>
      </c>
      <c r="B13" s="0" t="s">
        <v>73</v>
      </c>
      <c r="C13" s="21" t="n">
        <v>46.906</v>
      </c>
      <c r="D13" s="21" t="n">
        <v>56.214</v>
      </c>
      <c r="E13" s="21" t="n">
        <v>68.635</v>
      </c>
      <c r="F13" s="21" t="n">
        <v>14.331</v>
      </c>
      <c r="G13" s="21" t="n">
        <v>17.288</v>
      </c>
      <c r="H13" s="21" t="n">
        <v>13.921</v>
      </c>
      <c r="I13" s="21" t="n">
        <v>15.694</v>
      </c>
      <c r="J13" s="21" t="n">
        <v>17.703</v>
      </c>
      <c r="K13" s="21" t="n">
        <v>21.317</v>
      </c>
      <c r="L13" s="21" t="n">
        <v>17.243</v>
      </c>
      <c r="M13" s="21" t="n">
        <v>19.809</v>
      </c>
      <c r="N13" s="22" t="n">
        <f aca="false">H13+I13</f>
        <v>29.615</v>
      </c>
      <c r="O13" s="22" t="n">
        <f aca="false">J13+K13</f>
        <v>39.02</v>
      </c>
      <c r="P13" s="22" t="n">
        <f aca="false">L13+M13</f>
        <v>37.052</v>
      </c>
      <c r="Q13" s="22" t="n">
        <f aca="false">J13+K13+L13+M13</f>
        <v>76.072</v>
      </c>
      <c r="R13" s="8" t="s">
        <v>473</v>
      </c>
      <c r="S13" s="8" t="s">
        <v>474</v>
      </c>
    </row>
    <row r="14" customFormat="false" ht="17.15" hidden="false" customHeight="false" outlineLevel="0" collapsed="false">
      <c r="A14" s="0" t="s">
        <v>483</v>
      </c>
      <c r="B14" s="0" t="s">
        <v>73</v>
      </c>
      <c r="C14" s="21" t="n">
        <v>40.209</v>
      </c>
      <c r="D14" s="21" t="n">
        <v>44.374</v>
      </c>
      <c r="E14" s="21" t="n">
        <v>49.619</v>
      </c>
      <c r="F14" s="21" t="n">
        <v>11.278</v>
      </c>
      <c r="G14" s="21" t="n">
        <v>11.508</v>
      </c>
      <c r="H14" s="21" t="n">
        <v>11.715</v>
      </c>
      <c r="I14" s="21" t="n">
        <v>12.208</v>
      </c>
      <c r="J14" s="21" t="n">
        <v>12.574</v>
      </c>
      <c r="K14" s="21" t="n">
        <v>13.122</v>
      </c>
      <c r="L14" s="21" t="n">
        <v>13.427</v>
      </c>
      <c r="M14" s="21" t="n">
        <v>13.73</v>
      </c>
      <c r="N14" s="22" t="n">
        <f aca="false">H14+I14</f>
        <v>23.923</v>
      </c>
      <c r="O14" s="22" t="n">
        <f aca="false">J14+K14</f>
        <v>25.696</v>
      </c>
      <c r="P14" s="22" t="n">
        <f aca="false">L14+M14</f>
        <v>27.157</v>
      </c>
      <c r="Q14" s="22" t="n">
        <f aca="false">J14+K14+L14+M14</f>
        <v>52.853</v>
      </c>
      <c r="R14" s="8" t="s">
        <v>473</v>
      </c>
      <c r="S14" s="8" t="s">
        <v>474</v>
      </c>
    </row>
    <row r="15" customFormat="false" ht="17.15" hidden="false" customHeight="false" outlineLevel="0" collapsed="false">
      <c r="A15" s="0" t="s">
        <v>484</v>
      </c>
      <c r="B15" s="0" t="s">
        <v>73</v>
      </c>
      <c r="C15" s="21" t="n">
        <v>4.958</v>
      </c>
      <c r="D15" s="21" t="n">
        <v>5.425</v>
      </c>
      <c r="E15" s="21" t="n">
        <v>5.935</v>
      </c>
      <c r="F15" s="21" t="n">
        <v>1.313</v>
      </c>
      <c r="G15" s="21" t="n">
        <v>1.59</v>
      </c>
      <c r="H15" s="21" t="n">
        <v>1.312</v>
      </c>
      <c r="I15" s="21" t="n">
        <v>1.499</v>
      </c>
      <c r="J15" s="21" t="n">
        <v>1.415</v>
      </c>
      <c r="K15" s="21" t="n">
        <v>1.709</v>
      </c>
      <c r="L15" s="21" t="n">
        <v>1.645</v>
      </c>
      <c r="M15" s="21" t="n">
        <v>1.829</v>
      </c>
      <c r="N15" s="22" t="n">
        <f aca="false">H15+I15</f>
        <v>2.811</v>
      </c>
      <c r="O15" s="22" t="n">
        <f aca="false">J15+K15</f>
        <v>3.124</v>
      </c>
      <c r="P15" s="22" t="n">
        <f aca="false">L15+M15</f>
        <v>3.474</v>
      </c>
      <c r="Q15" s="22" t="n">
        <f aca="false">J15+K15+L15+M15</f>
        <v>6.598</v>
      </c>
      <c r="R15" s="8" t="s">
        <v>473</v>
      </c>
      <c r="S15" s="8" t="s">
        <v>474</v>
      </c>
    </row>
    <row r="16" customFormat="false" ht="17.15" hidden="false" customHeight="false" outlineLevel="0" collapsed="false">
      <c r="A16" s="5" t="s">
        <v>485</v>
      </c>
      <c r="B16" s="0" t="s">
        <v>73</v>
      </c>
      <c r="C16" s="23" t="n">
        <f aca="false">C10+C11+C12+C13+C14+C15</f>
        <v>484.028</v>
      </c>
      <c r="D16" s="23" t="n">
        <f aca="false">D10+D11+D12+D13+D14+D15</f>
        <v>530.403</v>
      </c>
      <c r="E16" s="23" t="n">
        <f aca="false">E10+E11+E12+E13+E14+E15</f>
        <v>588.199</v>
      </c>
      <c r="F16" s="23" t="n">
        <f aca="false">F10+F11+F12+F13+F14+F15</f>
        <v>131.425</v>
      </c>
      <c r="G16" s="23" t="n">
        <f aca="false">G10+G11+G12+G13+G14+G15</f>
        <v>159.006</v>
      </c>
      <c r="H16" s="23" t="n">
        <f aca="false">H10+H11+H12+H13+H14+H15</f>
        <v>126.4</v>
      </c>
      <c r="I16" s="23" t="n">
        <f aca="false">I10+I11+I12+I13+I14+I15</f>
        <v>136.829</v>
      </c>
      <c r="J16" s="23" t="n">
        <f aca="false">J10+J11+J12+J13+J14+J15</f>
        <v>147.163</v>
      </c>
      <c r="K16" s="23" t="n">
        <f aca="false">K10+K11+K12+K13+K14+K15</f>
        <v>177.807</v>
      </c>
      <c r="L16" s="23" t="n">
        <f aca="false">L10+L11+L12+L13+L14+L15</f>
        <v>143.932</v>
      </c>
      <c r="M16" s="23" t="n">
        <f aca="false">M10+M11+M12+M13+M14+M15</f>
        <v>158.374</v>
      </c>
      <c r="N16" s="23" t="n">
        <f aca="false">N10+N11+N12+N13+N14+N15</f>
        <v>263.229</v>
      </c>
      <c r="O16" s="23" t="n">
        <f aca="false">O10+O11+O12+O13+O14+O15</f>
        <v>324.97</v>
      </c>
      <c r="P16" s="23" t="n">
        <f aca="false">P10+P11+P12+P13+P14+P15</f>
        <v>302.306</v>
      </c>
      <c r="Q16" s="23" t="n">
        <f aca="false">Q10+Q11+Q12+Q13+Q14+Q15</f>
        <v>627.276</v>
      </c>
      <c r="R16" s="8" t="s">
        <v>41</v>
      </c>
    </row>
    <row r="17" customFormat="false" ht="17.15" hidden="false" customHeight="false" outlineLevel="0" collapsed="false">
      <c r="A17" s="0" t="s">
        <v>486</v>
      </c>
      <c r="B17" s="0" t="s">
        <v>73</v>
      </c>
      <c r="C17" s="23" t="n">
        <f aca="false">C7</f>
        <v>90.757</v>
      </c>
      <c r="D17" s="23" t="n">
        <f aca="false">D7</f>
        <v>107.556</v>
      </c>
      <c r="E17" s="23" t="n">
        <f aca="false">E7</f>
        <v>128.725</v>
      </c>
      <c r="F17" s="23" t="n">
        <f aca="false">F7</f>
        <v>27.452</v>
      </c>
      <c r="G17" s="23" t="n">
        <f aca="false">G7</f>
        <v>28.786</v>
      </c>
      <c r="H17" s="23" t="n">
        <f aca="false">H7</f>
        <v>29.267</v>
      </c>
      <c r="I17" s="23" t="n">
        <f aca="false">I7</f>
        <v>30.873</v>
      </c>
      <c r="J17" s="23" t="n">
        <f aca="false">J7</f>
        <v>33.006</v>
      </c>
      <c r="K17" s="23" t="n">
        <f aca="false">K7</f>
        <v>35.579</v>
      </c>
      <c r="L17" s="23" t="n">
        <f aca="false">L7</f>
        <v>37.587</v>
      </c>
      <c r="M17" s="23" t="n">
        <f aca="false">M7</f>
        <v>42.232</v>
      </c>
      <c r="N17" s="23" t="n">
        <f aca="false">N7</f>
        <v>60.14</v>
      </c>
      <c r="O17" s="23" t="n">
        <f aca="false">O7</f>
        <v>68.585</v>
      </c>
      <c r="P17" s="23" t="n">
        <f aca="false">P7</f>
        <v>79.819</v>
      </c>
      <c r="Q17" s="23" t="n">
        <f aca="false">Q7</f>
        <v>148.404</v>
      </c>
      <c r="R17" s="8" t="s">
        <v>41</v>
      </c>
    </row>
    <row r="18" customFormat="false" ht="17.15" hidden="false" customHeight="false" outlineLevel="0" collapsed="false">
      <c r="A18" s="24" t="s">
        <v>487</v>
      </c>
      <c r="B18" s="25" t="s">
        <v>73</v>
      </c>
      <c r="C18" s="26" t="n">
        <f aca="false">C16-(C5+C6)</f>
        <v>0</v>
      </c>
      <c r="D18" s="26" t="n">
        <f aca="false">D16-(D5+D6)</f>
        <v>0</v>
      </c>
      <c r="E18" s="26" t="n">
        <f aca="false">E16-(E5+E6)</f>
        <v>0</v>
      </c>
      <c r="F18" s="26" t="n">
        <f aca="false">F16-(F5+F6)</f>
        <v>0</v>
      </c>
      <c r="G18" s="26" t="n">
        <f aca="false">G16-(G5+G6)</f>
        <v>0</v>
      </c>
      <c r="H18" s="26" t="n">
        <f aca="false">H16-(H5+H6)</f>
        <v>0</v>
      </c>
      <c r="I18" s="26" t="n">
        <f aca="false">I16-(I5+I6)</f>
        <v>0</v>
      </c>
      <c r="J18" s="26" t="n">
        <f aca="false">J16-(J5+J6)</f>
        <v>0</v>
      </c>
      <c r="K18" s="26" t="n">
        <f aca="false">K16-(K5+K6)</f>
        <v>0</v>
      </c>
      <c r="L18" s="26" t="n">
        <f aca="false">L16-(L5+L6)</f>
        <v>0</v>
      </c>
      <c r="M18" s="26" t="n">
        <f aca="false">M16-(M5+M6)</f>
        <v>0</v>
      </c>
      <c r="N18" s="26" t="n">
        <f aca="false">N16-(N5+N6)</f>
        <v>0</v>
      </c>
      <c r="O18" s="26" t="n">
        <f aca="false">O16-(O5+O6)</f>
        <v>0</v>
      </c>
      <c r="P18" s="26" t="n">
        <f aca="false">P16-(P5+P6)</f>
        <v>0</v>
      </c>
      <c r="Q18" s="26" t="n">
        <f aca="false">Q16-(Q5+Q6)</f>
        <v>0</v>
      </c>
      <c r="R18" s="8" t="s">
        <v>41</v>
      </c>
    </row>
    <row r="19" customFormat="false" ht="17.15" hidden="false" customHeight="false" outlineLevel="0" collapsed="false">
      <c r="A19" s="24" t="s">
        <v>488</v>
      </c>
      <c r="B19" s="25" t="s">
        <v>73</v>
      </c>
      <c r="C19" s="26" t="n">
        <f aca="false">C16+C17-C8</f>
        <v>0</v>
      </c>
      <c r="D19" s="26" t="n">
        <f aca="false">D16+D17-D8</f>
        <v>0</v>
      </c>
      <c r="E19" s="26" t="n">
        <f aca="false">E16+E17-E8</f>
        <v>0</v>
      </c>
      <c r="F19" s="26" t="n">
        <f aca="false">F16+F17-F8</f>
        <v>0</v>
      </c>
      <c r="G19" s="26" t="n">
        <f aca="false">G16+G17-G8</f>
        <v>0</v>
      </c>
      <c r="H19" s="26" t="n">
        <f aca="false">H16+H17-H8</f>
        <v>0</v>
      </c>
      <c r="I19" s="26" t="n">
        <f aca="false">I16+I17-I8</f>
        <v>0</v>
      </c>
      <c r="J19" s="26" t="n">
        <f aca="false">J16+J17-J8</f>
        <v>0</v>
      </c>
      <c r="K19" s="26" t="n">
        <f aca="false">K16+K17-K8</f>
        <v>0</v>
      </c>
      <c r="L19" s="26" t="n">
        <f aca="false">L16+L17-L8</f>
        <v>0</v>
      </c>
      <c r="M19" s="26" t="n">
        <f aca="false">M16+M17-M8</f>
        <v>0</v>
      </c>
      <c r="N19" s="26" t="n">
        <f aca="false">N16+N17-N8</f>
        <v>0</v>
      </c>
      <c r="O19" s="26" t="n">
        <f aca="false">O16+O17-O8</f>
        <v>0</v>
      </c>
      <c r="P19" s="26" t="n">
        <f aca="false">P16+P17-P8</f>
        <v>0</v>
      </c>
      <c r="Q19" s="26" t="n">
        <f aca="false">Q16+Q17-Q8</f>
        <v>0</v>
      </c>
      <c r="R19" s="8" t="s">
        <v>41</v>
      </c>
    </row>
    <row r="20" customFormat="false" ht="15" hidden="false" customHeight="false" outlineLevel="0" collapsed="false">
      <c r="A20" s="24" t="s">
        <v>489</v>
      </c>
      <c r="B20" s="25" t="s">
        <v>73</v>
      </c>
      <c r="C20" s="26" t="n">
        <f aca="false">C5+C6+C7-C8</f>
        <v>0</v>
      </c>
      <c r="D20" s="26" t="n">
        <f aca="false">D5+D6+D7-D8</f>
        <v>0</v>
      </c>
      <c r="E20" s="26" t="n">
        <f aca="false">E5+E6+E7-E8</f>
        <v>0</v>
      </c>
      <c r="F20" s="26" t="n">
        <f aca="false">F5+F6+F7-F8</f>
        <v>0</v>
      </c>
      <c r="G20" s="26" t="n">
        <f aca="false">G5+G6+G7-G8</f>
        <v>0</v>
      </c>
      <c r="H20" s="26" t="n">
        <f aca="false">H5+H6+H7-H8</f>
        <v>0</v>
      </c>
      <c r="I20" s="26" t="n">
        <f aca="false">I5+I6+I7-I8</f>
        <v>0</v>
      </c>
      <c r="J20" s="26" t="n">
        <f aca="false">J5+J6+J7-J8</f>
        <v>0</v>
      </c>
      <c r="K20" s="26" t="n">
        <f aca="false">K5+K6+K7-K8</f>
        <v>0</v>
      </c>
      <c r="L20" s="26" t="n">
        <f aca="false">L5+L6+L7-L8</f>
        <v>0</v>
      </c>
      <c r="M20" s="26" t="n">
        <f aca="false">M5+M6+M7-M8</f>
        <v>0</v>
      </c>
      <c r="N20" s="26" t="n">
        <f aca="false">N5+N6+N7-N8</f>
        <v>0</v>
      </c>
      <c r="O20" s="26" t="n">
        <f aca="false">O5+O6+O7-O8</f>
        <v>0</v>
      </c>
      <c r="P20" s="26" t="n">
        <f aca="false">P5+P6+P7-P8</f>
        <v>0</v>
      </c>
      <c r="Q20" s="26" t="n">
        <f aca="false">Q5+Q6+Q7-Q8</f>
        <v>0</v>
      </c>
      <c r="R20" s="8" t="s">
        <v>41</v>
      </c>
    </row>
    <row r="21" customFormat="false" ht="17.15" hidden="false" customHeight="false" outlineLevel="0" collapsed="false">
      <c r="A21" s="1" t="s">
        <v>490</v>
      </c>
    </row>
    <row r="22" customFormat="false" ht="17.15" hidden="false" customHeight="false" outlineLevel="0" collapsed="false">
      <c r="A22" s="0" t="s">
        <v>491</v>
      </c>
      <c r="B22" s="0" t="s">
        <v>73</v>
      </c>
      <c r="C22" s="21" t="n">
        <v>14.877</v>
      </c>
      <c r="D22" s="21" t="n">
        <v>24.967</v>
      </c>
      <c r="E22" s="21" t="n">
        <v>29.619</v>
      </c>
      <c r="F22" s="21" t="n">
        <v>5.663</v>
      </c>
      <c r="G22" s="21" t="n">
        <v>9.256</v>
      </c>
      <c r="H22" s="21" t="n">
        <v>5.841</v>
      </c>
      <c r="I22" s="21" t="n">
        <v>7.517</v>
      </c>
      <c r="J22" s="21" t="n">
        <v>4.789</v>
      </c>
      <c r="K22" s="21" t="n">
        <v>11.472</v>
      </c>
      <c r="L22" s="21" t="n">
        <v>8.267</v>
      </c>
      <c r="M22" s="21" t="n">
        <v>9.123</v>
      </c>
      <c r="N22" s="22" t="n">
        <f aca="false">H22+I22</f>
        <v>13.358</v>
      </c>
      <c r="O22" s="22" t="n">
        <f aca="false">J22+K22</f>
        <v>16.261</v>
      </c>
      <c r="P22" s="22" t="n">
        <f aca="false">L22+M22</f>
        <v>17.39</v>
      </c>
      <c r="Q22" s="22" t="n">
        <f aca="false">J22+K22+L22+M22</f>
        <v>33.651</v>
      </c>
      <c r="R22" s="8" t="s">
        <v>473</v>
      </c>
      <c r="S22" s="8" t="s">
        <v>474</v>
      </c>
    </row>
    <row r="23" customFormat="false" ht="17.15" hidden="false" customHeight="false" outlineLevel="0" collapsed="false">
      <c r="A23" s="0" t="s">
        <v>492</v>
      </c>
      <c r="B23" s="0" t="s">
        <v>73</v>
      </c>
      <c r="C23" s="21" t="n">
        <v>-2.656</v>
      </c>
      <c r="D23" s="21" t="n">
        <v>3.792</v>
      </c>
      <c r="E23" s="21" t="n">
        <v>4.75</v>
      </c>
      <c r="F23" s="21" t="n">
        <v>1.301</v>
      </c>
      <c r="G23" s="21" t="n">
        <v>1.315</v>
      </c>
      <c r="H23" s="21" t="n">
        <v>1.017</v>
      </c>
      <c r="I23" s="21" t="n">
        <v>1.494</v>
      </c>
      <c r="J23" s="21" t="n">
        <v>1.199</v>
      </c>
      <c r="K23" s="21" t="n">
        <v>1.04</v>
      </c>
      <c r="L23" s="21" t="n">
        <v>1.424</v>
      </c>
      <c r="M23" s="21" t="n">
        <v>1.717</v>
      </c>
      <c r="N23" s="22" t="n">
        <f aca="false">H23+I23</f>
        <v>2.511</v>
      </c>
      <c r="O23" s="22" t="n">
        <f aca="false">J23+K23</f>
        <v>2.239</v>
      </c>
      <c r="P23" s="22" t="n">
        <f aca="false">L23+M23</f>
        <v>3.141</v>
      </c>
      <c r="Q23" s="22" t="n">
        <f aca="false">J23+K23+L23+M23</f>
        <v>5.38</v>
      </c>
      <c r="R23" s="8" t="s">
        <v>473</v>
      </c>
      <c r="S23" s="8" t="s">
        <v>474</v>
      </c>
    </row>
    <row r="24" customFormat="false" ht="17.15" hidden="false" customHeight="false" outlineLevel="0" collapsed="false">
      <c r="A24" s="0" t="s">
        <v>493</v>
      </c>
      <c r="B24" s="0" t="s">
        <v>73</v>
      </c>
      <c r="C24" s="21" t="n">
        <v>24.631</v>
      </c>
      <c r="D24" s="21" t="n">
        <v>39.834</v>
      </c>
      <c r="E24" s="21" t="n">
        <v>45.606</v>
      </c>
      <c r="F24" s="21" t="n">
        <v>10.447</v>
      </c>
      <c r="G24" s="21" t="n">
        <v>10.632</v>
      </c>
      <c r="H24" s="21" t="n">
        <v>11.547</v>
      </c>
      <c r="I24" s="21" t="n">
        <v>10.16</v>
      </c>
      <c r="J24" s="21" t="n">
        <v>11.434</v>
      </c>
      <c r="K24" s="21" t="n">
        <v>12.465</v>
      </c>
      <c r="L24" s="21" t="n">
        <v>14.161</v>
      </c>
      <c r="M24" s="21" t="n">
        <v>16.621</v>
      </c>
      <c r="N24" s="22" t="n">
        <f aca="false">H24+I24</f>
        <v>21.707</v>
      </c>
      <c r="O24" s="22" t="n">
        <f aca="false">J24+K24</f>
        <v>23.899</v>
      </c>
      <c r="P24" s="22" t="n">
        <f aca="false">L24+M24</f>
        <v>30.782</v>
      </c>
      <c r="Q24" s="22" t="n">
        <f aca="false">J24+K24+L24+M24</f>
        <v>54.681</v>
      </c>
      <c r="R24" s="8" t="s">
        <v>473</v>
      </c>
      <c r="S24" s="8" t="s">
        <v>474</v>
      </c>
    </row>
    <row r="25" customFormat="false" ht="17.15" hidden="false" customHeight="false" outlineLevel="0" collapsed="false">
      <c r="A25" s="5" t="s">
        <v>494</v>
      </c>
      <c r="B25" s="0" t="s">
        <v>73</v>
      </c>
      <c r="C25" s="21" t="n">
        <v>36.852</v>
      </c>
      <c r="D25" s="21" t="n">
        <v>68.593</v>
      </c>
      <c r="E25" s="21" t="n">
        <v>79.975</v>
      </c>
      <c r="F25" s="21" t="n">
        <v>17.411</v>
      </c>
      <c r="G25" s="21" t="n">
        <v>21.203</v>
      </c>
      <c r="H25" s="21" t="n">
        <v>18.405</v>
      </c>
      <c r="I25" s="21" t="n">
        <v>19.171</v>
      </c>
      <c r="J25" s="21" t="n">
        <v>17.422</v>
      </c>
      <c r="K25" s="21" t="n">
        <v>24.977</v>
      </c>
      <c r="L25" s="21" t="n">
        <v>23.852</v>
      </c>
      <c r="M25" s="21" t="n">
        <v>27.461</v>
      </c>
      <c r="N25" s="22" t="n">
        <f aca="false">H25+I25</f>
        <v>37.576</v>
      </c>
      <c r="O25" s="22" t="n">
        <f aca="false">J25+K25</f>
        <v>42.399</v>
      </c>
      <c r="P25" s="22" t="n">
        <f aca="false">L25+M25</f>
        <v>51.313</v>
      </c>
      <c r="Q25" s="22" t="n">
        <f aca="false">J25+K25+L25+M25</f>
        <v>93.712</v>
      </c>
      <c r="R25" s="8" t="s">
        <v>473</v>
      </c>
      <c r="S25" s="8" t="s">
        <v>474</v>
      </c>
    </row>
    <row r="26" customFormat="false" ht="17.15" hidden="false" customHeight="false" outlineLevel="0" collapsed="false">
      <c r="A26" s="5" t="s">
        <v>495</v>
      </c>
      <c r="B26" s="0" t="s">
        <v>73</v>
      </c>
      <c r="C26" s="23" t="n">
        <f aca="false">C25-(C22+C23+C24)</f>
        <v>0</v>
      </c>
      <c r="D26" s="23" t="n">
        <f aca="false">D25-(D22+D23+D24)</f>
        <v>0</v>
      </c>
      <c r="E26" s="23" t="n">
        <f aca="false">E25-(E22+E23+E24)</f>
        <v>0</v>
      </c>
      <c r="F26" s="23" t="n">
        <f aca="false">F25-(F22+F23+F24)</f>
        <v>0</v>
      </c>
      <c r="G26" s="23" t="n">
        <f aca="false">G25-(G22+G23+G24)</f>
        <v>0</v>
      </c>
      <c r="H26" s="23" t="n">
        <f aca="false">H25-(H22+H23+H24)</f>
        <v>0</v>
      </c>
      <c r="I26" s="23" t="n">
        <f aca="false">I25-(I22+I23+I24)</f>
        <v>0</v>
      </c>
      <c r="J26" s="23" t="n">
        <f aca="false">J25-(J22+J23+J24)</f>
        <v>0</v>
      </c>
      <c r="K26" s="23" t="n">
        <f aca="false">K25-(K22+K23+K24)</f>
        <v>0</v>
      </c>
      <c r="L26" s="23" t="n">
        <f aca="false">L25-(L22+L23+L24)</f>
        <v>0</v>
      </c>
      <c r="M26" s="23" t="n">
        <f aca="false">M25-(M22+M23+M24)</f>
        <v>0</v>
      </c>
      <c r="N26" s="23" t="n">
        <f aca="false">N25-(N22+N23+N24)</f>
        <v>0</v>
      </c>
      <c r="O26" s="23" t="n">
        <f aca="false">O25-(O22+O23+O24)</f>
        <v>0</v>
      </c>
      <c r="P26" s="23" t="n">
        <f aca="false">P25-(P22+P23+P24)</f>
        <v>0</v>
      </c>
      <c r="Q26" s="23" t="n">
        <f aca="false">Q25-(Q22+Q23+Q24)</f>
        <v>0</v>
      </c>
      <c r="R26" s="8" t="s">
        <v>41</v>
      </c>
    </row>
    <row r="27" customFormat="false" ht="15" hidden="false" customHeight="false" outlineLevel="0" collapsed="false">
      <c r="A27" s="24" t="s">
        <v>496</v>
      </c>
      <c r="B27" s="25" t="s">
        <v>73</v>
      </c>
      <c r="C27" s="26" t="n">
        <f aca="false">C22+C23+C24+C26-C25</f>
        <v>0</v>
      </c>
      <c r="D27" s="26" t="n">
        <f aca="false">D22+D23+D24+D26-D25</f>
        <v>0</v>
      </c>
      <c r="E27" s="26" t="n">
        <f aca="false">E22+E23+E24+E26-E25</f>
        <v>0</v>
      </c>
      <c r="F27" s="26" t="n">
        <f aca="false">F22+F23+F24+F26-F25</f>
        <v>0</v>
      </c>
      <c r="G27" s="26" t="n">
        <f aca="false">G22+G23+G24+G26-G25</f>
        <v>0</v>
      </c>
      <c r="H27" s="26" t="n">
        <f aca="false">H22+H23+H24+H26-H25</f>
        <v>0</v>
      </c>
      <c r="I27" s="26" t="n">
        <f aca="false">I22+I23+I24+I26-I25</f>
        <v>0</v>
      </c>
      <c r="J27" s="26" t="n">
        <f aca="false">J22+J23+J24+J26-J25</f>
        <v>0</v>
      </c>
      <c r="K27" s="26" t="n">
        <f aca="false">K22+K23+K24+K26-K25</f>
        <v>0</v>
      </c>
      <c r="L27" s="26" t="n">
        <f aca="false">L22+L23+L24+L26-L25</f>
        <v>0</v>
      </c>
      <c r="M27" s="26" t="n">
        <f aca="false">M22+M23+M24+M26-M25</f>
        <v>0</v>
      </c>
      <c r="N27" s="26" t="n">
        <f aca="false">N22+N23+N24+N26-N25</f>
        <v>0</v>
      </c>
      <c r="O27" s="26" t="n">
        <f aca="false">O22+O23+O24+O26-O25</f>
        <v>0</v>
      </c>
      <c r="P27" s="26" t="n">
        <f aca="false">P22+P23+P24+P26-P25</f>
        <v>0</v>
      </c>
      <c r="Q27" s="26" t="n">
        <f aca="false">Q22+Q23+Q24+Q26-Q25</f>
        <v>0</v>
      </c>
      <c r="R27" s="8" t="s">
        <v>41</v>
      </c>
    </row>
    <row r="28" customFormat="false" ht="17.15" hidden="false" customHeight="false" outlineLevel="0" collapsed="false">
      <c r="A28" s="1" t="s">
        <v>497</v>
      </c>
    </row>
    <row r="29" customFormat="false" ht="17.15" hidden="false" customHeight="false" outlineLevel="0" collapsed="false">
      <c r="A29" s="0" t="s">
        <v>498</v>
      </c>
      <c r="B29" s="0" t="s">
        <v>73</v>
      </c>
      <c r="C29" s="21" t="n">
        <v>13.678</v>
      </c>
      <c r="D29" s="21" t="n">
        <v>14.285</v>
      </c>
      <c r="E29" s="21" t="n">
        <v>15.503</v>
      </c>
      <c r="F29" s="22"/>
      <c r="G29" s="22"/>
      <c r="H29" s="21" t="n">
        <v>3.53</v>
      </c>
      <c r="I29" s="21" t="n">
        <v>3.742</v>
      </c>
      <c r="J29" s="21" t="n">
        <v>4.001</v>
      </c>
      <c r="K29" s="23" t="n">
        <f aca="false">E29-H29-I29-J29</f>
        <v>4.23</v>
      </c>
      <c r="L29" s="21" t="n">
        <v>4.28</v>
      </c>
      <c r="M29" s="21" t="n">
        <v>4.5</v>
      </c>
      <c r="N29" s="22" t="n">
        <f aca="false">H29+I29</f>
        <v>7.272</v>
      </c>
      <c r="O29" s="22" t="n">
        <f aca="false">J29+K29</f>
        <v>8.231</v>
      </c>
      <c r="P29" s="22" t="n">
        <f aca="false">L29+M29</f>
        <v>8.78</v>
      </c>
      <c r="Q29" s="22" t="n">
        <f aca="false">J29+K29+L29+M29</f>
        <v>17.011</v>
      </c>
      <c r="R29" s="8" t="s">
        <v>28</v>
      </c>
      <c r="S29" s="8" t="s">
        <v>499</v>
      </c>
    </row>
    <row r="30" customFormat="false" ht="17.15" hidden="false" customHeight="false" outlineLevel="0" collapsed="false">
      <c r="A30" s="0" t="s">
        <v>500</v>
      </c>
      <c r="B30" s="0" t="s">
        <v>73</v>
      </c>
      <c r="C30" s="21" t="n">
        <v>4.016</v>
      </c>
      <c r="D30" s="21" t="n">
        <v>4.462</v>
      </c>
      <c r="E30" s="21" t="n">
        <v>4.907</v>
      </c>
      <c r="F30" s="22"/>
      <c r="G30" s="22"/>
      <c r="H30" s="21" t="n">
        <v>1.136</v>
      </c>
      <c r="I30" s="21" t="n">
        <v>1.18</v>
      </c>
      <c r="J30" s="21" t="n">
        <v>1.276</v>
      </c>
      <c r="K30" s="23" t="n">
        <f aca="false">E30-H30-I30-J30</f>
        <v>1.315</v>
      </c>
      <c r="L30" s="21" t="n">
        <v>1.277</v>
      </c>
      <c r="M30" s="21" t="n">
        <v>1.293</v>
      </c>
      <c r="N30" s="22" t="n">
        <f aca="false">H30+I30</f>
        <v>2.316</v>
      </c>
      <c r="O30" s="22" t="n">
        <f aca="false">J30+K30</f>
        <v>2.591</v>
      </c>
      <c r="P30" s="22" t="n">
        <f aca="false">L30+M30</f>
        <v>2.57</v>
      </c>
      <c r="Q30" s="22" t="n">
        <f aca="false">J30+K30+L30+M30</f>
        <v>5.161</v>
      </c>
      <c r="R30" s="8" t="s">
        <v>28</v>
      </c>
      <c r="S30" s="8" t="s">
        <v>499</v>
      </c>
    </row>
    <row r="31" customFormat="false" ht="17.15" hidden="false" customHeight="false" outlineLevel="0" collapsed="false">
      <c r="A31" s="0" t="s">
        <v>501</v>
      </c>
      <c r="B31" s="0" t="s">
        <v>73</v>
      </c>
      <c r="C31" s="21" t="n">
        <v>12.531</v>
      </c>
      <c r="D31" s="21" t="n">
        <v>13.32</v>
      </c>
      <c r="E31" s="21" t="n">
        <v>21.45</v>
      </c>
      <c r="F31" s="22"/>
      <c r="G31" s="22"/>
      <c r="H31" s="21" t="n">
        <v>4.39</v>
      </c>
      <c r="I31" s="21" t="n">
        <v>4.844</v>
      </c>
      <c r="J31" s="21" t="n">
        <v>5.648</v>
      </c>
      <c r="K31" s="23" t="n">
        <f aca="false">E31-H31-I31-J31</f>
        <v>6.568</v>
      </c>
      <c r="L31" s="21" t="n">
        <v>7.277</v>
      </c>
      <c r="M31" s="21" t="n">
        <v>8.076</v>
      </c>
      <c r="N31" s="22" t="n">
        <f aca="false">H31+I31</f>
        <v>9.234</v>
      </c>
      <c r="O31" s="22" t="n">
        <f aca="false">J31+K31</f>
        <v>12.216</v>
      </c>
      <c r="P31" s="22" t="n">
        <f aca="false">L31+M31</f>
        <v>15.353</v>
      </c>
      <c r="Q31" s="22" t="n">
        <f aca="false">J31+K31+L31+M31</f>
        <v>27.569</v>
      </c>
      <c r="R31" s="8" t="s">
        <v>28</v>
      </c>
      <c r="S31" s="8" t="s">
        <v>499</v>
      </c>
    </row>
    <row r="32" customFormat="false" ht="15" hidden="false" customHeight="false" outlineLevel="0" collapsed="false">
      <c r="A32" s="5" t="s">
        <v>502</v>
      </c>
      <c r="B32" s="0" t="s">
        <v>73</v>
      </c>
      <c r="C32" s="23" t="n">
        <f aca="false">IF(COUNT(C29:C31)=3,C29+C30+C31,"")</f>
        <v>30.225</v>
      </c>
      <c r="D32" s="23" t="n">
        <f aca="false">IF(COUNT(D29:D31)=3,D29+D30+D31,"")</f>
        <v>32.067</v>
      </c>
      <c r="E32" s="23" t="n">
        <f aca="false">IF(COUNT(E29:E31)=3,E29+E30+E31,"")</f>
        <v>41.86</v>
      </c>
      <c r="F32" s="23" t="str">
        <f aca="false">IF(COUNT(F29:F31)=3,F29+F30+F31,"")</f>
        <v/>
      </c>
      <c r="G32" s="23" t="str">
        <f aca="false">IF(COUNT(G29:G31)=3,G29+G30+G31,"")</f>
        <v/>
      </c>
      <c r="H32" s="23" t="n">
        <f aca="false">IF(COUNT(H29:H31)=3,H29+H30+H31,"")</f>
        <v>9.056</v>
      </c>
      <c r="I32" s="23" t="n">
        <f aca="false">IF(COUNT(I29:I31)=3,I29+I30+I31,"")</f>
        <v>9.766</v>
      </c>
      <c r="J32" s="23" t="n">
        <f aca="false">IF(COUNT(J29:J31)=3,J29+J30+J31,"")</f>
        <v>10.925</v>
      </c>
      <c r="K32" s="23" t="n">
        <f aca="false">IF(COUNT(K29:K31)=3,K29+K30+K31,"")</f>
        <v>12.113</v>
      </c>
      <c r="L32" s="23" t="n">
        <f aca="false">IF(COUNT(L29:L31)=3,L29+L30+L31,"")</f>
        <v>12.834</v>
      </c>
      <c r="M32" s="23" t="n">
        <f aca="false">IF(COUNT(M29:M31)=3,M29+M30+M31,"")</f>
        <v>13.869</v>
      </c>
      <c r="N32" s="23" t="n">
        <f aca="false">IF(COUNT(N29:N31)=3,N29+N30+N31,"")</f>
        <v>18.822</v>
      </c>
      <c r="O32" s="23" t="n">
        <f aca="false">IF(COUNT(O29:O31)=3,O29+O30+O31,"")</f>
        <v>23.038</v>
      </c>
      <c r="P32" s="23" t="n">
        <f aca="false">IF(COUNT(P29:P31)=3,P29+P30+P31,"")</f>
        <v>26.703</v>
      </c>
      <c r="Q32" s="23" t="n">
        <f aca="false">IF(COUNT(Q29:Q31)=3,Q29+Q30+Q31,"")</f>
        <v>49.741</v>
      </c>
      <c r="R32" s="8" t="s">
        <v>41</v>
      </c>
    </row>
    <row r="33" customFormat="false" ht="17.15" hidden="false" customHeight="false" outlineLevel="0" collapsed="false">
      <c r="A33" s="1" t="s">
        <v>503</v>
      </c>
    </row>
    <row r="34" customFormat="false" ht="17.15" hidden="false" customHeight="false" outlineLevel="0" collapsed="false">
      <c r="A34" s="5" t="s">
        <v>504</v>
      </c>
      <c r="B34" s="0" t="s">
        <v>73</v>
      </c>
      <c r="C34" s="21" t="n">
        <v>3.182</v>
      </c>
      <c r="D34" s="21" t="n">
        <v>2.406</v>
      </c>
      <c r="E34" s="21" t="n">
        <v>2.274</v>
      </c>
      <c r="F34" s="21" t="n">
        <v>0.603</v>
      </c>
      <c r="G34" s="21" t="n">
        <v>0.57</v>
      </c>
      <c r="H34" s="21" t="n">
        <v>0.541</v>
      </c>
      <c r="I34" s="21" t="n">
        <v>0.516</v>
      </c>
      <c r="J34" s="21" t="n">
        <v>0.538</v>
      </c>
      <c r="K34" s="21" t="n">
        <v>0.679</v>
      </c>
      <c r="L34" s="21" t="n">
        <v>0.8</v>
      </c>
      <c r="M34" s="21" t="n">
        <v>1.314</v>
      </c>
      <c r="N34" s="22" t="n">
        <f aca="false">H34+I34</f>
        <v>1.057</v>
      </c>
      <c r="O34" s="22" t="n">
        <f aca="false">J34+K34</f>
        <v>1.217</v>
      </c>
      <c r="P34" s="22" t="n">
        <f aca="false">L34+M34</f>
        <v>2.114</v>
      </c>
      <c r="Q34" s="22" t="n">
        <f aca="false">J34+K34+L34+M34</f>
        <v>3.331</v>
      </c>
      <c r="R34" s="8" t="s">
        <v>28</v>
      </c>
      <c r="S34" s="8" t="s">
        <v>505</v>
      </c>
    </row>
    <row r="35" customFormat="false" ht="17.15" hidden="false" customHeight="false" outlineLevel="0" collapsed="false">
      <c r="A35" s="5" t="s">
        <v>506</v>
      </c>
      <c r="B35" s="0" t="s">
        <v>73</v>
      </c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1" t="n">
        <v>1.295</v>
      </c>
      <c r="N35" s="22"/>
      <c r="O35" s="22"/>
      <c r="P35" s="22"/>
      <c r="Q35" s="22"/>
      <c r="R35" s="8" t="s">
        <v>28</v>
      </c>
      <c r="S35" s="8" t="s">
        <v>34</v>
      </c>
    </row>
    <row r="36" customFormat="false" ht="17.15" hidden="false" customHeight="false" outlineLevel="0" collapsed="false">
      <c r="A36" s="5" t="s">
        <v>507</v>
      </c>
      <c r="B36" s="0" t="s">
        <v>73</v>
      </c>
      <c r="C36" s="21" t="n">
        <v>37.557</v>
      </c>
      <c r="D36" s="21" t="n">
        <v>68.614</v>
      </c>
      <c r="E36" s="21" t="n">
        <v>97.311</v>
      </c>
      <c r="F36" s="21" t="n">
        <v>18.037</v>
      </c>
      <c r="G36" s="21" t="n">
        <v>22.349</v>
      </c>
      <c r="H36" s="21" t="n">
        <v>21.679</v>
      </c>
      <c r="I36" s="21" t="n">
        <v>20.857</v>
      </c>
      <c r="J36" s="21" t="n">
        <v>28.17</v>
      </c>
      <c r="K36" s="21" t="n">
        <v>26.605</v>
      </c>
      <c r="L36" s="21" t="n">
        <v>39.834</v>
      </c>
      <c r="M36" s="21" t="n">
        <v>80.857</v>
      </c>
      <c r="N36" s="22" t="n">
        <f aca="false">H36+I36</f>
        <v>42.536</v>
      </c>
      <c r="O36" s="22" t="n">
        <f aca="false">J36+K36</f>
        <v>54.775</v>
      </c>
      <c r="P36" s="22" t="n">
        <f aca="false">L36+M36</f>
        <v>120.691</v>
      </c>
      <c r="Q36" s="22" t="n">
        <f aca="false">J36+K36+L36+M36</f>
        <v>175.466</v>
      </c>
      <c r="R36" s="8" t="s">
        <v>28</v>
      </c>
      <c r="S36" s="8" t="s">
        <v>505</v>
      </c>
    </row>
    <row r="37" customFormat="false" ht="17.15" hidden="false" customHeight="false" outlineLevel="0" collapsed="false">
      <c r="A37" s="5" t="s">
        <v>508</v>
      </c>
      <c r="B37" s="0" t="s">
        <v>73</v>
      </c>
      <c r="C37" s="21" t="n">
        <v>7.12</v>
      </c>
      <c r="D37" s="21" t="n">
        <v>9.265</v>
      </c>
      <c r="E37" s="21" t="n">
        <v>19.087</v>
      </c>
      <c r="F37" s="21" t="n">
        <v>2.706</v>
      </c>
      <c r="G37" s="21" t="n">
        <v>2.325</v>
      </c>
      <c r="H37" s="21" t="n">
        <v>4.553</v>
      </c>
      <c r="I37" s="21" t="n">
        <v>2.678</v>
      </c>
      <c r="J37" s="21" t="n">
        <v>6.91</v>
      </c>
      <c r="K37" s="21" t="n">
        <v>4.946</v>
      </c>
      <c r="L37" s="21" t="n">
        <v>9.56</v>
      </c>
      <c r="M37" s="21" t="n">
        <v>18.199</v>
      </c>
      <c r="N37" s="22" t="n">
        <f aca="false">H37+I37</f>
        <v>7.231</v>
      </c>
      <c r="O37" s="22" t="n">
        <f aca="false">J37+K37</f>
        <v>11.856</v>
      </c>
      <c r="P37" s="22" t="n">
        <f aca="false">L37+M37</f>
        <v>27.759</v>
      </c>
      <c r="Q37" s="22" t="n">
        <f aca="false">J37+K37+L37+M37</f>
        <v>39.615</v>
      </c>
      <c r="R37" s="8" t="s">
        <v>28</v>
      </c>
      <c r="S37" s="8" t="s">
        <v>505</v>
      </c>
    </row>
    <row r="38" customFormat="false" ht="17.15" hidden="false" customHeight="false" outlineLevel="0" collapsed="false">
      <c r="A38" s="5" t="s">
        <v>509</v>
      </c>
      <c r="B38" s="0" t="s">
        <v>73</v>
      </c>
      <c r="C38" s="21" t="n">
        <v>30.425</v>
      </c>
      <c r="D38" s="21" t="n">
        <v>59.248</v>
      </c>
      <c r="E38" s="21" t="n">
        <v>77.67</v>
      </c>
      <c r="F38" s="21" t="n">
        <v>15.328</v>
      </c>
      <c r="G38" s="21" t="n">
        <v>20.004</v>
      </c>
      <c r="H38" s="21" t="n">
        <v>17.127</v>
      </c>
      <c r="I38" s="21" t="n">
        <v>18.164</v>
      </c>
      <c r="J38" s="21" t="n">
        <v>21.187</v>
      </c>
      <c r="K38" s="21" t="n">
        <v>21.192</v>
      </c>
      <c r="L38" s="21" t="n">
        <v>30.255</v>
      </c>
      <c r="M38" s="21" t="n">
        <v>62.647</v>
      </c>
      <c r="N38" s="22" t="n">
        <f aca="false">H38+I38</f>
        <v>35.291</v>
      </c>
      <c r="O38" s="22" t="n">
        <f aca="false">J38+K38</f>
        <v>42.379</v>
      </c>
      <c r="P38" s="22" t="n">
        <f aca="false">L38+M38</f>
        <v>92.902</v>
      </c>
      <c r="Q38" s="22" t="n">
        <f aca="false">J38+K38+L38+M38</f>
        <v>135.281</v>
      </c>
      <c r="R38" s="8" t="s">
        <v>28</v>
      </c>
      <c r="S38" s="8" t="s">
        <v>505</v>
      </c>
    </row>
    <row r="39" customFormat="false" ht="17.15" hidden="false" customHeight="false" outlineLevel="0" collapsed="false">
      <c r="A39" s="5" t="s">
        <v>510</v>
      </c>
      <c r="B39" s="0" t="s">
        <v>73</v>
      </c>
      <c r="C39" s="23" t="n">
        <f aca="false">IF(AND(ISNUMBER(C36),ISNUMBER(C34)),C36-C25+C34,"")</f>
        <v>3.88700000000001</v>
      </c>
      <c r="D39" s="23" t="n">
        <f aca="false">IF(AND(ISNUMBER(D36),ISNUMBER(D34)),D36-D25+D34,"")</f>
        <v>2.427</v>
      </c>
      <c r="E39" s="23" t="n">
        <f aca="false">IF(AND(ISNUMBER(E36),ISNUMBER(E34)),E36-E25+E34,"")</f>
        <v>19.61</v>
      </c>
      <c r="F39" s="23" t="n">
        <f aca="false">IF(AND(ISNUMBER(F36),ISNUMBER(F34)),F36-F25+F34,"")</f>
        <v>1.229</v>
      </c>
      <c r="G39" s="23" t="n">
        <f aca="false">IF(AND(ISNUMBER(G36),ISNUMBER(G34)),G36-G25+G34,"")</f>
        <v>1.716</v>
      </c>
      <c r="H39" s="23" t="n">
        <f aca="false">IF(AND(ISNUMBER(H36),ISNUMBER(H34)),H36-H25+H34,"")</f>
        <v>3.815</v>
      </c>
      <c r="I39" s="23" t="n">
        <f aca="false">IF(AND(ISNUMBER(I36),ISNUMBER(I34)),I36-I25+I34,"")</f>
        <v>2.202</v>
      </c>
      <c r="J39" s="23" t="n">
        <f aca="false">IF(AND(ISNUMBER(J36),ISNUMBER(J34)),J36-J25+J34,"")</f>
        <v>11.286</v>
      </c>
      <c r="K39" s="23" t="n">
        <f aca="false">IF(AND(ISNUMBER(K36),ISNUMBER(K34)),K36-K25+K34,"")</f>
        <v>2.307</v>
      </c>
      <c r="L39" s="23" t="n">
        <f aca="false">IF(AND(ISNUMBER(L36),ISNUMBER(L34)),L36-L25+L34,"")</f>
        <v>16.782</v>
      </c>
      <c r="M39" s="23" t="n">
        <f aca="false">IF(AND(ISNUMBER(M36),ISNUMBER(M34)),M36-M25+M34,"")</f>
        <v>54.71</v>
      </c>
      <c r="N39" s="23" t="n">
        <f aca="false">IF(AND(ISNUMBER(N36),ISNUMBER(N34)),N36-N25+N34,"")</f>
        <v>6.017</v>
      </c>
      <c r="O39" s="23" t="n">
        <f aca="false">IF(AND(ISNUMBER(O36),ISNUMBER(O34)),O36-O25+O34,"")</f>
        <v>13.593</v>
      </c>
      <c r="P39" s="23" t="n">
        <f aca="false">IF(AND(ISNUMBER(P36),ISNUMBER(P34)),P36-P25+P34,"")</f>
        <v>71.492</v>
      </c>
      <c r="Q39" s="23" t="n">
        <f aca="false">IF(AND(ISNUMBER(Q36),ISNUMBER(Q34)),Q36-Q25+Q34,"")</f>
        <v>85.085</v>
      </c>
      <c r="R39" s="8" t="s">
        <v>41</v>
      </c>
    </row>
    <row r="40" customFormat="false" ht="15" hidden="false" customHeight="false" outlineLevel="0" collapsed="false">
      <c r="A40" s="5" t="s">
        <v>511</v>
      </c>
      <c r="B40" s="0" t="s">
        <v>73</v>
      </c>
      <c r="C40" s="27" t="n">
        <f aca="false">C37/C36</f>
        <v>0.189578507335517</v>
      </c>
      <c r="D40" s="27" t="n">
        <f aca="false">D37/D36</f>
        <v>0.135030751741627</v>
      </c>
      <c r="E40" s="27" t="n">
        <f aca="false">E37/E36</f>
        <v>0.196144320785934</v>
      </c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8" t="s">
        <v>41</v>
      </c>
    </row>
    <row r="41" customFormat="false" ht="15" hidden="false" customHeight="false" outlineLevel="0" collapsed="false">
      <c r="A41" s="5" t="s">
        <v>512</v>
      </c>
      <c r="B41" s="5" t="s">
        <v>33</v>
      </c>
      <c r="C41" s="21" t="n">
        <v>10.492</v>
      </c>
      <c r="D41" s="21" t="n">
        <v>10.721</v>
      </c>
      <c r="E41" s="21" t="n">
        <v>10.827</v>
      </c>
      <c r="F41" s="21" t="n">
        <v>10.735</v>
      </c>
      <c r="G41" s="22"/>
      <c r="H41" s="21" t="n">
        <v>10.793</v>
      </c>
      <c r="I41" s="21" t="n">
        <v>10.806</v>
      </c>
      <c r="J41" s="21" t="n">
        <v>10.845</v>
      </c>
      <c r="K41" s="22"/>
      <c r="L41" s="21" t="n">
        <v>10.874</v>
      </c>
      <c r="M41" s="21" t="n">
        <v>10.903</v>
      </c>
      <c r="N41" s="22"/>
      <c r="O41" s="22"/>
      <c r="P41" s="22"/>
      <c r="Q41" s="22"/>
      <c r="R41" s="8" t="s">
        <v>28</v>
      </c>
      <c r="S41" s="8" t="s">
        <v>330</v>
      </c>
    </row>
    <row r="42" customFormat="false" ht="17.15" hidden="false" customHeight="false" outlineLevel="0" collapsed="false">
      <c r="A42" s="5" t="s">
        <v>513</v>
      </c>
      <c r="B42" s="0" t="s">
        <v>27</v>
      </c>
      <c r="C42" s="29" t="n">
        <f aca="false">IF(ISNUMBER(C41),C38/C41,"")</f>
        <v>2.89982844071674</v>
      </c>
      <c r="D42" s="29" t="n">
        <f aca="false">IF(ISNUMBER(D41),D38/D41,"")</f>
        <v>5.52635015390355</v>
      </c>
      <c r="E42" s="29" t="n">
        <f aca="false">IF(ISNUMBER(E41),E38/E41,"")</f>
        <v>7.1737323358271</v>
      </c>
      <c r="F42" s="29" t="n">
        <f aca="false">IF(ISNUMBER(F41),F38/F41,"")</f>
        <v>1.42785281788542</v>
      </c>
      <c r="G42" s="29" t="str">
        <f aca="false">IF(ISNUMBER(G41),G38/G41,"")</f>
        <v/>
      </c>
      <c r="H42" s="29" t="n">
        <f aca="false">IF(ISNUMBER(H41),H38/H41,"")</f>
        <v>1.58686185490596</v>
      </c>
      <c r="I42" s="29" t="n">
        <f aca="false">IF(ISNUMBER(I41),I38/I41,"")</f>
        <v>1.68091800851379</v>
      </c>
      <c r="J42" s="29" t="n">
        <f aca="false">IF(ISNUMBER(J41),J38/J41,"")</f>
        <v>1.95361917934532</v>
      </c>
      <c r="K42" s="29" t="str">
        <f aca="false">IF(ISNUMBER(K41),K38/K41,"")</f>
        <v/>
      </c>
      <c r="L42" s="29" t="n">
        <f aca="false">IF(ISNUMBER(L41),L38/L41,"")</f>
        <v>2.78232481147692</v>
      </c>
      <c r="M42" s="29" t="n">
        <f aca="false">IF(ISNUMBER(M41),M38/M41,"")</f>
        <v>5.74584976611942</v>
      </c>
      <c r="N42" s="30"/>
      <c r="O42" s="30"/>
      <c r="P42" s="30"/>
      <c r="Q42" s="30"/>
      <c r="R42" s="8" t="s">
        <v>41</v>
      </c>
    </row>
    <row r="43" customFormat="false" ht="17.15" hidden="false" customHeight="false" outlineLevel="0" collapsed="false">
      <c r="A43" s="1" t="s">
        <v>514</v>
      </c>
    </row>
    <row r="44" customFormat="false" ht="17.15" hidden="false" customHeight="false" outlineLevel="0" collapsed="false">
      <c r="A44" s="5" t="s">
        <v>515</v>
      </c>
      <c r="B44" s="0" t="s">
        <v>73</v>
      </c>
      <c r="C44" s="21" t="n">
        <v>84.946</v>
      </c>
      <c r="D44" s="21" t="n">
        <v>115.877</v>
      </c>
      <c r="E44" s="21" t="n">
        <v>139.514</v>
      </c>
      <c r="F44" s="21" t="n">
        <v>25.971</v>
      </c>
      <c r="G44" s="21" t="n">
        <v>45.636</v>
      </c>
      <c r="H44" s="21" t="n">
        <v>17.015</v>
      </c>
      <c r="I44" s="21" t="n">
        <v>32.515</v>
      </c>
      <c r="J44" s="21" t="n">
        <v>35.525</v>
      </c>
      <c r="K44" s="21" t="n">
        <v>54.459</v>
      </c>
      <c r="L44" s="21" t="n">
        <v>26.032</v>
      </c>
      <c r="M44" s="21" t="n">
        <v>45.387</v>
      </c>
      <c r="N44" s="22" t="n">
        <f aca="false">H44+I44</f>
        <v>49.53</v>
      </c>
      <c r="O44" s="22" t="n">
        <f aca="false">J44+K44</f>
        <v>89.984</v>
      </c>
      <c r="P44" s="22" t="n">
        <f aca="false">L44+M44</f>
        <v>71.419</v>
      </c>
      <c r="Q44" s="22" t="n">
        <f aca="false">J44+K44+L44+M44</f>
        <v>161.403</v>
      </c>
      <c r="R44" s="8" t="s">
        <v>28</v>
      </c>
      <c r="S44" s="8" t="s">
        <v>516</v>
      </c>
    </row>
    <row r="45" customFormat="false" ht="17.15" hidden="false" customHeight="false" outlineLevel="0" collapsed="false">
      <c r="A45" s="5" t="s">
        <v>517</v>
      </c>
      <c r="B45" s="0" t="s">
        <v>73</v>
      </c>
      <c r="C45" s="21" t="n">
        <v>52.729</v>
      </c>
      <c r="D45" s="21" t="n">
        <v>82.999</v>
      </c>
      <c r="E45" s="21" t="n">
        <v>131.819</v>
      </c>
      <c r="F45" s="21" t="n">
        <v>22.62</v>
      </c>
      <c r="G45" s="21" t="n">
        <v>27.834</v>
      </c>
      <c r="H45" s="21" t="n">
        <v>25.019</v>
      </c>
      <c r="I45" s="21" t="n">
        <v>32.183</v>
      </c>
      <c r="J45" s="21" t="n">
        <v>35.095</v>
      </c>
      <c r="K45" s="21" t="n">
        <v>39.522</v>
      </c>
      <c r="L45" s="21" t="n">
        <v>44.203</v>
      </c>
      <c r="M45" s="21" t="n">
        <v>54.208</v>
      </c>
      <c r="N45" s="22" t="n">
        <f aca="false">H45+I45</f>
        <v>57.202</v>
      </c>
      <c r="O45" s="22" t="n">
        <f aca="false">J45+K45</f>
        <v>74.617</v>
      </c>
      <c r="P45" s="22" t="n">
        <f aca="false">L45+M45</f>
        <v>98.411</v>
      </c>
      <c r="Q45" s="22" t="n">
        <f aca="false">J45+K45+L45+M45</f>
        <v>173.028</v>
      </c>
      <c r="R45" s="8" t="s">
        <v>28</v>
      </c>
      <c r="S45" s="8" t="s">
        <v>505</v>
      </c>
    </row>
    <row r="46" customFormat="false" ht="15" hidden="false" customHeight="false" outlineLevel="0" collapsed="false">
      <c r="A46" s="5" t="s">
        <v>518</v>
      </c>
      <c r="B46" s="0" t="s">
        <v>73</v>
      </c>
      <c r="C46" s="21" t="n">
        <v>48.133</v>
      </c>
      <c r="D46" s="21" t="n">
        <v>77.658</v>
      </c>
      <c r="E46" s="21" t="n">
        <v>128.32</v>
      </c>
      <c r="F46" s="21" t="n">
        <v>21.278</v>
      </c>
      <c r="G46" s="21" t="n">
        <v>26.052</v>
      </c>
      <c r="H46" s="21" t="n">
        <v>24.255</v>
      </c>
      <c r="I46" s="21" t="n">
        <v>31.368</v>
      </c>
      <c r="J46" s="21" t="n">
        <v>34.228</v>
      </c>
      <c r="K46" s="21" t="n">
        <v>38.469</v>
      </c>
      <c r="L46" s="21" t="n">
        <v>43.234</v>
      </c>
      <c r="M46" s="21" t="n">
        <v>53.076</v>
      </c>
      <c r="N46" s="22" t="n">
        <f aca="false">H46+I46</f>
        <v>55.623</v>
      </c>
      <c r="O46" s="22" t="n">
        <f aca="false">J46+K46</f>
        <v>72.697</v>
      </c>
      <c r="P46" s="22" t="n">
        <f aca="false">L46+M46</f>
        <v>96.31</v>
      </c>
      <c r="Q46" s="22" t="n">
        <f aca="false">J46+K46+L46+M46</f>
        <v>169.007</v>
      </c>
      <c r="R46" s="8" t="s">
        <v>41</v>
      </c>
      <c r="S46" s="5" t="s">
        <v>519</v>
      </c>
    </row>
    <row r="47" customFormat="false" ht="17.15" hidden="false" customHeight="false" outlineLevel="0" collapsed="false">
      <c r="A47" s="5" t="s">
        <v>520</v>
      </c>
      <c r="B47" s="0" t="s">
        <v>73</v>
      </c>
      <c r="C47" s="21" t="n">
        <v>48.663</v>
      </c>
      <c r="D47" s="21" t="n">
        <v>52.795</v>
      </c>
      <c r="E47" s="21" t="n">
        <v>65.756</v>
      </c>
      <c r="F47" s="21" t="n">
        <v>13.442</v>
      </c>
      <c r="G47" s="21" t="n">
        <v>15.631</v>
      </c>
      <c r="H47" s="21" t="n">
        <v>14.262</v>
      </c>
      <c r="I47" s="21" t="n">
        <v>15.227</v>
      </c>
      <c r="J47" s="21" t="n">
        <v>16.796</v>
      </c>
      <c r="K47" s="21" t="n">
        <v>19.471</v>
      </c>
      <c r="L47" s="21" t="n">
        <v>18.945</v>
      </c>
      <c r="M47" s="21" t="n">
        <v>19.988</v>
      </c>
      <c r="N47" s="22" t="n">
        <f aca="false">H47+I47</f>
        <v>29.489</v>
      </c>
      <c r="O47" s="22" t="n">
        <f aca="false">J47+K47</f>
        <v>36.267</v>
      </c>
      <c r="P47" s="22" t="n">
        <f aca="false">L47+M47</f>
        <v>38.933</v>
      </c>
      <c r="Q47" s="22" t="n">
        <f aca="false">J47+K47+L47+M47</f>
        <v>75.2</v>
      </c>
      <c r="R47" s="8" t="s">
        <v>28</v>
      </c>
      <c r="S47" s="8" t="s">
        <v>505</v>
      </c>
    </row>
    <row r="48" customFormat="false" ht="17.15" hidden="false" customHeight="false" outlineLevel="0" collapsed="false">
      <c r="A48" s="5" t="s">
        <v>521</v>
      </c>
      <c r="B48" s="0" t="s">
        <v>73</v>
      </c>
      <c r="C48" s="21" t="n">
        <v>24.023</v>
      </c>
      <c r="D48" s="21" t="n">
        <v>22.011</v>
      </c>
      <c r="E48" s="21" t="n">
        <v>19.467</v>
      </c>
      <c r="F48" s="21" t="n">
        <v>5.333</v>
      </c>
      <c r="G48" s="21" t="n">
        <v>4.995</v>
      </c>
      <c r="H48" s="21" t="n">
        <v>3.689</v>
      </c>
      <c r="I48" s="21" t="n">
        <v>6.534</v>
      </c>
      <c r="J48" s="21" t="n">
        <v>4.847</v>
      </c>
      <c r="K48" s="21" t="n">
        <v>4.397</v>
      </c>
      <c r="L48" s="21" t="n">
        <v>4.032</v>
      </c>
      <c r="M48" s="21" t="n">
        <v>6.038</v>
      </c>
      <c r="N48" s="22" t="n">
        <f aca="false">H48+I48</f>
        <v>10.223</v>
      </c>
      <c r="O48" s="22" t="n">
        <f aca="false">J48+K48</f>
        <v>9.244</v>
      </c>
      <c r="P48" s="22" t="n">
        <f aca="false">L48+M48</f>
        <v>10.07</v>
      </c>
      <c r="Q48" s="22" t="n">
        <f aca="false">J48+K48+L48+M48</f>
        <v>19.314</v>
      </c>
      <c r="R48" s="8" t="s">
        <v>28</v>
      </c>
      <c r="S48" s="8" t="s">
        <v>505</v>
      </c>
    </row>
    <row r="49" customFormat="false" ht="15" hidden="false" customHeight="false" outlineLevel="0" collapsed="false">
      <c r="A49" s="5" t="s">
        <v>522</v>
      </c>
      <c r="B49" s="0" t="s">
        <v>73</v>
      </c>
      <c r="C49" s="23" t="n">
        <f aca="false">C44-C46</f>
        <v>36.813</v>
      </c>
      <c r="D49" s="23" t="n">
        <f aca="false">D44-D46</f>
        <v>38.219</v>
      </c>
      <c r="E49" s="23" t="n">
        <f aca="false">E44-E46</f>
        <v>11.194</v>
      </c>
      <c r="F49" s="23" t="n">
        <f aca="false">F44-F46</f>
        <v>4.693</v>
      </c>
      <c r="G49" s="23" t="n">
        <f aca="false">G44-G46</f>
        <v>19.584</v>
      </c>
      <c r="H49" s="23" t="n">
        <f aca="false">H44-H46</f>
        <v>-7.24</v>
      </c>
      <c r="I49" s="23" t="n">
        <f aca="false">I44-I46</f>
        <v>1.147</v>
      </c>
      <c r="J49" s="23" t="n">
        <f aca="false">J44-J46</f>
        <v>1.297</v>
      </c>
      <c r="K49" s="23" t="n">
        <f aca="false">K44-K46</f>
        <v>15.99</v>
      </c>
      <c r="L49" s="23" t="n">
        <f aca="false">L44-L46</f>
        <v>-17.202</v>
      </c>
      <c r="M49" s="23" t="n">
        <f aca="false">M44-M46</f>
        <v>-7.689</v>
      </c>
      <c r="N49" s="23" t="n">
        <f aca="false">N44-N46</f>
        <v>-6.093</v>
      </c>
      <c r="O49" s="23" t="n">
        <f aca="false">O44-O46</f>
        <v>17.287</v>
      </c>
      <c r="P49" s="23" t="n">
        <f aca="false">P44-P46</f>
        <v>-24.891</v>
      </c>
      <c r="Q49" s="23" t="n">
        <f aca="false">Q44-Q46</f>
        <v>-7.60399999999999</v>
      </c>
      <c r="R49" s="8" t="s">
        <v>41</v>
      </c>
    </row>
    <row r="50" customFormat="false" ht="15" hidden="false" customHeight="false" outlineLevel="0" collapsed="false">
      <c r="A50" s="5" t="s">
        <v>523</v>
      </c>
      <c r="B50" s="0" t="s">
        <v>73</v>
      </c>
      <c r="C50" s="21" t="n">
        <v>4.384</v>
      </c>
      <c r="D50" s="21" t="n">
        <v>2.043</v>
      </c>
      <c r="E50" s="21" t="n">
        <v>1.557</v>
      </c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8" t="s">
        <v>28</v>
      </c>
      <c r="S50" s="8" t="s">
        <v>69</v>
      </c>
    </row>
    <row r="51" customFormat="false" ht="15" hidden="false" customHeight="false" outlineLevel="0" collapsed="false">
      <c r="A51" s="5" t="s">
        <v>524</v>
      </c>
      <c r="B51" s="0" t="s">
        <v>73</v>
      </c>
      <c r="C51" s="21" t="n">
        <v>0</v>
      </c>
      <c r="D51" s="21" t="n">
        <v>0</v>
      </c>
      <c r="E51" s="21" t="n">
        <v>0</v>
      </c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1" t="n">
        <v>0</v>
      </c>
      <c r="Q51" s="22"/>
      <c r="R51" s="8" t="s">
        <v>28</v>
      </c>
      <c r="S51" s="8" t="s">
        <v>69</v>
      </c>
    </row>
    <row r="52" customFormat="false" ht="15" hidden="false" customHeight="false" outlineLevel="0" collapsed="false">
      <c r="A52" s="5" t="s">
        <v>525</v>
      </c>
      <c r="B52" s="0" t="s">
        <v>73</v>
      </c>
      <c r="C52" s="21" t="n">
        <v>0</v>
      </c>
      <c r="D52" s="21" t="n">
        <v>0</v>
      </c>
      <c r="E52" s="21" t="n">
        <v>0</v>
      </c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1" t="n">
        <v>0</v>
      </c>
      <c r="Q52" s="22"/>
      <c r="R52" s="8" t="s">
        <v>28</v>
      </c>
      <c r="S52" s="8" t="s">
        <v>69</v>
      </c>
    </row>
    <row r="53" customFormat="false" ht="17.15" hidden="false" customHeight="false" outlineLevel="0" collapsed="false">
      <c r="A53" s="5" t="s">
        <v>526</v>
      </c>
      <c r="B53" s="0" t="s">
        <v>73</v>
      </c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1" t="n">
        <v>39.767</v>
      </c>
      <c r="Q53" s="22"/>
      <c r="R53" s="8" t="s">
        <v>28</v>
      </c>
      <c r="S53" s="8" t="s">
        <v>34</v>
      </c>
    </row>
    <row r="54" customFormat="false" ht="17.15" hidden="false" customHeight="false" outlineLevel="0" collapsed="false">
      <c r="A54" s="1" t="s">
        <v>527</v>
      </c>
    </row>
    <row r="55" customFormat="false" ht="17.15" hidden="false" customHeight="false" outlineLevel="0" collapsed="false">
      <c r="A55" s="0" t="s">
        <v>528</v>
      </c>
      <c r="B55" s="0" t="s">
        <v>73</v>
      </c>
      <c r="C55" s="21" t="n">
        <v>17.529</v>
      </c>
      <c r="D55" s="21" t="n">
        <v>24.348</v>
      </c>
      <c r="E55" s="21" t="n">
        <v>35.919</v>
      </c>
      <c r="F55" s="22"/>
      <c r="G55" s="22"/>
      <c r="H55" s="22"/>
      <c r="I55" s="22"/>
      <c r="J55" s="22"/>
      <c r="K55" s="22"/>
      <c r="L55" s="22"/>
      <c r="M55" s="21"/>
      <c r="N55" s="22"/>
      <c r="O55" s="22"/>
      <c r="P55" s="21" t="n">
        <v>23.265</v>
      </c>
      <c r="Q55" s="22"/>
      <c r="R55" s="8" t="s">
        <v>28</v>
      </c>
      <c r="S55" s="8" t="s">
        <v>529</v>
      </c>
    </row>
    <row r="56" customFormat="false" ht="17.15" hidden="false" customHeight="false" outlineLevel="0" collapsed="false">
      <c r="A56" s="0" t="s">
        <v>530</v>
      </c>
      <c r="B56" s="0" t="s">
        <v>73</v>
      </c>
      <c r="C56" s="21" t="n">
        <v>4.144</v>
      </c>
      <c r="D56" s="21" t="n">
        <v>6.643</v>
      </c>
      <c r="E56" s="21" t="n">
        <v>7.617</v>
      </c>
      <c r="F56" s="22"/>
      <c r="G56" s="22"/>
      <c r="H56" s="22"/>
      <c r="I56" s="22"/>
      <c r="J56" s="22"/>
      <c r="K56" s="22"/>
      <c r="L56" s="22"/>
      <c r="M56" s="21"/>
      <c r="N56" s="22"/>
      <c r="O56" s="22"/>
      <c r="P56" s="21" t="n">
        <v>4.267</v>
      </c>
      <c r="Q56" s="22"/>
      <c r="R56" s="8" t="s">
        <v>28</v>
      </c>
      <c r="S56" s="8" t="s">
        <v>529</v>
      </c>
    </row>
    <row r="57" customFormat="false" ht="17.15" hidden="false" customHeight="false" outlineLevel="0" collapsed="false">
      <c r="A57" s="0" t="s">
        <v>531</v>
      </c>
      <c r="B57" s="0" t="s">
        <v>73</v>
      </c>
      <c r="C57" s="21" t="n">
        <v>24.843</v>
      </c>
      <c r="D57" s="21" t="n">
        <v>53.267</v>
      </c>
      <c r="E57" s="21" t="n">
        <v>96.496</v>
      </c>
      <c r="F57" s="22"/>
      <c r="G57" s="22"/>
      <c r="H57" s="22"/>
      <c r="I57" s="22"/>
      <c r="J57" s="22"/>
      <c r="K57" s="22"/>
      <c r="L57" s="22"/>
      <c r="M57" s="21"/>
      <c r="N57" s="22"/>
      <c r="O57" s="22"/>
      <c r="P57" s="21" t="n">
        <v>90.12</v>
      </c>
      <c r="Q57" s="22"/>
      <c r="R57" s="8" t="s">
        <v>28</v>
      </c>
      <c r="S57" s="8" t="s">
        <v>529</v>
      </c>
    </row>
    <row r="58" customFormat="false" ht="17.15" hidden="false" customHeight="false" outlineLevel="0" collapsed="false">
      <c r="A58" s="5" t="s">
        <v>532</v>
      </c>
      <c r="B58" s="0" t="s">
        <v>73</v>
      </c>
      <c r="C58" s="21" t="n">
        <v>1.828</v>
      </c>
      <c r="D58" s="21" t="n">
        <v>1.494</v>
      </c>
      <c r="E58" s="21" t="n">
        <v>2.32</v>
      </c>
      <c r="F58" s="22"/>
      <c r="G58" s="22"/>
      <c r="H58" s="22"/>
      <c r="I58" s="22"/>
      <c r="J58" s="22"/>
      <c r="K58" s="22"/>
      <c r="L58" s="22"/>
      <c r="M58" s="21"/>
      <c r="N58" s="22"/>
      <c r="O58" s="22"/>
      <c r="P58" s="21" t="n">
        <v>0.996</v>
      </c>
      <c r="Q58" s="22"/>
      <c r="R58" s="8" t="s">
        <v>28</v>
      </c>
      <c r="S58" s="8" t="s">
        <v>529</v>
      </c>
    </row>
    <row r="59" customFormat="false" ht="17.15" hidden="false" customHeight="false" outlineLevel="0" collapsed="false">
      <c r="A59" s="0" t="s">
        <v>533</v>
      </c>
      <c r="B59" s="0" t="s">
        <v>73</v>
      </c>
      <c r="C59" s="21" t="n">
        <v>48.344</v>
      </c>
      <c r="D59" s="21" t="n">
        <v>85.752</v>
      </c>
      <c r="E59" s="21" t="n">
        <v>142.352</v>
      </c>
      <c r="F59" s="22"/>
      <c r="G59" s="22"/>
      <c r="H59" s="22"/>
      <c r="I59" s="22"/>
      <c r="J59" s="22"/>
      <c r="K59" s="22"/>
      <c r="L59" s="22"/>
      <c r="M59" s="21"/>
      <c r="N59" s="22"/>
      <c r="O59" s="22"/>
      <c r="P59" s="21" t="n">
        <v>118.648</v>
      </c>
      <c r="Q59" s="22"/>
      <c r="R59" s="8" t="s">
        <v>28</v>
      </c>
      <c r="S59" s="8" t="s">
        <v>529</v>
      </c>
    </row>
    <row r="60" customFormat="false" ht="17.15" hidden="false" customHeight="false" outlineLevel="0" collapsed="false">
      <c r="A60" s="1" t="s">
        <v>534</v>
      </c>
    </row>
    <row r="61" customFormat="false" ht="17.15" hidden="false" customHeight="false" outlineLevel="0" collapsed="false">
      <c r="A61" s="5" t="s">
        <v>535</v>
      </c>
      <c r="B61" s="0" t="s">
        <v>73</v>
      </c>
      <c r="C61" s="22"/>
      <c r="D61" s="22"/>
      <c r="E61" s="21" t="n">
        <v>123.029</v>
      </c>
      <c r="F61" s="22"/>
      <c r="G61" s="22"/>
      <c r="H61" s="22"/>
      <c r="I61" s="22"/>
      <c r="J61" s="22"/>
      <c r="K61" s="22"/>
      <c r="L61" s="22"/>
      <c r="M61" s="21" t="n">
        <v>122.988</v>
      </c>
      <c r="N61" s="22"/>
      <c r="O61" s="22"/>
      <c r="P61" s="22"/>
      <c r="Q61" s="22"/>
      <c r="R61" s="8" t="s">
        <v>28</v>
      </c>
      <c r="S61" s="8" t="s">
        <v>529</v>
      </c>
    </row>
    <row r="62" customFormat="false" ht="17.15" hidden="false" customHeight="false" outlineLevel="0" collapsed="false">
      <c r="A62" s="5" t="s">
        <v>536</v>
      </c>
      <c r="B62" s="0" t="s">
        <v>73</v>
      </c>
      <c r="C62" s="22"/>
      <c r="D62" s="22"/>
      <c r="E62" s="21" t="n">
        <v>68.836</v>
      </c>
      <c r="F62" s="22"/>
      <c r="G62" s="22"/>
      <c r="H62" s="22"/>
      <c r="I62" s="22"/>
      <c r="J62" s="22"/>
      <c r="K62" s="22"/>
      <c r="L62" s="22"/>
      <c r="M62" s="21" t="n">
        <v>132.995</v>
      </c>
      <c r="N62" s="22"/>
      <c r="O62" s="22"/>
      <c r="P62" s="22"/>
      <c r="Q62" s="22"/>
      <c r="R62" s="8" t="s">
        <v>28</v>
      </c>
      <c r="S62" s="8" t="s">
        <v>529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15" min="3" style="0" width="11"/>
    <col collapsed="false" customWidth="true" hidden="false" outlineLevel="0" max="16" min="16" style="0" width="60"/>
  </cols>
  <sheetData>
    <row r="1" customFormat="false" ht="17.15" hidden="false" customHeight="false" outlineLevel="0" collapsed="false">
      <c r="A1" s="0" t="s">
        <v>537</v>
      </c>
    </row>
    <row r="2" customFormat="false" ht="17.15" hidden="false" customHeight="false" outlineLevel="0" collapsed="false">
      <c r="A2" s="5" t="s">
        <v>538</v>
      </c>
    </row>
    <row r="4" customFormat="false" ht="19.4" hidden="false" customHeight="false" outlineLevel="0" collapsed="false">
      <c r="A4" s="31" t="s">
        <v>539</v>
      </c>
    </row>
    <row r="5" customFormat="false" ht="17.15" hidden="false" customHeight="false" outlineLevel="0" collapsed="false">
      <c r="A5" s="6" t="s">
        <v>16</v>
      </c>
      <c r="B5" s="6" t="s">
        <v>17</v>
      </c>
      <c r="C5" s="20" t="s">
        <v>457</v>
      </c>
      <c r="D5" s="20" t="s">
        <v>458</v>
      </c>
      <c r="E5" s="20" t="s">
        <v>540</v>
      </c>
      <c r="F5" s="20" t="s">
        <v>541</v>
      </c>
      <c r="G5" s="20" t="s">
        <v>542</v>
      </c>
      <c r="H5" s="20" t="s">
        <v>543</v>
      </c>
      <c r="I5" s="20" t="s">
        <v>544</v>
      </c>
      <c r="J5" s="20" t="s">
        <v>545</v>
      </c>
      <c r="K5" s="20" t="s">
        <v>546</v>
      </c>
      <c r="L5" s="20" t="s">
        <v>547</v>
      </c>
      <c r="M5" s="20" t="s">
        <v>548</v>
      </c>
      <c r="N5" s="20" t="s">
        <v>549</v>
      </c>
      <c r="O5" s="20" t="s">
        <v>550</v>
      </c>
      <c r="P5" s="6" t="s">
        <v>23</v>
      </c>
      <c r="R5" s="20" t="n">
        <v>2023</v>
      </c>
      <c r="S5" s="20" t="n">
        <v>2024</v>
      </c>
      <c r="T5" s="20" t="n">
        <v>2025</v>
      </c>
      <c r="U5" s="20" t="n">
        <v>2026</v>
      </c>
      <c r="V5" s="20" t="n">
        <v>2027</v>
      </c>
      <c r="W5" s="20" t="n">
        <v>2028</v>
      </c>
      <c r="X5" s="20" t="n">
        <v>2029</v>
      </c>
      <c r="Y5" s="20" t="n">
        <v>2030</v>
      </c>
      <c r="Z5" s="20" t="n">
        <v>2031</v>
      </c>
      <c r="AA5" s="20" t="n">
        <v>2032</v>
      </c>
    </row>
    <row r="6" customFormat="false" ht="17.15" hidden="false" customHeight="false" outlineLevel="0" collapsed="false">
      <c r="A6" s="1" t="s">
        <v>551</v>
      </c>
    </row>
    <row r="7" customFormat="false" ht="17.15" hidden="false" customHeight="false" outlineLevel="0" collapsed="false">
      <c r="A7" s="14" t="s">
        <v>552</v>
      </c>
      <c r="B7" s="13" t="s">
        <v>108</v>
      </c>
      <c r="C7" s="32" t="n">
        <f aca="false">mw_ye24</f>
        <v>360</v>
      </c>
      <c r="D7" s="32" t="n">
        <f aca="false">mw_ye25</f>
        <v>1440</v>
      </c>
      <c r="E7" s="32" t="n">
        <f aca="false">mw_open</f>
        <v>2080</v>
      </c>
      <c r="F7" s="32" t="n">
        <f aca="false">Thesis!$E$7+pace_A*0.5</f>
        <v>3946.5</v>
      </c>
      <c r="G7" s="32" t="n">
        <f aca="false">Thesis!$F$7</f>
        <v>3946.5</v>
      </c>
      <c r="H7" s="32" t="n">
        <f aca="false">Thesis!$G$7+pace_A</f>
        <v>7679.5</v>
      </c>
      <c r="I7" s="32" t="n">
        <f aca="false">Thesis!$H$7+pace_A</f>
        <v>11412.5</v>
      </c>
      <c r="J7" s="32" t="n">
        <f aca="false">Thesis!$I$7+pace_A</f>
        <v>15145.5</v>
      </c>
      <c r="K7" s="32" t="n">
        <f aca="false">Thesis!$J$7+pace_A</f>
        <v>18878.5</v>
      </c>
      <c r="L7" s="32" t="n">
        <f aca="false">Thesis!$K$7+pace_A</f>
        <v>22611.5</v>
      </c>
      <c r="M7" s="32" t="n">
        <f aca="false">Thesis!$L$7+pace_A</f>
        <v>26344.5</v>
      </c>
      <c r="N7" s="32" t="n">
        <f aca="false">(mw_ye24+mw_ye25)/2</f>
        <v>900</v>
      </c>
      <c r="O7" s="32" t="n">
        <f aca="false">mw_ye25</f>
        <v>1440</v>
      </c>
      <c r="P7" s="5" t="s">
        <v>553</v>
      </c>
    </row>
    <row r="8" customFormat="false" ht="17.15" hidden="false" customHeight="false" outlineLevel="0" collapsed="false">
      <c r="A8" s="5" t="s">
        <v>554</v>
      </c>
      <c r="B8" s="0" t="s">
        <v>108</v>
      </c>
      <c r="C8" s="33" t="n">
        <f aca="false">(mw_ye23+mw_ye24)/2</f>
        <v>240</v>
      </c>
      <c r="D8" s="33" t="n">
        <f aca="false">(Thesis!$C$7+Thesis!$D$7)/2</f>
        <v>900</v>
      </c>
      <c r="E8" s="33" t="n">
        <f aca="false">(Thesis!$D$7+Thesis!$E$7)/2</f>
        <v>1760</v>
      </c>
      <c r="F8" s="33" t="n">
        <f aca="false">(Thesis!$E$7+Thesis!$F$7)/2</f>
        <v>3013.25</v>
      </c>
      <c r="G8" s="33" t="n">
        <f aca="false">(Thesis!$E$8+Thesis!$F$8)/2</f>
        <v>2386.625</v>
      </c>
      <c r="H8" s="33" t="n">
        <f aca="false">(Thesis!$G$7+Thesis!$H$7)/2</f>
        <v>5813</v>
      </c>
      <c r="I8" s="33" t="n">
        <f aca="false">(Thesis!$H$7+Thesis!$I$7)/2</f>
        <v>9546</v>
      </c>
      <c r="J8" s="33" t="n">
        <f aca="false">(Thesis!$I$7+Thesis!$J$7)/2</f>
        <v>13279</v>
      </c>
      <c r="K8" s="33" t="n">
        <f aca="false">(Thesis!$J$7+Thesis!$K$7)/2</f>
        <v>17012</v>
      </c>
      <c r="L8" s="33" t="n">
        <f aca="false">(Thesis!$K$7+Thesis!$L$7)/2</f>
        <v>20745</v>
      </c>
      <c r="M8" s="33" t="n">
        <f aca="false">(Thesis!$L$7+Thesis!$M$7)/2</f>
        <v>24478</v>
      </c>
      <c r="N8" s="33" t="n">
        <f aca="false">(Thesis!$C$7+Thesis!$N$7)/2</f>
        <v>630</v>
      </c>
      <c r="O8" s="33" t="n">
        <f aca="false">(Thesis!$N$7+Thesis!$O$7)/2</f>
        <v>1170</v>
      </c>
    </row>
    <row r="9" customFormat="false" ht="15" hidden="false" customHeight="false" outlineLevel="0" collapsed="false">
      <c r="A9" s="5" t="s">
        <v>555</v>
      </c>
      <c r="B9" s="5" t="s">
        <v>102</v>
      </c>
      <c r="C9" s="34" t="n">
        <v>1</v>
      </c>
      <c r="D9" s="34" t="n">
        <v>1</v>
      </c>
      <c r="E9" s="34" t="n">
        <v>0.5</v>
      </c>
      <c r="F9" s="34" t="n">
        <v>0.5</v>
      </c>
      <c r="G9" s="34" t="n">
        <v>1</v>
      </c>
      <c r="H9" s="34" t="n">
        <v>1</v>
      </c>
      <c r="I9" s="34" t="n">
        <v>1</v>
      </c>
      <c r="J9" s="34" t="n">
        <v>1</v>
      </c>
      <c r="K9" s="34" t="n">
        <v>1</v>
      </c>
      <c r="L9" s="34" t="n">
        <v>1</v>
      </c>
      <c r="M9" s="34" t="n">
        <v>1</v>
      </c>
      <c r="N9" s="34" t="n">
        <v>0.5</v>
      </c>
      <c r="O9" s="34" t="n">
        <v>0.5</v>
      </c>
    </row>
    <row r="10" customFormat="false" ht="17.15" hidden="false" customHeight="false" outlineLevel="0" collapsed="false">
      <c r="A10" s="5" t="s">
        <v>556</v>
      </c>
      <c r="B10" s="0" t="s">
        <v>108</v>
      </c>
      <c r="C10" s="33" t="n">
        <f aca="false">Thesis!$C$7-mw_ye23</f>
        <v>240</v>
      </c>
      <c r="D10" s="33" t="n">
        <f aca="false">Thesis!$D$7-Thesis!$C$7</f>
        <v>1080</v>
      </c>
      <c r="E10" s="33" t="n">
        <f aca="false">Thesis!$E$7-Thesis!$D$7</f>
        <v>640</v>
      </c>
      <c r="F10" s="33" t="n">
        <f aca="false">Thesis!$F$7-Thesis!$E$7</f>
        <v>1866.5</v>
      </c>
      <c r="G10" s="33" t="n">
        <f aca="false">Thesis!$E$10+Thesis!$F$10</f>
        <v>2506.5</v>
      </c>
      <c r="H10" s="33" t="n">
        <f aca="false">Thesis!$H$7-Thesis!$G$7</f>
        <v>3733</v>
      </c>
      <c r="I10" s="33" t="n">
        <f aca="false">Thesis!$I$7-Thesis!$H$7</f>
        <v>3733</v>
      </c>
      <c r="J10" s="33" t="n">
        <f aca="false">Thesis!$J$7-Thesis!$I$7</f>
        <v>3733</v>
      </c>
      <c r="K10" s="33" t="n">
        <f aca="false">Thesis!$K$7-Thesis!$J$7</f>
        <v>3733</v>
      </c>
      <c r="L10" s="33" t="n">
        <f aca="false">Thesis!$L$7-Thesis!$K$7</f>
        <v>3733</v>
      </c>
      <c r="M10" s="33" t="n">
        <f aca="false">Thesis!$M$7-Thesis!$L$7</f>
        <v>3733</v>
      </c>
      <c r="N10" s="33" t="n">
        <f aca="false">Thesis!$N$7-Thesis!$C$7</f>
        <v>540</v>
      </c>
      <c r="O10" s="33" t="n">
        <f aca="false">Thesis!$O$7-Thesis!$N$7</f>
        <v>540</v>
      </c>
    </row>
    <row r="11" customFormat="false" ht="17.15" hidden="false" customHeight="false" outlineLevel="0" collapsed="false">
      <c r="A11" s="5" t="s">
        <v>557</v>
      </c>
      <c r="B11" s="0" t="s">
        <v>108</v>
      </c>
      <c r="C11" s="33" t="n">
        <f aca="false">Thesis!$C$10/ext_sh</f>
        <v>300</v>
      </c>
      <c r="D11" s="33" t="n">
        <f aca="false">Thesis!$D$10/ext_sh</f>
        <v>1350</v>
      </c>
      <c r="E11" s="33" t="n">
        <f aca="false">Thesis!$E$10/ext_sh</f>
        <v>800</v>
      </c>
      <c r="F11" s="33" t="n">
        <f aca="false">Thesis!$F$10/ext_sh</f>
        <v>2333.125</v>
      </c>
      <c r="G11" s="33" t="n">
        <f aca="false">Thesis!$G$10/ext_sh</f>
        <v>3133.125</v>
      </c>
      <c r="H11" s="33" t="n">
        <f aca="false">Thesis!$H$10/ext_sh</f>
        <v>4666.25</v>
      </c>
      <c r="I11" s="33" t="n">
        <f aca="false">Thesis!$I$10/ext_sh</f>
        <v>4666.25</v>
      </c>
      <c r="J11" s="33" t="n">
        <f aca="false">Thesis!$J$10/ext_sh</f>
        <v>4666.25</v>
      </c>
      <c r="K11" s="33" t="n">
        <f aca="false">Thesis!$K$10/ext_sh</f>
        <v>4666.25</v>
      </c>
      <c r="L11" s="33" t="n">
        <f aca="false">Thesis!$L$10/ext_sh</f>
        <v>4666.25</v>
      </c>
      <c r="M11" s="33" t="n">
        <f aca="false">Thesis!$M$10/ext_sh</f>
        <v>4666.25</v>
      </c>
      <c r="N11" s="33" t="n">
        <f aca="false">Thesis!$N$10/ext_sh</f>
        <v>675</v>
      </c>
      <c r="O11" s="33" t="n">
        <f aca="false">Thesis!$O$10/ext_sh</f>
        <v>675</v>
      </c>
      <c r="P11" s="8" t="s">
        <v>558</v>
      </c>
      <c r="R11" s="33" t="n">
        <f aca="false">mw_ye23/ext_sh</f>
        <v>150</v>
      </c>
      <c r="S11" s="33" t="n">
        <f aca="false">Thesis!$C$11</f>
        <v>300</v>
      </c>
      <c r="T11" s="33" t="n">
        <f aca="false">Thesis!$D$11</f>
        <v>1350</v>
      </c>
      <c r="U11" s="33" t="n">
        <f aca="false">Thesis!$G$11</f>
        <v>3133.125</v>
      </c>
      <c r="V11" s="33" t="n">
        <f aca="false">Thesis!$H$11</f>
        <v>4666.25</v>
      </c>
      <c r="W11" s="33" t="n">
        <f aca="false">Thesis!$I$11</f>
        <v>4666.25</v>
      </c>
      <c r="X11" s="33" t="n">
        <f aca="false">Thesis!$J$11</f>
        <v>4666.25</v>
      </c>
      <c r="Y11" s="33" t="n">
        <f aca="false">Thesis!$K$11</f>
        <v>4666.25</v>
      </c>
      <c r="Z11" s="33" t="n">
        <f aca="false">Thesis!$L$11</f>
        <v>4666.25</v>
      </c>
      <c r="AA11" s="33" t="n">
        <f aca="false">Thesis!$M$11</f>
        <v>4666.25</v>
      </c>
    </row>
    <row r="12" customFormat="false" ht="17.15" hidden="false" customHeight="false" outlineLevel="0" collapsed="false">
      <c r="A12" s="1" t="s">
        <v>559</v>
      </c>
    </row>
    <row r="13" customFormat="false" ht="17.15" hidden="false" customHeight="false" outlineLevel="0" collapsed="false">
      <c r="A13" s="0" t="s">
        <v>560</v>
      </c>
      <c r="B13" s="0" t="s">
        <v>52</v>
      </c>
      <c r="F13" s="35" t="n">
        <f aca="false">na_vr26</f>
        <v>0</v>
      </c>
      <c r="G13" s="35" t="n">
        <f aca="false">na_vr26</f>
        <v>0</v>
      </c>
      <c r="H13" s="35" t="n">
        <f aca="false">na_vr27</f>
        <v>0.5</v>
      </c>
      <c r="I13" s="35" t="n">
        <f aca="false">na_vr28</f>
        <v>1</v>
      </c>
      <c r="J13" s="35" t="n">
        <f aca="false">na_vr28</f>
        <v>1</v>
      </c>
      <c r="K13" s="35" t="n">
        <f aca="false">na_vr28</f>
        <v>1</v>
      </c>
      <c r="L13" s="35" t="n">
        <f aca="false">na_vr28</f>
        <v>1</v>
      </c>
      <c r="M13" s="35" t="n">
        <f aca="false">na_vr28</f>
        <v>1</v>
      </c>
    </row>
    <row r="14" customFormat="false" ht="17.15" hidden="false" customHeight="false" outlineLevel="0" collapsed="false">
      <c r="A14" s="5" t="s">
        <v>561</v>
      </c>
      <c r="B14" s="0" t="s">
        <v>151</v>
      </c>
      <c r="F14" s="36" t="n">
        <f aca="false">cust_sh*tk_he_gb300*cf_chip+(1-cust_sh)*((1-Thesis!$F$13)*tk_he_gb300+Thesis!$F$13*tk_he_vr200)</f>
        <v>10.8864110021101</v>
      </c>
      <c r="G14" s="36" t="n">
        <f aca="false">cust_sh*tk_he_gb300*cf_chip+(1-cust_sh)*((1-Thesis!$G$13)*tk_he_gb300+Thesis!$G$13*tk_he_vr200)</f>
        <v>10.8864110021101</v>
      </c>
      <c r="H14" s="36" t="n">
        <f aca="false">cust_sh*tk_he_gb300*cf_chip+(1-cust_sh)*((1-Thesis!$H$13)*tk_he_gb300+Thesis!$H$13*tk_he_vr200)</f>
        <v>11.2211760027286</v>
      </c>
      <c r="I14" s="36" t="n">
        <f aca="false">cust_sh*tk_he_gb300*cf_chip+(1-cust_sh)*((1-Thesis!$I$13)*tk_he_gb300+Thesis!$I$13*tk_he_vr200)</f>
        <v>11.5559410033471</v>
      </c>
      <c r="J14" s="36" t="n">
        <f aca="false">cust_sh*tk_he_gb300*cf_chip+(1-cust_sh)*((1-Thesis!$J$13)*tk_he_gb300+Thesis!$J$13*tk_he_vr200)</f>
        <v>11.5559410033471</v>
      </c>
      <c r="K14" s="36" t="n">
        <f aca="false">cust_sh*tk_he_gb300*cf_chip+(1-cust_sh)*((1-Thesis!$K$13)*tk_he_gb300+Thesis!$K$13*tk_he_vr200)</f>
        <v>11.5559410033471</v>
      </c>
      <c r="L14" s="36" t="n">
        <f aca="false">cust_sh*tk_he_gb300*cf_chip+(1-cust_sh)*((1-Thesis!$L$13)*tk_he_gb300+Thesis!$L$13*tk_he_vr200)</f>
        <v>11.5559410033471</v>
      </c>
      <c r="M14" s="36" t="n">
        <f aca="false">cust_sh*tk_he_gb300*cf_chip+(1-cust_sh)*((1-Thesis!$M$13)*tk_he_gb300+Thesis!$M$13*tk_he_vr200)</f>
        <v>11.5559410033471</v>
      </c>
    </row>
    <row r="15" customFormat="false" ht="17.15" hidden="false" customHeight="false" outlineLevel="0" collapsed="false">
      <c r="A15" s="5" t="s">
        <v>562</v>
      </c>
      <c r="B15" s="0" t="s">
        <v>151</v>
      </c>
      <c r="F15" s="36" t="n">
        <f aca="false">cust_sh*tk_ox_gb300+(1-cust_sh)*((1-Thesis!$F$13)*tk_ox_gb300+Thesis!$F$13*tk_ox_vr200)</f>
        <v>1.98263481314457</v>
      </c>
      <c r="G15" s="36" t="n">
        <f aca="false">cust_sh*tk_ox_gb300+(1-cust_sh)*((1-Thesis!$G$13)*tk_ox_gb300+Thesis!$G$13*tk_ox_vr200)</f>
        <v>1.98263481314457</v>
      </c>
      <c r="H15" s="36" t="n">
        <f aca="false">cust_sh*tk_ox_gb300+(1-cust_sh)*((1-Thesis!$H$13)*tk_ox_gb300+Thesis!$H$13*tk_ox_vr200)</f>
        <v>2.01034999693694</v>
      </c>
      <c r="I15" s="36" t="n">
        <f aca="false">cust_sh*tk_ox_gb300+(1-cust_sh)*((1-Thesis!$I$13)*tk_ox_gb300+Thesis!$I$13*tk_ox_vr200)</f>
        <v>2.0380651807293</v>
      </c>
      <c r="J15" s="36" t="n">
        <f aca="false">cust_sh*tk_ox_gb300+(1-cust_sh)*((1-Thesis!$J$13)*tk_ox_gb300+Thesis!$J$13*tk_ox_vr200)</f>
        <v>2.0380651807293</v>
      </c>
      <c r="K15" s="36" t="n">
        <f aca="false">cust_sh*tk_ox_gb300+(1-cust_sh)*((1-Thesis!$K$13)*tk_ox_gb300+Thesis!$K$13*tk_ox_vr200)</f>
        <v>2.0380651807293</v>
      </c>
      <c r="L15" s="36" t="n">
        <f aca="false">cust_sh*tk_ox_gb300+(1-cust_sh)*((1-Thesis!$L$13)*tk_ox_gb300+Thesis!$L$13*tk_ox_vr200)</f>
        <v>2.0380651807293</v>
      </c>
      <c r="M15" s="36" t="n">
        <f aca="false">cust_sh*tk_ox_gb300+(1-cust_sh)*((1-Thesis!$M$13)*tk_ox_gb300+Thesis!$M$13*tk_ox_vr200)</f>
        <v>2.0380651807293</v>
      </c>
    </row>
    <row r="16" customFormat="false" ht="17.15" hidden="false" customHeight="false" outlineLevel="0" collapsed="false">
      <c r="A16" s="5" t="s">
        <v>563</v>
      </c>
      <c r="B16" s="0" t="s">
        <v>170</v>
      </c>
      <c r="F16" s="36" t="n">
        <f aca="false">cust_sh*tk_cx_gb300*cf_cx+(1-cust_sh)*((1-Thesis!$F$13)*tk_cx_gb300+Thesis!$F$13*tk_cx_vr200)</f>
        <v>32.237224</v>
      </c>
      <c r="G16" s="36" t="n">
        <f aca="false">cust_sh*tk_cx_gb300*cf_cx+(1-cust_sh)*((1-Thesis!$G$13)*tk_cx_gb300+Thesis!$G$13*tk_cx_vr200)</f>
        <v>32.237224</v>
      </c>
      <c r="H16" s="36" t="n">
        <f aca="false">cust_sh*tk_cx_gb300*cf_cx+(1-cust_sh)*((1-Thesis!$H$13)*tk_cx_gb300+Thesis!$H$13*tk_cx_vr200)</f>
        <v>33.574506</v>
      </c>
      <c r="I16" s="36" t="n">
        <f aca="false">cust_sh*tk_cx_gb300*cf_cx+(1-cust_sh)*((1-Thesis!$I$13)*tk_cx_gb300+Thesis!$I$13*tk_cx_vr200)</f>
        <v>34.911788</v>
      </c>
      <c r="J16" s="36" t="n">
        <f aca="false">cust_sh*tk_cx_gb300*cf_cx+(1-cust_sh)*((1-Thesis!$J$13)*tk_cx_gb300+Thesis!$J$13*tk_cx_vr200)</f>
        <v>34.911788</v>
      </c>
      <c r="K16" s="36" t="n">
        <f aca="false">cust_sh*tk_cx_gb300*cf_cx+(1-cust_sh)*((1-Thesis!$K$13)*tk_cx_gb300+Thesis!$K$13*tk_cx_vr200)</f>
        <v>34.911788</v>
      </c>
      <c r="L16" s="36" t="n">
        <f aca="false">cust_sh*tk_cx_gb300*cf_cx+(1-cust_sh)*((1-Thesis!$L$13)*tk_cx_gb300+Thesis!$L$13*tk_cx_vr200)</f>
        <v>34.911788</v>
      </c>
      <c r="M16" s="36" t="n">
        <f aca="false">cust_sh*tk_cx_gb300*cf_cx+(1-cust_sh)*((1-Thesis!$M$13)*tk_cx_gb300+Thesis!$M$13*tk_cx_vr200)</f>
        <v>34.911788</v>
      </c>
    </row>
    <row r="17" customFormat="false" ht="17.15" hidden="false" customHeight="false" outlineLevel="0" collapsed="false">
      <c r="A17" s="5" t="s">
        <v>564</v>
      </c>
      <c r="B17" s="0" t="s">
        <v>108</v>
      </c>
      <c r="F17" s="33" t="n">
        <f aca="false">Thesis!$F$7-mw_open</f>
        <v>1866.5</v>
      </c>
      <c r="G17" s="33" t="n">
        <f aca="false">Thesis!$F$17</f>
        <v>1866.5</v>
      </c>
      <c r="H17" s="33" t="n">
        <f aca="false">Thesis!$H$7-mw_open</f>
        <v>5599.5</v>
      </c>
      <c r="I17" s="33" t="n">
        <f aca="false">Thesis!$I$7-mw_open</f>
        <v>9332.5</v>
      </c>
      <c r="J17" s="33" t="n">
        <f aca="false">Thesis!$J$7-mw_open</f>
        <v>13065.5</v>
      </c>
      <c r="K17" s="33" t="n">
        <f aca="false">Thesis!$K$7-mw_open</f>
        <v>16798.5</v>
      </c>
      <c r="L17" s="33" t="n">
        <f aca="false">Thesis!$L$7-mw_open</f>
        <v>20531.5</v>
      </c>
      <c r="M17" s="33" t="n">
        <f aca="false">Thesis!$M$7-mw_open</f>
        <v>24264.5</v>
      </c>
    </row>
    <row r="18" customFormat="false" ht="17.15" hidden="false" customHeight="false" outlineLevel="0" collapsed="false">
      <c r="A18" s="0" t="s">
        <v>565</v>
      </c>
      <c r="B18" s="0" t="s">
        <v>566</v>
      </c>
      <c r="F18" s="33" t="n">
        <f aca="false">Thesis!$F$10*Thesis!$F$14</f>
        <v>20319.4861354385</v>
      </c>
      <c r="G18" s="33" t="n">
        <f aca="false">Thesis!$F$18</f>
        <v>20319.4861354385</v>
      </c>
      <c r="H18" s="33" t="n">
        <f aca="false">Thesis!$G$18+Thesis!$H$10*Thesis!$H$14</f>
        <v>62208.1361536244</v>
      </c>
      <c r="I18" s="33" t="n">
        <f aca="false">Thesis!$H$18+Thesis!$I$10*Thesis!$I$14</f>
        <v>105346.463919119</v>
      </c>
      <c r="J18" s="33" t="n">
        <f aca="false">Thesis!$I$18+Thesis!$J$10*Thesis!$J$14</f>
        <v>148484.791684614</v>
      </c>
      <c r="K18" s="33" t="n">
        <f aca="false">Thesis!$J$18+Thesis!$K$10*Thesis!$K$14</f>
        <v>191623.119450109</v>
      </c>
      <c r="L18" s="33" t="n">
        <f aca="false">Thesis!$K$18+Thesis!$L$10*Thesis!$L$14</f>
        <v>234761.447215603</v>
      </c>
      <c r="M18" s="33" t="n">
        <f aca="false">Thesis!$L$18+Thesis!$M$10*Thesis!$M$14</f>
        <v>277899.774981098</v>
      </c>
    </row>
    <row r="19" customFormat="false" ht="17.15" hidden="false" customHeight="false" outlineLevel="0" collapsed="false">
      <c r="A19" s="0" t="s">
        <v>567</v>
      </c>
      <c r="B19" s="0" t="s">
        <v>566</v>
      </c>
      <c r="F19" s="33" t="n">
        <f aca="false">Thesis!$F$10*Thesis!$F$15</f>
        <v>3700.58787873434</v>
      </c>
      <c r="G19" s="33" t="n">
        <f aca="false">Thesis!$F$19</f>
        <v>3700.58787873434</v>
      </c>
      <c r="H19" s="33" t="n">
        <f aca="false">Thesis!$G$19+Thesis!$H$10*Thesis!$H$15</f>
        <v>11205.2244172999</v>
      </c>
      <c r="I19" s="33" t="n">
        <f aca="false">Thesis!$H$19+Thesis!$I$10*Thesis!$I$15</f>
        <v>18813.3217369624</v>
      </c>
      <c r="J19" s="33" t="n">
        <f aca="false">Thesis!$I$19+Thesis!$J$10*Thesis!$J$15</f>
        <v>26421.4190566249</v>
      </c>
      <c r="K19" s="33" t="n">
        <f aca="false">Thesis!$J$19+Thesis!$K$10*Thesis!$K$15</f>
        <v>34029.5163762874</v>
      </c>
      <c r="L19" s="33" t="n">
        <f aca="false">Thesis!$K$19+Thesis!$L$10*Thesis!$L$15</f>
        <v>41637.6136959498</v>
      </c>
      <c r="M19" s="33" t="n">
        <f aca="false">Thesis!$L$19+Thesis!$M$10*Thesis!$M$15</f>
        <v>49245.7110156123</v>
      </c>
    </row>
    <row r="20" customFormat="false" ht="17.15" hidden="false" customHeight="false" outlineLevel="0" collapsed="false">
      <c r="A20" s="5" t="s">
        <v>568</v>
      </c>
      <c r="B20" s="0" t="s">
        <v>151</v>
      </c>
      <c r="F20" s="36" t="n">
        <f aca="false">IF(Thesis!$F$17&gt;0,Thesis!$F$18/Thesis!$F$17,Thesis!$F$14)</f>
        <v>10.8864110021101</v>
      </c>
      <c r="G20" s="36" t="n">
        <f aca="false">IF(Thesis!$G$17&gt;0,Thesis!$G$18/Thesis!$G$17,Thesis!$G$14)</f>
        <v>10.8864110021101</v>
      </c>
      <c r="H20" s="36" t="n">
        <f aca="false">IF(Thesis!$H$17&gt;0,Thesis!$H$18/Thesis!$H$17,Thesis!$H$14)</f>
        <v>11.1095876691891</v>
      </c>
      <c r="I20" s="36" t="n">
        <f aca="false">IF(Thesis!$I$17&gt;0,Thesis!$I$18/Thesis!$I$17,Thesis!$I$14)</f>
        <v>11.2881290028523</v>
      </c>
      <c r="J20" s="36" t="n">
        <f aca="false">IF(Thesis!$J$17&gt;0,Thesis!$J$18/Thesis!$J$17,Thesis!$J$14)</f>
        <v>11.3646467172794</v>
      </c>
      <c r="K20" s="36" t="n">
        <f aca="false">IF(Thesis!$K$17&gt;0,Thesis!$K$18/Thesis!$K$17,Thesis!$K$14)</f>
        <v>11.4071565586278</v>
      </c>
      <c r="L20" s="36" t="n">
        <f aca="false">IF(Thesis!$L$17&gt;0,Thesis!$L$18/Thesis!$L$17,Thesis!$L$14)</f>
        <v>11.4342082758495</v>
      </c>
      <c r="M20" s="36" t="n">
        <f aca="false">IF(Thesis!$M$17&gt;0,Thesis!$M$18/Thesis!$M$17,Thesis!$M$14)</f>
        <v>11.4529363877722</v>
      </c>
    </row>
    <row r="21" customFormat="false" ht="17.15" hidden="false" customHeight="false" outlineLevel="0" collapsed="false">
      <c r="A21" s="5" t="s">
        <v>569</v>
      </c>
      <c r="B21" s="0" t="s">
        <v>151</v>
      </c>
      <c r="F21" s="36" t="n">
        <f aca="false">IF(Thesis!$F$17&gt;0,Thesis!$F$19/Thesis!$F$17,Thesis!$F$15)</f>
        <v>1.98263481314457</v>
      </c>
      <c r="G21" s="36" t="n">
        <f aca="false">IF(Thesis!$G$17&gt;0,Thesis!$G$19/Thesis!$G$17,Thesis!$G$15)</f>
        <v>1.98263481314457</v>
      </c>
      <c r="H21" s="36" t="n">
        <f aca="false">IF(Thesis!$H$17&gt;0,Thesis!$H$19/Thesis!$H$17,Thesis!$H$15)</f>
        <v>2.00111160233948</v>
      </c>
      <c r="I21" s="36" t="n">
        <f aca="false">IF(Thesis!$I$17&gt;0,Thesis!$I$19/Thesis!$I$17,Thesis!$I$15)</f>
        <v>2.01589303369541</v>
      </c>
      <c r="J21" s="36" t="n">
        <f aca="false">IF(Thesis!$J$17&gt;0,Thesis!$J$19/Thesis!$J$17,Thesis!$J$15)</f>
        <v>2.02222793284795</v>
      </c>
      <c r="K21" s="36" t="n">
        <f aca="false">IF(Thesis!$K$17&gt;0,Thesis!$K$19/Thesis!$K$17,Thesis!$K$15)</f>
        <v>2.02574732126603</v>
      </c>
      <c r="L21" s="36" t="n">
        <f aca="false">IF(Thesis!$L$17&gt;0,Thesis!$L$19/Thesis!$L$17,Thesis!$L$15)</f>
        <v>2.02798693207753</v>
      </c>
      <c r="M21" s="36" t="n">
        <f aca="false">IF(Thesis!$M$17&gt;0,Thesis!$M$19/Thesis!$M$17,Thesis!$M$15)</f>
        <v>2.02953743187011</v>
      </c>
    </row>
    <row r="22" customFormat="false" ht="17.15" hidden="false" customHeight="false" outlineLevel="0" collapsed="false">
      <c r="A22" s="14" t="s">
        <v>570</v>
      </c>
      <c r="B22" s="13" t="s">
        <v>151</v>
      </c>
      <c r="C22" s="13"/>
      <c r="D22" s="13"/>
      <c r="E22" s="13"/>
      <c r="F22" s="37" t="n">
        <f aca="false">Thesis!$F$20*k_A</f>
        <v>16.5292102673303</v>
      </c>
      <c r="G22" s="37" t="n">
        <f aca="false">Thesis!$G$20*k_A</f>
        <v>16.5292102673303</v>
      </c>
      <c r="H22" s="37" t="n">
        <f aca="false">Thesis!$H$20*k_A</f>
        <v>16.8680670362136</v>
      </c>
      <c r="I22" s="37" t="n">
        <f aca="false">Thesis!$I$20*k_A</f>
        <v>17.1391524513203</v>
      </c>
      <c r="J22" s="37" t="n">
        <f aca="false">Thesis!$J$20*k_A</f>
        <v>17.2553319149374</v>
      </c>
      <c r="K22" s="37" t="n">
        <f aca="false">Thesis!$K$20*k_A</f>
        <v>17.3198760613914</v>
      </c>
      <c r="L22" s="37" t="n">
        <f aca="false">Thesis!$L$20*k_A</f>
        <v>17.3609496091348</v>
      </c>
      <c r="M22" s="37" t="n">
        <f aca="false">Thesis!$M$20*k_A</f>
        <v>17.3893851421879</v>
      </c>
      <c r="N22" s="13"/>
      <c r="O22" s="13"/>
      <c r="P22" s="5" t="s">
        <v>571</v>
      </c>
    </row>
    <row r="23" customFormat="false" ht="17.15" hidden="false" customHeight="false" outlineLevel="0" collapsed="false">
      <c r="A23" s="5" t="s">
        <v>572</v>
      </c>
      <c r="B23" s="0" t="s">
        <v>108</v>
      </c>
      <c r="F23" s="33" t="n">
        <f aca="false">Thesis!$F$17/2</f>
        <v>933.25</v>
      </c>
      <c r="H23" s="33" t="n">
        <f aca="false">(Thesis!$G$17+Thesis!$H$17)/2</f>
        <v>3733</v>
      </c>
      <c r="I23" s="33" t="n">
        <f aca="false">(Thesis!$H$17+Thesis!$I$17)/2</f>
        <v>7466</v>
      </c>
      <c r="J23" s="33" t="n">
        <f aca="false">(Thesis!$I$17+Thesis!$J$17)/2</f>
        <v>11199</v>
      </c>
      <c r="K23" s="33" t="n">
        <f aca="false">(Thesis!$J$17+Thesis!$K$17)/2</f>
        <v>14932</v>
      </c>
      <c r="L23" s="33" t="n">
        <f aca="false">(Thesis!$K$17+Thesis!$L$17)/2</f>
        <v>18665</v>
      </c>
      <c r="M23" s="33" t="n">
        <f aca="false">(Thesis!$L$17+Thesis!$M$17)/2</f>
        <v>22398</v>
      </c>
    </row>
    <row r="24" customFormat="false" ht="17.15" hidden="false" customHeight="false" outlineLevel="0" collapsed="false">
      <c r="A24" s="1" t="s">
        <v>573</v>
      </c>
    </row>
    <row r="25" customFormat="false" ht="17.15" hidden="false" customHeight="false" outlineLevel="0" collapsed="false">
      <c r="A25" s="1" t="s">
        <v>574</v>
      </c>
      <c r="B25" s="8" t="s">
        <v>73</v>
      </c>
      <c r="C25" s="38" t="n">
        <f aca="false">Thesis!$C$8*rpm_open*Thesis!$C$9/1000</f>
        <v>2.32100535697364</v>
      </c>
      <c r="D25" s="38" t="n">
        <f aca="false">Thesis!$D$8*rpm_open*Thesis!$D$9/1000</f>
        <v>8.70377008865116</v>
      </c>
      <c r="E25" s="38" t="n">
        <f aca="false">Thesis!$E$8*rpm_open*Thesis!$E$9/1000</f>
        <v>8.51035297557002</v>
      </c>
      <c r="F25" s="38" t="n">
        <f aca="false">(mw_open*rpm_open+Thesis!$F$23*Thesis!$F$22)*Thesis!$F$9/1000</f>
        <v>17.7706326212121</v>
      </c>
      <c r="G25" s="38" t="n">
        <f aca="false">Thesis!$E$25+Thesis!$F$25</f>
        <v>26.2809855967821</v>
      </c>
      <c r="H25" s="38" t="n">
        <f aca="false">(mw_open*rpm_open+Thesis!$H$23*Thesis!$H$22)/1000</f>
        <v>83.0838740066237</v>
      </c>
      <c r="I25" s="38" t="n">
        <f aca="false">(mw_open*rpm_open+Thesis!$I$23*Thesis!$I$22)/1000</f>
        <v>148.076291961995</v>
      </c>
      <c r="J25" s="38" t="n">
        <f aca="false">(mw_open*rpm_open+Thesis!$J$23*Thesis!$J$22)/1000</f>
        <v>213.357841875822</v>
      </c>
      <c r="K25" s="38" t="n">
        <f aca="false">(mw_open*rpm_open+Thesis!$K$23*Thesis!$K$22)/1000</f>
        <v>278.735769109134</v>
      </c>
      <c r="L25" s="38" t="n">
        <f aca="false">(mw_open*rpm_open+Thesis!$L$23*Thesis!$L$22)/1000</f>
        <v>344.157504214939</v>
      </c>
      <c r="M25" s="38" t="n">
        <f aca="false">(mw_open*rpm_open+Thesis!$M$23*Thesis!$M$22)/1000</f>
        <v>409.602828175164</v>
      </c>
      <c r="N25" s="38" t="n">
        <f aca="false">Thesis!$N$8*rpm_open*Thesis!$N$9/1000</f>
        <v>3.04631953102791</v>
      </c>
      <c r="O25" s="38" t="n">
        <f aca="false">Thesis!$O$8*rpm_open*Thesis!$O$9/1000</f>
        <v>5.65745055762326</v>
      </c>
      <c r="P25" s="5" t="s">
        <v>575</v>
      </c>
    </row>
    <row r="26" customFormat="false" ht="17.15" hidden="false" customHeight="false" outlineLevel="0" collapsed="false">
      <c r="A26" s="5" t="s">
        <v>576</v>
      </c>
      <c r="B26" s="0" t="s">
        <v>151</v>
      </c>
      <c r="C26" s="36" t="n">
        <f aca="false">Thesis!$C$25*1000/(Thesis!$C$8*Thesis!$C$9)</f>
        <v>9.67085565405685</v>
      </c>
      <c r="D26" s="36" t="n">
        <f aca="false">Thesis!$D$25*1000/(Thesis!$D$8*Thesis!$D$9)</f>
        <v>9.67085565405685</v>
      </c>
      <c r="E26" s="36" t="n">
        <f aca="false">Thesis!$E$25*1000/(Thesis!$E$8*Thesis!$E$9)</f>
        <v>9.67085565405685</v>
      </c>
      <c r="F26" s="36" t="n">
        <f aca="false">Thesis!$F$25*1000/(Thesis!$F$8*Thesis!$F$9)</f>
        <v>11.7949938579355</v>
      </c>
      <c r="G26" s="36" t="n">
        <f aca="false">Thesis!$G$25*1000/(Thesis!$G$8*Thesis!$G$9)</f>
        <v>11.0117783886376</v>
      </c>
      <c r="H26" s="36" t="n">
        <f aca="false">Thesis!$H$25*1000/(Thesis!$H$8*Thesis!$H$9)</f>
        <v>14.2927703434756</v>
      </c>
      <c r="I26" s="36" t="n">
        <f aca="false">Thesis!$I$25*1000/(Thesis!$I$8*Thesis!$I$9)</f>
        <v>15.5118680035612</v>
      </c>
      <c r="J26" s="36" t="n">
        <f aca="false">Thesis!$J$25*1000/(Thesis!$J$8*Thesis!$J$9)</f>
        <v>16.0673124388751</v>
      </c>
      <c r="K26" s="36" t="n">
        <f aca="false">Thesis!$K$25*1000/(Thesis!$K$8*Thesis!$K$9)</f>
        <v>16.3846560727213</v>
      </c>
      <c r="L26" s="36" t="n">
        <f aca="false">Thesis!$L$25*1000/(Thesis!$L$8*Thesis!$L$9)</f>
        <v>16.589901384186</v>
      </c>
      <c r="M26" s="36" t="n">
        <f aca="false">Thesis!$M$25*1000/(Thesis!$M$8*Thesis!$M$9)</f>
        <v>16.7335087905533</v>
      </c>
      <c r="N26" s="36" t="n">
        <f aca="false">Thesis!$N$25*1000/(Thesis!$N$8*Thesis!$N$9)</f>
        <v>9.67085565405685</v>
      </c>
      <c r="O26" s="36" t="n">
        <f aca="false">Thesis!$O$25*1000/(Thesis!$O$8*Thesis!$O$9)</f>
        <v>9.67085565405685</v>
      </c>
    </row>
    <row r="27" customFormat="false" ht="17.15" hidden="false" customHeight="false" outlineLevel="0" collapsed="false">
      <c r="A27" s="0" t="s">
        <v>577</v>
      </c>
      <c r="B27" s="0" t="s">
        <v>73</v>
      </c>
      <c r="C27" s="38" t="n">
        <f aca="false">Thesis!$C$8/ext_sh*(ox_open+rent_mw)*Thesis!$C$9/1000</f>
        <v>0.642569210675032</v>
      </c>
      <c r="D27" s="38" t="n">
        <f aca="false">Thesis!$D$8/ext_sh*(ox_open+rent_mw)*Thesis!$D$9/1000</f>
        <v>2.40963454003137</v>
      </c>
      <c r="E27" s="38" t="n">
        <f aca="false">Thesis!$E$8/ext_sh*(ox_open+rent_mw)*Thesis!$E$9/1000</f>
        <v>2.35608710580845</v>
      </c>
      <c r="F27" s="38" t="n">
        <f aca="false">((mw_open*ox_open+Thesis!$F$23*Thesis!$F$21)/ext_sh+Thesis!$F$8/ext_sh*rent_mw)*Thesis!$F$9/1000</f>
        <v>4.08870376044629</v>
      </c>
      <c r="G27" s="38" t="n">
        <f aca="false">Thesis!$E$27+Thesis!$F$27</f>
        <v>6.44479086625474</v>
      </c>
      <c r="H27" s="38" t="n">
        <f aca="false">((mw_open*ox_open+Thesis!$H$23*Thesis!$H$21)/ext_sh+Thesis!$H$8/ext_sh*rent_mw)*Thesis!$H$9/1000</f>
        <v>16.0890479236002</v>
      </c>
      <c r="I27" s="38" t="n">
        <f aca="false">((mw_open*ox_open+Thesis!$I$23*Thesis!$I$21)/ext_sh+Thesis!$I$8/ext_sh*rent_mw)*Thesis!$I$9/1000</f>
        <v>26.747110396146</v>
      </c>
      <c r="J27" s="38" t="n">
        <f aca="false">((mw_open*ox_open+Thesis!$J$23*Thesis!$J$21)/ext_sh+Thesis!$J$8/ext_sh*rent_mw)*Thesis!$J$9/1000</f>
        <v>37.4248796841388</v>
      </c>
      <c r="K27" s="38" t="n">
        <f aca="false">((mw_open*ox_open+Thesis!$K$23*Thesis!$K$21)/ext_sh+Thesis!$K$8/ext_sh*rent_mw)*Thesis!$K$9/1000</f>
        <v>48.109217910614</v>
      </c>
      <c r="L27" s="38" t="n">
        <f aca="false">((mw_open*ox_open+Thesis!$L$23*Thesis!$L$21)/ext_sh+Thesis!$L$8/ext_sh*rent_mw)*Thesis!$L$9/1000</f>
        <v>58.7965420182175</v>
      </c>
      <c r="M27" s="38" t="n">
        <f aca="false">((mw_open*ox_open+Thesis!$M$23*Thesis!$M$21)/ext_sh+Thesis!$M$8/ext_sh*rent_mw)*Thesis!$M$9/1000</f>
        <v>69.485473907967</v>
      </c>
      <c r="N27" s="38" t="n">
        <f aca="false">Thesis!$N$8/ext_sh*(ox_open+rent_mw)*Thesis!$N$9/1000</f>
        <v>0.84337208901098</v>
      </c>
      <c r="O27" s="38" t="n">
        <f aca="false">Thesis!$O$8/ext_sh*(ox_open+rent_mw)*Thesis!$O$9/1000</f>
        <v>1.56626245102039</v>
      </c>
    </row>
    <row r="28" customFormat="false" ht="17.15" hidden="false" customHeight="false" outlineLevel="0" collapsed="false">
      <c r="A28" s="0" t="s">
        <v>578</v>
      </c>
      <c r="B28" s="0" t="s">
        <v>73</v>
      </c>
      <c r="C28" s="38" t="n">
        <f aca="false">Q!$D$7</f>
        <v>107.556</v>
      </c>
      <c r="D28" s="38" t="n">
        <f aca="false">Q!$E$7</f>
        <v>128.725</v>
      </c>
      <c r="E28" s="38" t="n">
        <f aca="false">Q!$P$7</f>
        <v>79.819</v>
      </c>
      <c r="N28" s="38" t="n">
        <f aca="false">Q!$N$7</f>
        <v>60.14</v>
      </c>
      <c r="O28" s="38" t="n">
        <f aca="false">Q!$O$7</f>
        <v>68.585</v>
      </c>
    </row>
    <row r="29" customFormat="false" ht="17.15" hidden="false" customHeight="false" outlineLevel="0" collapsed="false">
      <c r="A29" s="1" t="s">
        <v>579</v>
      </c>
      <c r="B29" s="8" t="s">
        <v>73</v>
      </c>
      <c r="C29" s="38" t="n">
        <f aca="false">Thesis!$C$28-Thesis!$C$25</f>
        <v>105.234994643026</v>
      </c>
      <c r="D29" s="38" t="n">
        <f aca="false">Thesis!$D$28-Thesis!$D$25</f>
        <v>120.021229911349</v>
      </c>
      <c r="E29" s="38" t="n">
        <f aca="false">Thesis!$E$28-Thesis!$E$25</f>
        <v>71.30864702443</v>
      </c>
      <c r="F29" s="38" t="n">
        <f aca="false">Thesis!$O$29*(1+Thesis!$F$30)</f>
        <v>78.5950104186653</v>
      </c>
      <c r="G29" s="38" t="n">
        <f aca="false">Thesis!$E$29+Thesis!$F$29</f>
        <v>149.903657443095</v>
      </c>
      <c r="H29" s="38" t="n">
        <f aca="false">Thesis!$G$29*(1+Thesis!$H$30)</f>
        <v>180.893560768142</v>
      </c>
      <c r="I29" s="38" t="n">
        <f aca="false">Thesis!$H$29*(1+Thesis!$I$30)</f>
        <v>210.64839721501</v>
      </c>
      <c r="J29" s="38" t="n">
        <f aca="false">Thesis!$I$29*(1+Thesis!$J$30)</f>
        <v>236.398909446495</v>
      </c>
      <c r="K29" s="38" t="n">
        <f aca="false">Thesis!$J$29*(1+Thesis!$K$30)</f>
        <v>255.310822202215</v>
      </c>
      <c r="L29" s="38" t="n">
        <f aca="false">Thesis!$K$29*(1+Thesis!$L$30)</f>
        <v>275.735687978392</v>
      </c>
      <c r="M29" s="38" t="n">
        <f aca="false">Thesis!$L$29*(1+Thesis!$M$30)</f>
        <v>297.794543016663</v>
      </c>
      <c r="N29" s="38" t="n">
        <f aca="false">Thesis!$N$28-Thesis!$N$25</f>
        <v>57.0936804689721</v>
      </c>
      <c r="O29" s="38" t="n">
        <f aca="false">Thesis!$O$28-Thesis!$O$25</f>
        <v>62.9275494423768</v>
      </c>
      <c r="P29" s="5" t="s">
        <v>580</v>
      </c>
    </row>
    <row r="30" customFormat="false" ht="17.15" hidden="false" customHeight="false" outlineLevel="0" collapsed="false">
      <c r="A30" s="0" t="s">
        <v>581</v>
      </c>
      <c r="B30" s="0" t="s">
        <v>52</v>
      </c>
      <c r="E30" s="12" t="n">
        <f aca="false">Thesis!$E$29/Thesis!$N$29-1</f>
        <v>0.248976181579029</v>
      </c>
      <c r="F30" s="12" t="n">
        <f aca="false">Thesis!$E$30</f>
        <v>0.248976181579029</v>
      </c>
      <c r="G30" s="12" t="n">
        <f aca="false">Thesis!$G$29/Thesis!$D$29-1</f>
        <v>0.248976181579029</v>
      </c>
      <c r="H30" s="12" t="n">
        <f aca="false">Thesis!$E$30+(g_awso_lt-Thesis!$E$30)*1/4</f>
        <v>0.206732136184272</v>
      </c>
      <c r="I30" s="12" t="n">
        <f aca="false">Thesis!$E$30+(g_awso_lt-Thesis!$E$30)*2/4</f>
        <v>0.164488090789515</v>
      </c>
      <c r="J30" s="12" t="n">
        <f aca="false">Thesis!$E$30+(g_awso_lt-Thesis!$E$30)*3/4</f>
        <v>0.122244045394757</v>
      </c>
      <c r="K30" s="12" t="n">
        <f aca="false">Thesis!$E$30+(g_awso_lt-Thesis!$E$30)*4/4</f>
        <v>0.08</v>
      </c>
      <c r="L30" s="12" t="n">
        <f aca="false">g_awso_lt</f>
        <v>0.08</v>
      </c>
      <c r="M30" s="12" t="n">
        <f aca="false">g_awso_lt</f>
        <v>0.08</v>
      </c>
      <c r="P30" s="8" t="s">
        <v>582</v>
      </c>
    </row>
    <row r="31" customFormat="false" ht="17.15" hidden="false" customHeight="false" outlineLevel="0" collapsed="false">
      <c r="A31" s="1" t="s">
        <v>583</v>
      </c>
    </row>
    <row r="32" customFormat="false" ht="17.15" hidden="false" customHeight="false" outlineLevel="0" collapsed="false">
      <c r="A32" s="0" t="s">
        <v>584</v>
      </c>
      <c r="B32" s="0" t="s">
        <v>73</v>
      </c>
      <c r="F32" s="38" t="n">
        <f aca="false">cx_rt*Seg!$F$19+cx_awso*Thesis!$F$29</f>
        <v>36.8045765066526</v>
      </c>
    </row>
    <row r="33" customFormat="false" ht="17.15" hidden="false" customHeight="false" outlineLevel="0" collapsed="false">
      <c r="A33" s="0" t="s">
        <v>585</v>
      </c>
      <c r="B33" s="0" t="s">
        <v>52</v>
      </c>
      <c r="C33" s="12" t="n">
        <f aca="false">tk_cx_h100/(tk_cx_h100+tk_fac*(1-colo_sh))</f>
        <v>0.730756458006641</v>
      </c>
      <c r="D33" s="12" t="n">
        <f aca="false">tk_cx_h100/(tk_cx_h100+tk_fac*(1-colo_sh))</f>
        <v>0.730756458006641</v>
      </c>
      <c r="E33" s="12" t="n">
        <f aca="false">Thesis!$F$33</f>
        <v>0.760792334328868</v>
      </c>
      <c r="F33" s="12" t="n">
        <f aca="false">Thesis!$F$16/(Thesis!$F$16+tk_fac*(1-colo_sh))</f>
        <v>0.760792334328868</v>
      </c>
      <c r="G33" s="12" t="n">
        <f aca="false">Thesis!$G$16/(Thesis!$G$16+tk_fac*(1-colo_sh))</f>
        <v>0.760792334328868</v>
      </c>
      <c r="H33" s="12" t="n">
        <f aca="false">Thesis!$H$16/(Thesis!$H$16+tk_fac*(1-colo_sh))</f>
        <v>0.768110668862996</v>
      </c>
      <c r="I33" s="12" t="n">
        <f aca="false">Thesis!$I$16/(Thesis!$I$16+tk_fac*(1-colo_sh))</f>
        <v>0.77499450139483</v>
      </c>
      <c r="J33" s="12" t="n">
        <f aca="false">Thesis!$J$16/(Thesis!$J$16+tk_fac*(1-colo_sh))</f>
        <v>0.77499450139483</v>
      </c>
      <c r="K33" s="12" t="n">
        <f aca="false">Thesis!$K$16/(Thesis!$K$16+tk_fac*(1-colo_sh))</f>
        <v>0.77499450139483</v>
      </c>
      <c r="L33" s="12" t="n">
        <f aca="false">Thesis!$L$16/(Thesis!$L$16+tk_fac*(1-colo_sh))</f>
        <v>0.77499450139483</v>
      </c>
      <c r="M33" s="12" t="n">
        <f aca="false">Thesis!$M$16/(Thesis!$M$16+tk_fac*(1-colo_sh))</f>
        <v>0.77499450139483</v>
      </c>
    </row>
    <row r="34" customFormat="false" ht="17.15" hidden="false" customHeight="false" outlineLevel="0" collapsed="false">
      <c r="A34" s="1" t="s">
        <v>586</v>
      </c>
      <c r="B34" s="8" t="s">
        <v>73</v>
      </c>
      <c r="C34" s="38" t="n">
        <f aca="false">Q!$D$46-cx_rt*Q!$D$16-cx_awso*Thesis!$C$29</f>
        <v>25.2781053077374</v>
      </c>
      <c r="D34" s="38" t="n">
        <f aca="false">Q!$E$46-cx_rt*Q!$E$16-cx_awso*Thesis!$D$29</f>
        <v>69.5686316310026</v>
      </c>
      <c r="E34" s="38" t="n">
        <f aca="false">Q!$P$46-cx_rt*Q!$P$16-cx_awso*Thesis!$E$29</f>
        <v>64.1899206485108</v>
      </c>
      <c r="F34" s="38" t="n">
        <f aca="false">MAX(Thesis!$F$11*(Thesis!$F$16+tk_fac*(1-colo_sh))/1000,capex_g26-Q!$P$46-Thesis!$F$32)</f>
        <v>98.862028245</v>
      </c>
      <c r="G34" s="38" t="n">
        <f aca="false">Thesis!$E$34+Thesis!$F$34</f>
        <v>163.051948893511</v>
      </c>
      <c r="H34" s="38" t="n">
        <f aca="false">Thesis!$H$11*(Thesis!$H$16+tk_fac*(1-colo_sh))/1000+Thesis!$H$35</f>
        <v>203.9641486225</v>
      </c>
      <c r="I34" s="38" t="n">
        <f aca="false">Thesis!$I$11*(Thesis!$I$16+tk_fac*(1-colo_sh))/1000+Thesis!$I$35</f>
        <v>210.204240755</v>
      </c>
      <c r="J34" s="38" t="n">
        <f aca="false">Thesis!$J$11*(Thesis!$J$16+tk_fac*(1-colo_sh))/1000+Thesis!$J$35</f>
        <v>215.441008955</v>
      </c>
      <c r="K34" s="38" t="n">
        <f aca="false">Thesis!$K$11*(Thesis!$K$16+tk_fac*(1-colo_sh))/1000+Thesis!$K$35</f>
        <v>220.677777155</v>
      </c>
      <c r="L34" s="38" t="n">
        <f aca="false">Thesis!$L$11*(Thesis!$L$16+tk_fac*(1-colo_sh))/1000+Thesis!$L$35</f>
        <v>257.335154555</v>
      </c>
      <c r="M34" s="38" t="n">
        <f aca="false">Thesis!$M$11*(Thesis!$M$16+tk_fac*(1-colo_sh))/1000+Thesis!$M$35</f>
        <v>319.5872365325</v>
      </c>
      <c r="P34" s="5" t="s">
        <v>587</v>
      </c>
      <c r="R34" s="38" t="n">
        <f aca="false">Q!$C$46-cx_rt*Q!$C$16-cx_awso*(Q!$C$7-mw_ye23/2*rpm_open/1000)</f>
        <v>1.50429979529945</v>
      </c>
      <c r="S34" s="38" t="n">
        <f aca="false">Thesis!$C$34</f>
        <v>25.2781053077374</v>
      </c>
      <c r="T34" s="38" t="n">
        <f aca="false">Thesis!$D$34</f>
        <v>69.5686316310026</v>
      </c>
      <c r="U34" s="38" t="n">
        <f aca="false">Thesis!$G$34</f>
        <v>163.051948893511</v>
      </c>
      <c r="V34" s="38" t="n">
        <f aca="false">Thesis!$H$34</f>
        <v>203.9641486225</v>
      </c>
      <c r="W34" s="38" t="n">
        <f aca="false">Thesis!$I$34</f>
        <v>210.204240755</v>
      </c>
      <c r="X34" s="38" t="n">
        <f aca="false">Thesis!$J$34</f>
        <v>215.441008955</v>
      </c>
      <c r="Y34" s="38" t="n">
        <f aca="false">Thesis!$K$34</f>
        <v>220.677777155</v>
      </c>
      <c r="Z34" s="38" t="n">
        <f aca="false">Thesis!$L$34</f>
        <v>257.335154555</v>
      </c>
      <c r="AA34" s="38" t="n">
        <f aca="false">Thesis!$M$34</f>
        <v>319.5872365325</v>
      </c>
    </row>
    <row r="35" customFormat="false" ht="17.15" hidden="false" customHeight="false" outlineLevel="0" collapsed="false">
      <c r="A35" s="0" t="s">
        <v>588</v>
      </c>
      <c r="B35" s="0" t="s">
        <v>73</v>
      </c>
      <c r="H35" s="38" t="n">
        <f aca="false">SUMPRODUCT(--(Thesis!$R$5:$AA$5=2027-tk_life),Thesis!$R$11:$AA$11)*Thesis!$H$16/1000</f>
        <v>0</v>
      </c>
      <c r="I35" s="38" t="n">
        <f aca="false">SUMPRODUCT(--(Thesis!$R$5:$AA$5=2028-tk_life),Thesis!$R$11:$AA$11)*Thesis!$I$16/1000</f>
        <v>0</v>
      </c>
      <c r="J35" s="38" t="n">
        <f aca="false">SUMPRODUCT(--(Thesis!$R$5:$AA$5=2029-tk_life),Thesis!$R$11:$AA$11)*Thesis!$J$16/1000</f>
        <v>5.2367682</v>
      </c>
      <c r="K35" s="38" t="n">
        <f aca="false">SUMPRODUCT(--(Thesis!$R$5:$AA$5=2030-tk_life),Thesis!$R$11:$AA$11)*Thesis!$K$16/1000</f>
        <v>10.4735364</v>
      </c>
      <c r="L35" s="38" t="n">
        <f aca="false">SUMPRODUCT(--(Thesis!$R$5:$AA$5=2031-tk_life),Thesis!$R$11:$AA$11)*Thesis!$L$16/1000</f>
        <v>47.1309138</v>
      </c>
      <c r="M35" s="38" t="n">
        <f aca="false">SUMPRODUCT(--(Thesis!$R$5:$AA$5=2032-tk_life),Thesis!$R$11:$AA$11)*Thesis!$M$16/1000</f>
        <v>109.3829957775</v>
      </c>
    </row>
    <row r="36" customFormat="false" ht="17.15" hidden="false" customHeight="false" outlineLevel="0" collapsed="false">
      <c r="A36" s="5" t="s">
        <v>589</v>
      </c>
      <c r="B36" s="0" t="s">
        <v>73</v>
      </c>
      <c r="C36" s="38" t="n">
        <f aca="false">Thesis!$C$34*Thesis!$C$33</f>
        <v>18.472138699801</v>
      </c>
      <c r="D36" s="38" t="n">
        <f aca="false">Thesis!$D$34*Thesis!$D$33</f>
        <v>50.8377268390402</v>
      </c>
      <c r="E36" s="38" t="n">
        <f aca="false">Thesis!$E$34*Thesis!$E$33</f>
        <v>48.8351995705653</v>
      </c>
      <c r="F36" s="38" t="n">
        <f aca="false">Thesis!$F$34*Thesis!$F$33</f>
        <v>75.213473245</v>
      </c>
      <c r="G36" s="38" t="n">
        <f aca="false">Thesis!$E$36+Thesis!$F$36</f>
        <v>124.048672815565</v>
      </c>
      <c r="H36" s="38" t="n">
        <f aca="false">(Thesis!$H$34-Thesis!$H$35)*Thesis!$H$33+Thesis!$H$35</f>
        <v>156.6670386225</v>
      </c>
      <c r="I36" s="38" t="n">
        <f aca="false">(Thesis!$I$34-Thesis!$I$35)*Thesis!$I$33+Thesis!$I$35</f>
        <v>162.907130755</v>
      </c>
      <c r="J36" s="38" t="n">
        <f aca="false">(Thesis!$J$34-Thesis!$J$35)*Thesis!$J$33+Thesis!$J$35</f>
        <v>168.143898955</v>
      </c>
      <c r="K36" s="38" t="n">
        <f aca="false">(Thesis!$K$34-Thesis!$K$35)*Thesis!$K$33+Thesis!$K$35</f>
        <v>173.380667155</v>
      </c>
      <c r="L36" s="38" t="n">
        <f aca="false">(Thesis!$L$34-Thesis!$L$35)*Thesis!$L$33+Thesis!$L$35</f>
        <v>210.038044555</v>
      </c>
      <c r="M36" s="38" t="n">
        <f aca="false">(Thesis!$M$34-Thesis!$M$35)*Thesis!$M$33+Thesis!$M$35</f>
        <v>272.2901265325</v>
      </c>
      <c r="R36" s="38" t="n">
        <f aca="false">Thesis!$R$34*Thesis!$C$33</f>
        <v>1.09927679019314</v>
      </c>
      <c r="S36" s="38" t="n">
        <f aca="false">Thesis!$C$36</f>
        <v>18.472138699801</v>
      </c>
      <c r="T36" s="38" t="n">
        <f aca="false">Thesis!$D$36</f>
        <v>50.8377268390402</v>
      </c>
      <c r="U36" s="38" t="n">
        <f aca="false">Thesis!$G$36</f>
        <v>124.048672815565</v>
      </c>
      <c r="V36" s="38" t="n">
        <f aca="false">Thesis!$H$36</f>
        <v>156.6670386225</v>
      </c>
      <c r="W36" s="38" t="n">
        <f aca="false">Thesis!$I$36</f>
        <v>162.907130755</v>
      </c>
      <c r="X36" s="38" t="n">
        <f aca="false">Thesis!$J$36</f>
        <v>168.143898955</v>
      </c>
      <c r="Y36" s="38" t="n">
        <f aca="false">Thesis!$K$36</f>
        <v>173.380667155</v>
      </c>
      <c r="Z36" s="38" t="n">
        <f aca="false">Thesis!$L$36</f>
        <v>210.038044555</v>
      </c>
      <c r="AA36" s="38" t="n">
        <f aca="false">Thesis!$M$36</f>
        <v>272.2901265325</v>
      </c>
    </row>
    <row r="37" customFormat="false" ht="15" hidden="false" customHeight="false" outlineLevel="0" collapsed="false">
      <c r="A37" s="5" t="s">
        <v>590</v>
      </c>
      <c r="B37" s="0" t="s">
        <v>73</v>
      </c>
      <c r="C37" s="38" t="n">
        <f aca="false">Thesis!$C$34-Thesis!$C$36</f>
        <v>6.80596660793636</v>
      </c>
      <c r="D37" s="38" t="n">
        <f aca="false">Thesis!$D$34-Thesis!$D$36</f>
        <v>18.7309047919624</v>
      </c>
      <c r="E37" s="38" t="n">
        <f aca="false">Thesis!$E$34-Thesis!$E$36</f>
        <v>15.3547210779455</v>
      </c>
      <c r="F37" s="38" t="n">
        <f aca="false">Thesis!$F$34-Thesis!$F$36</f>
        <v>23.648555</v>
      </c>
      <c r="G37" s="38" t="n">
        <f aca="false">Thesis!$G$34-Thesis!$G$36</f>
        <v>39.0032760779455</v>
      </c>
      <c r="H37" s="38" t="n">
        <f aca="false">Thesis!$H$34-Thesis!$H$36</f>
        <v>47.29711</v>
      </c>
      <c r="I37" s="38" t="n">
        <f aca="false">Thesis!$I$34-Thesis!$I$36</f>
        <v>47.29711</v>
      </c>
      <c r="J37" s="38" t="n">
        <f aca="false">Thesis!$J$34-Thesis!$J$36</f>
        <v>47.29711</v>
      </c>
      <c r="K37" s="38" t="n">
        <f aca="false">Thesis!$K$34-Thesis!$K$36</f>
        <v>47.29711</v>
      </c>
      <c r="L37" s="38" t="n">
        <f aca="false">Thesis!$L$34-Thesis!$L$36</f>
        <v>47.29711</v>
      </c>
      <c r="M37" s="38" t="n">
        <f aca="false">Thesis!$M$34-Thesis!$M$36</f>
        <v>47.29711</v>
      </c>
      <c r="R37" s="38" t="n">
        <f aca="false">Thesis!$R$34-Thesis!$R$36</f>
        <v>0.405023005106309</v>
      </c>
      <c r="S37" s="38" t="n">
        <f aca="false">Thesis!$S$34-Thesis!$S$36</f>
        <v>6.80596660793636</v>
      </c>
      <c r="T37" s="38" t="n">
        <f aca="false">Thesis!$T$34-Thesis!$T$36</f>
        <v>18.7309047919624</v>
      </c>
      <c r="U37" s="38" t="n">
        <f aca="false">Thesis!$U$34-Thesis!$U$36</f>
        <v>39.0032760779455</v>
      </c>
      <c r="V37" s="38" t="n">
        <f aca="false">Thesis!$V$34-Thesis!$V$36</f>
        <v>47.29711</v>
      </c>
      <c r="W37" s="38" t="n">
        <f aca="false">Thesis!$W$34-Thesis!$W$36</f>
        <v>47.29711</v>
      </c>
      <c r="X37" s="38" t="n">
        <f aca="false">Thesis!$X$34-Thesis!$X$36</f>
        <v>47.29711</v>
      </c>
      <c r="Y37" s="38" t="n">
        <f aca="false">Thesis!$Y$34-Thesis!$Y$36</f>
        <v>47.29711</v>
      </c>
      <c r="Z37" s="38" t="n">
        <f aca="false">Thesis!$Z$34-Thesis!$Z$36</f>
        <v>47.29711</v>
      </c>
      <c r="AA37" s="38" t="n">
        <f aca="false">Thesis!$AA$34-Thesis!$AA$36</f>
        <v>47.29711</v>
      </c>
    </row>
    <row r="38" customFormat="false" ht="17.15" hidden="false" customHeight="false" outlineLevel="0" collapsed="false">
      <c r="A38" s="0" t="s">
        <v>591</v>
      </c>
      <c r="B38" s="0" t="s">
        <v>52</v>
      </c>
      <c r="C38" s="12" t="n">
        <f aca="false">Thesis!$C$34/CF!$C$24</f>
        <v>0.325505489553393</v>
      </c>
      <c r="D38" s="12" t="n">
        <f aca="false">Thesis!$D$34/CF!$D$24</f>
        <v>0.54214956071542</v>
      </c>
      <c r="E38" s="12" t="n">
        <f aca="false">Thesis!$E$34/CF!$E$24</f>
        <v>0.666492790452817</v>
      </c>
      <c r="F38" s="12" t="n">
        <f aca="false">Thesis!$F$34/CF!$F$24</f>
        <v>0.728713071473809</v>
      </c>
      <c r="G38" s="12" t="n">
        <f aca="false">Thesis!$G$34/CF!$G$24</f>
        <v>0.702881004177423</v>
      </c>
      <c r="H38" s="12" t="n">
        <f aca="false">Thesis!$H$34/CF!$H$24</f>
        <v>0.720052451674134</v>
      </c>
      <c r="I38" s="12" t="n">
        <f aca="false">Thesis!$I$34/CF!$I$24</f>
        <v>0.701868749462843</v>
      </c>
      <c r="J38" s="12" t="n">
        <f aca="false">Thesis!$J$34/CF!$J$24</f>
        <v>0.686934266880376</v>
      </c>
      <c r="K38" s="12" t="n">
        <f aca="false">Thesis!$K$34/CF!$K$24</f>
        <v>0.677043024274312</v>
      </c>
      <c r="L38" s="12" t="n">
        <f aca="false">Thesis!$L$34/CF!$L$24</f>
        <v>0.695098030983974</v>
      </c>
      <c r="M38" s="12" t="n">
        <f aca="false">Thesis!$M$34/CF!$M$24</f>
        <v>0.725255703826959</v>
      </c>
    </row>
    <row r="39" customFormat="false" ht="17.15" hidden="false" customHeight="false" outlineLevel="0" collapsed="false">
      <c r="A39" s="0" t="s">
        <v>592</v>
      </c>
      <c r="B39" s="0" t="s">
        <v>73</v>
      </c>
      <c r="C39" s="38" t="n">
        <f aca="false">Thesis!$S$39</f>
        <v>0.183212798365523</v>
      </c>
      <c r="D39" s="38" t="n">
        <f aca="false">Thesis!$T$39</f>
        <v>3.2619025816657</v>
      </c>
      <c r="E39" s="38" t="n">
        <f aca="false">Thesis!$G$39/2</f>
        <v>5.86742852741953</v>
      </c>
      <c r="F39" s="38" t="n">
        <f aca="false">Thesis!$G$39/2</f>
        <v>5.86742852741953</v>
      </c>
      <c r="G39" s="38" t="n">
        <f aca="false">Thesis!$U$39</f>
        <v>11.7348570548391</v>
      </c>
      <c r="H39" s="38" t="n">
        <f aca="false">Thesis!$V$39</f>
        <v>32.4096358574333</v>
      </c>
      <c r="I39" s="38" t="n">
        <f aca="false">Thesis!$W$39</f>
        <v>58.5208089611833</v>
      </c>
      <c r="J39" s="38" t="n">
        <f aca="false">Thesis!$X$39</f>
        <v>85.67199742035</v>
      </c>
      <c r="K39" s="38" t="n">
        <f aca="false">Thesis!$Y$39</f>
        <v>113.512767781151</v>
      </c>
      <c r="L39" s="38" t="n">
        <f aca="false">Thesis!$Z$39</f>
        <v>139.330855857018</v>
      </c>
      <c r="M39" s="38" t="n">
        <f aca="false">Thesis!$AA$39</f>
        <v>165.864242143011</v>
      </c>
      <c r="N39" s="38" t="n">
        <f aca="false">Thesis!$D$39/2</f>
        <v>1.63095129083285</v>
      </c>
      <c r="O39" s="38" t="n">
        <f aca="false">Thesis!$D$39/2</f>
        <v>1.63095129083285</v>
      </c>
      <c r="R39" s="38" t="n">
        <f aca="false">SUMPRODUCT(--(Thesis!$R$5:$AA$5&lt;Thesis!R$5),--(Thesis!$R$5:$AA$5&gt;=Thesis!R$5-tk_life),Thesis!$R$36:$AA$36)/tk_life</f>
        <v>0</v>
      </c>
      <c r="S39" s="38" t="n">
        <f aca="false">SUMPRODUCT(--(Thesis!$R$5:$AA$5&lt;Thesis!S$5),--(Thesis!$R$5:$AA$5&gt;=Thesis!S$5-tk_life),Thesis!$R$36:$AA$36)/tk_life</f>
        <v>0.183212798365523</v>
      </c>
      <c r="T39" s="38" t="n">
        <f aca="false">SUMPRODUCT(--(Thesis!$R$5:$AA$5&lt;Thesis!T$5),--(Thesis!$R$5:$AA$5&gt;=Thesis!T$5-tk_life),Thesis!$R$36:$AA$36)/tk_life</f>
        <v>3.2619025816657</v>
      </c>
      <c r="U39" s="38" t="n">
        <f aca="false">SUMPRODUCT(--(Thesis!$R$5:$AA$5&lt;Thesis!U$5),--(Thesis!$R$5:$AA$5&gt;=Thesis!U$5-tk_life),Thesis!$R$36:$AA$36)/tk_life</f>
        <v>11.7348570548391</v>
      </c>
      <c r="V39" s="38" t="n">
        <f aca="false">SUMPRODUCT(--(Thesis!$R$5:$AA$5&lt;Thesis!V$5),--(Thesis!$R$5:$AA$5&gt;=Thesis!V$5-tk_life),Thesis!$R$36:$AA$36)/tk_life</f>
        <v>32.4096358574333</v>
      </c>
      <c r="W39" s="38" t="n">
        <f aca="false">SUMPRODUCT(--(Thesis!$R$5:$AA$5&lt;Thesis!W$5),--(Thesis!$R$5:$AA$5&gt;=Thesis!W$5-tk_life),Thesis!$R$36:$AA$36)/tk_life</f>
        <v>58.5208089611833</v>
      </c>
      <c r="X39" s="38" t="n">
        <f aca="false">SUMPRODUCT(--(Thesis!$R$5:$AA$5&lt;Thesis!X$5),--(Thesis!$R$5:$AA$5&gt;=Thesis!X$5-tk_life),Thesis!$R$36:$AA$36)/tk_life</f>
        <v>85.67199742035</v>
      </c>
      <c r="Y39" s="38" t="n">
        <f aca="false">SUMPRODUCT(--(Thesis!$R$5:$AA$5&lt;Thesis!Y$5),--(Thesis!$R$5:$AA$5&gt;=Thesis!Y$5-tk_life),Thesis!$R$36:$AA$36)/tk_life</f>
        <v>113.512767781151</v>
      </c>
      <c r="Z39" s="38" t="n">
        <f aca="false">SUMPRODUCT(--(Thesis!$R$5:$AA$5&lt;Thesis!Z$5),--(Thesis!$R$5:$AA$5&gt;=Thesis!Z$5-tk_life),Thesis!$R$36:$AA$36)/tk_life</f>
        <v>139.330855857018</v>
      </c>
      <c r="AA39" s="38" t="n">
        <f aca="false">SUMPRODUCT(--(Thesis!$R$5:$AA$5&lt;Thesis!AA$5),--(Thesis!$R$5:$AA$5&gt;=Thesis!AA$5-tk_life),Thesis!$R$36:$AA$36)/tk_life</f>
        <v>165.864242143011</v>
      </c>
    </row>
    <row r="40" customFormat="false" ht="17.15" hidden="false" customHeight="false" outlineLevel="0" collapsed="false">
      <c r="A40" s="0" t="s">
        <v>593</v>
      </c>
      <c r="B40" s="0" t="s">
        <v>73</v>
      </c>
      <c r="C40" s="38" t="n">
        <f aca="false">Thesis!$S$40</f>
        <v>0.0202511502553155</v>
      </c>
      <c r="D40" s="38" t="n">
        <f aca="false">Thesis!$T$40</f>
        <v>0.360549480652134</v>
      </c>
      <c r="E40" s="38" t="n">
        <f aca="false">Thesis!$G$40/2</f>
        <v>0.648547360125127</v>
      </c>
      <c r="F40" s="38" t="n">
        <f aca="false">Thesis!$G$40/2</f>
        <v>0.648547360125127</v>
      </c>
      <c r="G40" s="38" t="n">
        <f aca="false">Thesis!$U$40</f>
        <v>1.29709472025025</v>
      </c>
      <c r="H40" s="38" t="n">
        <f aca="false">Thesis!$V$40</f>
        <v>3.24725852414753</v>
      </c>
      <c r="I40" s="38" t="n">
        <f aca="false">Thesis!$W$40</f>
        <v>5.61211402414753</v>
      </c>
      <c r="J40" s="38" t="n">
        <f aca="false">Thesis!$X$40</f>
        <v>7.97696952414753</v>
      </c>
      <c r="K40" s="38" t="n">
        <f aca="false">Thesis!$Y$40</f>
        <v>10.3418250241475</v>
      </c>
      <c r="L40" s="38" t="n">
        <f aca="false">Thesis!$Z$40</f>
        <v>12.7066805241475</v>
      </c>
      <c r="M40" s="38" t="n">
        <f aca="false">Thesis!$AA$40</f>
        <v>15.0715360241475</v>
      </c>
      <c r="N40" s="38" t="n">
        <f aca="false">Thesis!$D$40/2</f>
        <v>0.180274740326067</v>
      </c>
      <c r="O40" s="38" t="n">
        <f aca="false">Thesis!$D$40/2</f>
        <v>0.180274740326067</v>
      </c>
      <c r="R40" s="38" t="n">
        <f aca="false">SUMPRODUCT(--(Thesis!$R$5:$AA$5&lt;Thesis!R$5),Thesis!$R$37:$AA$37)/fac_life</f>
        <v>0</v>
      </c>
      <c r="S40" s="38" t="n">
        <f aca="false">SUMPRODUCT(--(Thesis!$R$5:$AA$5&lt;Thesis!S$5),Thesis!$R$37:$AA$37)/fac_life</f>
        <v>0.0202511502553155</v>
      </c>
      <c r="T40" s="38" t="n">
        <f aca="false">SUMPRODUCT(--(Thesis!$R$5:$AA$5&lt;Thesis!T$5),Thesis!$R$37:$AA$37)/fac_life</f>
        <v>0.360549480652134</v>
      </c>
      <c r="U40" s="38" t="n">
        <f aca="false">SUMPRODUCT(--(Thesis!$R$5:$AA$5&lt;Thesis!U$5),Thesis!$R$37:$AA$37)/fac_life</f>
        <v>1.29709472025025</v>
      </c>
      <c r="V40" s="38" t="n">
        <f aca="false">SUMPRODUCT(--(Thesis!$R$5:$AA$5&lt;Thesis!V$5),Thesis!$R$37:$AA$37)/fac_life</f>
        <v>3.24725852414753</v>
      </c>
      <c r="W40" s="38" t="n">
        <f aca="false">SUMPRODUCT(--(Thesis!$R$5:$AA$5&lt;Thesis!W$5),Thesis!$R$37:$AA$37)/fac_life</f>
        <v>5.61211402414753</v>
      </c>
      <c r="X40" s="38" t="n">
        <f aca="false">SUMPRODUCT(--(Thesis!$R$5:$AA$5&lt;Thesis!X$5),Thesis!$R$37:$AA$37)/fac_life</f>
        <v>7.97696952414753</v>
      </c>
      <c r="Y40" s="38" t="n">
        <f aca="false">SUMPRODUCT(--(Thesis!$R$5:$AA$5&lt;Thesis!Y$5),Thesis!$R$37:$AA$37)/fac_life</f>
        <v>10.3418250241475</v>
      </c>
      <c r="Z40" s="38" t="n">
        <f aca="false">SUMPRODUCT(--(Thesis!$R$5:$AA$5&lt;Thesis!Z$5),Thesis!$R$37:$AA$37)/fac_life</f>
        <v>12.7066805241475</v>
      </c>
      <c r="AA40" s="38" t="n">
        <f aca="false">SUMPRODUCT(--(Thesis!$R$5:$AA$5&lt;Thesis!AA$5),Thesis!$R$37:$AA$37)/fac_life</f>
        <v>15.0715360241475</v>
      </c>
    </row>
    <row r="41" customFormat="false" ht="17.15" hidden="false" customHeight="false" outlineLevel="0" collapsed="false">
      <c r="A41" s="1" t="s">
        <v>594</v>
      </c>
      <c r="B41" s="8" t="s">
        <v>73</v>
      </c>
      <c r="C41" s="38" t="n">
        <f aca="false">Thesis!$C$39+Thesis!$C$40</f>
        <v>0.203463948620839</v>
      </c>
      <c r="D41" s="38" t="n">
        <f aca="false">Thesis!$D$39+Thesis!$D$40</f>
        <v>3.62245206231783</v>
      </c>
      <c r="E41" s="38" t="n">
        <f aca="false">Thesis!$E$39+Thesis!$E$40</f>
        <v>6.51597588754466</v>
      </c>
      <c r="F41" s="38" t="n">
        <f aca="false">Thesis!$F$39+Thesis!$F$40</f>
        <v>6.51597588754466</v>
      </c>
      <c r="G41" s="38" t="n">
        <f aca="false">Thesis!$G$39+Thesis!$G$40</f>
        <v>13.0319517750893</v>
      </c>
      <c r="H41" s="38" t="n">
        <f aca="false">Thesis!$H$39+Thesis!$H$40</f>
        <v>35.6568943815808</v>
      </c>
      <c r="I41" s="38" t="n">
        <f aca="false">Thesis!$I$39+Thesis!$I$40</f>
        <v>64.1329229853308</v>
      </c>
      <c r="J41" s="38" t="n">
        <f aca="false">Thesis!$J$39+Thesis!$J$40</f>
        <v>93.6489669444975</v>
      </c>
      <c r="K41" s="38" t="n">
        <f aca="false">Thesis!$K$39+Thesis!$K$40</f>
        <v>123.854592805299</v>
      </c>
      <c r="L41" s="38" t="n">
        <f aca="false">Thesis!$L$39+Thesis!$L$40</f>
        <v>152.037536381165</v>
      </c>
      <c r="M41" s="38" t="n">
        <f aca="false">Thesis!$M$39+Thesis!$M$40</f>
        <v>180.935778167158</v>
      </c>
      <c r="N41" s="38" t="n">
        <f aca="false">Thesis!$N$39+Thesis!$N$40</f>
        <v>1.81122603115892</v>
      </c>
      <c r="O41" s="38" t="n">
        <f aca="false">Thesis!$O$39+Thesis!$O$40</f>
        <v>1.81122603115892</v>
      </c>
      <c r="R41" s="38" t="n">
        <f aca="false">Thesis!$R$39+Thesis!$R$40</f>
        <v>0</v>
      </c>
      <c r="S41" s="38" t="n">
        <f aca="false">Thesis!$S$39+Thesis!$S$40</f>
        <v>0.203463948620839</v>
      </c>
      <c r="T41" s="38" t="n">
        <f aca="false">Thesis!$T$39+Thesis!$T$40</f>
        <v>3.62245206231783</v>
      </c>
      <c r="U41" s="38" t="n">
        <f aca="false">Thesis!$U$39+Thesis!$U$40</f>
        <v>13.0319517750893</v>
      </c>
      <c r="V41" s="38" t="n">
        <f aca="false">Thesis!$V$39+Thesis!$V$40</f>
        <v>35.6568943815808</v>
      </c>
      <c r="W41" s="38" t="n">
        <f aca="false">Thesis!$W$39+Thesis!$W$40</f>
        <v>64.1329229853308</v>
      </c>
      <c r="X41" s="38" t="n">
        <f aca="false">Thesis!$X$39+Thesis!$X$40</f>
        <v>93.6489669444975</v>
      </c>
      <c r="Y41" s="38" t="n">
        <f aca="false">Thesis!$Y$39+Thesis!$Y$40</f>
        <v>123.854592805299</v>
      </c>
      <c r="Z41" s="38" t="n">
        <f aca="false">Thesis!$Z$39+Thesis!$Z$40</f>
        <v>152.037536381165</v>
      </c>
      <c r="AA41" s="38" t="n">
        <f aca="false">Thesis!$AA$39+Thesis!$AA$40</f>
        <v>180.935778167158</v>
      </c>
    </row>
    <row r="42" customFormat="false" ht="17.15" hidden="false" customHeight="false" outlineLevel="0" collapsed="false">
      <c r="A42" s="0" t="s">
        <v>595</v>
      </c>
      <c r="B42" s="0" t="s">
        <v>73</v>
      </c>
      <c r="C42" s="38" t="n">
        <f aca="false">Thesis!$S$42</f>
        <v>26.578941154416</v>
      </c>
      <c r="D42" s="38" t="n">
        <f aca="false">Thesis!$T$42</f>
        <v>92.5251207231008</v>
      </c>
      <c r="G42" s="38" t="n">
        <f aca="false">Thesis!$U$42</f>
        <v>242.545117841522</v>
      </c>
      <c r="H42" s="38" t="n">
        <f aca="false">Thesis!$V$42</f>
        <v>410.852372082442</v>
      </c>
      <c r="I42" s="38" t="n">
        <f aca="false">Thesis!$W$42</f>
        <v>556.923689852111</v>
      </c>
      <c r="J42" s="38" t="n">
        <f aca="false">Thesis!$X$42</f>
        <v>678.715731862613</v>
      </c>
      <c r="K42" s="38" t="n">
        <f aca="false">Thesis!$Y$42</f>
        <v>775.538916212315</v>
      </c>
      <c r="L42" s="38" t="n">
        <f aca="false">Thesis!$Z$42</f>
        <v>880.836534386149</v>
      </c>
      <c r="M42" s="38" t="n">
        <f aca="false">Thesis!$AA$42</f>
        <v>1019.48799275149</v>
      </c>
      <c r="R42" s="38" t="n">
        <f aca="false">SUM(Thesis!$R$34:$R$34)-SUM(Thesis!$R$41:$R$41)</f>
        <v>1.50429979529945</v>
      </c>
      <c r="S42" s="38" t="n">
        <f aca="false">SUM(Thesis!$R$34:$S$34)-SUM(Thesis!$R$41:$S$41)</f>
        <v>26.578941154416</v>
      </c>
      <c r="T42" s="38" t="n">
        <f aca="false">SUM(Thesis!$R$34:$T$34)-SUM(Thesis!$R$41:$T$41)</f>
        <v>92.5251207231008</v>
      </c>
      <c r="U42" s="38" t="n">
        <f aca="false">SUM(Thesis!$R$34:$U$34)-SUM(Thesis!$R$41:$U$41)</f>
        <v>242.545117841522</v>
      </c>
      <c r="V42" s="38" t="n">
        <f aca="false">SUM(Thesis!$R$34:$V$34)-SUM(Thesis!$R$41:$V$41)</f>
        <v>410.852372082442</v>
      </c>
      <c r="W42" s="38" t="n">
        <f aca="false">SUM(Thesis!$R$34:$W$34)-SUM(Thesis!$R$41:$W$41)</f>
        <v>556.923689852111</v>
      </c>
      <c r="X42" s="38" t="n">
        <f aca="false">SUM(Thesis!$R$34:$X$34)-SUM(Thesis!$R$41:$X$41)</f>
        <v>678.715731862613</v>
      </c>
      <c r="Y42" s="38" t="n">
        <f aca="false">SUM(Thesis!$R$34:$Y$34)-SUM(Thesis!$R$41:$Y$41)</f>
        <v>775.538916212315</v>
      </c>
      <c r="Z42" s="38" t="n">
        <f aca="false">SUM(Thesis!$R$34:$Z$34)-SUM(Thesis!$R$41:$Z$41)</f>
        <v>880.836534386149</v>
      </c>
      <c r="AA42" s="38" t="n">
        <f aca="false">SUM(Thesis!$R$34:$AA$34)-SUM(Thesis!$R$41:$AA$41)</f>
        <v>1019.48799275149</v>
      </c>
    </row>
    <row r="43" customFormat="false" ht="17.15" hidden="false" customHeight="false" outlineLevel="0" collapsed="false">
      <c r="A43" s="1" t="s">
        <v>596</v>
      </c>
    </row>
    <row r="44" customFormat="false" ht="17.15" hidden="false" customHeight="false" outlineLevel="0" collapsed="false">
      <c r="A44" s="0" t="s">
        <v>597</v>
      </c>
      <c r="B44" s="0" t="s">
        <v>73</v>
      </c>
      <c r="C44" s="38" t="n">
        <f aca="false">Thesis!$C$25-ext_sh*Thesis!$C$27</f>
        <v>1.80694998843362</v>
      </c>
      <c r="D44" s="38" t="n">
        <f aca="false">Thesis!$D$25-ext_sh*Thesis!$D$27</f>
        <v>6.77606245662607</v>
      </c>
      <c r="E44" s="38" t="n">
        <f aca="false">Thesis!$E$25-ext_sh*Thesis!$E$27</f>
        <v>6.62548329092326</v>
      </c>
      <c r="F44" s="38" t="n">
        <f aca="false">Thesis!$F$25-ext_sh*Thesis!$F$27</f>
        <v>14.4996696128551</v>
      </c>
      <c r="G44" s="38" t="n">
        <f aca="false">Thesis!$G$25-ext_sh*Thesis!$G$27</f>
        <v>21.1251529037784</v>
      </c>
      <c r="H44" s="38" t="n">
        <f aca="false">Thesis!$H$25-ext_sh*Thesis!$H$27</f>
        <v>70.2126356677435</v>
      </c>
      <c r="I44" s="38" t="n">
        <f aca="false">Thesis!$I$25-ext_sh*Thesis!$I$27</f>
        <v>126.678603645079</v>
      </c>
      <c r="J44" s="38" t="n">
        <f aca="false">Thesis!$J$25-ext_sh*Thesis!$J$27</f>
        <v>183.417938128511</v>
      </c>
      <c r="K44" s="38" t="n">
        <f aca="false">Thesis!$K$25-ext_sh*Thesis!$K$27</f>
        <v>240.248394780643</v>
      </c>
      <c r="L44" s="38" t="n">
        <f aca="false">Thesis!$L$25-ext_sh*Thesis!$L$27</f>
        <v>297.120270600365</v>
      </c>
      <c r="M44" s="38" t="n">
        <f aca="false">Thesis!$M$25-ext_sh*Thesis!$M$27</f>
        <v>354.01444904879</v>
      </c>
      <c r="N44" s="38" t="n">
        <f aca="false">Thesis!$N$25-ext_sh*Thesis!$N$27</f>
        <v>2.37162185981912</v>
      </c>
      <c r="O44" s="38" t="n">
        <f aca="false">Thesis!$O$25-ext_sh*Thesis!$O$27</f>
        <v>4.40444059680694</v>
      </c>
    </row>
    <row r="45" customFormat="false" ht="17.15" hidden="false" customHeight="false" outlineLevel="0" collapsed="false">
      <c r="A45" s="1" t="s">
        <v>598</v>
      </c>
      <c r="B45" s="8" t="s">
        <v>73</v>
      </c>
      <c r="C45" s="38" t="n">
        <f aca="false">Thesis!$C$44-ext_sh*Thesis!$C$41</f>
        <v>1.64417882953695</v>
      </c>
      <c r="D45" s="38" t="n">
        <f aca="false">Thesis!$D$44-ext_sh*Thesis!$D$41</f>
        <v>3.8781008067718</v>
      </c>
      <c r="E45" s="38" t="n">
        <f aca="false">Thesis!$E$44-ext_sh*Thesis!$E$41</f>
        <v>1.41270258088753</v>
      </c>
      <c r="F45" s="38" t="n">
        <f aca="false">Thesis!$F$44-ext_sh*Thesis!$F$41</f>
        <v>9.28688890281936</v>
      </c>
      <c r="G45" s="38" t="n">
        <f aca="false">Thesis!$G$44-ext_sh*Thesis!$G$41</f>
        <v>10.6995914837069</v>
      </c>
      <c r="H45" s="38" t="n">
        <f aca="false">Thesis!$H$44-ext_sh*Thesis!$H$41</f>
        <v>41.6871201624788</v>
      </c>
      <c r="I45" s="38" t="n">
        <f aca="false">Thesis!$I$44-ext_sh*Thesis!$I$41</f>
        <v>75.3722652568139</v>
      </c>
      <c r="J45" s="38" t="n">
        <f aca="false">Thesis!$J$44-ext_sh*Thesis!$J$41</f>
        <v>108.498764572913</v>
      </c>
      <c r="K45" s="38" t="n">
        <f aca="false">Thesis!$K$44-ext_sh*Thesis!$K$41</f>
        <v>141.164720536404</v>
      </c>
      <c r="L45" s="38" t="n">
        <f aca="false">Thesis!$L$44-ext_sh*Thesis!$L$41</f>
        <v>175.490241495433</v>
      </c>
      <c r="M45" s="38" t="n">
        <f aca="false">Thesis!$M$44-ext_sh*Thesis!$M$41</f>
        <v>209.265826515063</v>
      </c>
      <c r="N45" s="38" t="n">
        <f aca="false">Thesis!$N$44-ext_sh*Thesis!$N$41</f>
        <v>0.92264103489199</v>
      </c>
      <c r="O45" s="38" t="n">
        <f aca="false">Thesis!$O$44-ext_sh*Thesis!$O$41</f>
        <v>2.95545977187981</v>
      </c>
    </row>
    <row r="46" customFormat="false" ht="17.15" hidden="false" customHeight="false" outlineLevel="0" collapsed="false">
      <c r="A46" s="0" t="s">
        <v>599</v>
      </c>
      <c r="B46" s="0" t="s">
        <v>52</v>
      </c>
      <c r="C46" s="12" t="n">
        <f aca="false">Thesis!$C$45/Thesis!$C$25</f>
        <v>0.708390794789371</v>
      </c>
      <c r="D46" s="12" t="n">
        <f aca="false">Thesis!$D$45/Thesis!$D$25</f>
        <v>0.445565630441968</v>
      </c>
      <c r="E46" s="12" t="n">
        <f aca="false">Thesis!$E$45/Thesis!$E$25</f>
        <v>0.165998118402711</v>
      </c>
      <c r="F46" s="12" t="n">
        <f aca="false">Thesis!$F$45/Thesis!$F$25</f>
        <v>0.522597540603814</v>
      </c>
      <c r="G46" s="12" t="n">
        <f aca="false">Thesis!$G$45/Thesis!$G$25</f>
        <v>0.407122915702863</v>
      </c>
      <c r="H46" s="12" t="n">
        <f aca="false">Thesis!$H$45/Thesis!$H$25</f>
        <v>0.501747428859124</v>
      </c>
      <c r="I46" s="12" t="n">
        <f aca="false">Thesis!$I$45/Thesis!$I$25</f>
        <v>0.509009675067759</v>
      </c>
      <c r="J46" s="12" t="n">
        <f aca="false">Thesis!$J$45/Thesis!$J$25</f>
        <v>0.508529537133494</v>
      </c>
      <c r="K46" s="12" t="n">
        <f aca="false">Thesis!$K$45/Thesis!$K$25</f>
        <v>0.50644637746917</v>
      </c>
      <c r="L46" s="12" t="n">
        <f aca="false">Thesis!$L$45/Thesis!$L$25</f>
        <v>0.509912581728373</v>
      </c>
      <c r="M46" s="12" t="n">
        <f aca="false">Thesis!$M$45/Thesis!$M$25</f>
        <v>0.51089936914589</v>
      </c>
      <c r="N46" s="12" t="n">
        <f aca="false">Thesis!$N$45/Thesis!$N$25</f>
        <v>0.302870734830849</v>
      </c>
      <c r="O46" s="12" t="n">
        <f aca="false">Thesis!$O$45/Thesis!$O$25</f>
        <v>0.52240134346334</v>
      </c>
    </row>
    <row r="47" customFormat="false" ht="17.15" hidden="false" customHeight="false" outlineLevel="0" collapsed="false">
      <c r="A47" s="5" t="s">
        <v>600</v>
      </c>
      <c r="B47" s="0" t="s">
        <v>73</v>
      </c>
      <c r="C47" s="38" t="n">
        <f aca="false">rd2*(1-ext_sh)/ext_sh*Thesis!$C$8*he_open*Thesis!$C$9/1000</f>
        <v>0</v>
      </c>
      <c r="D47" s="38" t="n">
        <f aca="false">rd2*(1-ext_sh)/ext_sh*Thesis!$D$8*he_open*Thesis!$D$9/1000</f>
        <v>0</v>
      </c>
      <c r="E47" s="38" t="n">
        <f aca="false">rd2*(1-ext_sh)/ext_sh*Thesis!$E$8*he_open*Thesis!$E$9/1000</f>
        <v>0</v>
      </c>
      <c r="F47" s="38" t="n">
        <f aca="false">rd2*(1-ext_sh)/ext_sh*(mw_open*he_open+Thesis!$F$23*Thesis!$F$20)*Thesis!$F$9/1000</f>
        <v>0</v>
      </c>
      <c r="G47" s="38" t="n">
        <f aca="false">Thesis!$E$47+Thesis!$F$47</f>
        <v>0</v>
      </c>
      <c r="H47" s="38" t="n">
        <f aca="false">rd2*(1-ext_sh)/ext_sh*(mw_open*he_open+Thesis!$H$23*Thesis!$H$20)*Thesis!$H$9/1000</f>
        <v>0</v>
      </c>
      <c r="I47" s="38" t="n">
        <f aca="false">rd2*(1-ext_sh)/ext_sh*(mw_open*he_open+Thesis!$I$23*Thesis!$I$20)*Thesis!$I$9/1000</f>
        <v>0</v>
      </c>
      <c r="J47" s="38" t="n">
        <f aca="false">rd2*(1-ext_sh)/ext_sh*(mw_open*he_open+Thesis!$J$23*Thesis!$J$20)*Thesis!$J$9/1000</f>
        <v>0</v>
      </c>
      <c r="K47" s="38" t="n">
        <f aca="false">rd2*(1-ext_sh)/ext_sh*(mw_open*he_open+Thesis!$K$23*Thesis!$K$20)*Thesis!$K$9/1000</f>
        <v>0</v>
      </c>
      <c r="L47" s="38" t="n">
        <f aca="false">rd2*(1-ext_sh)/ext_sh*(mw_open*he_open+Thesis!$L$23*Thesis!$L$20)*Thesis!$L$9/1000</f>
        <v>0</v>
      </c>
      <c r="M47" s="38" t="n">
        <f aca="false">rd2*(1-ext_sh)/ext_sh*(mw_open*he_open+Thesis!$M$23*Thesis!$M$20)*Thesis!$M$9/1000</f>
        <v>0</v>
      </c>
      <c r="N47" s="38" t="n">
        <f aca="false">rd2*(1-ext_sh)/ext_sh*Thesis!$N$8*he_open*Thesis!$N$9/1000</f>
        <v>0</v>
      </c>
      <c r="O47" s="38" t="n">
        <f aca="false">rd2*(1-ext_sh)/ext_sh*Thesis!$O$8*he_open*Thesis!$O$9/1000</f>
        <v>0</v>
      </c>
      <c r="P47" s="8" t="s">
        <v>601</v>
      </c>
    </row>
    <row r="48" customFormat="false" ht="17.15" hidden="false" customHeight="false" outlineLevel="0" collapsed="false">
      <c r="A48" s="5" t="s">
        <v>602</v>
      </c>
      <c r="B48" s="0" t="s">
        <v>73</v>
      </c>
      <c r="C48" s="38" t="n">
        <f aca="false">(1-ext_sh)*(Thesis!$C$27+Thesis!$C$41)-Thesis!$C$47</f>
        <v>0.169206631859174</v>
      </c>
      <c r="D48" s="38" t="n">
        <f aca="false">(1-ext_sh)*(Thesis!$D$27+Thesis!$D$41)-Thesis!$D$47</f>
        <v>1.20641732046984</v>
      </c>
      <c r="E48" s="38" t="n">
        <f aca="false">(1-ext_sh)*(Thesis!$E$27+Thesis!$E$41)-Thesis!$E$47</f>
        <v>1.77441259867062</v>
      </c>
      <c r="F48" s="38" t="n">
        <f aca="false">(1-ext_sh)*(Thesis!$F$27+Thesis!$F$41)-Thesis!$F$47</f>
        <v>2.12093592959819</v>
      </c>
      <c r="G48" s="38" t="n">
        <f aca="false">(1-ext_sh)*(Thesis!$G$27+Thesis!$G$41)-Thesis!$G$47</f>
        <v>3.89534852826881</v>
      </c>
      <c r="H48" s="38" t="n">
        <f aca="false">(1-ext_sh)*(Thesis!$H$27+Thesis!$H$41)-Thesis!$H$47</f>
        <v>10.3491884610362</v>
      </c>
      <c r="I48" s="38" t="n">
        <f aca="false">(1-ext_sh)*(Thesis!$I$27+Thesis!$I$41)-Thesis!$I$47</f>
        <v>18.1760066762954</v>
      </c>
      <c r="J48" s="38" t="n">
        <f aca="false">(1-ext_sh)*(Thesis!$J$27+Thesis!$J$41)-Thesis!$J$47</f>
        <v>26.2147693257273</v>
      </c>
      <c r="K48" s="38" t="n">
        <f aca="false">(1-ext_sh)*(Thesis!$K$27+Thesis!$K$41)-Thesis!$K$47</f>
        <v>34.3927621431825</v>
      </c>
      <c r="L48" s="38" t="n">
        <f aca="false">(1-ext_sh)*(Thesis!$L$27+Thesis!$L$41)-Thesis!$L$47</f>
        <v>42.1668156798765</v>
      </c>
      <c r="M48" s="38" t="n">
        <f aca="false">(1-ext_sh)*(Thesis!$M$27+Thesis!$M$41)-Thesis!$M$47</f>
        <v>50.0842504150251</v>
      </c>
      <c r="N48" s="38" t="n">
        <f aca="false">(1-ext_sh)*(Thesis!$N$27+Thesis!$N$41)-Thesis!$N$47</f>
        <v>0.530919624033979</v>
      </c>
      <c r="O48" s="38" t="n">
        <f aca="false">(1-ext_sh)*(Thesis!$O$27+Thesis!$O$41)-Thesis!$O$47</f>
        <v>0.675497696435861</v>
      </c>
    </row>
    <row r="49" customFormat="false" ht="17.15" hidden="false" customHeight="false" outlineLevel="0" collapsed="false">
      <c r="A49" s="0" t="s">
        <v>603</v>
      </c>
      <c r="B49" s="0" t="s">
        <v>73</v>
      </c>
      <c r="C49" s="38" t="n">
        <f aca="false">Q!$D$24</f>
        <v>39.834</v>
      </c>
      <c r="D49" s="38" t="n">
        <f aca="false">Q!$E$24</f>
        <v>45.606</v>
      </c>
      <c r="E49" s="38" t="n">
        <f aca="false">Q!$P$24</f>
        <v>30.782</v>
      </c>
      <c r="N49" s="38" t="n">
        <f aca="false">Q!$N$24</f>
        <v>21.707</v>
      </c>
      <c r="O49" s="38" t="n">
        <f aca="false">Q!$O$24</f>
        <v>23.899</v>
      </c>
    </row>
    <row r="50" customFormat="false" ht="17.15" hidden="false" customHeight="false" outlineLevel="0" collapsed="false">
      <c r="A50" s="0" t="s">
        <v>604</v>
      </c>
      <c r="B50" s="0" t="s">
        <v>73</v>
      </c>
      <c r="C50" s="38" t="n">
        <f aca="false">Thesis!$C$49-Thesis!$C$45</f>
        <v>38.1898211704631</v>
      </c>
      <c r="D50" s="38" t="n">
        <f aca="false">Thesis!$D$49-Thesis!$D$45</f>
        <v>41.7278991932282</v>
      </c>
      <c r="E50" s="38" t="n">
        <f aca="false">Thesis!$E$49-Thesis!$E$45</f>
        <v>29.3692974191125</v>
      </c>
      <c r="F50" s="38" t="n">
        <f aca="false">Thesis!$F$29*Thesis!$F$51</f>
        <v>29.458060516894</v>
      </c>
      <c r="G50" s="38" t="n">
        <f aca="false">Thesis!$E$50+Thesis!$F$50</f>
        <v>58.8273579360065</v>
      </c>
      <c r="H50" s="38" t="n">
        <f aca="false">Thesis!$H$29*Thesis!$H$51</f>
        <v>67.8004040185081</v>
      </c>
      <c r="I50" s="38" t="n">
        <f aca="false">Thesis!$I$29*Thesis!$I$51</f>
        <v>78.9527630302702</v>
      </c>
      <c r="J50" s="38" t="n">
        <f aca="false">Thesis!$J$29*Thesis!$J$51</f>
        <v>88.6042681781841</v>
      </c>
      <c r="K50" s="38" t="n">
        <f aca="false">Thesis!$K$29*Thesis!$K$51</f>
        <v>95.6926096324389</v>
      </c>
      <c r="L50" s="38" t="n">
        <f aca="false">Thesis!$L$29*Thesis!$L$51</f>
        <v>103.348018403034</v>
      </c>
      <c r="M50" s="38" t="n">
        <f aca="false">Thesis!$M$29*Thesis!$M$51</f>
        <v>111.615859875277</v>
      </c>
      <c r="N50" s="38" t="n">
        <f aca="false">Thesis!$N$49-Thesis!$N$45</f>
        <v>20.784358965108</v>
      </c>
      <c r="O50" s="38" t="n">
        <f aca="false">Thesis!$O$49-Thesis!$O$45</f>
        <v>20.9435402281202</v>
      </c>
      <c r="P50" s="5" t="s">
        <v>605</v>
      </c>
    </row>
    <row r="51" customFormat="false" ht="17.15" hidden="false" customHeight="false" outlineLevel="0" collapsed="false">
      <c r="A51" s="0" t="s">
        <v>606</v>
      </c>
      <c r="B51" s="0" t="s">
        <v>52</v>
      </c>
      <c r="C51" s="12" t="n">
        <f aca="false">Thesis!$C$50/Thesis!$C$29</f>
        <v>0.362900395443635</v>
      </c>
      <c r="D51" s="12" t="n">
        <f aca="false">Thesis!$D$50/Thesis!$D$29</f>
        <v>0.34767098474203</v>
      </c>
      <c r="E51" s="12" t="n">
        <f aca="false">Thesis!$E$50/Thesis!$E$29</f>
        <v>0.411861655558416</v>
      </c>
      <c r="F51" s="12" t="n">
        <f aca="false">(Thesis!$O$50+Thesis!$E$50)/(Thesis!$O$29+Thesis!$E$29)</f>
        <v>0.37480827803158</v>
      </c>
      <c r="G51" s="12" t="n">
        <f aca="false">Thesis!$G$50/Thesis!$G$29</f>
        <v>0.392434440489471</v>
      </c>
      <c r="H51" s="12" t="n">
        <f aca="false">Thesis!$F$51</f>
        <v>0.37480827803158</v>
      </c>
      <c r="I51" s="12" t="n">
        <f aca="false">Thesis!$F$51</f>
        <v>0.37480827803158</v>
      </c>
      <c r="J51" s="12" t="n">
        <f aca="false">Thesis!$F$51</f>
        <v>0.37480827803158</v>
      </c>
      <c r="K51" s="12" t="n">
        <f aca="false">Thesis!$F$51</f>
        <v>0.37480827803158</v>
      </c>
      <c r="L51" s="12" t="n">
        <f aca="false">Thesis!$F$51</f>
        <v>0.37480827803158</v>
      </c>
      <c r="M51" s="12" t="n">
        <f aca="false">Thesis!$F$51</f>
        <v>0.37480827803158</v>
      </c>
      <c r="N51" s="12" t="n">
        <f aca="false">Thesis!$N$50/Thesis!$N$29</f>
        <v>0.364039571356823</v>
      </c>
      <c r="O51" s="12" t="n">
        <f aca="false">Thesis!$O$50/Thesis!$O$29</f>
        <v>0.332819892300086</v>
      </c>
      <c r="P51" s="8" t="s">
        <v>607</v>
      </c>
    </row>
    <row r="52" customFormat="false" ht="17.15" hidden="false" customHeight="false" outlineLevel="0" collapsed="false">
      <c r="A52" s="0" t="s">
        <v>608</v>
      </c>
      <c r="B52" s="0" t="s">
        <v>52</v>
      </c>
      <c r="D52" s="12" t="n">
        <f aca="false">(Q!$E$31-ext_sh*Thesis!$D$41)/Thesis!$D$29</f>
        <v>0.154572973163571</v>
      </c>
    </row>
    <row r="53" customFormat="false" ht="17.15" hidden="false" customHeight="false" outlineLevel="0" collapsed="false">
      <c r="A53" s="0" t="s">
        <v>609</v>
      </c>
      <c r="B53" s="0" t="s">
        <v>73</v>
      </c>
      <c r="C53" s="38" t="n">
        <f aca="false">Q!$D$31</f>
        <v>13.32</v>
      </c>
      <c r="D53" s="38" t="n">
        <f aca="false">Q!$E$31</f>
        <v>21.45</v>
      </c>
      <c r="E53" s="38" t="n">
        <f aca="false">Q!$P$31</f>
        <v>15.353</v>
      </c>
      <c r="F53" s="38" t="n">
        <f aca="false">ext_sh*Thesis!$F$41+Thesis!$D$52*Thesis!$F$29</f>
        <v>17.3614451462707</v>
      </c>
      <c r="G53" s="38" t="n">
        <f aca="false">Thesis!$E$53+Thesis!$F$53</f>
        <v>32.7144451462707</v>
      </c>
      <c r="H53" s="38" t="n">
        <f aca="false">ext_sh*Thesis!$H$41+Thesis!$D$52*Thesis!$H$29</f>
        <v>56.4867710193415</v>
      </c>
      <c r="I53" s="38" t="n">
        <f aca="false">ext_sh*Thesis!$I$41+Thesis!$D$52*Thesis!$I$29</f>
        <v>83.8668874379297</v>
      </c>
      <c r="J53" s="38" t="n">
        <f aca="false">ext_sh*Thesis!$J$41+Thesis!$D$52*Thesis!$J$29</f>
        <v>111.460055841369</v>
      </c>
      <c r="K53" s="38" t="n">
        <f aca="false">ext_sh*Thesis!$K$41+Thesis!$D$52*Thesis!$K$29</f>
        <v>138.547827112871</v>
      </c>
      <c r="L53" s="38" t="n">
        <f aca="false">ext_sh*Thesis!$L$41+Thesis!$D$52*Thesis!$L$29</f>
        <v>164.251314203055</v>
      </c>
      <c r="M53" s="38" t="n">
        <f aca="false">ext_sh*Thesis!$M$41+Thesis!$D$52*Thesis!$M$29</f>
        <v>190.779610439699</v>
      </c>
      <c r="N53" s="38" t="n">
        <f aca="false">Q!$N$31</f>
        <v>9.234</v>
      </c>
      <c r="O53" s="38" t="n">
        <f aca="false">Q!$O$31</f>
        <v>12.216</v>
      </c>
    </row>
    <row r="54" customFormat="false" ht="17.15" hidden="false" customHeight="false" outlineLevel="0" collapsed="false">
      <c r="A54" s="1" t="s">
        <v>610</v>
      </c>
    </row>
    <row r="55" customFormat="false" ht="17.15" hidden="false" customHeight="false" outlineLevel="0" collapsed="false">
      <c r="A55" s="14" t="s">
        <v>611</v>
      </c>
      <c r="B55" s="13" t="s">
        <v>52</v>
      </c>
      <c r="C55" s="13"/>
      <c r="D55" s="13"/>
      <c r="E55" s="13"/>
      <c r="F55" s="13"/>
      <c r="G55" s="16" t="n">
        <f aca="false">Thesis!$G$45*(1-tax)/(ext_sh*(Thesis!$D$42+Thesis!$G$42)/2)</f>
        <v>0.0659735403452127</v>
      </c>
      <c r="H55" s="16" t="n">
        <f aca="false">Thesis!$H$45*(1-tax)/(ext_sh*(Thesis!$G$42+Thesis!$H$42)/2)</f>
        <v>0.131814407287095</v>
      </c>
      <c r="I55" s="16" t="n">
        <f aca="false">Thesis!$I$45*(1-tax)/(ext_sh*(Thesis!$H$42+Thesis!$I$42)/2)</f>
        <v>0.160907075308678</v>
      </c>
      <c r="J55" s="16" t="n">
        <f aca="false">Thesis!$J$45*(1-tax)/(ext_sh*(Thesis!$I$42+Thesis!$J$42)/2)</f>
        <v>0.181414287027861</v>
      </c>
      <c r="K55" s="16" t="n">
        <f aca="false">Thesis!$K$45*(1-tax)/(ext_sh*(Thesis!$J$42+Thesis!$K$42)/2)</f>
        <v>0.200550690178183</v>
      </c>
      <c r="L55" s="16" t="n">
        <f aca="false">Thesis!$L$45*(1-tax)/(ext_sh*(Thesis!$K$42+Thesis!$L$42)/2)</f>
        <v>0.218893383964425</v>
      </c>
      <c r="M55" s="16" t="n">
        <f aca="false">Thesis!$M$45*(1-tax)/(ext_sh*(Thesis!$L$42+Thesis!$M$42)/2)</f>
        <v>0.227514451626296</v>
      </c>
      <c r="N55" s="13"/>
      <c r="O55" s="13"/>
      <c r="P55" s="8" t="s">
        <v>612</v>
      </c>
    </row>
    <row r="56" customFormat="false" ht="17.15" hidden="false" customHeight="false" outlineLevel="0" collapsed="false">
      <c r="A56" s="5" t="s">
        <v>613</v>
      </c>
      <c r="B56" s="0" t="s">
        <v>57</v>
      </c>
      <c r="H56" s="36" t="n">
        <f aca="false">Thesis!$H$25*1000/(mw_open*he_open+Thesis!$H$23*Thesis!$H$20)</f>
        <v>1.34547185053953</v>
      </c>
      <c r="I56" s="36" t="n">
        <f aca="false">Thesis!$I$25*1000/(mw_open*he_open+Thesis!$I$23*Thesis!$I$20)</f>
        <v>1.41624158558789</v>
      </c>
      <c r="J56" s="36" t="n">
        <f aca="false">Thesis!$J$25*1000/(mw_open*he_open+Thesis!$J$23*Thesis!$J$20)</f>
        <v>1.44599072114959</v>
      </c>
      <c r="K56" s="36" t="n">
        <f aca="false">Thesis!$K$25*1000/(mw_open*he_open+Thesis!$K$23*Thesis!$K$20)</f>
        <v>1.46233315943426</v>
      </c>
      <c r="L56" s="36" t="n">
        <f aca="false">Thesis!$L$25*1000/(mw_open*he_open+Thesis!$L$23*Thesis!$L$20)</f>
        <v>1.47265829140668</v>
      </c>
      <c r="M56" s="36" t="n">
        <f aca="false">Thesis!$M$25*1000/(mw_open*he_open+Thesis!$M$23*Thesis!$M$20)</f>
        <v>1.47977091935941</v>
      </c>
    </row>
    <row r="57" customFormat="false" ht="17.15" hidden="false" customHeight="false" outlineLevel="0" collapsed="false">
      <c r="A57" s="5" t="s">
        <v>614</v>
      </c>
      <c r="B57" s="0" t="s">
        <v>57</v>
      </c>
      <c r="H57" s="36" t="n">
        <f aca="false">Thesis!$H$56*(Thesis!$H$25+wacc*ext_sh*(Thesis!$G$42+Thesis!$H$42)/2/(1-tax)-Thesis!$H$45)/Thesis!$H$25</f>
        <v>1.30997137400526</v>
      </c>
      <c r="I57" s="36" t="n">
        <f aca="false">Thesis!$I$56*(Thesis!$I$25+wacc*ext_sh*(Thesis!$H$42+Thesis!$I$42)/2/(1-tax)-Thesis!$I$45)/Thesis!$I$25</f>
        <v>1.25484879347815</v>
      </c>
      <c r="J57" s="36" t="n">
        <f aca="false">Thesis!$J$56*(Thesis!$J$25+wacc*ext_sh*(Thesis!$I$42+Thesis!$J$42)/2/(1-tax)-Thesis!$J$45)/Thesis!$J$25</f>
        <v>1.21685066117854</v>
      </c>
      <c r="K57" s="36" t="n">
        <f aca="false">Thesis!$K$56*(Thesis!$K$25+wacc*ext_sh*(Thesis!$J$42+Thesis!$K$42)/2/(1-tax)-Thesis!$K$45)/Thesis!$K$25</f>
        <v>1.1829066747072</v>
      </c>
      <c r="L57" s="36" t="n">
        <f aca="false">Thesis!$L$56*(Thesis!$L$25+wacc*ext_sh*(Thesis!$K$42+Thesis!$L$42)/2/(1-tax)-Thesis!$L$45)/Thesis!$L$25</f>
        <v>1.15014911476094</v>
      </c>
      <c r="M57" s="36" t="n">
        <f aca="false">Thesis!$M$56*(Thesis!$M$25+wacc*ext_sh*(Thesis!$L$42+Thesis!$M$42)/2/(1-tax)-Thesis!$M$45)/Thesis!$M$25</f>
        <v>1.13873320397016</v>
      </c>
    </row>
    <row r="58" customFormat="false" ht="17.15" hidden="false" customHeight="false" outlineLevel="0" collapsed="false">
      <c r="A58" s="5" t="s">
        <v>615</v>
      </c>
      <c r="B58" s="0" t="s">
        <v>52</v>
      </c>
      <c r="C58" s="12" t="n">
        <f aca="false">Thesis!$C$26/tk_pq</f>
        <v>0.195316432429398</v>
      </c>
      <c r="D58" s="12" t="n">
        <f aca="false">Thesis!$D$26/tk_pq</f>
        <v>0.195316432429398</v>
      </c>
      <c r="E58" s="12" t="n">
        <f aca="false">Thesis!$E$26/tk_pq</f>
        <v>0.195316432429398</v>
      </c>
      <c r="F58" s="12" t="n">
        <f aca="false">Thesis!$F$26/tk_pq</f>
        <v>0.238216369188823</v>
      </c>
      <c r="G58" s="12" t="n">
        <f aca="false">Thesis!$G$26/tk_pq</f>
        <v>0.222398239257102</v>
      </c>
      <c r="H58" s="12" t="n">
        <f aca="false">Thesis!$H$26/tk_pq</f>
        <v>0.288662452721988</v>
      </c>
      <c r="I58" s="12" t="n">
        <f aca="false">Thesis!$I$26/tk_pq</f>
        <v>0.313283832077501</v>
      </c>
      <c r="J58" s="12" t="n">
        <f aca="false">Thesis!$J$26/tk_pq</f>
        <v>0.324501807962888</v>
      </c>
      <c r="K58" s="12" t="n">
        <f aca="false">Thesis!$K$26/tk_pq</f>
        <v>0.330911005725137</v>
      </c>
      <c r="L58" s="12" t="n">
        <f aca="false">Thesis!$L$26/tk_pq</f>
        <v>0.335056221354671</v>
      </c>
      <c r="M58" s="12" t="n">
        <f aca="false">Thesis!$M$26/tk_pq</f>
        <v>0.337956573431617</v>
      </c>
      <c r="N58" s="12" t="n">
        <f aca="false">Thesis!$N$26/tk_pq</f>
        <v>0.195316432429398</v>
      </c>
      <c r="O58" s="12" t="n">
        <f aca="false">Thesis!$O$26/tk_pq</f>
        <v>0.195316432429398</v>
      </c>
      <c r="P58" s="5" t="s">
        <v>616</v>
      </c>
    </row>
    <row r="61" customFormat="false" ht="19.4" hidden="false" customHeight="false" outlineLevel="0" collapsed="false">
      <c r="A61" s="31" t="s">
        <v>617</v>
      </c>
    </row>
    <row r="62" customFormat="false" ht="17.15" hidden="false" customHeight="false" outlineLevel="0" collapsed="false">
      <c r="A62" s="6" t="s">
        <v>16</v>
      </c>
      <c r="B62" s="6" t="s">
        <v>17</v>
      </c>
      <c r="C62" s="20" t="s">
        <v>457</v>
      </c>
      <c r="D62" s="20" t="s">
        <v>458</v>
      </c>
      <c r="E62" s="20" t="s">
        <v>540</v>
      </c>
      <c r="F62" s="20" t="s">
        <v>541</v>
      </c>
      <c r="G62" s="20" t="s">
        <v>542</v>
      </c>
      <c r="H62" s="20" t="s">
        <v>543</v>
      </c>
      <c r="I62" s="20" t="s">
        <v>544</v>
      </c>
      <c r="J62" s="20" t="s">
        <v>545</v>
      </c>
      <c r="K62" s="20" t="s">
        <v>546</v>
      </c>
      <c r="L62" s="20" t="s">
        <v>547</v>
      </c>
      <c r="M62" s="20" t="s">
        <v>548</v>
      </c>
      <c r="N62" s="20" t="s">
        <v>549</v>
      </c>
      <c r="O62" s="20" t="s">
        <v>550</v>
      </c>
      <c r="P62" s="6" t="s">
        <v>23</v>
      </c>
      <c r="R62" s="20" t="n">
        <v>2023</v>
      </c>
      <c r="S62" s="20" t="n">
        <v>2024</v>
      </c>
      <c r="T62" s="20" t="n">
        <v>2025</v>
      </c>
      <c r="U62" s="20" t="n">
        <v>2026</v>
      </c>
      <c r="V62" s="20" t="n">
        <v>2027</v>
      </c>
      <c r="W62" s="20" t="n">
        <v>2028</v>
      </c>
      <c r="X62" s="20" t="n">
        <v>2029</v>
      </c>
      <c r="Y62" s="20" t="n">
        <v>2030</v>
      </c>
      <c r="Z62" s="20" t="n">
        <v>2031</v>
      </c>
      <c r="AA62" s="20" t="n">
        <v>2032</v>
      </c>
    </row>
    <row r="63" customFormat="false" ht="17.15" hidden="false" customHeight="false" outlineLevel="0" collapsed="false">
      <c r="A63" s="1" t="s">
        <v>551</v>
      </c>
    </row>
    <row r="64" customFormat="false" ht="17.15" hidden="false" customHeight="false" outlineLevel="0" collapsed="false">
      <c r="A64" s="14" t="s">
        <v>552</v>
      </c>
      <c r="B64" s="13" t="s">
        <v>108</v>
      </c>
      <c r="C64" s="32" t="n">
        <f aca="false">mw_ye24</f>
        <v>360</v>
      </c>
      <c r="D64" s="32" t="n">
        <f aca="false">mw_ye25</f>
        <v>1440</v>
      </c>
      <c r="E64" s="32" t="n">
        <f aca="false">mw_open</f>
        <v>2080</v>
      </c>
      <c r="F64" s="32" t="n">
        <f aca="false">Thesis!$E$64+pace_B*0.5</f>
        <v>3897.15</v>
      </c>
      <c r="G64" s="32" t="n">
        <f aca="false">Thesis!$F$64</f>
        <v>3897.15</v>
      </c>
      <c r="H64" s="32" t="n">
        <f aca="false">Thesis!$G$64+pace_B</f>
        <v>7531.45</v>
      </c>
      <c r="I64" s="32" t="n">
        <f aca="false">Thesis!$H$64+pace_B</f>
        <v>11165.75</v>
      </c>
      <c r="J64" s="32" t="n">
        <f aca="false">Thesis!$I$64+pace_B</f>
        <v>14800.05</v>
      </c>
      <c r="K64" s="32" t="n">
        <f aca="false">Thesis!$J$64+pace_B</f>
        <v>18434.35</v>
      </c>
      <c r="L64" s="32" t="n">
        <f aca="false">Thesis!$K$64+pace_B</f>
        <v>22068.65</v>
      </c>
      <c r="M64" s="32" t="n">
        <f aca="false">Thesis!$L$64+pace_B</f>
        <v>25702.95</v>
      </c>
      <c r="N64" s="32" t="n">
        <f aca="false">(mw_ye24+mw_ye25)/2</f>
        <v>900</v>
      </c>
      <c r="O64" s="32" t="n">
        <f aca="false">mw_ye25</f>
        <v>1440</v>
      </c>
      <c r="P64" s="5" t="s">
        <v>553</v>
      </c>
    </row>
    <row r="65" customFormat="false" ht="17.15" hidden="false" customHeight="false" outlineLevel="0" collapsed="false">
      <c r="A65" s="5" t="s">
        <v>554</v>
      </c>
      <c r="B65" s="0" t="s">
        <v>108</v>
      </c>
      <c r="C65" s="33" t="n">
        <f aca="false">(mw_ye23+mw_ye24)/2</f>
        <v>240</v>
      </c>
      <c r="D65" s="33" t="n">
        <f aca="false">(Thesis!$C$64+Thesis!$D$64)/2</f>
        <v>900</v>
      </c>
      <c r="E65" s="33" t="n">
        <f aca="false">(Thesis!$D$64+Thesis!$E$64)/2</f>
        <v>1760</v>
      </c>
      <c r="F65" s="33" t="n">
        <f aca="false">(Thesis!$E$64+Thesis!$F$64)/2</f>
        <v>2988.575</v>
      </c>
      <c r="G65" s="33" t="n">
        <f aca="false">(Thesis!$E$65+Thesis!$F$65)/2</f>
        <v>2374.2875</v>
      </c>
      <c r="H65" s="33" t="n">
        <f aca="false">(Thesis!$G$64+Thesis!$H$64)/2</f>
        <v>5714.3</v>
      </c>
      <c r="I65" s="33" t="n">
        <f aca="false">(Thesis!$H$64+Thesis!$I$64)/2</f>
        <v>9348.6</v>
      </c>
      <c r="J65" s="33" t="n">
        <f aca="false">(Thesis!$I$64+Thesis!$J$64)/2</f>
        <v>12982.9</v>
      </c>
      <c r="K65" s="33" t="n">
        <f aca="false">(Thesis!$J$64+Thesis!$K$64)/2</f>
        <v>16617.2</v>
      </c>
      <c r="L65" s="33" t="n">
        <f aca="false">(Thesis!$K$64+Thesis!$L$64)/2</f>
        <v>20251.5</v>
      </c>
      <c r="M65" s="33" t="n">
        <f aca="false">(Thesis!$L$64+Thesis!$M$64)/2</f>
        <v>23885.8</v>
      </c>
      <c r="N65" s="33" t="n">
        <f aca="false">(Thesis!$C$64+Thesis!$N$64)/2</f>
        <v>630</v>
      </c>
      <c r="O65" s="33" t="n">
        <f aca="false">(Thesis!$N$64+Thesis!$O$64)/2</f>
        <v>1170</v>
      </c>
    </row>
    <row r="66" customFormat="false" ht="15" hidden="false" customHeight="false" outlineLevel="0" collapsed="false">
      <c r="A66" s="5" t="s">
        <v>555</v>
      </c>
      <c r="B66" s="5" t="s">
        <v>102</v>
      </c>
      <c r="C66" s="34" t="n">
        <v>1</v>
      </c>
      <c r="D66" s="34" t="n">
        <v>1</v>
      </c>
      <c r="E66" s="34" t="n">
        <v>0.5</v>
      </c>
      <c r="F66" s="34" t="n">
        <v>0.5</v>
      </c>
      <c r="G66" s="34" t="n">
        <v>1</v>
      </c>
      <c r="H66" s="34" t="n">
        <v>1</v>
      </c>
      <c r="I66" s="34" t="n">
        <v>1</v>
      </c>
      <c r="J66" s="34" t="n">
        <v>1</v>
      </c>
      <c r="K66" s="34" t="n">
        <v>1</v>
      </c>
      <c r="L66" s="34" t="n">
        <v>1</v>
      </c>
      <c r="M66" s="34" t="n">
        <v>1</v>
      </c>
      <c r="N66" s="34" t="n">
        <v>0.5</v>
      </c>
      <c r="O66" s="34" t="n">
        <v>0.5</v>
      </c>
    </row>
    <row r="67" customFormat="false" ht="17.15" hidden="false" customHeight="false" outlineLevel="0" collapsed="false">
      <c r="A67" s="5" t="s">
        <v>556</v>
      </c>
      <c r="B67" s="0" t="s">
        <v>108</v>
      </c>
      <c r="C67" s="33" t="n">
        <f aca="false">Thesis!$C$64-mw_ye23</f>
        <v>240</v>
      </c>
      <c r="D67" s="33" t="n">
        <f aca="false">Thesis!$D$64-Thesis!$C$64</f>
        <v>1080</v>
      </c>
      <c r="E67" s="33" t="n">
        <f aca="false">Thesis!$E$64-Thesis!$D$64</f>
        <v>640</v>
      </c>
      <c r="F67" s="33" t="n">
        <f aca="false">Thesis!$F$64-Thesis!$E$64</f>
        <v>1817.15</v>
      </c>
      <c r="G67" s="33" t="n">
        <f aca="false">Thesis!$E$67+Thesis!$F$67</f>
        <v>2457.15</v>
      </c>
      <c r="H67" s="33" t="n">
        <f aca="false">Thesis!$H$64-Thesis!$G$64</f>
        <v>3634.3</v>
      </c>
      <c r="I67" s="33" t="n">
        <f aca="false">Thesis!$I$64-Thesis!$H$64</f>
        <v>3634.3</v>
      </c>
      <c r="J67" s="33" t="n">
        <f aca="false">Thesis!$J$64-Thesis!$I$64</f>
        <v>3634.3</v>
      </c>
      <c r="K67" s="33" t="n">
        <f aca="false">Thesis!$K$64-Thesis!$J$64</f>
        <v>3634.3</v>
      </c>
      <c r="L67" s="33" t="n">
        <f aca="false">Thesis!$L$64-Thesis!$K$64</f>
        <v>3634.3</v>
      </c>
      <c r="M67" s="33" t="n">
        <f aca="false">Thesis!$M$64-Thesis!$L$64</f>
        <v>3634.3</v>
      </c>
      <c r="N67" s="33" t="n">
        <f aca="false">Thesis!$N$64-Thesis!$C$64</f>
        <v>540</v>
      </c>
      <c r="O67" s="33" t="n">
        <f aca="false">Thesis!$O$64-Thesis!$N$64</f>
        <v>540</v>
      </c>
    </row>
    <row r="68" customFormat="false" ht="17.15" hidden="false" customHeight="false" outlineLevel="0" collapsed="false">
      <c r="A68" s="5" t="s">
        <v>557</v>
      </c>
      <c r="B68" s="0" t="s">
        <v>108</v>
      </c>
      <c r="C68" s="33" t="n">
        <f aca="false">Thesis!$C$67/ext_sh</f>
        <v>300</v>
      </c>
      <c r="D68" s="33" t="n">
        <f aca="false">Thesis!$D$67/ext_sh</f>
        <v>1350</v>
      </c>
      <c r="E68" s="33" t="n">
        <f aca="false">Thesis!$E$67/ext_sh</f>
        <v>800</v>
      </c>
      <c r="F68" s="33" t="n">
        <f aca="false">Thesis!$F$67/ext_sh</f>
        <v>2271.4375</v>
      </c>
      <c r="G68" s="33" t="n">
        <f aca="false">Thesis!$G$67/ext_sh</f>
        <v>3071.4375</v>
      </c>
      <c r="H68" s="33" t="n">
        <f aca="false">Thesis!$H$67/ext_sh</f>
        <v>4542.875</v>
      </c>
      <c r="I68" s="33" t="n">
        <f aca="false">Thesis!$I$67/ext_sh</f>
        <v>4542.875</v>
      </c>
      <c r="J68" s="33" t="n">
        <f aca="false">Thesis!$J$67/ext_sh</f>
        <v>4542.875</v>
      </c>
      <c r="K68" s="33" t="n">
        <f aca="false">Thesis!$K$67/ext_sh</f>
        <v>4542.875</v>
      </c>
      <c r="L68" s="33" t="n">
        <f aca="false">Thesis!$L$67/ext_sh</f>
        <v>4542.875</v>
      </c>
      <c r="M68" s="33" t="n">
        <f aca="false">Thesis!$M$67/ext_sh</f>
        <v>4542.875</v>
      </c>
      <c r="N68" s="33" t="n">
        <f aca="false">Thesis!$N$67/ext_sh</f>
        <v>675</v>
      </c>
      <c r="O68" s="33" t="n">
        <f aca="false">Thesis!$O$67/ext_sh</f>
        <v>675</v>
      </c>
      <c r="P68" s="8" t="s">
        <v>558</v>
      </c>
      <c r="R68" s="33" t="n">
        <f aca="false">mw_ye23/ext_sh</f>
        <v>150</v>
      </c>
      <c r="S68" s="33" t="n">
        <f aca="false">Thesis!$C$68</f>
        <v>300</v>
      </c>
      <c r="T68" s="33" t="n">
        <f aca="false">Thesis!$D$68</f>
        <v>1350</v>
      </c>
      <c r="U68" s="33" t="n">
        <f aca="false">Thesis!$G$68</f>
        <v>3071.4375</v>
      </c>
      <c r="V68" s="33" t="n">
        <f aca="false">Thesis!$H$68</f>
        <v>4542.875</v>
      </c>
      <c r="W68" s="33" t="n">
        <f aca="false">Thesis!$I$68</f>
        <v>4542.875</v>
      </c>
      <c r="X68" s="33" t="n">
        <f aca="false">Thesis!$J$68</f>
        <v>4542.875</v>
      </c>
      <c r="Y68" s="33" t="n">
        <f aca="false">Thesis!$K$68</f>
        <v>4542.875</v>
      </c>
      <c r="Z68" s="33" t="n">
        <f aca="false">Thesis!$L$68</f>
        <v>4542.875</v>
      </c>
      <c r="AA68" s="33" t="n">
        <f aca="false">Thesis!$M$68</f>
        <v>4542.875</v>
      </c>
    </row>
    <row r="69" customFormat="false" ht="17.15" hidden="false" customHeight="false" outlineLevel="0" collapsed="false">
      <c r="A69" s="1" t="s">
        <v>559</v>
      </c>
    </row>
    <row r="70" customFormat="false" ht="17.15" hidden="false" customHeight="false" outlineLevel="0" collapsed="false">
      <c r="A70" s="0" t="s">
        <v>560</v>
      </c>
      <c r="B70" s="0" t="s">
        <v>52</v>
      </c>
      <c r="F70" s="35" t="n">
        <f aca="false">na_vr26</f>
        <v>0</v>
      </c>
      <c r="G70" s="35" t="n">
        <f aca="false">na_vr26</f>
        <v>0</v>
      </c>
      <c r="H70" s="35" t="n">
        <f aca="false">na_vr27</f>
        <v>0.5</v>
      </c>
      <c r="I70" s="35" t="n">
        <f aca="false">na_vr28</f>
        <v>1</v>
      </c>
      <c r="J70" s="35" t="n">
        <f aca="false">na_vr28</f>
        <v>1</v>
      </c>
      <c r="K70" s="35" t="n">
        <f aca="false">na_vr28</f>
        <v>1</v>
      </c>
      <c r="L70" s="35" t="n">
        <f aca="false">na_vr28</f>
        <v>1</v>
      </c>
      <c r="M70" s="35" t="n">
        <f aca="false">na_vr28</f>
        <v>1</v>
      </c>
    </row>
    <row r="71" customFormat="false" ht="17.15" hidden="false" customHeight="false" outlineLevel="0" collapsed="false">
      <c r="A71" s="5" t="s">
        <v>561</v>
      </c>
      <c r="B71" s="0" t="s">
        <v>151</v>
      </c>
      <c r="F71" s="36" t="n">
        <f aca="false">cust_sh*tk_he_gb300*cf_chip+(1-cust_sh)*((1-Thesis!$F$70)*tk_he_gb300+Thesis!$F$70*tk_he_vr200)</f>
        <v>10.8864110021101</v>
      </c>
      <c r="G71" s="36" t="n">
        <f aca="false">cust_sh*tk_he_gb300*cf_chip+(1-cust_sh)*((1-Thesis!$G$70)*tk_he_gb300+Thesis!$G$70*tk_he_vr200)</f>
        <v>10.8864110021101</v>
      </c>
      <c r="H71" s="36" t="n">
        <f aca="false">cust_sh*tk_he_gb300*cf_chip+(1-cust_sh)*((1-Thesis!$H$70)*tk_he_gb300+Thesis!$H$70*tk_he_vr200)</f>
        <v>11.2211760027286</v>
      </c>
      <c r="I71" s="36" t="n">
        <f aca="false">cust_sh*tk_he_gb300*cf_chip+(1-cust_sh)*((1-Thesis!$I$70)*tk_he_gb300+Thesis!$I$70*tk_he_vr200)</f>
        <v>11.5559410033471</v>
      </c>
      <c r="J71" s="36" t="n">
        <f aca="false">cust_sh*tk_he_gb300*cf_chip+(1-cust_sh)*((1-Thesis!$J$70)*tk_he_gb300+Thesis!$J$70*tk_he_vr200)</f>
        <v>11.5559410033471</v>
      </c>
      <c r="K71" s="36" t="n">
        <f aca="false">cust_sh*tk_he_gb300*cf_chip+(1-cust_sh)*((1-Thesis!$K$70)*tk_he_gb300+Thesis!$K$70*tk_he_vr200)</f>
        <v>11.5559410033471</v>
      </c>
      <c r="L71" s="36" t="n">
        <f aca="false">cust_sh*tk_he_gb300*cf_chip+(1-cust_sh)*((1-Thesis!$L$70)*tk_he_gb300+Thesis!$L$70*tk_he_vr200)</f>
        <v>11.5559410033471</v>
      </c>
      <c r="M71" s="36" t="n">
        <f aca="false">cust_sh*tk_he_gb300*cf_chip+(1-cust_sh)*((1-Thesis!$M$70)*tk_he_gb300+Thesis!$M$70*tk_he_vr200)</f>
        <v>11.5559410033471</v>
      </c>
    </row>
    <row r="72" customFormat="false" ht="17.15" hidden="false" customHeight="false" outlineLevel="0" collapsed="false">
      <c r="A72" s="5" t="s">
        <v>562</v>
      </c>
      <c r="B72" s="0" t="s">
        <v>151</v>
      </c>
      <c r="F72" s="36" t="n">
        <f aca="false">cust_sh*tk_ox_gb300+(1-cust_sh)*((1-Thesis!$F$70)*tk_ox_gb300+Thesis!$F$70*tk_ox_vr200)</f>
        <v>1.98263481314457</v>
      </c>
      <c r="G72" s="36" t="n">
        <f aca="false">cust_sh*tk_ox_gb300+(1-cust_sh)*((1-Thesis!$G$70)*tk_ox_gb300+Thesis!$G$70*tk_ox_vr200)</f>
        <v>1.98263481314457</v>
      </c>
      <c r="H72" s="36" t="n">
        <f aca="false">cust_sh*tk_ox_gb300+(1-cust_sh)*((1-Thesis!$H$70)*tk_ox_gb300+Thesis!$H$70*tk_ox_vr200)</f>
        <v>2.01034999693694</v>
      </c>
      <c r="I72" s="36" t="n">
        <f aca="false">cust_sh*tk_ox_gb300+(1-cust_sh)*((1-Thesis!$I$70)*tk_ox_gb300+Thesis!$I$70*tk_ox_vr200)</f>
        <v>2.0380651807293</v>
      </c>
      <c r="J72" s="36" t="n">
        <f aca="false">cust_sh*tk_ox_gb300+(1-cust_sh)*((1-Thesis!$J$70)*tk_ox_gb300+Thesis!$J$70*tk_ox_vr200)</f>
        <v>2.0380651807293</v>
      </c>
      <c r="K72" s="36" t="n">
        <f aca="false">cust_sh*tk_ox_gb300+(1-cust_sh)*((1-Thesis!$K$70)*tk_ox_gb300+Thesis!$K$70*tk_ox_vr200)</f>
        <v>2.0380651807293</v>
      </c>
      <c r="L72" s="36" t="n">
        <f aca="false">cust_sh*tk_ox_gb300+(1-cust_sh)*((1-Thesis!$L$70)*tk_ox_gb300+Thesis!$L$70*tk_ox_vr200)</f>
        <v>2.0380651807293</v>
      </c>
      <c r="M72" s="36" t="n">
        <f aca="false">cust_sh*tk_ox_gb300+(1-cust_sh)*((1-Thesis!$M$70)*tk_ox_gb300+Thesis!$M$70*tk_ox_vr200)</f>
        <v>2.0380651807293</v>
      </c>
    </row>
    <row r="73" customFormat="false" ht="17.15" hidden="false" customHeight="false" outlineLevel="0" collapsed="false">
      <c r="A73" s="5" t="s">
        <v>563</v>
      </c>
      <c r="B73" s="0" t="s">
        <v>170</v>
      </c>
      <c r="F73" s="36" t="n">
        <f aca="false">cust_sh*tk_cx_gb300*cf_cx+(1-cust_sh)*((1-Thesis!$F$70)*tk_cx_gb300+Thesis!$F$70*tk_cx_vr200)</f>
        <v>32.237224</v>
      </c>
      <c r="G73" s="36" t="n">
        <f aca="false">cust_sh*tk_cx_gb300*cf_cx+(1-cust_sh)*((1-Thesis!$G$70)*tk_cx_gb300+Thesis!$G$70*tk_cx_vr200)</f>
        <v>32.237224</v>
      </c>
      <c r="H73" s="36" t="n">
        <f aca="false">cust_sh*tk_cx_gb300*cf_cx+(1-cust_sh)*((1-Thesis!$H$70)*tk_cx_gb300+Thesis!$H$70*tk_cx_vr200)</f>
        <v>33.574506</v>
      </c>
      <c r="I73" s="36" t="n">
        <f aca="false">cust_sh*tk_cx_gb300*cf_cx+(1-cust_sh)*((1-Thesis!$I$70)*tk_cx_gb300+Thesis!$I$70*tk_cx_vr200)</f>
        <v>34.911788</v>
      </c>
      <c r="J73" s="36" t="n">
        <f aca="false">cust_sh*tk_cx_gb300*cf_cx+(1-cust_sh)*((1-Thesis!$J$70)*tk_cx_gb300+Thesis!$J$70*tk_cx_vr200)</f>
        <v>34.911788</v>
      </c>
      <c r="K73" s="36" t="n">
        <f aca="false">cust_sh*tk_cx_gb300*cf_cx+(1-cust_sh)*((1-Thesis!$K$70)*tk_cx_gb300+Thesis!$K$70*tk_cx_vr200)</f>
        <v>34.911788</v>
      </c>
      <c r="L73" s="36" t="n">
        <f aca="false">cust_sh*tk_cx_gb300*cf_cx+(1-cust_sh)*((1-Thesis!$L$70)*tk_cx_gb300+Thesis!$L$70*tk_cx_vr200)</f>
        <v>34.911788</v>
      </c>
      <c r="M73" s="36" t="n">
        <f aca="false">cust_sh*tk_cx_gb300*cf_cx+(1-cust_sh)*((1-Thesis!$M$70)*tk_cx_gb300+Thesis!$M$70*tk_cx_vr200)</f>
        <v>34.911788</v>
      </c>
    </row>
    <row r="74" customFormat="false" ht="17.15" hidden="false" customHeight="false" outlineLevel="0" collapsed="false">
      <c r="A74" s="5" t="s">
        <v>564</v>
      </c>
      <c r="B74" s="0" t="s">
        <v>108</v>
      </c>
      <c r="F74" s="33" t="n">
        <f aca="false">Thesis!$F$64-mw_open</f>
        <v>1817.15</v>
      </c>
      <c r="G74" s="33" t="n">
        <f aca="false">Thesis!$F$74</f>
        <v>1817.15</v>
      </c>
      <c r="H74" s="33" t="n">
        <f aca="false">Thesis!$H$64-mw_open</f>
        <v>5451.45</v>
      </c>
      <c r="I74" s="33" t="n">
        <f aca="false">Thesis!$I$64-mw_open</f>
        <v>9085.75</v>
      </c>
      <c r="J74" s="33" t="n">
        <f aca="false">Thesis!$J$64-mw_open</f>
        <v>12720.05</v>
      </c>
      <c r="K74" s="33" t="n">
        <f aca="false">Thesis!$K$64-mw_open</f>
        <v>16354.35</v>
      </c>
      <c r="L74" s="33" t="n">
        <f aca="false">Thesis!$L$64-mw_open</f>
        <v>19988.65</v>
      </c>
      <c r="M74" s="33" t="n">
        <f aca="false">Thesis!$M$64-mw_open</f>
        <v>23622.95</v>
      </c>
    </row>
    <row r="75" customFormat="false" ht="17.15" hidden="false" customHeight="false" outlineLevel="0" collapsed="false">
      <c r="A75" s="0" t="s">
        <v>565</v>
      </c>
      <c r="B75" s="0" t="s">
        <v>566</v>
      </c>
      <c r="F75" s="33" t="n">
        <f aca="false">Thesis!$F$67*Thesis!$F$71</f>
        <v>19782.2417524844</v>
      </c>
      <c r="G75" s="33" t="n">
        <f aca="false">Thesis!$F$75</f>
        <v>19782.2417524844</v>
      </c>
      <c r="H75" s="33" t="n">
        <f aca="false">Thesis!$G$75+Thesis!$H$67*Thesis!$H$71</f>
        <v>60563.3616992009</v>
      </c>
      <c r="I75" s="33" t="n">
        <f aca="false">Thesis!$H$75+Thesis!$I$67*Thesis!$I$71</f>
        <v>102561.118087665</v>
      </c>
      <c r="J75" s="33" t="n">
        <f aca="false">Thesis!$I$75+Thesis!$J$67*Thesis!$J$71</f>
        <v>144558.87447613</v>
      </c>
      <c r="K75" s="33" t="n">
        <f aca="false">Thesis!$J$75+Thesis!$K$67*Thesis!$K$71</f>
        <v>186556.630864594</v>
      </c>
      <c r="L75" s="33" t="n">
        <f aca="false">Thesis!$K$75+Thesis!$L$67*Thesis!$L$71</f>
        <v>228554.387253058</v>
      </c>
      <c r="M75" s="33" t="n">
        <f aca="false">Thesis!$L$75+Thesis!$M$67*Thesis!$M$71</f>
        <v>270552.143641523</v>
      </c>
    </row>
    <row r="76" customFormat="false" ht="17.15" hidden="false" customHeight="false" outlineLevel="0" collapsed="false">
      <c r="A76" s="0" t="s">
        <v>567</v>
      </c>
      <c r="B76" s="0" t="s">
        <v>566</v>
      </c>
      <c r="F76" s="33" t="n">
        <f aca="false">Thesis!$F$67*Thesis!$F$72</f>
        <v>3602.74485070566</v>
      </c>
      <c r="G76" s="33" t="n">
        <f aca="false">Thesis!$F$76</f>
        <v>3602.74485070566</v>
      </c>
      <c r="H76" s="33" t="n">
        <f aca="false">Thesis!$G$76+Thesis!$H$67*Thesis!$H$72</f>
        <v>10908.9598445736</v>
      </c>
      <c r="I76" s="33" t="n">
        <f aca="false">Thesis!$H$76+Thesis!$I$67*Thesis!$I$72</f>
        <v>18315.9001308981</v>
      </c>
      <c r="J76" s="33" t="n">
        <f aca="false">Thesis!$I$76+Thesis!$J$67*Thesis!$J$72</f>
        <v>25722.8404172225</v>
      </c>
      <c r="K76" s="33" t="n">
        <f aca="false">Thesis!$J$76+Thesis!$K$67*Thesis!$K$72</f>
        <v>33129.780703547</v>
      </c>
      <c r="L76" s="33" t="n">
        <f aca="false">Thesis!$K$76+Thesis!$L$67*Thesis!$L$72</f>
        <v>40536.7209898715</v>
      </c>
      <c r="M76" s="33" t="n">
        <f aca="false">Thesis!$L$76+Thesis!$M$67*Thesis!$M$72</f>
        <v>47943.661276196</v>
      </c>
    </row>
    <row r="77" customFormat="false" ht="17.15" hidden="false" customHeight="false" outlineLevel="0" collapsed="false">
      <c r="A77" s="5" t="s">
        <v>568</v>
      </c>
      <c r="B77" s="0" t="s">
        <v>151</v>
      </c>
      <c r="F77" s="36" t="n">
        <f aca="false">IF(Thesis!$F$74&gt;0,Thesis!$F$75/Thesis!$F$74,Thesis!$F$71)</f>
        <v>10.8864110021101</v>
      </c>
      <c r="G77" s="36" t="n">
        <f aca="false">IF(Thesis!$G$74&gt;0,Thesis!$G$75/Thesis!$G$74,Thesis!$G$71)</f>
        <v>10.8864110021101</v>
      </c>
      <c r="H77" s="36" t="n">
        <f aca="false">IF(Thesis!$H$74&gt;0,Thesis!$H$75/Thesis!$H$74,Thesis!$H$71)</f>
        <v>11.1095876691891</v>
      </c>
      <c r="I77" s="36" t="n">
        <f aca="false">IF(Thesis!$I$74&gt;0,Thesis!$I$75/Thesis!$I$74,Thesis!$I$71)</f>
        <v>11.2881290028523</v>
      </c>
      <c r="J77" s="36" t="n">
        <f aca="false">IF(Thesis!$J$74&gt;0,Thesis!$J$75/Thesis!$J$74,Thesis!$J$71)</f>
        <v>11.3646467172794</v>
      </c>
      <c r="K77" s="36" t="n">
        <f aca="false">IF(Thesis!$K$74&gt;0,Thesis!$K$75/Thesis!$K$74,Thesis!$K$71)</f>
        <v>11.4071565586278</v>
      </c>
      <c r="L77" s="36" t="n">
        <f aca="false">IF(Thesis!$L$74&gt;0,Thesis!$L$75/Thesis!$L$74,Thesis!$L$71)</f>
        <v>11.4342082758495</v>
      </c>
      <c r="M77" s="36" t="n">
        <f aca="false">IF(Thesis!$M$74&gt;0,Thesis!$M$75/Thesis!$M$74,Thesis!$M$71)</f>
        <v>11.4529363877722</v>
      </c>
    </row>
    <row r="78" customFormat="false" ht="17.15" hidden="false" customHeight="false" outlineLevel="0" collapsed="false">
      <c r="A78" s="5" t="s">
        <v>569</v>
      </c>
      <c r="B78" s="0" t="s">
        <v>151</v>
      </c>
      <c r="F78" s="36" t="n">
        <f aca="false">IF(Thesis!$F$74&gt;0,Thesis!$F$76/Thesis!$F$74,Thesis!$F$72)</f>
        <v>1.98263481314457</v>
      </c>
      <c r="G78" s="36" t="n">
        <f aca="false">IF(Thesis!$G$74&gt;0,Thesis!$G$76/Thesis!$G$74,Thesis!$G$72)</f>
        <v>1.98263481314457</v>
      </c>
      <c r="H78" s="36" t="n">
        <f aca="false">IF(Thesis!$H$74&gt;0,Thesis!$H$76/Thesis!$H$74,Thesis!$H$72)</f>
        <v>2.00111160233948</v>
      </c>
      <c r="I78" s="36" t="n">
        <f aca="false">IF(Thesis!$I$74&gt;0,Thesis!$I$76/Thesis!$I$74,Thesis!$I$72)</f>
        <v>2.01589303369541</v>
      </c>
      <c r="J78" s="36" t="n">
        <f aca="false">IF(Thesis!$J$74&gt;0,Thesis!$J$76/Thesis!$J$74,Thesis!$J$72)</f>
        <v>2.02222793284795</v>
      </c>
      <c r="K78" s="36" t="n">
        <f aca="false">IF(Thesis!$K$74&gt;0,Thesis!$K$76/Thesis!$K$74,Thesis!$K$72)</f>
        <v>2.02574732126603</v>
      </c>
      <c r="L78" s="36" t="n">
        <f aca="false">IF(Thesis!$L$74&gt;0,Thesis!$L$76/Thesis!$L$74,Thesis!$L$72)</f>
        <v>2.02798693207753</v>
      </c>
      <c r="M78" s="36" t="n">
        <f aca="false">IF(Thesis!$M$74&gt;0,Thesis!$M$76/Thesis!$M$74,Thesis!$M$72)</f>
        <v>2.02953743187011</v>
      </c>
    </row>
    <row r="79" customFormat="false" ht="17.15" hidden="false" customHeight="false" outlineLevel="0" collapsed="false">
      <c r="A79" s="14" t="s">
        <v>570</v>
      </c>
      <c r="B79" s="13" t="s">
        <v>151</v>
      </c>
      <c r="C79" s="13"/>
      <c r="D79" s="13"/>
      <c r="E79" s="13"/>
      <c r="F79" s="37" t="n">
        <f aca="false">Thesis!$F$77*k_B</f>
        <v>10.7987645808025</v>
      </c>
      <c r="G79" s="37" t="n">
        <f aca="false">Thesis!$G$77*k_B</f>
        <v>10.7987645808025</v>
      </c>
      <c r="H79" s="37" t="n">
        <f aca="false">Thesis!$H$77*k_B</f>
        <v>11.0201444540452</v>
      </c>
      <c r="I79" s="37" t="n">
        <f aca="false">Thesis!$I$77*k_B</f>
        <v>11.1972483526393</v>
      </c>
      <c r="J79" s="37" t="n">
        <f aca="false">Thesis!$J$77*k_B</f>
        <v>11.2731500234653</v>
      </c>
      <c r="K79" s="37" t="n">
        <f aca="false">Thesis!$K$77*k_B</f>
        <v>11.3153176183687</v>
      </c>
      <c r="L79" s="37" t="n">
        <f aca="false">Thesis!$L$77*k_B</f>
        <v>11.3421515423981</v>
      </c>
      <c r="M79" s="37" t="n">
        <f aca="false">Thesis!$M$77*k_B</f>
        <v>11.3607288744184</v>
      </c>
      <c r="N79" s="13"/>
      <c r="O79" s="13"/>
      <c r="P79" s="5" t="s">
        <v>571</v>
      </c>
    </row>
    <row r="80" customFormat="false" ht="17.15" hidden="false" customHeight="false" outlineLevel="0" collapsed="false">
      <c r="A80" s="5" t="s">
        <v>572</v>
      </c>
      <c r="B80" s="0" t="s">
        <v>108</v>
      </c>
      <c r="F80" s="33" t="n">
        <f aca="false">Thesis!$F$74/2</f>
        <v>908.575</v>
      </c>
      <c r="H80" s="33" t="n">
        <f aca="false">(Thesis!$G$74+Thesis!$H$74)/2</f>
        <v>3634.3</v>
      </c>
      <c r="I80" s="33" t="n">
        <f aca="false">(Thesis!$H$74+Thesis!$I$74)/2</f>
        <v>7268.6</v>
      </c>
      <c r="J80" s="33" t="n">
        <f aca="false">(Thesis!$I$74+Thesis!$J$74)/2</f>
        <v>10902.9</v>
      </c>
      <c r="K80" s="33" t="n">
        <f aca="false">(Thesis!$J$74+Thesis!$K$74)/2</f>
        <v>14537.2</v>
      </c>
      <c r="L80" s="33" t="n">
        <f aca="false">(Thesis!$K$74+Thesis!$L$74)/2</f>
        <v>18171.5</v>
      </c>
      <c r="M80" s="33" t="n">
        <f aca="false">(Thesis!$L$74+Thesis!$M$74)/2</f>
        <v>21805.8</v>
      </c>
    </row>
    <row r="81" customFormat="false" ht="17.15" hidden="false" customHeight="false" outlineLevel="0" collapsed="false">
      <c r="A81" s="1" t="s">
        <v>573</v>
      </c>
    </row>
    <row r="82" customFormat="false" ht="17.15" hidden="false" customHeight="false" outlineLevel="0" collapsed="false">
      <c r="A82" s="1" t="s">
        <v>574</v>
      </c>
      <c r="B82" s="8" t="s">
        <v>73</v>
      </c>
      <c r="C82" s="38" t="n">
        <f aca="false">Thesis!$C$65*rpm_open*Thesis!$C$66/1000</f>
        <v>2.32100535697364</v>
      </c>
      <c r="D82" s="38" t="n">
        <f aca="false">Thesis!$D$65*rpm_open*Thesis!$D$66/1000</f>
        <v>8.70377008865116</v>
      </c>
      <c r="E82" s="38" t="n">
        <f aca="false">Thesis!$E$65*rpm_open*Thesis!$E$66/1000</f>
        <v>8.51035297557002</v>
      </c>
      <c r="F82" s="38" t="n">
        <f aca="false">(mw_open*rpm_open+Thesis!$F$80*Thesis!$F$79)*Thesis!$F$66/1000</f>
        <v>14.9634336447205</v>
      </c>
      <c r="G82" s="38" t="n">
        <f aca="false">Thesis!$E$82+Thesis!$F$82</f>
        <v>23.4737866202905</v>
      </c>
      <c r="H82" s="38" t="n">
        <f aca="false">(mw_open*rpm_open+Thesis!$H$80*Thesis!$H$79)/1000</f>
        <v>60.1658907497746</v>
      </c>
      <c r="I82" s="38" t="n">
        <f aca="false">(mw_open*rpm_open+Thesis!$I$80*Thesis!$I$79)/1000</f>
        <v>101.503699136432</v>
      </c>
      <c r="J82" s="38" t="n">
        <f aca="false">(mw_open*rpm_open+Thesis!$J$80*Thesis!$J$79)/1000</f>
        <v>143.025407151278</v>
      </c>
      <c r="K82" s="38" t="n">
        <f aca="false">(mw_open*rpm_open+Thesis!$K$80*Thesis!$K$79)/1000</f>
        <v>184.608415042187</v>
      </c>
      <c r="L82" s="38" t="n">
        <f aca="false">(mw_open*rpm_open+Thesis!$L$80*Thesis!$L$79)/1000</f>
        <v>226.219286513125</v>
      </c>
      <c r="M82" s="38" t="n">
        <f aca="false">(mw_open*rpm_open+Thesis!$M$80*Thesis!$M$79)/1000</f>
        <v>267.845161450232</v>
      </c>
      <c r="N82" s="38" t="n">
        <f aca="false">Thesis!$N$65*rpm_open*Thesis!$N$66/1000</f>
        <v>3.04631953102791</v>
      </c>
      <c r="O82" s="38" t="n">
        <f aca="false">Thesis!$O$65*rpm_open*Thesis!$O$66/1000</f>
        <v>5.65745055762326</v>
      </c>
      <c r="P82" s="5" t="s">
        <v>575</v>
      </c>
    </row>
    <row r="83" customFormat="false" ht="17.15" hidden="false" customHeight="false" outlineLevel="0" collapsed="false">
      <c r="A83" s="5" t="s">
        <v>576</v>
      </c>
      <c r="B83" s="0" t="s">
        <v>151</v>
      </c>
      <c r="C83" s="36" t="n">
        <f aca="false">Thesis!$C$82*1000/(Thesis!$C$65*Thesis!$C$66)</f>
        <v>9.67085565405685</v>
      </c>
      <c r="D83" s="36" t="n">
        <f aca="false">Thesis!$D$82*1000/(Thesis!$D$65*Thesis!$D$66)</f>
        <v>9.67085565405685</v>
      </c>
      <c r="E83" s="36" t="n">
        <f aca="false">Thesis!$E$82*1000/(Thesis!$E$65*Thesis!$E$66)</f>
        <v>9.67085565405685</v>
      </c>
      <c r="F83" s="36" t="n">
        <f aca="false">Thesis!$F$82*1000/(Thesis!$F$65*Thesis!$F$66)</f>
        <v>10.0137581588017</v>
      </c>
      <c r="G83" s="36" t="n">
        <f aca="false">Thesis!$G$82*1000/(Thesis!$G$65*Thesis!$G$66)</f>
        <v>9.88666562928478</v>
      </c>
      <c r="H83" s="36" t="n">
        <f aca="false">Thesis!$H$82*1000/(Thesis!$H$65*Thesis!$H$66)</f>
        <v>10.5290045586992</v>
      </c>
      <c r="I83" s="36" t="n">
        <f aca="false">Thesis!$I$82*1000/(Thesis!$I$65*Thesis!$I$66)</f>
        <v>10.8576363451674</v>
      </c>
      <c r="J83" s="36" t="n">
        <f aca="false">Thesis!$J$82*1000/(Thesis!$J$65*Thesis!$J$66)</f>
        <v>11.0164452588619</v>
      </c>
      <c r="K83" s="36" t="n">
        <f aca="false">Thesis!$K$82*1000/(Thesis!$K$65*Thesis!$K$66)</f>
        <v>11.1094778327388</v>
      </c>
      <c r="L83" s="36" t="n">
        <f aca="false">Thesis!$L$82*1000/(Thesis!$L$65*Thesis!$L$66)</f>
        <v>11.1704953466718</v>
      </c>
      <c r="M83" s="36" t="n">
        <f aca="false">Thesis!$M$82*1000/(Thesis!$M$65*Thesis!$M$66)</f>
        <v>11.2135729785158</v>
      </c>
      <c r="N83" s="36" t="n">
        <f aca="false">Thesis!$N$82*1000/(Thesis!$N$65*Thesis!$N$66)</f>
        <v>9.67085565405685</v>
      </c>
      <c r="O83" s="36" t="n">
        <f aca="false">Thesis!$O$82*1000/(Thesis!$O$65*Thesis!$O$66)</f>
        <v>9.67085565405685</v>
      </c>
    </row>
    <row r="84" customFormat="false" ht="17.15" hidden="false" customHeight="false" outlineLevel="0" collapsed="false">
      <c r="A84" s="0" t="s">
        <v>577</v>
      </c>
      <c r="B84" s="0" t="s">
        <v>73</v>
      </c>
      <c r="C84" s="38" t="n">
        <f aca="false">Thesis!$C$65/ext_sh*(ox_open+rent_mw)*Thesis!$C$66/1000</f>
        <v>0.642569210675032</v>
      </c>
      <c r="D84" s="38" t="n">
        <f aca="false">Thesis!$D$65/ext_sh*(ox_open+rent_mw)*Thesis!$D$66/1000</f>
        <v>2.40963454003137</v>
      </c>
      <c r="E84" s="38" t="n">
        <f aca="false">Thesis!$E$65/ext_sh*(ox_open+rent_mw)*Thesis!$E$66/1000</f>
        <v>2.35608710580845</v>
      </c>
      <c r="F84" s="38" t="n">
        <f aca="false">((mw_open*ox_open+Thesis!$F$80*Thesis!$F$78)/ext_sh+Thesis!$F$65/ext_sh*rent_mw)*Thesis!$F$66/1000</f>
        <v>4.05421991106232</v>
      </c>
      <c r="G84" s="38" t="n">
        <f aca="false">Thesis!$E$84+Thesis!$F$84</f>
        <v>6.41030701687077</v>
      </c>
      <c r="H84" s="38" t="n">
        <f aca="false">((mw_open*ox_open+Thesis!$H$80*Thesis!$H$78)/ext_sh+Thesis!$H$65/ext_sh*rent_mw)*Thesis!$H$66/1000</f>
        <v>15.8108975546616</v>
      </c>
      <c r="I84" s="38" t="n">
        <f aca="false">((mw_open*ox_open+Thesis!$I$80*Thesis!$I$78)/ext_sh+Thesis!$I$65/ext_sh*rent_mw)*Thesis!$I$66/1000</f>
        <v>26.1871623400817</v>
      </c>
      <c r="J84" s="38" t="n">
        <f aca="false">((mw_open*ox_open+Thesis!$J$80*Thesis!$J$78)/ext_sh+Thesis!$J$65/ext_sh*rent_mw)*Thesis!$J$66/1000</f>
        <v>36.5826128954935</v>
      </c>
      <c r="K84" s="38" t="n">
        <f aca="false">((mw_open*ox_open+Thesis!$K$80*Thesis!$K$78)/ext_sh+Thesis!$K$65/ext_sh*rent_mw)*Thesis!$K$66/1000</f>
        <v>46.9844587075692</v>
      </c>
      <c r="L84" s="38" t="n">
        <f aca="false">((mw_open*ox_open+Thesis!$L$80*Thesis!$L$78)/ext_sh+Thesis!$L$65/ext_sh*rent_mw)*Thesis!$L$66/1000</f>
        <v>57.3892114544922</v>
      </c>
      <c r="M84" s="38" t="n">
        <f aca="false">((mw_open*ox_open+Thesis!$M$80*Thesis!$M$78)/ext_sh+Thesis!$M$65/ext_sh*rent_mw)*Thesis!$M$66/1000</f>
        <v>67.7955294740252</v>
      </c>
      <c r="N84" s="38" t="n">
        <f aca="false">Thesis!$N$65/ext_sh*(ox_open+rent_mw)*Thesis!$N$66/1000</f>
        <v>0.84337208901098</v>
      </c>
      <c r="O84" s="38" t="n">
        <f aca="false">Thesis!$O$65/ext_sh*(ox_open+rent_mw)*Thesis!$O$66/1000</f>
        <v>1.56626245102039</v>
      </c>
    </row>
    <row r="85" customFormat="false" ht="17.15" hidden="false" customHeight="false" outlineLevel="0" collapsed="false">
      <c r="A85" s="0" t="s">
        <v>578</v>
      </c>
      <c r="B85" s="0" t="s">
        <v>73</v>
      </c>
      <c r="C85" s="38" t="n">
        <f aca="false">Q!$D$7</f>
        <v>107.556</v>
      </c>
      <c r="D85" s="38" t="n">
        <f aca="false">Q!$E$7</f>
        <v>128.725</v>
      </c>
      <c r="E85" s="38" t="n">
        <f aca="false">Q!$P$7</f>
        <v>79.819</v>
      </c>
      <c r="N85" s="38" t="n">
        <f aca="false">Q!$N$7</f>
        <v>60.14</v>
      </c>
      <c r="O85" s="38" t="n">
        <f aca="false">Q!$O$7</f>
        <v>68.585</v>
      </c>
    </row>
    <row r="86" customFormat="false" ht="17.15" hidden="false" customHeight="false" outlineLevel="0" collapsed="false">
      <c r="A86" s="1" t="s">
        <v>579</v>
      </c>
      <c r="B86" s="8" t="s">
        <v>73</v>
      </c>
      <c r="C86" s="38" t="n">
        <f aca="false">Thesis!$C$85-Thesis!$C$82</f>
        <v>105.234994643026</v>
      </c>
      <c r="D86" s="38" t="n">
        <f aca="false">Thesis!$D$85-Thesis!$D$82</f>
        <v>120.021229911349</v>
      </c>
      <c r="E86" s="38" t="n">
        <f aca="false">Thesis!$E$85-Thesis!$E$82</f>
        <v>71.30864702443</v>
      </c>
      <c r="F86" s="38" t="n">
        <f aca="false">Thesis!$O$86*(1+Thesis!$F$87)</f>
        <v>78.5950104186653</v>
      </c>
      <c r="G86" s="38" t="n">
        <f aca="false">Thesis!$E$86+Thesis!$F$86</f>
        <v>149.903657443095</v>
      </c>
      <c r="H86" s="38" t="n">
        <f aca="false">Thesis!$G$86*(1+Thesis!$H$87)</f>
        <v>180.893560768142</v>
      </c>
      <c r="I86" s="38" t="n">
        <f aca="false">Thesis!$H$86*(1+Thesis!$I$87)</f>
        <v>210.64839721501</v>
      </c>
      <c r="J86" s="38" t="n">
        <f aca="false">Thesis!$I$86*(1+Thesis!$J$87)</f>
        <v>236.398909446495</v>
      </c>
      <c r="K86" s="38" t="n">
        <f aca="false">Thesis!$J$86*(1+Thesis!$K$87)</f>
        <v>255.310822202215</v>
      </c>
      <c r="L86" s="38" t="n">
        <f aca="false">Thesis!$K$86*(1+Thesis!$L$87)</f>
        <v>275.735687978392</v>
      </c>
      <c r="M86" s="38" t="n">
        <f aca="false">Thesis!$L$86*(1+Thesis!$M$87)</f>
        <v>297.794543016663</v>
      </c>
      <c r="N86" s="38" t="n">
        <f aca="false">Thesis!$N$85-Thesis!$N$82</f>
        <v>57.0936804689721</v>
      </c>
      <c r="O86" s="38" t="n">
        <f aca="false">Thesis!$O$85-Thesis!$O$82</f>
        <v>62.9275494423768</v>
      </c>
      <c r="P86" s="5" t="s">
        <v>580</v>
      </c>
    </row>
    <row r="87" customFormat="false" ht="17.15" hidden="false" customHeight="false" outlineLevel="0" collapsed="false">
      <c r="A87" s="0" t="s">
        <v>581</v>
      </c>
      <c r="B87" s="0" t="s">
        <v>52</v>
      </c>
      <c r="E87" s="12" t="n">
        <f aca="false">Thesis!$E$86/Thesis!$N$86-1</f>
        <v>0.248976181579029</v>
      </c>
      <c r="F87" s="12" t="n">
        <f aca="false">Thesis!$E$87</f>
        <v>0.248976181579029</v>
      </c>
      <c r="G87" s="12" t="n">
        <f aca="false">Thesis!$G$86/Thesis!$D$86-1</f>
        <v>0.248976181579029</v>
      </c>
      <c r="H87" s="12" t="n">
        <f aca="false">Thesis!$E$87+(g_awso_lt-Thesis!$E$87)*1/4</f>
        <v>0.206732136184272</v>
      </c>
      <c r="I87" s="12" t="n">
        <f aca="false">Thesis!$E$87+(g_awso_lt-Thesis!$E$87)*2/4</f>
        <v>0.164488090789515</v>
      </c>
      <c r="J87" s="12" t="n">
        <f aca="false">Thesis!$E$87+(g_awso_lt-Thesis!$E$87)*3/4</f>
        <v>0.122244045394757</v>
      </c>
      <c r="K87" s="12" t="n">
        <f aca="false">Thesis!$E$87+(g_awso_lt-Thesis!$E$87)*4/4</f>
        <v>0.08</v>
      </c>
      <c r="L87" s="12" t="n">
        <f aca="false">g_awso_lt</f>
        <v>0.08</v>
      </c>
      <c r="M87" s="12" t="n">
        <f aca="false">g_awso_lt</f>
        <v>0.08</v>
      </c>
      <c r="P87" s="8" t="s">
        <v>582</v>
      </c>
    </row>
    <row r="88" customFormat="false" ht="17.15" hidden="false" customHeight="false" outlineLevel="0" collapsed="false">
      <c r="A88" s="1" t="s">
        <v>583</v>
      </c>
    </row>
    <row r="89" customFormat="false" ht="17.15" hidden="false" customHeight="false" outlineLevel="0" collapsed="false">
      <c r="A89" s="0" t="s">
        <v>584</v>
      </c>
      <c r="B89" s="0" t="s">
        <v>73</v>
      </c>
      <c r="F89" s="38" t="n">
        <f aca="false">cx_rt*Seg!$F$53+cx_awso*Thesis!$F$86</f>
        <v>36.8045765066526</v>
      </c>
    </row>
    <row r="90" customFormat="false" ht="17.15" hidden="false" customHeight="false" outlineLevel="0" collapsed="false">
      <c r="A90" s="0" t="s">
        <v>585</v>
      </c>
      <c r="B90" s="0" t="s">
        <v>52</v>
      </c>
      <c r="C90" s="12" t="n">
        <f aca="false">tk_cx_h100/(tk_cx_h100+tk_fac*(1-colo_sh))</f>
        <v>0.730756458006641</v>
      </c>
      <c r="D90" s="12" t="n">
        <f aca="false">tk_cx_h100/(tk_cx_h100+tk_fac*(1-colo_sh))</f>
        <v>0.730756458006641</v>
      </c>
      <c r="E90" s="12" t="n">
        <f aca="false">Thesis!$F$90</f>
        <v>0.760792334328868</v>
      </c>
      <c r="F90" s="12" t="n">
        <f aca="false">Thesis!$F$73/(Thesis!$F$73+tk_fac*(1-colo_sh))</f>
        <v>0.760792334328868</v>
      </c>
      <c r="G90" s="12" t="n">
        <f aca="false">Thesis!$G$73/(Thesis!$G$73+tk_fac*(1-colo_sh))</f>
        <v>0.760792334328868</v>
      </c>
      <c r="H90" s="12" t="n">
        <f aca="false">Thesis!$H$73/(Thesis!$H$73+tk_fac*(1-colo_sh))</f>
        <v>0.768110668862996</v>
      </c>
      <c r="I90" s="12" t="n">
        <f aca="false">Thesis!$I$73/(Thesis!$I$73+tk_fac*(1-colo_sh))</f>
        <v>0.77499450139483</v>
      </c>
      <c r="J90" s="12" t="n">
        <f aca="false">Thesis!$J$73/(Thesis!$J$73+tk_fac*(1-colo_sh))</f>
        <v>0.77499450139483</v>
      </c>
      <c r="K90" s="12" t="n">
        <f aca="false">Thesis!$K$73/(Thesis!$K$73+tk_fac*(1-colo_sh))</f>
        <v>0.77499450139483</v>
      </c>
      <c r="L90" s="12" t="n">
        <f aca="false">Thesis!$L$73/(Thesis!$L$73+tk_fac*(1-colo_sh))</f>
        <v>0.77499450139483</v>
      </c>
      <c r="M90" s="12" t="n">
        <f aca="false">Thesis!$M$73/(Thesis!$M$73+tk_fac*(1-colo_sh))</f>
        <v>0.77499450139483</v>
      </c>
    </row>
    <row r="91" customFormat="false" ht="17.15" hidden="false" customHeight="false" outlineLevel="0" collapsed="false">
      <c r="A91" s="1" t="s">
        <v>586</v>
      </c>
      <c r="B91" s="8" t="s">
        <v>73</v>
      </c>
      <c r="C91" s="38" t="n">
        <f aca="false">Q!$D$46-cx_rt*Q!$D$16-cx_awso*Thesis!$C$86</f>
        <v>25.2781053077374</v>
      </c>
      <c r="D91" s="38" t="n">
        <f aca="false">Q!$E$46-cx_rt*Q!$E$16-cx_awso*Thesis!$D$86</f>
        <v>69.5686316310026</v>
      </c>
      <c r="E91" s="38" t="n">
        <f aca="false">Q!$P$46-cx_rt*Q!$P$16-cx_awso*Thesis!$E$86</f>
        <v>64.1899206485108</v>
      </c>
      <c r="F91" s="38" t="n">
        <f aca="false">MAX(Thesis!$F$68*(Thesis!$F$73+tk_fac*(1-colo_sh))/1000,capex_g26-Q!$P$46-Thesis!$F$89)</f>
        <v>96.2481299895</v>
      </c>
      <c r="G91" s="38" t="n">
        <f aca="false">Thesis!$E$91+Thesis!$F$91</f>
        <v>160.438050638011</v>
      </c>
      <c r="H91" s="38" t="n">
        <f aca="false">Thesis!$H$68*(Thesis!$H$73+tk_fac*(1-colo_sh))/1000+Thesis!$H$92</f>
        <v>198.57136494475</v>
      </c>
      <c r="I91" s="38" t="n">
        <f aca="false">Thesis!$I$68*(Thesis!$I$73+tk_fac*(1-colo_sh))/1000+Thesis!$I$92</f>
        <v>204.6464699105</v>
      </c>
      <c r="J91" s="38" t="n">
        <f aca="false">Thesis!$J$68*(Thesis!$J$73+tk_fac*(1-colo_sh))/1000+Thesis!$J$92</f>
        <v>209.8832381105</v>
      </c>
      <c r="K91" s="38" t="n">
        <f aca="false">Thesis!$K$68*(Thesis!$K$73+tk_fac*(1-colo_sh))/1000+Thesis!$K$92</f>
        <v>215.1200063105</v>
      </c>
      <c r="L91" s="38" t="n">
        <f aca="false">Thesis!$L$68*(Thesis!$L$73+tk_fac*(1-colo_sh))/1000+Thesis!$L$92</f>
        <v>251.7773837105</v>
      </c>
      <c r="M91" s="38" t="n">
        <f aca="false">Thesis!$M$68*(Thesis!$M$73+tk_fac*(1-colo_sh))/1000+Thesis!$M$92</f>
        <v>311.87584476575</v>
      </c>
      <c r="P91" s="5" t="s">
        <v>587</v>
      </c>
      <c r="R91" s="38" t="n">
        <f aca="false">Q!$C$46-cx_rt*Q!$C$16-cx_awso*(Q!$C$7-mw_ye23/2*rpm_open/1000)</f>
        <v>1.50429979529945</v>
      </c>
      <c r="S91" s="38" t="n">
        <f aca="false">Thesis!$C$91</f>
        <v>25.2781053077374</v>
      </c>
      <c r="T91" s="38" t="n">
        <f aca="false">Thesis!$D$91</f>
        <v>69.5686316310026</v>
      </c>
      <c r="U91" s="38" t="n">
        <f aca="false">Thesis!$G$91</f>
        <v>160.438050638011</v>
      </c>
      <c r="V91" s="38" t="n">
        <f aca="false">Thesis!$H$91</f>
        <v>198.57136494475</v>
      </c>
      <c r="W91" s="38" t="n">
        <f aca="false">Thesis!$I$91</f>
        <v>204.6464699105</v>
      </c>
      <c r="X91" s="38" t="n">
        <f aca="false">Thesis!$J$91</f>
        <v>209.8832381105</v>
      </c>
      <c r="Y91" s="38" t="n">
        <f aca="false">Thesis!$K$91</f>
        <v>215.1200063105</v>
      </c>
      <c r="Z91" s="38" t="n">
        <f aca="false">Thesis!$L$91</f>
        <v>251.7773837105</v>
      </c>
      <c r="AA91" s="38" t="n">
        <f aca="false">Thesis!$M$91</f>
        <v>311.87584476575</v>
      </c>
    </row>
    <row r="92" customFormat="false" ht="17.15" hidden="false" customHeight="false" outlineLevel="0" collapsed="false">
      <c r="A92" s="0" t="s">
        <v>588</v>
      </c>
      <c r="B92" s="0" t="s">
        <v>73</v>
      </c>
      <c r="H92" s="38" t="n">
        <f aca="false">SUMPRODUCT(--(Thesis!$R$62:$AA$62=2027-tk_life),Thesis!$R$68:$AA$68)*Thesis!$H$73/1000</f>
        <v>0</v>
      </c>
      <c r="I92" s="38" t="n">
        <f aca="false">SUMPRODUCT(--(Thesis!$R$62:$AA$62=2028-tk_life),Thesis!$R$68:$AA$68)*Thesis!$I$73/1000</f>
        <v>0</v>
      </c>
      <c r="J92" s="38" t="n">
        <f aca="false">SUMPRODUCT(--(Thesis!$R$62:$AA$62=2029-tk_life),Thesis!$R$68:$AA$68)*Thesis!$J$73/1000</f>
        <v>5.2367682</v>
      </c>
      <c r="K92" s="38" t="n">
        <f aca="false">SUMPRODUCT(--(Thesis!$R$62:$AA$62=2030-tk_life),Thesis!$R$68:$AA$68)*Thesis!$K$73/1000</f>
        <v>10.4735364</v>
      </c>
      <c r="L92" s="38" t="n">
        <f aca="false">SUMPRODUCT(--(Thesis!$R$62:$AA$62=2031-tk_life),Thesis!$R$68:$AA$68)*Thesis!$L$73/1000</f>
        <v>47.1309138</v>
      </c>
      <c r="M92" s="38" t="n">
        <f aca="false">SUMPRODUCT(--(Thesis!$R$62:$AA$62=2032-tk_life),Thesis!$R$68:$AA$68)*Thesis!$M$73/1000</f>
        <v>107.22937485525</v>
      </c>
    </row>
    <row r="93" customFormat="false" ht="17.15" hidden="false" customHeight="false" outlineLevel="0" collapsed="false">
      <c r="A93" s="5" t="s">
        <v>589</v>
      </c>
      <c r="B93" s="0" t="s">
        <v>73</v>
      </c>
      <c r="C93" s="38" t="n">
        <f aca="false">Thesis!$C$91*Thesis!$C$90</f>
        <v>18.472138699801</v>
      </c>
      <c r="D93" s="38" t="n">
        <f aca="false">Thesis!$D$91*Thesis!$D$90</f>
        <v>50.8377268390402</v>
      </c>
      <c r="E93" s="38" t="n">
        <f aca="false">Thesis!$E$91*Thesis!$E$90</f>
        <v>48.8351995705653</v>
      </c>
      <c r="F93" s="38" t="n">
        <f aca="false">Thesis!$F$91*Thesis!$F$90</f>
        <v>73.2248394895</v>
      </c>
      <c r="G93" s="38" t="n">
        <f aca="false">Thesis!$E$93+Thesis!$F$93</f>
        <v>122.060039060065</v>
      </c>
      <c r="H93" s="38" t="n">
        <f aca="false">(Thesis!$H$91-Thesis!$H$92)*Thesis!$H$90+Thesis!$H$92</f>
        <v>152.52478394475</v>
      </c>
      <c r="I93" s="38" t="n">
        <f aca="false">(Thesis!$I$91-Thesis!$I$92)*Thesis!$I$90+Thesis!$I$92</f>
        <v>158.5998889105</v>
      </c>
      <c r="J93" s="38" t="n">
        <f aca="false">(Thesis!$J$91-Thesis!$J$92)*Thesis!$J$90+Thesis!$J$92</f>
        <v>163.8366571105</v>
      </c>
      <c r="K93" s="38" t="n">
        <f aca="false">(Thesis!$K$91-Thesis!$K$92)*Thesis!$K$90+Thesis!$K$92</f>
        <v>169.0734253105</v>
      </c>
      <c r="L93" s="38" t="n">
        <f aca="false">(Thesis!$L$91-Thesis!$L$92)*Thesis!$L$90+Thesis!$L$92</f>
        <v>205.7308027105</v>
      </c>
      <c r="M93" s="38" t="n">
        <f aca="false">(Thesis!$M$91-Thesis!$M$92)*Thesis!$M$90+Thesis!$M$92</f>
        <v>265.82926376575</v>
      </c>
      <c r="R93" s="38" t="n">
        <f aca="false">Thesis!$R$91*Thesis!$C$90</f>
        <v>1.09927679019314</v>
      </c>
      <c r="S93" s="38" t="n">
        <f aca="false">Thesis!$C$93</f>
        <v>18.472138699801</v>
      </c>
      <c r="T93" s="38" t="n">
        <f aca="false">Thesis!$D$93</f>
        <v>50.8377268390402</v>
      </c>
      <c r="U93" s="38" t="n">
        <f aca="false">Thesis!$G$93</f>
        <v>122.060039060065</v>
      </c>
      <c r="V93" s="38" t="n">
        <f aca="false">Thesis!$H$93</f>
        <v>152.52478394475</v>
      </c>
      <c r="W93" s="38" t="n">
        <f aca="false">Thesis!$I$93</f>
        <v>158.5998889105</v>
      </c>
      <c r="X93" s="38" t="n">
        <f aca="false">Thesis!$J$93</f>
        <v>163.8366571105</v>
      </c>
      <c r="Y93" s="38" t="n">
        <f aca="false">Thesis!$K$93</f>
        <v>169.0734253105</v>
      </c>
      <c r="Z93" s="38" t="n">
        <f aca="false">Thesis!$L$93</f>
        <v>205.7308027105</v>
      </c>
      <c r="AA93" s="38" t="n">
        <f aca="false">Thesis!$M$93</f>
        <v>265.82926376575</v>
      </c>
    </row>
    <row r="94" customFormat="false" ht="15" hidden="false" customHeight="false" outlineLevel="0" collapsed="false">
      <c r="A94" s="5" t="s">
        <v>590</v>
      </c>
      <c r="B94" s="0" t="s">
        <v>73</v>
      </c>
      <c r="C94" s="38" t="n">
        <f aca="false">Thesis!$C$91-Thesis!$C$93</f>
        <v>6.80596660793636</v>
      </c>
      <c r="D94" s="38" t="n">
        <f aca="false">Thesis!$D$91-Thesis!$D$93</f>
        <v>18.7309047919624</v>
      </c>
      <c r="E94" s="38" t="n">
        <f aca="false">Thesis!$E$91-Thesis!$E$93</f>
        <v>15.3547210779455</v>
      </c>
      <c r="F94" s="38" t="n">
        <f aca="false">Thesis!$F$91-Thesis!$F$93</f>
        <v>23.0232905</v>
      </c>
      <c r="G94" s="38" t="n">
        <f aca="false">Thesis!$G$91-Thesis!$G$93</f>
        <v>38.3780115779455</v>
      </c>
      <c r="H94" s="38" t="n">
        <f aca="false">Thesis!$H$91-Thesis!$H$93</f>
        <v>46.046581</v>
      </c>
      <c r="I94" s="38" t="n">
        <f aca="false">Thesis!$I$91-Thesis!$I$93</f>
        <v>46.046581</v>
      </c>
      <c r="J94" s="38" t="n">
        <f aca="false">Thesis!$J$91-Thesis!$J$93</f>
        <v>46.046581</v>
      </c>
      <c r="K94" s="38" t="n">
        <f aca="false">Thesis!$K$91-Thesis!$K$93</f>
        <v>46.046581</v>
      </c>
      <c r="L94" s="38" t="n">
        <f aca="false">Thesis!$L$91-Thesis!$L$93</f>
        <v>46.046581</v>
      </c>
      <c r="M94" s="38" t="n">
        <f aca="false">Thesis!$M$91-Thesis!$M$93</f>
        <v>46.046581</v>
      </c>
      <c r="R94" s="38" t="n">
        <f aca="false">Thesis!$R$91-Thesis!$R$93</f>
        <v>0.405023005106309</v>
      </c>
      <c r="S94" s="38" t="n">
        <f aca="false">Thesis!$S$91-Thesis!$S$93</f>
        <v>6.80596660793636</v>
      </c>
      <c r="T94" s="38" t="n">
        <f aca="false">Thesis!$T$91-Thesis!$T$93</f>
        <v>18.7309047919624</v>
      </c>
      <c r="U94" s="38" t="n">
        <f aca="false">Thesis!$U$91-Thesis!$U$93</f>
        <v>38.3780115779455</v>
      </c>
      <c r="V94" s="38" t="n">
        <f aca="false">Thesis!$V$91-Thesis!$V$93</f>
        <v>46.046581</v>
      </c>
      <c r="W94" s="38" t="n">
        <f aca="false">Thesis!$W$91-Thesis!$W$93</f>
        <v>46.046581</v>
      </c>
      <c r="X94" s="38" t="n">
        <f aca="false">Thesis!$X$91-Thesis!$X$93</f>
        <v>46.046581</v>
      </c>
      <c r="Y94" s="38" t="n">
        <f aca="false">Thesis!$Y$91-Thesis!$Y$93</f>
        <v>46.046581</v>
      </c>
      <c r="Z94" s="38" t="n">
        <f aca="false">Thesis!$Z$91-Thesis!$Z$93</f>
        <v>46.046581</v>
      </c>
      <c r="AA94" s="38" t="n">
        <f aca="false">Thesis!$AA$91-Thesis!$AA$93</f>
        <v>46.046581</v>
      </c>
    </row>
    <row r="95" customFormat="false" ht="17.15" hidden="false" customHeight="false" outlineLevel="0" collapsed="false">
      <c r="A95" s="0" t="s">
        <v>591</v>
      </c>
      <c r="B95" s="0" t="s">
        <v>52</v>
      </c>
      <c r="C95" s="12" t="n">
        <f aca="false">Thesis!$C$91/CF!$C$54</f>
        <v>0.325505489553393</v>
      </c>
      <c r="D95" s="12" t="n">
        <f aca="false">Thesis!$D$91/CF!$D$54</f>
        <v>0.54214956071542</v>
      </c>
      <c r="E95" s="12" t="n">
        <f aca="false">Thesis!$E$91/CF!$E$54</f>
        <v>0.666492790452817</v>
      </c>
      <c r="F95" s="12" t="n">
        <f aca="false">Thesis!$F$91/CF!$F$54</f>
        <v>0.723383481058938</v>
      </c>
      <c r="G95" s="12" t="n">
        <f aca="false">Thesis!$G$91/CF!$G$54</f>
        <v>0.699494931364102</v>
      </c>
      <c r="H95" s="12" t="n">
        <f aca="false">Thesis!$H$91/CF!$H$54</f>
        <v>0.714619350171483</v>
      </c>
      <c r="I95" s="12" t="n">
        <f aca="false">Thesis!$I$91/CF!$I$54</f>
        <v>0.696231624961614</v>
      </c>
      <c r="J95" s="12" t="n">
        <f aca="false">Thesis!$J$91/CF!$J$54</f>
        <v>0.681286352509885</v>
      </c>
      <c r="K95" s="12" t="n">
        <f aca="false">Thesis!$K$91/CF!$K$54</f>
        <v>0.671440649805508</v>
      </c>
      <c r="L95" s="12" t="n">
        <f aca="false">Thesis!$L$91/CF!$L$54</f>
        <v>0.6904509846562</v>
      </c>
      <c r="M95" s="12" t="n">
        <f aca="false">Thesis!$M$91/CF!$M$54</f>
        <v>0.720362080285865</v>
      </c>
    </row>
    <row r="96" customFormat="false" ht="17.15" hidden="false" customHeight="false" outlineLevel="0" collapsed="false">
      <c r="A96" s="0" t="s">
        <v>592</v>
      </c>
      <c r="B96" s="0" t="s">
        <v>73</v>
      </c>
      <c r="C96" s="38" t="n">
        <f aca="false">Thesis!$S$96</f>
        <v>0.183212798365523</v>
      </c>
      <c r="D96" s="38" t="n">
        <f aca="false">Thesis!$T$96</f>
        <v>3.2619025816657</v>
      </c>
      <c r="E96" s="38" t="n">
        <f aca="false">Thesis!$G$96/2</f>
        <v>5.86742852741953</v>
      </c>
      <c r="F96" s="38" t="n">
        <f aca="false">Thesis!$G$96/2</f>
        <v>5.86742852741953</v>
      </c>
      <c r="G96" s="38" t="n">
        <f aca="false">Thesis!$U$96</f>
        <v>11.7348570548391</v>
      </c>
      <c r="H96" s="38" t="n">
        <f aca="false">Thesis!$V$96</f>
        <v>32.0781968981833</v>
      </c>
      <c r="I96" s="38" t="n">
        <f aca="false">Thesis!$W$96</f>
        <v>57.4989942223083</v>
      </c>
      <c r="J96" s="38" t="n">
        <f aca="false">Thesis!$X$96</f>
        <v>83.932309040725</v>
      </c>
      <c r="K96" s="38" t="n">
        <f aca="false">Thesis!$Y$96</f>
        <v>111.055205760776</v>
      </c>
      <c r="L96" s="38" t="n">
        <f aca="false">Thesis!$Z$96</f>
        <v>136.155420195893</v>
      </c>
      <c r="M96" s="38" t="n">
        <f aca="false">Thesis!$AA$96</f>
        <v>161.970932841136</v>
      </c>
      <c r="N96" s="38" t="n">
        <f aca="false">Thesis!$D$96/2</f>
        <v>1.63095129083285</v>
      </c>
      <c r="O96" s="38" t="n">
        <f aca="false">Thesis!$D$96/2</f>
        <v>1.63095129083285</v>
      </c>
      <c r="R96" s="38" t="n">
        <f aca="false">SUMPRODUCT(--(Thesis!$R$62:$AA$62&lt;Thesis!R$62),--(Thesis!$R$62:$AA$62&gt;=Thesis!R$62-tk_life),Thesis!$R$93:$AA$93)/tk_life</f>
        <v>0</v>
      </c>
      <c r="S96" s="38" t="n">
        <f aca="false">SUMPRODUCT(--(Thesis!$R$62:$AA$62&lt;Thesis!S$62),--(Thesis!$R$62:$AA$62&gt;=Thesis!S$62-tk_life),Thesis!$R$93:$AA$93)/tk_life</f>
        <v>0.183212798365523</v>
      </c>
      <c r="T96" s="38" t="n">
        <f aca="false">SUMPRODUCT(--(Thesis!$R$62:$AA$62&lt;Thesis!T$62),--(Thesis!$R$62:$AA$62&gt;=Thesis!T$62-tk_life),Thesis!$R$93:$AA$93)/tk_life</f>
        <v>3.2619025816657</v>
      </c>
      <c r="U96" s="38" t="n">
        <f aca="false">SUMPRODUCT(--(Thesis!$R$62:$AA$62&lt;Thesis!U$62),--(Thesis!$R$62:$AA$62&gt;=Thesis!U$62-tk_life),Thesis!$R$93:$AA$93)/tk_life</f>
        <v>11.7348570548391</v>
      </c>
      <c r="V96" s="38" t="n">
        <f aca="false">SUMPRODUCT(--(Thesis!$R$62:$AA$62&lt;Thesis!V$62),--(Thesis!$R$62:$AA$62&gt;=Thesis!V$62-tk_life),Thesis!$R$93:$AA$93)/tk_life</f>
        <v>32.0781968981833</v>
      </c>
      <c r="W96" s="38" t="n">
        <f aca="false">SUMPRODUCT(--(Thesis!$R$62:$AA$62&lt;Thesis!W$62),--(Thesis!$R$62:$AA$62&gt;=Thesis!W$62-tk_life),Thesis!$R$93:$AA$93)/tk_life</f>
        <v>57.4989942223083</v>
      </c>
      <c r="X96" s="38" t="n">
        <f aca="false">SUMPRODUCT(--(Thesis!$R$62:$AA$62&lt;Thesis!X$62),--(Thesis!$R$62:$AA$62&gt;=Thesis!X$62-tk_life),Thesis!$R$93:$AA$93)/tk_life</f>
        <v>83.932309040725</v>
      </c>
      <c r="Y96" s="38" t="n">
        <f aca="false">SUMPRODUCT(--(Thesis!$R$62:$AA$62&lt;Thesis!Y$62),--(Thesis!$R$62:$AA$62&gt;=Thesis!Y$62-tk_life),Thesis!$R$93:$AA$93)/tk_life</f>
        <v>111.055205760776</v>
      </c>
      <c r="Z96" s="38" t="n">
        <f aca="false">SUMPRODUCT(--(Thesis!$R$62:$AA$62&lt;Thesis!Z$62),--(Thesis!$R$62:$AA$62&gt;=Thesis!Z$62-tk_life),Thesis!$R$93:$AA$93)/tk_life</f>
        <v>136.155420195893</v>
      </c>
      <c r="AA96" s="38" t="n">
        <f aca="false">SUMPRODUCT(--(Thesis!$R$62:$AA$62&lt;Thesis!AA$62),--(Thesis!$R$62:$AA$62&gt;=Thesis!AA$62-tk_life),Thesis!$R$93:$AA$93)/tk_life</f>
        <v>161.970932841136</v>
      </c>
    </row>
    <row r="97" customFormat="false" ht="17.15" hidden="false" customHeight="false" outlineLevel="0" collapsed="false">
      <c r="A97" s="0" t="s">
        <v>593</v>
      </c>
      <c r="B97" s="0" t="s">
        <v>73</v>
      </c>
      <c r="C97" s="38" t="n">
        <f aca="false">Thesis!$S$97</f>
        <v>0.0202511502553155</v>
      </c>
      <c r="D97" s="38" t="n">
        <f aca="false">Thesis!$T$97</f>
        <v>0.360549480652134</v>
      </c>
      <c r="E97" s="38" t="n">
        <f aca="false">Thesis!$G$97/2</f>
        <v>0.648547360125127</v>
      </c>
      <c r="F97" s="38" t="n">
        <f aca="false">Thesis!$G$97/2</f>
        <v>0.648547360125127</v>
      </c>
      <c r="G97" s="38" t="n">
        <f aca="false">Thesis!$U$97</f>
        <v>1.29709472025025</v>
      </c>
      <c r="H97" s="38" t="n">
        <f aca="false">Thesis!$V$97</f>
        <v>3.21599529914753</v>
      </c>
      <c r="I97" s="38" t="n">
        <f aca="false">Thesis!$W$97</f>
        <v>5.51832434914753</v>
      </c>
      <c r="J97" s="38" t="n">
        <f aca="false">Thesis!$X$97</f>
        <v>7.82065339914753</v>
      </c>
      <c r="K97" s="38" t="n">
        <f aca="false">Thesis!$Y$97</f>
        <v>10.1229824491475</v>
      </c>
      <c r="L97" s="38" t="n">
        <f aca="false">Thesis!$Z$97</f>
        <v>12.4253114991475</v>
      </c>
      <c r="M97" s="38" t="n">
        <f aca="false">Thesis!$AA$97</f>
        <v>14.7276405491475</v>
      </c>
      <c r="N97" s="38" t="n">
        <f aca="false">Thesis!$D$97/2</f>
        <v>0.180274740326067</v>
      </c>
      <c r="O97" s="38" t="n">
        <f aca="false">Thesis!$D$97/2</f>
        <v>0.180274740326067</v>
      </c>
      <c r="R97" s="38" t="n">
        <f aca="false">SUMPRODUCT(--(Thesis!$R$62:$AA$62&lt;Thesis!R$62),Thesis!$R$94:$AA$94)/fac_life</f>
        <v>0</v>
      </c>
      <c r="S97" s="38" t="n">
        <f aca="false">SUMPRODUCT(--(Thesis!$R$62:$AA$62&lt;Thesis!S$62),Thesis!$R$94:$AA$94)/fac_life</f>
        <v>0.0202511502553155</v>
      </c>
      <c r="T97" s="38" t="n">
        <f aca="false">SUMPRODUCT(--(Thesis!$R$62:$AA$62&lt;Thesis!T$62),Thesis!$R$94:$AA$94)/fac_life</f>
        <v>0.360549480652134</v>
      </c>
      <c r="U97" s="38" t="n">
        <f aca="false">SUMPRODUCT(--(Thesis!$R$62:$AA$62&lt;Thesis!U$62),Thesis!$R$94:$AA$94)/fac_life</f>
        <v>1.29709472025025</v>
      </c>
      <c r="V97" s="38" t="n">
        <f aca="false">SUMPRODUCT(--(Thesis!$R$62:$AA$62&lt;Thesis!V$62),Thesis!$R$94:$AA$94)/fac_life</f>
        <v>3.21599529914753</v>
      </c>
      <c r="W97" s="38" t="n">
        <f aca="false">SUMPRODUCT(--(Thesis!$R$62:$AA$62&lt;Thesis!W$62),Thesis!$R$94:$AA$94)/fac_life</f>
        <v>5.51832434914753</v>
      </c>
      <c r="X97" s="38" t="n">
        <f aca="false">SUMPRODUCT(--(Thesis!$R$62:$AA$62&lt;Thesis!X$62),Thesis!$R$94:$AA$94)/fac_life</f>
        <v>7.82065339914753</v>
      </c>
      <c r="Y97" s="38" t="n">
        <f aca="false">SUMPRODUCT(--(Thesis!$R$62:$AA$62&lt;Thesis!Y$62),Thesis!$R$94:$AA$94)/fac_life</f>
        <v>10.1229824491475</v>
      </c>
      <c r="Z97" s="38" t="n">
        <f aca="false">SUMPRODUCT(--(Thesis!$R$62:$AA$62&lt;Thesis!Z$62),Thesis!$R$94:$AA$94)/fac_life</f>
        <v>12.4253114991475</v>
      </c>
      <c r="AA97" s="38" t="n">
        <f aca="false">SUMPRODUCT(--(Thesis!$R$62:$AA$62&lt;Thesis!AA$62),Thesis!$R$94:$AA$94)/fac_life</f>
        <v>14.7276405491475</v>
      </c>
    </row>
    <row r="98" customFormat="false" ht="17.15" hidden="false" customHeight="false" outlineLevel="0" collapsed="false">
      <c r="A98" s="1" t="s">
        <v>594</v>
      </c>
      <c r="B98" s="8" t="s">
        <v>73</v>
      </c>
      <c r="C98" s="38" t="n">
        <f aca="false">Thesis!$C$96+Thesis!$C$97</f>
        <v>0.203463948620839</v>
      </c>
      <c r="D98" s="38" t="n">
        <f aca="false">Thesis!$D$96+Thesis!$D$97</f>
        <v>3.62245206231783</v>
      </c>
      <c r="E98" s="38" t="n">
        <f aca="false">Thesis!$E$96+Thesis!$E$97</f>
        <v>6.51597588754466</v>
      </c>
      <c r="F98" s="38" t="n">
        <f aca="false">Thesis!$F$96+Thesis!$F$97</f>
        <v>6.51597588754466</v>
      </c>
      <c r="G98" s="38" t="n">
        <f aca="false">Thesis!$G$96+Thesis!$G$97</f>
        <v>13.0319517750893</v>
      </c>
      <c r="H98" s="38" t="n">
        <f aca="false">Thesis!$H$96+Thesis!$H$97</f>
        <v>35.2941921973308</v>
      </c>
      <c r="I98" s="38" t="n">
        <f aca="false">Thesis!$I$96+Thesis!$I$97</f>
        <v>63.0173185714558</v>
      </c>
      <c r="J98" s="38" t="n">
        <f aca="false">Thesis!$J$96+Thesis!$J$97</f>
        <v>91.7529624398725</v>
      </c>
      <c r="K98" s="38" t="n">
        <f aca="false">Thesis!$K$96+Thesis!$K$97</f>
        <v>121.178188209924</v>
      </c>
      <c r="L98" s="38" t="n">
        <f aca="false">Thesis!$L$96+Thesis!$L$97</f>
        <v>148.58073169504</v>
      </c>
      <c r="M98" s="38" t="n">
        <f aca="false">Thesis!$M$96+Thesis!$M$97</f>
        <v>176.698573390283</v>
      </c>
      <c r="N98" s="38" t="n">
        <f aca="false">Thesis!$N$96+Thesis!$N$97</f>
        <v>1.81122603115892</v>
      </c>
      <c r="O98" s="38" t="n">
        <f aca="false">Thesis!$O$96+Thesis!$O$97</f>
        <v>1.81122603115892</v>
      </c>
      <c r="R98" s="38" t="n">
        <f aca="false">Thesis!$R$96+Thesis!$R$97</f>
        <v>0</v>
      </c>
      <c r="S98" s="38" t="n">
        <f aca="false">Thesis!$S$96+Thesis!$S$97</f>
        <v>0.203463948620839</v>
      </c>
      <c r="T98" s="38" t="n">
        <f aca="false">Thesis!$T$96+Thesis!$T$97</f>
        <v>3.62245206231783</v>
      </c>
      <c r="U98" s="38" t="n">
        <f aca="false">Thesis!$U$96+Thesis!$U$97</f>
        <v>13.0319517750893</v>
      </c>
      <c r="V98" s="38" t="n">
        <f aca="false">Thesis!$V$96+Thesis!$V$97</f>
        <v>35.2941921973308</v>
      </c>
      <c r="W98" s="38" t="n">
        <f aca="false">Thesis!$W$96+Thesis!$W$97</f>
        <v>63.0173185714558</v>
      </c>
      <c r="X98" s="38" t="n">
        <f aca="false">Thesis!$X$96+Thesis!$X$97</f>
        <v>91.7529624398725</v>
      </c>
      <c r="Y98" s="38" t="n">
        <f aca="false">Thesis!$Y$96+Thesis!$Y$97</f>
        <v>121.178188209924</v>
      </c>
      <c r="Z98" s="38" t="n">
        <f aca="false">Thesis!$Z$96+Thesis!$Z$97</f>
        <v>148.58073169504</v>
      </c>
      <c r="AA98" s="38" t="n">
        <f aca="false">Thesis!$AA$96+Thesis!$AA$97</f>
        <v>176.698573390283</v>
      </c>
    </row>
    <row r="99" customFormat="false" ht="17.15" hidden="false" customHeight="false" outlineLevel="0" collapsed="false">
      <c r="A99" s="0" t="s">
        <v>595</v>
      </c>
      <c r="B99" s="0" t="s">
        <v>73</v>
      </c>
      <c r="C99" s="38" t="n">
        <f aca="false">Thesis!$S$99</f>
        <v>26.578941154416</v>
      </c>
      <c r="D99" s="38" t="n">
        <f aca="false">Thesis!$T$99</f>
        <v>92.5251207231008</v>
      </c>
      <c r="G99" s="38" t="n">
        <f aca="false">Thesis!$U$99</f>
        <v>239.931219586022</v>
      </c>
      <c r="H99" s="38" t="n">
        <f aca="false">Thesis!$V$99</f>
        <v>403.208392333442</v>
      </c>
      <c r="I99" s="38" t="n">
        <f aca="false">Thesis!$W$99</f>
        <v>544.837543672486</v>
      </c>
      <c r="J99" s="38" t="n">
        <f aca="false">Thesis!$X$99</f>
        <v>662.967819343113</v>
      </c>
      <c r="K99" s="38" t="n">
        <f aca="false">Thesis!$Y$99</f>
        <v>756.90963744369</v>
      </c>
      <c r="L99" s="38" t="n">
        <f aca="false">Thesis!$Z$99</f>
        <v>860.10628945915</v>
      </c>
      <c r="M99" s="38" t="n">
        <f aca="false">Thesis!$AA$99</f>
        <v>995.283560834616</v>
      </c>
      <c r="R99" s="38" t="n">
        <f aca="false">SUM(Thesis!$R$91:$R$91)-SUM(Thesis!$R$98:$R$98)</f>
        <v>1.50429979529945</v>
      </c>
      <c r="S99" s="38" t="n">
        <f aca="false">SUM(Thesis!$R$91:$S$91)-SUM(Thesis!$R$98:$S$98)</f>
        <v>26.578941154416</v>
      </c>
      <c r="T99" s="38" t="n">
        <f aca="false">SUM(Thesis!$R$91:$T$91)-SUM(Thesis!$R$98:$T$98)</f>
        <v>92.5251207231008</v>
      </c>
      <c r="U99" s="38" t="n">
        <f aca="false">SUM(Thesis!$R$91:$U$91)-SUM(Thesis!$R$98:$U$98)</f>
        <v>239.931219586022</v>
      </c>
      <c r="V99" s="38" t="n">
        <f aca="false">SUM(Thesis!$R$91:$V$91)-SUM(Thesis!$R$98:$V$98)</f>
        <v>403.208392333442</v>
      </c>
      <c r="W99" s="38" t="n">
        <f aca="false">SUM(Thesis!$R$91:$W$91)-SUM(Thesis!$R$98:$W$98)</f>
        <v>544.837543672486</v>
      </c>
      <c r="X99" s="38" t="n">
        <f aca="false">SUM(Thesis!$R$91:$X$91)-SUM(Thesis!$R$98:$X$98)</f>
        <v>662.967819343113</v>
      </c>
      <c r="Y99" s="38" t="n">
        <f aca="false">SUM(Thesis!$R$91:$Y$91)-SUM(Thesis!$R$98:$Y$98)</f>
        <v>756.90963744369</v>
      </c>
      <c r="Z99" s="38" t="n">
        <f aca="false">SUM(Thesis!$R$91:$Z$91)-SUM(Thesis!$R$98:$Z$98)</f>
        <v>860.10628945915</v>
      </c>
      <c r="AA99" s="38" t="n">
        <f aca="false">SUM(Thesis!$R$91:$AA$91)-SUM(Thesis!$R$98:$AA$98)</f>
        <v>995.283560834616</v>
      </c>
    </row>
    <row r="100" customFormat="false" ht="17.15" hidden="false" customHeight="false" outlineLevel="0" collapsed="false">
      <c r="A100" s="1" t="s">
        <v>596</v>
      </c>
    </row>
    <row r="101" customFormat="false" ht="17.15" hidden="false" customHeight="false" outlineLevel="0" collapsed="false">
      <c r="A101" s="0" t="s">
        <v>597</v>
      </c>
      <c r="B101" s="0" t="s">
        <v>73</v>
      </c>
      <c r="C101" s="38" t="n">
        <f aca="false">Thesis!$C$82-ext_sh*Thesis!$C$84</f>
        <v>1.80694998843362</v>
      </c>
      <c r="D101" s="38" t="n">
        <f aca="false">Thesis!$D$82-ext_sh*Thesis!$D$84</f>
        <v>6.77606245662607</v>
      </c>
      <c r="E101" s="38" t="n">
        <f aca="false">Thesis!$E$82-ext_sh*Thesis!$E$84</f>
        <v>6.62548329092326</v>
      </c>
      <c r="F101" s="38" t="n">
        <f aca="false">Thesis!$F$82-ext_sh*Thesis!$F$84</f>
        <v>11.7200577158706</v>
      </c>
      <c r="G101" s="38" t="n">
        <f aca="false">Thesis!$G$82-ext_sh*Thesis!$G$84</f>
        <v>18.3455410067939</v>
      </c>
      <c r="H101" s="38" t="n">
        <f aca="false">Thesis!$H$82-ext_sh*Thesis!$H$84</f>
        <v>47.5171727060453</v>
      </c>
      <c r="I101" s="38" t="n">
        <f aca="false">Thesis!$I$82-ext_sh*Thesis!$I$84</f>
        <v>80.5539692643667</v>
      </c>
      <c r="J101" s="38" t="n">
        <f aca="false">Thesis!$J$82-ext_sh*Thesis!$J$84</f>
        <v>113.759316834883</v>
      </c>
      <c r="K101" s="38" t="n">
        <f aca="false">Thesis!$K$82-ext_sh*Thesis!$K$84</f>
        <v>147.020848076132</v>
      </c>
      <c r="L101" s="38" t="n">
        <f aca="false">Thesis!$L$82-ext_sh*Thesis!$L$84</f>
        <v>180.307917349531</v>
      </c>
      <c r="M101" s="38" t="n">
        <f aca="false">Thesis!$M$82-ext_sh*Thesis!$M$84</f>
        <v>213.608737871012</v>
      </c>
      <c r="N101" s="38" t="n">
        <f aca="false">Thesis!$N$82-ext_sh*Thesis!$N$84</f>
        <v>2.37162185981912</v>
      </c>
      <c r="O101" s="38" t="n">
        <f aca="false">Thesis!$O$82-ext_sh*Thesis!$O$84</f>
        <v>4.40444059680694</v>
      </c>
    </row>
    <row r="102" customFormat="false" ht="17.15" hidden="false" customHeight="false" outlineLevel="0" collapsed="false">
      <c r="A102" s="1" t="s">
        <v>598</v>
      </c>
      <c r="B102" s="8" t="s">
        <v>73</v>
      </c>
      <c r="C102" s="38" t="n">
        <f aca="false">Thesis!$C$101-ext_sh*Thesis!$C$98</f>
        <v>1.64417882953695</v>
      </c>
      <c r="D102" s="38" t="n">
        <f aca="false">Thesis!$D$101-ext_sh*Thesis!$D$98</f>
        <v>3.8781008067718</v>
      </c>
      <c r="E102" s="38" t="n">
        <f aca="false">Thesis!$E$101-ext_sh*Thesis!$E$98</f>
        <v>1.41270258088753</v>
      </c>
      <c r="F102" s="38" t="n">
        <f aca="false">Thesis!$F$101-ext_sh*Thesis!$F$98</f>
        <v>6.50727700583486</v>
      </c>
      <c r="G102" s="38" t="n">
        <f aca="false">Thesis!$G$101-ext_sh*Thesis!$G$98</f>
        <v>7.9199795867224</v>
      </c>
      <c r="H102" s="38" t="n">
        <f aca="false">Thesis!$H$101-ext_sh*Thesis!$H$98</f>
        <v>19.2818189481807</v>
      </c>
      <c r="I102" s="38" t="n">
        <f aca="false">Thesis!$I$101-ext_sh*Thesis!$I$98</f>
        <v>30.140114407202</v>
      </c>
      <c r="J102" s="38" t="n">
        <f aca="false">Thesis!$J$101-ext_sh*Thesis!$J$98</f>
        <v>40.3569468829854</v>
      </c>
      <c r="K102" s="38" t="n">
        <f aca="false">Thesis!$K$101-ext_sh*Thesis!$K$98</f>
        <v>50.0782975081929</v>
      </c>
      <c r="L102" s="38" t="n">
        <f aca="false">Thesis!$L$101-ext_sh*Thesis!$L$98</f>
        <v>61.443331993499</v>
      </c>
      <c r="M102" s="38" t="n">
        <f aca="false">Thesis!$M$101-ext_sh*Thesis!$M$98</f>
        <v>72.2498791587849</v>
      </c>
      <c r="N102" s="38" t="n">
        <f aca="false">Thesis!$N$101-ext_sh*Thesis!$N$98</f>
        <v>0.92264103489199</v>
      </c>
      <c r="O102" s="38" t="n">
        <f aca="false">Thesis!$O$101-ext_sh*Thesis!$O$98</f>
        <v>2.95545977187981</v>
      </c>
    </row>
    <row r="103" customFormat="false" ht="17.15" hidden="false" customHeight="false" outlineLevel="0" collapsed="false">
      <c r="A103" s="0" t="s">
        <v>599</v>
      </c>
      <c r="B103" s="0" t="s">
        <v>52</v>
      </c>
      <c r="C103" s="12" t="n">
        <f aca="false">Thesis!$C$102/Thesis!$C$82</f>
        <v>0.708390794789371</v>
      </c>
      <c r="D103" s="12" t="n">
        <f aca="false">Thesis!$D$102/Thesis!$D$82</f>
        <v>0.445565630441968</v>
      </c>
      <c r="E103" s="12" t="n">
        <f aca="false">Thesis!$E$102/Thesis!$E$82</f>
        <v>0.165998118402711</v>
      </c>
      <c r="F103" s="12" t="n">
        <f aca="false">Thesis!$F$102/Thesis!$F$82</f>
        <v>0.434878595403858</v>
      </c>
      <c r="G103" s="12" t="n">
        <f aca="false">Thesis!$G$102/Thesis!$G$82</f>
        <v>0.3373967615381</v>
      </c>
      <c r="H103" s="12" t="n">
        <f aca="false">Thesis!$H$102/Thesis!$H$82</f>
        <v>0.320477578041224</v>
      </c>
      <c r="I103" s="12" t="n">
        <f aca="false">Thesis!$I$102/Thesis!$I$82</f>
        <v>0.296936118226494</v>
      </c>
      <c r="J103" s="12" t="n">
        <f aca="false">Thesis!$J$102/Thesis!$J$82</f>
        <v>0.282166278613001</v>
      </c>
      <c r="K103" s="12" t="n">
        <f aca="false">Thesis!$K$102/Thesis!$K$82</f>
        <v>0.271267685694333</v>
      </c>
      <c r="L103" s="12" t="n">
        <f aca="false">Thesis!$L$102/Thesis!$L$82</f>
        <v>0.27160960915653</v>
      </c>
      <c r="M103" s="12" t="n">
        <f aca="false">Thesis!$M$102/Thesis!$M$82</f>
        <v>0.26974494804234</v>
      </c>
      <c r="N103" s="12" t="n">
        <f aca="false">Thesis!$N$102/Thesis!$N$82</f>
        <v>0.302870734830849</v>
      </c>
      <c r="O103" s="12" t="n">
        <f aca="false">Thesis!$O$102/Thesis!$O$82</f>
        <v>0.52240134346334</v>
      </c>
    </row>
    <row r="104" customFormat="false" ht="17.15" hidden="false" customHeight="false" outlineLevel="0" collapsed="false">
      <c r="A104" s="5" t="s">
        <v>600</v>
      </c>
      <c r="B104" s="0" t="s">
        <v>73</v>
      </c>
      <c r="C104" s="38" t="n">
        <f aca="false">rd2*(1-ext_sh)/ext_sh*Thesis!$C$65*he_open*Thesis!$C$66/1000</f>
        <v>0</v>
      </c>
      <c r="D104" s="38" t="n">
        <f aca="false">rd2*(1-ext_sh)/ext_sh*Thesis!$D$65*he_open*Thesis!$D$66/1000</f>
        <v>0</v>
      </c>
      <c r="E104" s="38" t="n">
        <f aca="false">rd2*(1-ext_sh)/ext_sh*Thesis!$E$65*he_open*Thesis!$E$66/1000</f>
        <v>0</v>
      </c>
      <c r="F104" s="38" t="n">
        <f aca="false">rd2*(1-ext_sh)/ext_sh*(mw_open*he_open+Thesis!$F$80*Thesis!$F$77)*Thesis!$F$66/1000</f>
        <v>0</v>
      </c>
      <c r="G104" s="38" t="n">
        <f aca="false">Thesis!$E$104+Thesis!$F$104</f>
        <v>0</v>
      </c>
      <c r="H104" s="38" t="n">
        <f aca="false">rd2*(1-ext_sh)/ext_sh*(mw_open*he_open+Thesis!$H$80*Thesis!$H$77)*Thesis!$H$66/1000</f>
        <v>0</v>
      </c>
      <c r="I104" s="38" t="n">
        <f aca="false">rd2*(1-ext_sh)/ext_sh*(mw_open*he_open+Thesis!$I$80*Thesis!$I$77)*Thesis!$I$66/1000</f>
        <v>0</v>
      </c>
      <c r="J104" s="38" t="n">
        <f aca="false">rd2*(1-ext_sh)/ext_sh*(mw_open*he_open+Thesis!$J$80*Thesis!$J$77)*Thesis!$J$66/1000</f>
        <v>0</v>
      </c>
      <c r="K104" s="38" t="n">
        <f aca="false">rd2*(1-ext_sh)/ext_sh*(mw_open*he_open+Thesis!$K$80*Thesis!$K$77)*Thesis!$K$66/1000</f>
        <v>0</v>
      </c>
      <c r="L104" s="38" t="n">
        <f aca="false">rd2*(1-ext_sh)/ext_sh*(mw_open*he_open+Thesis!$L$80*Thesis!$L$77)*Thesis!$L$66/1000</f>
        <v>0</v>
      </c>
      <c r="M104" s="38" t="n">
        <f aca="false">rd2*(1-ext_sh)/ext_sh*(mw_open*he_open+Thesis!$M$80*Thesis!$M$77)*Thesis!$M$66/1000</f>
        <v>0</v>
      </c>
      <c r="N104" s="38" t="n">
        <f aca="false">rd2*(1-ext_sh)/ext_sh*Thesis!$N$65*he_open*Thesis!$N$66/1000</f>
        <v>0</v>
      </c>
      <c r="O104" s="38" t="n">
        <f aca="false">rd2*(1-ext_sh)/ext_sh*Thesis!$O$65*he_open*Thesis!$O$66/1000</f>
        <v>0</v>
      </c>
      <c r="P104" s="8" t="s">
        <v>601</v>
      </c>
    </row>
    <row r="105" customFormat="false" ht="17.15" hidden="false" customHeight="false" outlineLevel="0" collapsed="false">
      <c r="A105" s="5" t="s">
        <v>602</v>
      </c>
      <c r="B105" s="0" t="s">
        <v>73</v>
      </c>
      <c r="C105" s="38" t="n">
        <f aca="false">(1-ext_sh)*(Thesis!$C$84+Thesis!$C$98)-Thesis!$C$104</f>
        <v>0.169206631859174</v>
      </c>
      <c r="D105" s="38" t="n">
        <f aca="false">(1-ext_sh)*(Thesis!$D$84+Thesis!$D$98)-Thesis!$D$104</f>
        <v>1.20641732046984</v>
      </c>
      <c r="E105" s="38" t="n">
        <f aca="false">(1-ext_sh)*(Thesis!$E$84+Thesis!$E$98)-Thesis!$E$104</f>
        <v>1.77441259867062</v>
      </c>
      <c r="F105" s="38" t="n">
        <f aca="false">(1-ext_sh)*(Thesis!$F$84+Thesis!$F$98)-Thesis!$F$104</f>
        <v>2.1140391597214</v>
      </c>
      <c r="G105" s="38" t="n">
        <f aca="false">(1-ext_sh)*(Thesis!$G$84+Thesis!$G$98)-Thesis!$G$104</f>
        <v>3.88845175839202</v>
      </c>
      <c r="H105" s="38" t="n">
        <f aca="false">(1-ext_sh)*(Thesis!$H$84+Thesis!$H$98)-Thesis!$H$104</f>
        <v>10.2210179503985</v>
      </c>
      <c r="I105" s="38" t="n">
        <f aca="false">(1-ext_sh)*(Thesis!$I$84+Thesis!$I$98)-Thesis!$I$104</f>
        <v>17.8408961823075</v>
      </c>
      <c r="J105" s="38" t="n">
        <f aca="false">(1-ext_sh)*(Thesis!$J$84+Thesis!$J$98)-Thesis!$J$104</f>
        <v>25.6671150670732</v>
      </c>
      <c r="K105" s="38" t="n">
        <f aca="false">(1-ext_sh)*(Thesis!$K$84+Thesis!$K$98)-Thesis!$K$104</f>
        <v>33.6325293834986</v>
      </c>
      <c r="L105" s="38" t="n">
        <f aca="false">(1-ext_sh)*(Thesis!$L$84+Thesis!$L$98)-Thesis!$L$104</f>
        <v>41.1939886299065</v>
      </c>
      <c r="M105" s="38" t="n">
        <f aca="false">(1-ext_sh)*(Thesis!$M$84+Thesis!$M$98)-Thesis!$M$104</f>
        <v>48.8988205728617</v>
      </c>
      <c r="N105" s="38" t="n">
        <f aca="false">(1-ext_sh)*(Thesis!$N$84+Thesis!$N$98)-Thesis!$N$104</f>
        <v>0.530919624033979</v>
      </c>
      <c r="O105" s="38" t="n">
        <f aca="false">(1-ext_sh)*(Thesis!$O$84+Thesis!$O$98)-Thesis!$O$104</f>
        <v>0.675497696435861</v>
      </c>
    </row>
    <row r="106" customFormat="false" ht="17.15" hidden="false" customHeight="false" outlineLevel="0" collapsed="false">
      <c r="A106" s="0" t="s">
        <v>603</v>
      </c>
      <c r="B106" s="0" t="s">
        <v>73</v>
      </c>
      <c r="C106" s="38" t="n">
        <f aca="false">Q!$D$24</f>
        <v>39.834</v>
      </c>
      <c r="D106" s="38" t="n">
        <f aca="false">Q!$E$24</f>
        <v>45.606</v>
      </c>
      <c r="E106" s="38" t="n">
        <f aca="false">Q!$P$24</f>
        <v>30.782</v>
      </c>
      <c r="N106" s="38" t="n">
        <f aca="false">Q!$N$24</f>
        <v>21.707</v>
      </c>
      <c r="O106" s="38" t="n">
        <f aca="false">Q!$O$24</f>
        <v>23.899</v>
      </c>
    </row>
    <row r="107" customFormat="false" ht="17.15" hidden="false" customHeight="false" outlineLevel="0" collapsed="false">
      <c r="A107" s="0" t="s">
        <v>604</v>
      </c>
      <c r="B107" s="0" t="s">
        <v>73</v>
      </c>
      <c r="C107" s="38" t="n">
        <f aca="false">Thesis!$C$106-Thesis!$C$102</f>
        <v>38.1898211704631</v>
      </c>
      <c r="D107" s="38" t="n">
        <f aca="false">Thesis!$D$106-Thesis!$D$102</f>
        <v>41.7278991932282</v>
      </c>
      <c r="E107" s="38" t="n">
        <f aca="false">Thesis!$E$106-Thesis!$E$102</f>
        <v>29.3692974191125</v>
      </c>
      <c r="F107" s="38" t="n">
        <f aca="false">Thesis!$F$86*Thesis!$F$108</f>
        <v>29.458060516894</v>
      </c>
      <c r="G107" s="38" t="n">
        <f aca="false">Thesis!$E$107+Thesis!$F$107</f>
        <v>58.8273579360065</v>
      </c>
      <c r="H107" s="38" t="n">
        <f aca="false">Thesis!$H$86*Thesis!$H$108</f>
        <v>67.8004040185081</v>
      </c>
      <c r="I107" s="38" t="n">
        <f aca="false">Thesis!$I$86*Thesis!$I$108</f>
        <v>78.9527630302702</v>
      </c>
      <c r="J107" s="38" t="n">
        <f aca="false">Thesis!$J$86*Thesis!$J$108</f>
        <v>88.6042681781841</v>
      </c>
      <c r="K107" s="38" t="n">
        <f aca="false">Thesis!$K$86*Thesis!$K$108</f>
        <v>95.6926096324389</v>
      </c>
      <c r="L107" s="38" t="n">
        <f aca="false">Thesis!$L$86*Thesis!$L$108</f>
        <v>103.348018403034</v>
      </c>
      <c r="M107" s="38" t="n">
        <f aca="false">Thesis!$M$86*Thesis!$M$108</f>
        <v>111.615859875277</v>
      </c>
      <c r="N107" s="38" t="n">
        <f aca="false">Thesis!$N$106-Thesis!$N$102</f>
        <v>20.784358965108</v>
      </c>
      <c r="O107" s="38" t="n">
        <f aca="false">Thesis!$O$106-Thesis!$O$102</f>
        <v>20.9435402281202</v>
      </c>
      <c r="P107" s="5" t="s">
        <v>605</v>
      </c>
    </row>
    <row r="108" customFormat="false" ht="17.15" hidden="false" customHeight="false" outlineLevel="0" collapsed="false">
      <c r="A108" s="0" t="s">
        <v>606</v>
      </c>
      <c r="B108" s="0" t="s">
        <v>52</v>
      </c>
      <c r="C108" s="12" t="n">
        <f aca="false">Thesis!$C$107/Thesis!$C$86</f>
        <v>0.362900395443635</v>
      </c>
      <c r="D108" s="12" t="n">
        <f aca="false">Thesis!$D$107/Thesis!$D$86</f>
        <v>0.34767098474203</v>
      </c>
      <c r="E108" s="12" t="n">
        <f aca="false">Thesis!$E$107/Thesis!$E$86</f>
        <v>0.411861655558416</v>
      </c>
      <c r="F108" s="12" t="n">
        <f aca="false">(Thesis!$O$107+Thesis!$E$107)/(Thesis!$O$86+Thesis!$E$86)</f>
        <v>0.37480827803158</v>
      </c>
      <c r="G108" s="12" t="n">
        <f aca="false">Thesis!$G$107/Thesis!$G$86</f>
        <v>0.392434440489471</v>
      </c>
      <c r="H108" s="12" t="n">
        <f aca="false">Thesis!$F$108</f>
        <v>0.37480827803158</v>
      </c>
      <c r="I108" s="12" t="n">
        <f aca="false">Thesis!$F$108</f>
        <v>0.37480827803158</v>
      </c>
      <c r="J108" s="12" t="n">
        <f aca="false">Thesis!$F$108</f>
        <v>0.37480827803158</v>
      </c>
      <c r="K108" s="12" t="n">
        <f aca="false">Thesis!$F$108</f>
        <v>0.37480827803158</v>
      </c>
      <c r="L108" s="12" t="n">
        <f aca="false">Thesis!$F$108</f>
        <v>0.37480827803158</v>
      </c>
      <c r="M108" s="12" t="n">
        <f aca="false">Thesis!$F$108</f>
        <v>0.37480827803158</v>
      </c>
      <c r="N108" s="12" t="n">
        <f aca="false">Thesis!$N$107/Thesis!$N$86</f>
        <v>0.364039571356823</v>
      </c>
      <c r="O108" s="12" t="n">
        <f aca="false">Thesis!$O$107/Thesis!$O$86</f>
        <v>0.332819892300086</v>
      </c>
      <c r="P108" s="8" t="s">
        <v>607</v>
      </c>
    </row>
    <row r="109" customFormat="false" ht="17.15" hidden="false" customHeight="false" outlineLevel="0" collapsed="false">
      <c r="A109" s="0" t="s">
        <v>608</v>
      </c>
      <c r="B109" s="0" t="s">
        <v>52</v>
      </c>
      <c r="D109" s="12" t="n">
        <f aca="false">(Q!$E$31-ext_sh*Thesis!$D$98)/Thesis!$D$86</f>
        <v>0.154572973163571</v>
      </c>
    </row>
    <row r="110" customFormat="false" ht="17.15" hidden="false" customHeight="false" outlineLevel="0" collapsed="false">
      <c r="A110" s="0" t="s">
        <v>609</v>
      </c>
      <c r="B110" s="0" t="s">
        <v>73</v>
      </c>
      <c r="C110" s="38" t="n">
        <f aca="false">Q!$D$31</f>
        <v>13.32</v>
      </c>
      <c r="D110" s="38" t="n">
        <f aca="false">Q!$E$31</f>
        <v>21.45</v>
      </c>
      <c r="E110" s="38" t="n">
        <f aca="false">Q!$P$31</f>
        <v>15.353</v>
      </c>
      <c r="F110" s="38" t="n">
        <f aca="false">ext_sh*Thesis!$F$98+Thesis!$D$109*Thesis!$F$86</f>
        <v>17.3614451462707</v>
      </c>
      <c r="G110" s="38" t="n">
        <f aca="false">Thesis!$E$110+Thesis!$F$110</f>
        <v>32.7144451462707</v>
      </c>
      <c r="H110" s="38" t="n">
        <f aca="false">ext_sh*Thesis!$H$98+Thesis!$D$109*Thesis!$H$86</f>
        <v>56.1966092719415</v>
      </c>
      <c r="I110" s="38" t="n">
        <f aca="false">ext_sh*Thesis!$I$98+Thesis!$D$109*Thesis!$I$86</f>
        <v>82.9744039068297</v>
      </c>
      <c r="J110" s="38" t="n">
        <f aca="false">ext_sh*Thesis!$J$98+Thesis!$D$109*Thesis!$J$86</f>
        <v>109.943252237669</v>
      </c>
      <c r="K110" s="38" t="n">
        <f aca="false">ext_sh*Thesis!$K$98+Thesis!$D$109*Thesis!$K$86</f>
        <v>136.406703436571</v>
      </c>
      <c r="L110" s="38" t="n">
        <f aca="false">ext_sh*Thesis!$L$98+Thesis!$D$109*Thesis!$L$86</f>
        <v>161.485870454155</v>
      </c>
      <c r="M110" s="38" t="n">
        <f aca="false">ext_sh*Thesis!$M$98+Thesis!$D$109*Thesis!$M$86</f>
        <v>187.389846618199</v>
      </c>
      <c r="N110" s="38" t="n">
        <f aca="false">Q!$N$31</f>
        <v>9.234</v>
      </c>
      <c r="O110" s="38" t="n">
        <f aca="false">Q!$O$31</f>
        <v>12.216</v>
      </c>
    </row>
    <row r="111" customFormat="false" ht="17.15" hidden="false" customHeight="false" outlineLevel="0" collapsed="false">
      <c r="A111" s="1" t="s">
        <v>610</v>
      </c>
    </row>
    <row r="112" customFormat="false" ht="17.15" hidden="false" customHeight="false" outlineLevel="0" collapsed="false">
      <c r="A112" s="14" t="s">
        <v>611</v>
      </c>
      <c r="B112" s="13" t="s">
        <v>52</v>
      </c>
      <c r="C112" s="13"/>
      <c r="D112" s="13"/>
      <c r="E112" s="13"/>
      <c r="F112" s="13"/>
      <c r="G112" s="16" t="n">
        <f aca="false">Thesis!$G$102*(1-tax)/(ext_sh*(Thesis!$D$99+Thesis!$G$99)/2)</f>
        <v>0.0492184452944045</v>
      </c>
      <c r="H112" s="16" t="n">
        <f aca="false">Thesis!$H$102*(1-tax)/(ext_sh*(Thesis!$G$99+Thesis!$H$99)/2)</f>
        <v>0.0619414246858107</v>
      </c>
      <c r="I112" s="16" t="n">
        <f aca="false">Thesis!$I$102*(1-tax)/(ext_sh*(Thesis!$H$99+Thesis!$I$99)/2)</f>
        <v>0.0656831488051666</v>
      </c>
      <c r="J112" s="16" t="n">
        <f aca="false">Thesis!$J$102*(1-tax)/(ext_sh*(Thesis!$I$99+Thesis!$J$99)/2)</f>
        <v>0.0690334849962116</v>
      </c>
      <c r="K112" s="16" t="n">
        <f aca="false">Thesis!$K$102*(1-tax)/(ext_sh*(Thesis!$J$99+Thesis!$K$99)/2)</f>
        <v>0.0728680488295485</v>
      </c>
      <c r="L112" s="16" t="n">
        <f aca="false">Thesis!$L$102*(1-tax)/(ext_sh*(Thesis!$K$99+Thesis!$L$99)/2)</f>
        <v>0.0785052878122331</v>
      </c>
      <c r="M112" s="16" t="n">
        <f aca="false">Thesis!$M$102*(1-tax)/(ext_sh*(Thesis!$L$99+Thesis!$M$99)/2)</f>
        <v>0.0804526580722741</v>
      </c>
      <c r="N112" s="13"/>
      <c r="O112" s="13"/>
      <c r="P112" s="8" t="s">
        <v>612</v>
      </c>
    </row>
    <row r="113" customFormat="false" ht="17.15" hidden="false" customHeight="false" outlineLevel="0" collapsed="false">
      <c r="A113" s="5" t="s">
        <v>613</v>
      </c>
      <c r="B113" s="0" t="s">
        <v>57</v>
      </c>
      <c r="H113" s="36" t="n">
        <f aca="false">Thesis!$H$82*1000/(mw_open*he_open+Thesis!$H$80*Thesis!$H$77)</f>
        <v>0.991949006767191</v>
      </c>
      <c r="I113" s="36" t="n">
        <f aca="false">Thesis!$I$82*1000/(mw_open*he_open+Thesis!$I$80*Thesis!$I$77)</f>
        <v>0.991949006767191</v>
      </c>
      <c r="J113" s="36" t="n">
        <f aca="false">Thesis!$J$82*1000/(mw_open*he_open+Thesis!$J$80*Thesis!$J$77)</f>
        <v>0.991949006767191</v>
      </c>
      <c r="K113" s="36" t="n">
        <f aca="false">Thesis!$K$82*1000/(mw_open*he_open+Thesis!$K$80*Thesis!$K$77)</f>
        <v>0.991949006767191</v>
      </c>
      <c r="L113" s="36" t="n">
        <f aca="false">Thesis!$L$82*1000/(mw_open*he_open+Thesis!$L$80*Thesis!$L$77)</f>
        <v>0.991949006767191</v>
      </c>
      <c r="M113" s="36" t="n">
        <f aca="false">Thesis!$M$82*1000/(mw_open*he_open+Thesis!$M$80*Thesis!$M$77)</f>
        <v>0.991949006767192</v>
      </c>
    </row>
    <row r="114" customFormat="false" ht="17.15" hidden="false" customHeight="false" outlineLevel="0" collapsed="false">
      <c r="A114" s="5" t="s">
        <v>614</v>
      </c>
      <c r="B114" s="0" t="s">
        <v>57</v>
      </c>
      <c r="H114" s="36" t="n">
        <f aca="false">Thesis!$H$113*(Thesis!$H$82+wacc*ext_sh*(Thesis!$G$99+Thesis!$H$99)/2/(1-tax)-Thesis!$H$102)/Thesis!$H$82</f>
        <v>1.3149781212103</v>
      </c>
      <c r="I114" s="36" t="n">
        <f aca="false">Thesis!$I$113*(Thesis!$I$82+wacc*ext_sh*(Thesis!$H$99+Thesis!$I$99)/2/(1-tax)-Thesis!$I$102)/Thesis!$I$82</f>
        <v>1.25742005569107</v>
      </c>
      <c r="J114" s="36" t="n">
        <f aca="false">Thesis!$J$113*(Thesis!$J$82+wacc*ext_sh*(Thesis!$I$99+Thesis!$J$99)/2/(1-tax)-Thesis!$J$102)/Thesis!$J$82</f>
        <v>1.21838845868559</v>
      </c>
      <c r="K114" s="36" t="n">
        <f aca="false">Thesis!$K$113*(Thesis!$K$82+wacc*ext_sh*(Thesis!$J$99+Thesis!$K$99)/2/(1-tax)-Thesis!$K$102)/Thesis!$K$82</f>
        <v>1.18402644209548</v>
      </c>
      <c r="L114" s="36" t="n">
        <f aca="false">Thesis!$L$113*(Thesis!$L$82+wacc*ext_sh*(Thesis!$K$99+Thesis!$L$99)/2/(1-tax)-Thesis!$L$102)/Thesis!$L$82</f>
        <v>1.15111215322059</v>
      </c>
      <c r="M114" s="36" t="n">
        <f aca="false">Thesis!$M$113*(Thesis!$M$82+wacc*ext_sh*(Thesis!$L$99+Thesis!$M$99)/2/(1-tax)-Thesis!$M$102)/Thesis!$M$82</f>
        <v>1.1397166845677</v>
      </c>
    </row>
    <row r="115" customFormat="false" ht="17.15" hidden="false" customHeight="false" outlineLevel="0" collapsed="false">
      <c r="A115" s="5" t="s">
        <v>615</v>
      </c>
      <c r="B115" s="0" t="s">
        <v>52</v>
      </c>
      <c r="C115" s="12" t="n">
        <f aca="false">Thesis!$C$83/tk_pq</f>
        <v>0.195316432429398</v>
      </c>
      <c r="D115" s="12" t="n">
        <f aca="false">Thesis!$D$83/tk_pq</f>
        <v>0.195316432429398</v>
      </c>
      <c r="E115" s="12" t="n">
        <f aca="false">Thesis!$E$83/tk_pq</f>
        <v>0.195316432429398</v>
      </c>
      <c r="F115" s="12" t="n">
        <f aca="false">Thesis!$F$83/tk_pq</f>
        <v>0.202241827274866</v>
      </c>
      <c r="G115" s="12" t="n">
        <f aca="false">Thesis!$G$83/tk_pq</f>
        <v>0.199675016194063</v>
      </c>
      <c r="H115" s="12" t="n">
        <f aca="false">Thesis!$H$83/tk_pq</f>
        <v>0.212647947710325</v>
      </c>
      <c r="I115" s="12" t="n">
        <f aca="false">Thesis!$I$83/tk_pq</f>
        <v>0.219285125475351</v>
      </c>
      <c r="J115" s="12" t="n">
        <f aca="false">Thesis!$J$83/tk_pq</f>
        <v>0.222492493217189</v>
      </c>
      <c r="K115" s="12" t="n">
        <f aca="false">Thesis!$K$83/tk_pq</f>
        <v>0.224371415939166</v>
      </c>
      <c r="L115" s="12" t="n">
        <f aca="false">Thesis!$L$83/tk_pq</f>
        <v>0.225603749825993</v>
      </c>
      <c r="M115" s="12" t="n">
        <f aca="false">Thesis!$M$83/tk_pq</f>
        <v>0.22647376274628</v>
      </c>
      <c r="N115" s="12" t="n">
        <f aca="false">Thesis!$N$83/tk_pq</f>
        <v>0.195316432429398</v>
      </c>
      <c r="O115" s="12" t="n">
        <f aca="false">Thesis!$O$83/tk_pq</f>
        <v>0.195316432429398</v>
      </c>
      <c r="P115" s="5" t="s">
        <v>616</v>
      </c>
    </row>
    <row r="118" customFormat="false" ht="19.4" hidden="false" customHeight="false" outlineLevel="0" collapsed="false">
      <c r="A118" s="31" t="s">
        <v>618</v>
      </c>
    </row>
    <row r="119" customFormat="false" ht="17.15" hidden="false" customHeight="false" outlineLevel="0" collapsed="false">
      <c r="A119" s="6" t="s">
        <v>16</v>
      </c>
      <c r="B119" s="6" t="s">
        <v>17</v>
      </c>
      <c r="C119" s="20" t="s">
        <v>457</v>
      </c>
      <c r="D119" s="20" t="s">
        <v>458</v>
      </c>
      <c r="E119" s="20" t="s">
        <v>540</v>
      </c>
      <c r="F119" s="20" t="s">
        <v>541</v>
      </c>
      <c r="G119" s="20" t="s">
        <v>542</v>
      </c>
      <c r="H119" s="20" t="s">
        <v>543</v>
      </c>
      <c r="I119" s="20" t="s">
        <v>544</v>
      </c>
      <c r="J119" s="20" t="s">
        <v>545</v>
      </c>
      <c r="K119" s="20" t="s">
        <v>546</v>
      </c>
      <c r="L119" s="20" t="s">
        <v>547</v>
      </c>
      <c r="M119" s="20" t="s">
        <v>548</v>
      </c>
      <c r="N119" s="20" t="s">
        <v>549</v>
      </c>
      <c r="O119" s="20" t="s">
        <v>550</v>
      </c>
      <c r="P119" s="6" t="s">
        <v>23</v>
      </c>
      <c r="R119" s="20" t="n">
        <v>2023</v>
      </c>
      <c r="S119" s="20" t="n">
        <v>2024</v>
      </c>
      <c r="T119" s="20" t="n">
        <v>2025</v>
      </c>
      <c r="U119" s="20" t="n">
        <v>2026</v>
      </c>
      <c r="V119" s="20" t="n">
        <v>2027</v>
      </c>
      <c r="W119" s="20" t="n">
        <v>2028</v>
      </c>
      <c r="X119" s="20" t="n">
        <v>2029</v>
      </c>
      <c r="Y119" s="20" t="n">
        <v>2030</v>
      </c>
      <c r="Z119" s="20" t="n">
        <v>2031</v>
      </c>
      <c r="AA119" s="20" t="n">
        <v>2032</v>
      </c>
    </row>
    <row r="120" customFormat="false" ht="17.15" hidden="false" customHeight="false" outlineLevel="0" collapsed="false">
      <c r="A120" s="1" t="s">
        <v>551</v>
      </c>
    </row>
    <row r="121" customFormat="false" ht="17.15" hidden="false" customHeight="false" outlineLevel="0" collapsed="false">
      <c r="A121" s="14" t="s">
        <v>552</v>
      </c>
      <c r="B121" s="13" t="s">
        <v>108</v>
      </c>
      <c r="C121" s="32" t="n">
        <f aca="false">mw_ye24</f>
        <v>360</v>
      </c>
      <c r="D121" s="32" t="n">
        <f aca="false">mw_ye25</f>
        <v>1440</v>
      </c>
      <c r="E121" s="32" t="n">
        <f aca="false">mw_open</f>
        <v>2080</v>
      </c>
      <c r="F121" s="32" t="n">
        <f aca="false">Thesis!$E$121+pace_C*0.5</f>
        <v>3897.15</v>
      </c>
      <c r="G121" s="32" t="n">
        <f aca="false">Thesis!$F$121</f>
        <v>3897.15</v>
      </c>
      <c r="H121" s="32" t="n">
        <f aca="false">Thesis!$G$121+pace_C</f>
        <v>7531.45</v>
      </c>
      <c r="I121" s="32" t="n">
        <f aca="false">Thesis!$H$121+pace_C</f>
        <v>11165.75</v>
      </c>
      <c r="J121" s="32" t="n">
        <f aca="false">Thesis!$I$121+pace_C</f>
        <v>14800.05</v>
      </c>
      <c r="K121" s="32" t="n">
        <f aca="false">Thesis!$J$121+pace_C</f>
        <v>18434.35</v>
      </c>
      <c r="L121" s="32" t="n">
        <f aca="false">Thesis!$K$121+pace_C</f>
        <v>22068.65</v>
      </c>
      <c r="M121" s="32" t="n">
        <f aca="false">Thesis!$L$121+pace_C</f>
        <v>25702.95</v>
      </c>
      <c r="N121" s="32" t="n">
        <f aca="false">(mw_ye24+mw_ye25)/2</f>
        <v>900</v>
      </c>
      <c r="O121" s="32" t="n">
        <f aca="false">mw_ye25</f>
        <v>1440</v>
      </c>
      <c r="P121" s="5" t="s">
        <v>553</v>
      </c>
    </row>
    <row r="122" customFormat="false" ht="17.15" hidden="false" customHeight="false" outlineLevel="0" collapsed="false">
      <c r="A122" s="5" t="s">
        <v>554</v>
      </c>
      <c r="B122" s="0" t="s">
        <v>108</v>
      </c>
      <c r="C122" s="33" t="n">
        <f aca="false">(mw_ye23+mw_ye24)/2</f>
        <v>240</v>
      </c>
      <c r="D122" s="33" t="n">
        <f aca="false">(Thesis!$C$121+Thesis!$D$121)/2</f>
        <v>900</v>
      </c>
      <c r="E122" s="33" t="n">
        <f aca="false">(Thesis!$D$121+Thesis!$E$121)/2</f>
        <v>1760</v>
      </c>
      <c r="F122" s="33" t="n">
        <f aca="false">(Thesis!$E$121+Thesis!$F$121)/2</f>
        <v>2988.575</v>
      </c>
      <c r="G122" s="33" t="n">
        <f aca="false">(Thesis!$E$122+Thesis!$F$122)/2</f>
        <v>2374.2875</v>
      </c>
      <c r="H122" s="33" t="n">
        <f aca="false">(Thesis!$G$121+Thesis!$H$121)/2</f>
        <v>5714.3</v>
      </c>
      <c r="I122" s="33" t="n">
        <f aca="false">(Thesis!$H$121+Thesis!$I$121)/2</f>
        <v>9348.6</v>
      </c>
      <c r="J122" s="33" t="n">
        <f aca="false">(Thesis!$I$121+Thesis!$J$121)/2</f>
        <v>12982.9</v>
      </c>
      <c r="K122" s="33" t="n">
        <f aca="false">(Thesis!$J$121+Thesis!$K$121)/2</f>
        <v>16617.2</v>
      </c>
      <c r="L122" s="33" t="n">
        <f aca="false">(Thesis!$K$121+Thesis!$L$121)/2</f>
        <v>20251.5</v>
      </c>
      <c r="M122" s="33" t="n">
        <f aca="false">(Thesis!$L$121+Thesis!$M$121)/2</f>
        <v>23885.8</v>
      </c>
      <c r="N122" s="33" t="n">
        <f aca="false">(Thesis!$C$121+Thesis!$N$121)/2</f>
        <v>630</v>
      </c>
      <c r="O122" s="33" t="n">
        <f aca="false">(Thesis!$N$121+Thesis!$O$121)/2</f>
        <v>1170</v>
      </c>
    </row>
    <row r="123" customFormat="false" ht="15" hidden="false" customHeight="false" outlineLevel="0" collapsed="false">
      <c r="A123" s="5" t="s">
        <v>555</v>
      </c>
      <c r="B123" s="5" t="s">
        <v>102</v>
      </c>
      <c r="C123" s="34" t="n">
        <v>1</v>
      </c>
      <c r="D123" s="34" t="n">
        <v>1</v>
      </c>
      <c r="E123" s="34" t="n">
        <v>0.5</v>
      </c>
      <c r="F123" s="34" t="n">
        <v>0.5</v>
      </c>
      <c r="G123" s="34" t="n">
        <v>1</v>
      </c>
      <c r="H123" s="34" t="n">
        <v>1</v>
      </c>
      <c r="I123" s="34" t="n">
        <v>1</v>
      </c>
      <c r="J123" s="34" t="n">
        <v>1</v>
      </c>
      <c r="K123" s="34" t="n">
        <v>1</v>
      </c>
      <c r="L123" s="34" t="n">
        <v>1</v>
      </c>
      <c r="M123" s="34" t="n">
        <v>1</v>
      </c>
      <c r="N123" s="34" t="n">
        <v>0.5</v>
      </c>
      <c r="O123" s="34" t="n">
        <v>0.5</v>
      </c>
    </row>
    <row r="124" customFormat="false" ht="17.15" hidden="false" customHeight="false" outlineLevel="0" collapsed="false">
      <c r="A124" s="5" t="s">
        <v>556</v>
      </c>
      <c r="B124" s="0" t="s">
        <v>108</v>
      </c>
      <c r="C124" s="33" t="n">
        <f aca="false">Thesis!$C$121-mw_ye23</f>
        <v>240</v>
      </c>
      <c r="D124" s="33" t="n">
        <f aca="false">Thesis!$D$121-Thesis!$C$121</f>
        <v>1080</v>
      </c>
      <c r="E124" s="33" t="n">
        <f aca="false">Thesis!$E$121-Thesis!$D$121</f>
        <v>640</v>
      </c>
      <c r="F124" s="33" t="n">
        <f aca="false">Thesis!$F$121-Thesis!$E$121</f>
        <v>1817.15</v>
      </c>
      <c r="G124" s="33" t="n">
        <f aca="false">Thesis!$E$124+Thesis!$F$124</f>
        <v>2457.15</v>
      </c>
      <c r="H124" s="33" t="n">
        <f aca="false">Thesis!$H$121-Thesis!$G$121</f>
        <v>3634.3</v>
      </c>
      <c r="I124" s="33" t="n">
        <f aca="false">Thesis!$I$121-Thesis!$H$121</f>
        <v>3634.3</v>
      </c>
      <c r="J124" s="33" t="n">
        <f aca="false">Thesis!$J$121-Thesis!$I$121</f>
        <v>3634.3</v>
      </c>
      <c r="K124" s="33" t="n">
        <f aca="false">Thesis!$K$121-Thesis!$J$121</f>
        <v>3634.3</v>
      </c>
      <c r="L124" s="33" t="n">
        <f aca="false">Thesis!$L$121-Thesis!$K$121</f>
        <v>3634.3</v>
      </c>
      <c r="M124" s="33" t="n">
        <f aca="false">Thesis!$M$121-Thesis!$L$121</f>
        <v>3634.3</v>
      </c>
      <c r="N124" s="33" t="n">
        <f aca="false">Thesis!$N$121-Thesis!$C$121</f>
        <v>540</v>
      </c>
      <c r="O124" s="33" t="n">
        <f aca="false">Thesis!$O$121-Thesis!$N$121</f>
        <v>540</v>
      </c>
    </row>
    <row r="125" customFormat="false" ht="17.15" hidden="false" customHeight="false" outlineLevel="0" collapsed="false">
      <c r="A125" s="5" t="s">
        <v>557</v>
      </c>
      <c r="B125" s="0" t="s">
        <v>108</v>
      </c>
      <c r="C125" s="33" t="n">
        <f aca="false">Thesis!$C$124/ext_sh</f>
        <v>300</v>
      </c>
      <c r="D125" s="33" t="n">
        <f aca="false">Thesis!$D$124/ext_sh</f>
        <v>1350</v>
      </c>
      <c r="E125" s="33" t="n">
        <f aca="false">Thesis!$E$124/ext_sh</f>
        <v>800</v>
      </c>
      <c r="F125" s="33" t="n">
        <f aca="false">Thesis!$F$124/ext_sh</f>
        <v>2271.4375</v>
      </c>
      <c r="G125" s="33" t="n">
        <f aca="false">Thesis!$G$124/ext_sh</f>
        <v>3071.4375</v>
      </c>
      <c r="H125" s="33" t="n">
        <f aca="false">Thesis!$H$124/ext_sh</f>
        <v>4542.875</v>
      </c>
      <c r="I125" s="33" t="n">
        <f aca="false">Thesis!$I$124/ext_sh</f>
        <v>4542.875</v>
      </c>
      <c r="J125" s="33" t="n">
        <f aca="false">Thesis!$J$124/ext_sh</f>
        <v>4542.875</v>
      </c>
      <c r="K125" s="33" t="n">
        <f aca="false">Thesis!$K$124/ext_sh</f>
        <v>4542.875</v>
      </c>
      <c r="L125" s="33" t="n">
        <f aca="false">Thesis!$L$124/ext_sh</f>
        <v>4542.875</v>
      </c>
      <c r="M125" s="33" t="n">
        <f aca="false">Thesis!$M$124/ext_sh</f>
        <v>4542.875</v>
      </c>
      <c r="N125" s="33" t="n">
        <f aca="false">Thesis!$N$124/ext_sh</f>
        <v>675</v>
      </c>
      <c r="O125" s="33" t="n">
        <f aca="false">Thesis!$O$124/ext_sh</f>
        <v>675</v>
      </c>
      <c r="P125" s="8" t="s">
        <v>558</v>
      </c>
      <c r="R125" s="33" t="n">
        <f aca="false">mw_ye23/ext_sh</f>
        <v>150</v>
      </c>
      <c r="S125" s="33" t="n">
        <f aca="false">Thesis!$C$125</f>
        <v>300</v>
      </c>
      <c r="T125" s="33" t="n">
        <f aca="false">Thesis!$D$125</f>
        <v>1350</v>
      </c>
      <c r="U125" s="33" t="n">
        <f aca="false">Thesis!$G$125</f>
        <v>3071.4375</v>
      </c>
      <c r="V125" s="33" t="n">
        <f aca="false">Thesis!$H$125</f>
        <v>4542.875</v>
      </c>
      <c r="W125" s="33" t="n">
        <f aca="false">Thesis!$I$125</f>
        <v>4542.875</v>
      </c>
      <c r="X125" s="33" t="n">
        <f aca="false">Thesis!$J$125</f>
        <v>4542.875</v>
      </c>
      <c r="Y125" s="33" t="n">
        <f aca="false">Thesis!$K$125</f>
        <v>4542.875</v>
      </c>
      <c r="Z125" s="33" t="n">
        <f aca="false">Thesis!$L$125</f>
        <v>4542.875</v>
      </c>
      <c r="AA125" s="33" t="n">
        <f aca="false">Thesis!$M$125</f>
        <v>4542.875</v>
      </c>
    </row>
    <row r="126" customFormat="false" ht="17.15" hidden="false" customHeight="false" outlineLevel="0" collapsed="false">
      <c r="A126" s="1" t="s">
        <v>559</v>
      </c>
    </row>
    <row r="127" customFormat="false" ht="17.15" hidden="false" customHeight="false" outlineLevel="0" collapsed="false">
      <c r="A127" s="0" t="s">
        <v>560</v>
      </c>
      <c r="B127" s="0" t="s">
        <v>52</v>
      </c>
      <c r="F127" s="35" t="n">
        <f aca="false">na_vr26</f>
        <v>0</v>
      </c>
      <c r="G127" s="35" t="n">
        <f aca="false">na_vr26</f>
        <v>0</v>
      </c>
      <c r="H127" s="35" t="n">
        <f aca="false">na_vr27</f>
        <v>0.5</v>
      </c>
      <c r="I127" s="35" t="n">
        <f aca="false">na_vr28</f>
        <v>1</v>
      </c>
      <c r="J127" s="35" t="n">
        <f aca="false">na_vr28</f>
        <v>1</v>
      </c>
      <c r="K127" s="35" t="n">
        <f aca="false">na_vr28</f>
        <v>1</v>
      </c>
      <c r="L127" s="35" t="n">
        <f aca="false">na_vr28</f>
        <v>1</v>
      </c>
      <c r="M127" s="35" t="n">
        <f aca="false">na_vr28</f>
        <v>1</v>
      </c>
    </row>
    <row r="128" customFormat="false" ht="17.15" hidden="false" customHeight="false" outlineLevel="0" collapsed="false">
      <c r="A128" s="5" t="s">
        <v>561</v>
      </c>
      <c r="B128" s="0" t="s">
        <v>151</v>
      </c>
      <c r="F128" s="36" t="n">
        <f aca="false">cust_sh*tk_he_gb300*cf_chip+(1-cust_sh)*((1-Thesis!$F$127)*tk_he_gb300+Thesis!$F$127*tk_he_vr200)</f>
        <v>10.8864110021101</v>
      </c>
      <c r="G128" s="36" t="n">
        <f aca="false">cust_sh*tk_he_gb300*cf_chip+(1-cust_sh)*((1-Thesis!$G$127)*tk_he_gb300+Thesis!$G$127*tk_he_vr200)</f>
        <v>10.8864110021101</v>
      </c>
      <c r="H128" s="36" t="n">
        <f aca="false">cust_sh*tk_he_gb300*cf_chip+(1-cust_sh)*((1-Thesis!$H$127)*tk_he_gb300+Thesis!$H$127*tk_he_vr200)</f>
        <v>11.2211760027286</v>
      </c>
      <c r="I128" s="36" t="n">
        <f aca="false">cust_sh*tk_he_gb300*cf_chip+(1-cust_sh)*((1-Thesis!$I$127)*tk_he_gb300+Thesis!$I$127*tk_he_vr200)</f>
        <v>11.5559410033471</v>
      </c>
      <c r="J128" s="36" t="n">
        <f aca="false">cust_sh*tk_he_gb300*cf_chip+(1-cust_sh)*((1-Thesis!$J$127)*tk_he_gb300+Thesis!$J$127*tk_he_vr200)</f>
        <v>11.5559410033471</v>
      </c>
      <c r="K128" s="36" t="n">
        <f aca="false">cust_sh*tk_he_gb300*cf_chip+(1-cust_sh)*((1-Thesis!$K$127)*tk_he_gb300+Thesis!$K$127*tk_he_vr200)</f>
        <v>11.5559410033471</v>
      </c>
      <c r="L128" s="36" t="n">
        <f aca="false">cust_sh*tk_he_gb300*cf_chip+(1-cust_sh)*((1-Thesis!$L$127)*tk_he_gb300+Thesis!$L$127*tk_he_vr200)</f>
        <v>11.5559410033471</v>
      </c>
      <c r="M128" s="36" t="n">
        <f aca="false">cust_sh*tk_he_gb300*cf_chip+(1-cust_sh)*((1-Thesis!$M$127)*tk_he_gb300+Thesis!$M$127*tk_he_vr200)</f>
        <v>11.5559410033471</v>
      </c>
    </row>
    <row r="129" customFormat="false" ht="17.15" hidden="false" customHeight="false" outlineLevel="0" collapsed="false">
      <c r="A129" s="5" t="s">
        <v>562</v>
      </c>
      <c r="B129" s="0" t="s">
        <v>151</v>
      </c>
      <c r="F129" s="36" t="n">
        <f aca="false">cust_sh*tk_ox_gb300+(1-cust_sh)*((1-Thesis!$F$127)*tk_ox_gb300+Thesis!$F$127*tk_ox_vr200)</f>
        <v>1.98263481314457</v>
      </c>
      <c r="G129" s="36" t="n">
        <f aca="false">cust_sh*tk_ox_gb300+(1-cust_sh)*((1-Thesis!$G$127)*tk_ox_gb300+Thesis!$G$127*tk_ox_vr200)</f>
        <v>1.98263481314457</v>
      </c>
      <c r="H129" s="36" t="n">
        <f aca="false">cust_sh*tk_ox_gb300+(1-cust_sh)*((1-Thesis!$H$127)*tk_ox_gb300+Thesis!$H$127*tk_ox_vr200)</f>
        <v>2.01034999693694</v>
      </c>
      <c r="I129" s="36" t="n">
        <f aca="false">cust_sh*tk_ox_gb300+(1-cust_sh)*((1-Thesis!$I$127)*tk_ox_gb300+Thesis!$I$127*tk_ox_vr200)</f>
        <v>2.0380651807293</v>
      </c>
      <c r="J129" s="36" t="n">
        <f aca="false">cust_sh*tk_ox_gb300+(1-cust_sh)*((1-Thesis!$J$127)*tk_ox_gb300+Thesis!$J$127*tk_ox_vr200)</f>
        <v>2.0380651807293</v>
      </c>
      <c r="K129" s="36" t="n">
        <f aca="false">cust_sh*tk_ox_gb300+(1-cust_sh)*((1-Thesis!$K$127)*tk_ox_gb300+Thesis!$K$127*tk_ox_vr200)</f>
        <v>2.0380651807293</v>
      </c>
      <c r="L129" s="36" t="n">
        <f aca="false">cust_sh*tk_ox_gb300+(1-cust_sh)*((1-Thesis!$L$127)*tk_ox_gb300+Thesis!$L$127*tk_ox_vr200)</f>
        <v>2.0380651807293</v>
      </c>
      <c r="M129" s="36" t="n">
        <f aca="false">cust_sh*tk_ox_gb300+(1-cust_sh)*((1-Thesis!$M$127)*tk_ox_gb300+Thesis!$M$127*tk_ox_vr200)</f>
        <v>2.0380651807293</v>
      </c>
    </row>
    <row r="130" customFormat="false" ht="17.15" hidden="false" customHeight="false" outlineLevel="0" collapsed="false">
      <c r="A130" s="5" t="s">
        <v>563</v>
      </c>
      <c r="B130" s="0" t="s">
        <v>170</v>
      </c>
      <c r="F130" s="36" t="n">
        <f aca="false">cust_sh*tk_cx_gb300*cf_cx+(1-cust_sh)*((1-Thesis!$F$127)*tk_cx_gb300+Thesis!$F$127*tk_cx_vr200)</f>
        <v>32.237224</v>
      </c>
      <c r="G130" s="36" t="n">
        <f aca="false">cust_sh*tk_cx_gb300*cf_cx+(1-cust_sh)*((1-Thesis!$G$127)*tk_cx_gb300+Thesis!$G$127*tk_cx_vr200)</f>
        <v>32.237224</v>
      </c>
      <c r="H130" s="36" t="n">
        <f aca="false">cust_sh*tk_cx_gb300*cf_cx+(1-cust_sh)*((1-Thesis!$H$127)*tk_cx_gb300+Thesis!$H$127*tk_cx_vr200)</f>
        <v>33.574506</v>
      </c>
      <c r="I130" s="36" t="n">
        <f aca="false">cust_sh*tk_cx_gb300*cf_cx+(1-cust_sh)*((1-Thesis!$I$127)*tk_cx_gb300+Thesis!$I$127*tk_cx_vr200)</f>
        <v>34.911788</v>
      </c>
      <c r="J130" s="36" t="n">
        <f aca="false">cust_sh*tk_cx_gb300*cf_cx+(1-cust_sh)*((1-Thesis!$J$127)*tk_cx_gb300+Thesis!$J$127*tk_cx_vr200)</f>
        <v>34.911788</v>
      </c>
      <c r="K130" s="36" t="n">
        <f aca="false">cust_sh*tk_cx_gb300*cf_cx+(1-cust_sh)*((1-Thesis!$K$127)*tk_cx_gb300+Thesis!$K$127*tk_cx_vr200)</f>
        <v>34.911788</v>
      </c>
      <c r="L130" s="36" t="n">
        <f aca="false">cust_sh*tk_cx_gb300*cf_cx+(1-cust_sh)*((1-Thesis!$L$127)*tk_cx_gb300+Thesis!$L$127*tk_cx_vr200)</f>
        <v>34.911788</v>
      </c>
      <c r="M130" s="36" t="n">
        <f aca="false">cust_sh*tk_cx_gb300*cf_cx+(1-cust_sh)*((1-Thesis!$M$127)*tk_cx_gb300+Thesis!$M$127*tk_cx_vr200)</f>
        <v>34.911788</v>
      </c>
    </row>
    <row r="131" customFormat="false" ht="17.15" hidden="false" customHeight="false" outlineLevel="0" collapsed="false">
      <c r="A131" s="5" t="s">
        <v>564</v>
      </c>
      <c r="B131" s="0" t="s">
        <v>108</v>
      </c>
      <c r="F131" s="33" t="n">
        <f aca="false">Thesis!$F$121-mw_open</f>
        <v>1817.15</v>
      </c>
      <c r="G131" s="33" t="n">
        <f aca="false">Thesis!$F$131</f>
        <v>1817.15</v>
      </c>
      <c r="H131" s="33" t="n">
        <f aca="false">Thesis!$H$121-mw_open</f>
        <v>5451.45</v>
      </c>
      <c r="I131" s="33" t="n">
        <f aca="false">Thesis!$I$121-mw_open</f>
        <v>9085.75</v>
      </c>
      <c r="J131" s="33" t="n">
        <f aca="false">Thesis!$J$121-mw_open</f>
        <v>12720.05</v>
      </c>
      <c r="K131" s="33" t="n">
        <f aca="false">Thesis!$K$121-mw_open</f>
        <v>16354.35</v>
      </c>
      <c r="L131" s="33" t="n">
        <f aca="false">Thesis!$L$121-mw_open</f>
        <v>19988.65</v>
      </c>
      <c r="M131" s="33" t="n">
        <f aca="false">Thesis!$M$121-mw_open</f>
        <v>23622.95</v>
      </c>
    </row>
    <row r="132" customFormat="false" ht="17.15" hidden="false" customHeight="false" outlineLevel="0" collapsed="false">
      <c r="A132" s="0" t="s">
        <v>565</v>
      </c>
      <c r="B132" s="0" t="s">
        <v>566</v>
      </c>
      <c r="F132" s="33" t="n">
        <f aca="false">Thesis!$F$124*Thesis!$F$128</f>
        <v>19782.2417524844</v>
      </c>
      <c r="G132" s="33" t="n">
        <f aca="false">Thesis!$F$132</f>
        <v>19782.2417524844</v>
      </c>
      <c r="H132" s="33" t="n">
        <f aca="false">Thesis!$G$132+Thesis!$H$124*Thesis!$H$128</f>
        <v>60563.3616992009</v>
      </c>
      <c r="I132" s="33" t="n">
        <f aca="false">Thesis!$H$132+Thesis!$I$124*Thesis!$I$128</f>
        <v>102561.118087665</v>
      </c>
      <c r="J132" s="33" t="n">
        <f aca="false">Thesis!$I$132+Thesis!$J$124*Thesis!$J$128</f>
        <v>144558.87447613</v>
      </c>
      <c r="K132" s="33" t="n">
        <f aca="false">Thesis!$J$132+Thesis!$K$124*Thesis!$K$128</f>
        <v>186556.630864594</v>
      </c>
      <c r="L132" s="33" t="n">
        <f aca="false">Thesis!$K$132+Thesis!$L$124*Thesis!$L$128</f>
        <v>228554.387253058</v>
      </c>
      <c r="M132" s="33" t="n">
        <f aca="false">Thesis!$L$132+Thesis!$M$124*Thesis!$M$128</f>
        <v>270552.143641523</v>
      </c>
    </row>
    <row r="133" customFormat="false" ht="17.15" hidden="false" customHeight="false" outlineLevel="0" collapsed="false">
      <c r="A133" s="0" t="s">
        <v>567</v>
      </c>
      <c r="B133" s="0" t="s">
        <v>566</v>
      </c>
      <c r="F133" s="33" t="n">
        <f aca="false">Thesis!$F$124*Thesis!$F$129</f>
        <v>3602.74485070566</v>
      </c>
      <c r="G133" s="33" t="n">
        <f aca="false">Thesis!$F$133</f>
        <v>3602.74485070566</v>
      </c>
      <c r="H133" s="33" t="n">
        <f aca="false">Thesis!$G$133+Thesis!$H$124*Thesis!$H$129</f>
        <v>10908.9598445736</v>
      </c>
      <c r="I133" s="33" t="n">
        <f aca="false">Thesis!$H$133+Thesis!$I$124*Thesis!$I$129</f>
        <v>18315.9001308981</v>
      </c>
      <c r="J133" s="33" t="n">
        <f aca="false">Thesis!$I$133+Thesis!$J$124*Thesis!$J$129</f>
        <v>25722.8404172225</v>
      </c>
      <c r="K133" s="33" t="n">
        <f aca="false">Thesis!$J$133+Thesis!$K$124*Thesis!$K$129</f>
        <v>33129.780703547</v>
      </c>
      <c r="L133" s="33" t="n">
        <f aca="false">Thesis!$K$133+Thesis!$L$124*Thesis!$L$129</f>
        <v>40536.7209898715</v>
      </c>
      <c r="M133" s="33" t="n">
        <f aca="false">Thesis!$L$133+Thesis!$M$124*Thesis!$M$129</f>
        <v>47943.661276196</v>
      </c>
    </row>
    <row r="134" customFormat="false" ht="17.15" hidden="false" customHeight="false" outlineLevel="0" collapsed="false">
      <c r="A134" s="5" t="s">
        <v>568</v>
      </c>
      <c r="B134" s="0" t="s">
        <v>151</v>
      </c>
      <c r="F134" s="36" t="n">
        <f aca="false">IF(Thesis!$F$131&gt;0,Thesis!$F$132/Thesis!$F$131,Thesis!$F$128)</f>
        <v>10.8864110021101</v>
      </c>
      <c r="G134" s="36" t="n">
        <f aca="false">IF(Thesis!$G$131&gt;0,Thesis!$G$132/Thesis!$G$131,Thesis!$G$128)</f>
        <v>10.8864110021101</v>
      </c>
      <c r="H134" s="36" t="n">
        <f aca="false">IF(Thesis!$H$131&gt;0,Thesis!$H$132/Thesis!$H$131,Thesis!$H$128)</f>
        <v>11.1095876691891</v>
      </c>
      <c r="I134" s="36" t="n">
        <f aca="false">IF(Thesis!$I$131&gt;0,Thesis!$I$132/Thesis!$I$131,Thesis!$I$128)</f>
        <v>11.2881290028523</v>
      </c>
      <c r="J134" s="36" t="n">
        <f aca="false">IF(Thesis!$J$131&gt;0,Thesis!$J$132/Thesis!$J$131,Thesis!$J$128)</f>
        <v>11.3646467172794</v>
      </c>
      <c r="K134" s="36" t="n">
        <f aca="false">IF(Thesis!$K$131&gt;0,Thesis!$K$132/Thesis!$K$131,Thesis!$K$128)</f>
        <v>11.4071565586278</v>
      </c>
      <c r="L134" s="36" t="n">
        <f aca="false">IF(Thesis!$L$131&gt;0,Thesis!$L$132/Thesis!$L$131,Thesis!$L$128)</f>
        <v>11.4342082758495</v>
      </c>
      <c r="M134" s="36" t="n">
        <f aca="false">IF(Thesis!$M$131&gt;0,Thesis!$M$132/Thesis!$M$131,Thesis!$M$128)</f>
        <v>11.4529363877722</v>
      </c>
    </row>
    <row r="135" customFormat="false" ht="17.15" hidden="false" customHeight="false" outlineLevel="0" collapsed="false">
      <c r="A135" s="5" t="s">
        <v>569</v>
      </c>
      <c r="B135" s="0" t="s">
        <v>151</v>
      </c>
      <c r="F135" s="36" t="n">
        <f aca="false">IF(Thesis!$F$131&gt;0,Thesis!$F$133/Thesis!$F$131,Thesis!$F$129)</f>
        <v>1.98263481314457</v>
      </c>
      <c r="G135" s="36" t="n">
        <f aca="false">IF(Thesis!$G$131&gt;0,Thesis!$G$133/Thesis!$G$131,Thesis!$G$129)</f>
        <v>1.98263481314457</v>
      </c>
      <c r="H135" s="36" t="n">
        <f aca="false">IF(Thesis!$H$131&gt;0,Thesis!$H$133/Thesis!$H$131,Thesis!$H$129)</f>
        <v>2.00111160233948</v>
      </c>
      <c r="I135" s="36" t="n">
        <f aca="false">IF(Thesis!$I$131&gt;0,Thesis!$I$133/Thesis!$I$131,Thesis!$I$129)</f>
        <v>2.01589303369541</v>
      </c>
      <c r="J135" s="36" t="n">
        <f aca="false">IF(Thesis!$J$131&gt;0,Thesis!$J$133/Thesis!$J$131,Thesis!$J$129)</f>
        <v>2.02222793284795</v>
      </c>
      <c r="K135" s="36" t="n">
        <f aca="false">IF(Thesis!$K$131&gt;0,Thesis!$K$133/Thesis!$K$131,Thesis!$K$129)</f>
        <v>2.02574732126603</v>
      </c>
      <c r="L135" s="36" t="n">
        <f aca="false">IF(Thesis!$L$131&gt;0,Thesis!$L$133/Thesis!$L$131,Thesis!$L$129)</f>
        <v>2.02798693207753</v>
      </c>
      <c r="M135" s="36" t="n">
        <f aca="false">IF(Thesis!$M$131&gt;0,Thesis!$M$133/Thesis!$M$131,Thesis!$M$129)</f>
        <v>2.02953743187011</v>
      </c>
    </row>
    <row r="136" customFormat="false" ht="17.15" hidden="false" customHeight="false" outlineLevel="0" collapsed="false">
      <c r="A136" s="14" t="s">
        <v>570</v>
      </c>
      <c r="B136" s="13" t="s">
        <v>151</v>
      </c>
      <c r="C136" s="13"/>
      <c r="D136" s="13"/>
      <c r="E136" s="13"/>
      <c r="F136" s="37" t="n">
        <f aca="false">Thesis!$F$134*k_C</f>
        <v>8.98049677377134</v>
      </c>
      <c r="G136" s="37" t="n">
        <f aca="false">Thesis!$G$134*k_C</f>
        <v>8.98049677377134</v>
      </c>
      <c r="H136" s="37" t="n">
        <f aca="false">Thesis!$H$134*k_C</f>
        <v>9.16460128151917</v>
      </c>
      <c r="I136" s="37" t="n">
        <f aca="false">Thesis!$I$134*k_C</f>
        <v>9.31188488771743</v>
      </c>
      <c r="J136" s="37" t="n">
        <f aca="false">Thesis!$J$134*k_C</f>
        <v>9.37500643323097</v>
      </c>
      <c r="K136" s="37" t="n">
        <f aca="false">Thesis!$K$134*k_C</f>
        <v>9.41007395851627</v>
      </c>
      <c r="L136" s="37" t="n">
        <f aca="false">Thesis!$L$134*k_C</f>
        <v>9.43238965642509</v>
      </c>
      <c r="M136" s="37" t="n">
        <f aca="false">Thesis!$M$134*k_C</f>
        <v>9.44783898574659</v>
      </c>
      <c r="N136" s="13"/>
      <c r="O136" s="13"/>
      <c r="P136" s="5" t="s">
        <v>571</v>
      </c>
    </row>
    <row r="137" customFormat="false" ht="17.15" hidden="false" customHeight="false" outlineLevel="0" collapsed="false">
      <c r="A137" s="5" t="s">
        <v>572</v>
      </c>
      <c r="B137" s="0" t="s">
        <v>108</v>
      </c>
      <c r="F137" s="33" t="n">
        <f aca="false">Thesis!$F$131/2</f>
        <v>908.575</v>
      </c>
      <c r="H137" s="33" t="n">
        <f aca="false">(Thesis!$G$131+Thesis!$H$131)/2</f>
        <v>3634.3</v>
      </c>
      <c r="I137" s="33" t="n">
        <f aca="false">(Thesis!$H$131+Thesis!$I$131)/2</f>
        <v>7268.6</v>
      </c>
      <c r="J137" s="33" t="n">
        <f aca="false">(Thesis!$I$131+Thesis!$J$131)/2</f>
        <v>10902.9</v>
      </c>
      <c r="K137" s="33" t="n">
        <f aca="false">(Thesis!$J$131+Thesis!$K$131)/2</f>
        <v>14537.2</v>
      </c>
      <c r="L137" s="33" t="n">
        <f aca="false">(Thesis!$K$131+Thesis!$L$131)/2</f>
        <v>18171.5</v>
      </c>
      <c r="M137" s="33" t="n">
        <f aca="false">(Thesis!$L$131+Thesis!$M$131)/2</f>
        <v>21805.8</v>
      </c>
    </row>
    <row r="138" customFormat="false" ht="17.15" hidden="false" customHeight="false" outlineLevel="0" collapsed="false">
      <c r="A138" s="1" t="s">
        <v>573</v>
      </c>
    </row>
    <row r="139" customFormat="false" ht="17.15" hidden="false" customHeight="false" outlineLevel="0" collapsed="false">
      <c r="A139" s="1" t="s">
        <v>574</v>
      </c>
      <c r="B139" s="8" t="s">
        <v>73</v>
      </c>
      <c r="C139" s="38" t="n">
        <f aca="false">Thesis!$C$122*rpm_open*Thesis!$C$123/1000</f>
        <v>2.32100535697364</v>
      </c>
      <c r="D139" s="38" t="n">
        <f aca="false">Thesis!$D$122*rpm_open*Thesis!$D$123/1000</f>
        <v>8.70377008865116</v>
      </c>
      <c r="E139" s="38" t="n">
        <f aca="false">Thesis!$E$122*rpm_open*Thesis!$E$123/1000</f>
        <v>8.51035297557002</v>
      </c>
      <c r="F139" s="38" t="n">
        <f aca="false">(mw_open*rpm_open+Thesis!$F$137*Thesis!$F$136)*Thesis!$F$123/1000</f>
        <v>14.1374173083338</v>
      </c>
      <c r="G139" s="38" t="n">
        <f aca="false">Thesis!$E$139+Thesis!$F$139</f>
        <v>22.6477702839038</v>
      </c>
      <c r="H139" s="38" t="n">
        <f aca="false">(mw_open*rpm_open+Thesis!$H$137*Thesis!$H$136)/1000</f>
        <v>53.4222901978634</v>
      </c>
      <c r="I139" s="38" t="n">
        <f aca="false">(mw_open*rpm_open+Thesis!$I$137*Thesis!$I$136)/1000</f>
        <v>87.7997462553011</v>
      </c>
      <c r="J139" s="38" t="n">
        <f aca="false">(mw_open*rpm_open+Thesis!$J$137*Thesis!$J$136)/1000</f>
        <v>122.330137401312</v>
      </c>
      <c r="K139" s="38" t="n">
        <f aca="false">(mw_open*rpm_open+Thesis!$K$137*Thesis!$K$136)/1000</f>
        <v>156.911506910181</v>
      </c>
      <c r="L139" s="38" t="n">
        <f aca="false">(mw_open*rpm_open+Thesis!$L$137*Thesis!$L$136)/1000</f>
        <v>191.516048402167</v>
      </c>
      <c r="M139" s="38" t="n">
        <f aca="false">(mw_open*rpm_open+Thesis!$M$137*Thesis!$M$136)/1000</f>
        <v>226.133067115831</v>
      </c>
      <c r="N139" s="38" t="n">
        <f aca="false">Thesis!$N$122*rpm_open*Thesis!$N$123/1000</f>
        <v>3.04631953102791</v>
      </c>
      <c r="O139" s="38" t="n">
        <f aca="false">Thesis!$O$122*rpm_open*Thesis!$O$123/1000</f>
        <v>5.65745055762326</v>
      </c>
      <c r="P139" s="5" t="s">
        <v>575</v>
      </c>
    </row>
    <row r="140" customFormat="false" ht="17.15" hidden="false" customHeight="false" outlineLevel="0" collapsed="false">
      <c r="A140" s="5" t="s">
        <v>576</v>
      </c>
      <c r="B140" s="0" t="s">
        <v>151</v>
      </c>
      <c r="C140" s="36" t="n">
        <f aca="false">Thesis!$C$139*1000/(Thesis!$C$122*Thesis!$C$123)</f>
        <v>9.67085565405685</v>
      </c>
      <c r="D140" s="36" t="n">
        <f aca="false">Thesis!$D$139*1000/(Thesis!$D$122*Thesis!$D$123)</f>
        <v>9.67085565405685</v>
      </c>
      <c r="E140" s="36" t="n">
        <f aca="false">Thesis!$E$139*1000/(Thesis!$E$122*Thesis!$E$123)</f>
        <v>9.67085565405685</v>
      </c>
      <c r="F140" s="36" t="n">
        <f aca="false">Thesis!$F$139*1000/(Thesis!$F$122*Thesis!$F$123)</f>
        <v>9.46097542028142</v>
      </c>
      <c r="G140" s="36" t="n">
        <f aca="false">Thesis!$G$139*1000/(Thesis!$G$122*Thesis!$G$123)</f>
        <v>9.53876490690525</v>
      </c>
      <c r="H140" s="36" t="n">
        <f aca="false">Thesis!$H$139*1000/(Thesis!$H$122*Thesis!$H$123)</f>
        <v>9.34887741243255</v>
      </c>
      <c r="I140" s="36" t="n">
        <f aca="false">Thesis!$I$139*1000/(Thesis!$I$122*Thesis!$I$123)</f>
        <v>9.39175344493305</v>
      </c>
      <c r="J140" s="36" t="n">
        <f aca="false">Thesis!$J$139*1000/(Thesis!$J$122*Thesis!$J$123)</f>
        <v>9.42240465545542</v>
      </c>
      <c r="K140" s="36" t="n">
        <f aca="false">Thesis!$K$139*1000/(Thesis!$K$122*Thesis!$K$123)</f>
        <v>9.44271639687679</v>
      </c>
      <c r="L140" s="36" t="n">
        <f aca="false">Thesis!$L$139*1000/(Thesis!$L$122*Thesis!$L$123)</f>
        <v>9.45688212735683</v>
      </c>
      <c r="M140" s="36" t="n">
        <f aca="false">Thesis!$M$139*1000/(Thesis!$M$122*Thesis!$M$123)</f>
        <v>9.4672595063105</v>
      </c>
      <c r="N140" s="36" t="n">
        <f aca="false">Thesis!$N$139*1000/(Thesis!$N$122*Thesis!$N$123)</f>
        <v>9.67085565405685</v>
      </c>
      <c r="O140" s="36" t="n">
        <f aca="false">Thesis!$O$139*1000/(Thesis!$O$122*Thesis!$O$123)</f>
        <v>9.67085565405685</v>
      </c>
    </row>
    <row r="141" customFormat="false" ht="17.15" hidden="false" customHeight="false" outlineLevel="0" collapsed="false">
      <c r="A141" s="0" t="s">
        <v>577</v>
      </c>
      <c r="B141" s="0" t="s">
        <v>73</v>
      </c>
      <c r="C141" s="38" t="n">
        <f aca="false">Thesis!$C$122/ext_sh*(ox_open+rent_mw)*Thesis!$C$123/1000</f>
        <v>0.642569210675032</v>
      </c>
      <c r="D141" s="38" t="n">
        <f aca="false">Thesis!$D$122/ext_sh*(ox_open+rent_mw)*Thesis!$D$123/1000</f>
        <v>2.40963454003137</v>
      </c>
      <c r="E141" s="38" t="n">
        <f aca="false">Thesis!$E$122/ext_sh*(ox_open+rent_mw)*Thesis!$E$123/1000</f>
        <v>2.35608710580845</v>
      </c>
      <c r="F141" s="38" t="n">
        <f aca="false">((mw_open*ox_open+Thesis!$F$137*Thesis!$F$135)/ext_sh+Thesis!$F$122/ext_sh*rent_mw)*Thesis!$F$123/1000</f>
        <v>4.05421991106232</v>
      </c>
      <c r="G141" s="38" t="n">
        <f aca="false">Thesis!$E$141+Thesis!$F$141</f>
        <v>6.41030701687077</v>
      </c>
      <c r="H141" s="38" t="n">
        <f aca="false">((mw_open*ox_open+Thesis!$H$137*Thesis!$H$135)/ext_sh+Thesis!$H$122/ext_sh*rent_mw)*Thesis!$H$123/1000</f>
        <v>15.8108975546616</v>
      </c>
      <c r="I141" s="38" t="n">
        <f aca="false">((mw_open*ox_open+Thesis!$I$137*Thesis!$I$135)/ext_sh+Thesis!$I$122/ext_sh*rent_mw)*Thesis!$I$123/1000</f>
        <v>26.1871623400817</v>
      </c>
      <c r="J141" s="38" t="n">
        <f aca="false">((mw_open*ox_open+Thesis!$J$137*Thesis!$J$135)/ext_sh+Thesis!$J$122/ext_sh*rent_mw)*Thesis!$J$123/1000</f>
        <v>36.5826128954935</v>
      </c>
      <c r="K141" s="38" t="n">
        <f aca="false">((mw_open*ox_open+Thesis!$K$137*Thesis!$K$135)/ext_sh+Thesis!$K$122/ext_sh*rent_mw)*Thesis!$K$123/1000</f>
        <v>46.9844587075692</v>
      </c>
      <c r="L141" s="38" t="n">
        <f aca="false">((mw_open*ox_open+Thesis!$L$137*Thesis!$L$135)/ext_sh+Thesis!$L$122/ext_sh*rent_mw)*Thesis!$L$123/1000</f>
        <v>57.3892114544922</v>
      </c>
      <c r="M141" s="38" t="n">
        <f aca="false">((mw_open*ox_open+Thesis!$M$137*Thesis!$M$135)/ext_sh+Thesis!$M$122/ext_sh*rent_mw)*Thesis!$M$123/1000</f>
        <v>67.7955294740252</v>
      </c>
      <c r="N141" s="38" t="n">
        <f aca="false">Thesis!$N$122/ext_sh*(ox_open+rent_mw)*Thesis!$N$123/1000</f>
        <v>0.84337208901098</v>
      </c>
      <c r="O141" s="38" t="n">
        <f aca="false">Thesis!$O$122/ext_sh*(ox_open+rent_mw)*Thesis!$O$123/1000</f>
        <v>1.56626245102039</v>
      </c>
    </row>
    <row r="142" customFormat="false" ht="17.15" hidden="false" customHeight="false" outlineLevel="0" collapsed="false">
      <c r="A142" s="0" t="s">
        <v>578</v>
      </c>
      <c r="B142" s="0" t="s">
        <v>73</v>
      </c>
      <c r="C142" s="38" t="n">
        <f aca="false">Q!$D$7</f>
        <v>107.556</v>
      </c>
      <c r="D142" s="38" t="n">
        <f aca="false">Q!$E$7</f>
        <v>128.725</v>
      </c>
      <c r="E142" s="38" t="n">
        <f aca="false">Q!$P$7</f>
        <v>79.819</v>
      </c>
      <c r="N142" s="38" t="n">
        <f aca="false">Q!$N$7</f>
        <v>60.14</v>
      </c>
      <c r="O142" s="38" t="n">
        <f aca="false">Q!$O$7</f>
        <v>68.585</v>
      </c>
    </row>
    <row r="143" customFormat="false" ht="17.15" hidden="false" customHeight="false" outlineLevel="0" collapsed="false">
      <c r="A143" s="1" t="s">
        <v>579</v>
      </c>
      <c r="B143" s="8" t="s">
        <v>73</v>
      </c>
      <c r="C143" s="38" t="n">
        <f aca="false">Thesis!$C$142-Thesis!$C$139</f>
        <v>105.234994643026</v>
      </c>
      <c r="D143" s="38" t="n">
        <f aca="false">Thesis!$D$142-Thesis!$D$139</f>
        <v>120.021229911349</v>
      </c>
      <c r="E143" s="38" t="n">
        <f aca="false">Thesis!$E$142-Thesis!$E$139</f>
        <v>71.30864702443</v>
      </c>
      <c r="F143" s="38" t="n">
        <f aca="false">Thesis!$O$143*(1+Thesis!$F$144)</f>
        <v>78.5950104186653</v>
      </c>
      <c r="G143" s="38" t="n">
        <f aca="false">Thesis!$E$143+Thesis!$F$143</f>
        <v>149.903657443095</v>
      </c>
      <c r="H143" s="38" t="n">
        <f aca="false">Thesis!$G$143*(1+Thesis!$H$144)</f>
        <v>180.893560768142</v>
      </c>
      <c r="I143" s="38" t="n">
        <f aca="false">Thesis!$H$143*(1+Thesis!$I$144)</f>
        <v>210.64839721501</v>
      </c>
      <c r="J143" s="38" t="n">
        <f aca="false">Thesis!$I$143*(1+Thesis!$J$144)</f>
        <v>236.398909446495</v>
      </c>
      <c r="K143" s="38" t="n">
        <f aca="false">Thesis!$J$143*(1+Thesis!$K$144)</f>
        <v>255.310822202215</v>
      </c>
      <c r="L143" s="38" t="n">
        <f aca="false">Thesis!$K$143*(1+Thesis!$L$144)</f>
        <v>275.735687978392</v>
      </c>
      <c r="M143" s="38" t="n">
        <f aca="false">Thesis!$L$143*(1+Thesis!$M$144)</f>
        <v>297.794543016663</v>
      </c>
      <c r="N143" s="38" t="n">
        <f aca="false">Thesis!$N$142-Thesis!$N$139</f>
        <v>57.0936804689721</v>
      </c>
      <c r="O143" s="38" t="n">
        <f aca="false">Thesis!$O$142-Thesis!$O$139</f>
        <v>62.9275494423768</v>
      </c>
      <c r="P143" s="5" t="s">
        <v>580</v>
      </c>
    </row>
    <row r="144" customFormat="false" ht="17.15" hidden="false" customHeight="false" outlineLevel="0" collapsed="false">
      <c r="A144" s="0" t="s">
        <v>581</v>
      </c>
      <c r="B144" s="0" t="s">
        <v>52</v>
      </c>
      <c r="E144" s="12" t="n">
        <f aca="false">Thesis!$E$143/Thesis!$N$143-1</f>
        <v>0.248976181579029</v>
      </c>
      <c r="F144" s="12" t="n">
        <f aca="false">Thesis!$E$144</f>
        <v>0.248976181579029</v>
      </c>
      <c r="G144" s="12" t="n">
        <f aca="false">Thesis!$G$143/Thesis!$D$143-1</f>
        <v>0.248976181579029</v>
      </c>
      <c r="H144" s="12" t="n">
        <f aca="false">Thesis!$E$144+(g_awso_lt-Thesis!$E$144)*1/4</f>
        <v>0.206732136184272</v>
      </c>
      <c r="I144" s="12" t="n">
        <f aca="false">Thesis!$E$144+(g_awso_lt-Thesis!$E$144)*2/4</f>
        <v>0.164488090789515</v>
      </c>
      <c r="J144" s="12" t="n">
        <f aca="false">Thesis!$E$144+(g_awso_lt-Thesis!$E$144)*3/4</f>
        <v>0.122244045394757</v>
      </c>
      <c r="K144" s="12" t="n">
        <f aca="false">Thesis!$E$144+(g_awso_lt-Thesis!$E$144)*4/4</f>
        <v>0.08</v>
      </c>
      <c r="L144" s="12" t="n">
        <f aca="false">g_awso_lt</f>
        <v>0.08</v>
      </c>
      <c r="M144" s="12" t="n">
        <f aca="false">g_awso_lt</f>
        <v>0.08</v>
      </c>
      <c r="P144" s="8" t="s">
        <v>582</v>
      </c>
    </row>
    <row r="145" customFormat="false" ht="17.15" hidden="false" customHeight="false" outlineLevel="0" collapsed="false">
      <c r="A145" s="1" t="s">
        <v>583</v>
      </c>
    </row>
    <row r="146" customFormat="false" ht="17.15" hidden="false" customHeight="false" outlineLevel="0" collapsed="false">
      <c r="A146" s="0" t="s">
        <v>584</v>
      </c>
      <c r="B146" s="0" t="s">
        <v>73</v>
      </c>
      <c r="F146" s="38" t="n">
        <f aca="false">cx_rt*Seg!$F$87+cx_awso*Thesis!$F$143</f>
        <v>36.8045765066526</v>
      </c>
    </row>
    <row r="147" customFormat="false" ht="17.15" hidden="false" customHeight="false" outlineLevel="0" collapsed="false">
      <c r="A147" s="0" t="s">
        <v>585</v>
      </c>
      <c r="B147" s="0" t="s">
        <v>52</v>
      </c>
      <c r="C147" s="12" t="n">
        <f aca="false">tk_cx_h100/(tk_cx_h100+tk_fac*(1-colo_sh))</f>
        <v>0.730756458006641</v>
      </c>
      <c r="D147" s="12" t="n">
        <f aca="false">tk_cx_h100/(tk_cx_h100+tk_fac*(1-colo_sh))</f>
        <v>0.730756458006641</v>
      </c>
      <c r="E147" s="12" t="n">
        <f aca="false">Thesis!$F$147</f>
        <v>0.760792334328868</v>
      </c>
      <c r="F147" s="12" t="n">
        <f aca="false">Thesis!$F$130/(Thesis!$F$130+tk_fac*(1-colo_sh))</f>
        <v>0.760792334328868</v>
      </c>
      <c r="G147" s="12" t="n">
        <f aca="false">Thesis!$G$130/(Thesis!$G$130+tk_fac*(1-colo_sh))</f>
        <v>0.760792334328868</v>
      </c>
      <c r="H147" s="12" t="n">
        <f aca="false">Thesis!$H$130/(Thesis!$H$130+tk_fac*(1-colo_sh))</f>
        <v>0.768110668862996</v>
      </c>
      <c r="I147" s="12" t="n">
        <f aca="false">Thesis!$I$130/(Thesis!$I$130+tk_fac*(1-colo_sh))</f>
        <v>0.77499450139483</v>
      </c>
      <c r="J147" s="12" t="n">
        <f aca="false">Thesis!$J$130/(Thesis!$J$130+tk_fac*(1-colo_sh))</f>
        <v>0.77499450139483</v>
      </c>
      <c r="K147" s="12" t="n">
        <f aca="false">Thesis!$K$130/(Thesis!$K$130+tk_fac*(1-colo_sh))</f>
        <v>0.77499450139483</v>
      </c>
      <c r="L147" s="12" t="n">
        <f aca="false">Thesis!$L$130/(Thesis!$L$130+tk_fac*(1-colo_sh))</f>
        <v>0.77499450139483</v>
      </c>
      <c r="M147" s="12" t="n">
        <f aca="false">Thesis!$M$130/(Thesis!$M$130+tk_fac*(1-colo_sh))</f>
        <v>0.77499450139483</v>
      </c>
    </row>
    <row r="148" customFormat="false" ht="17.15" hidden="false" customHeight="false" outlineLevel="0" collapsed="false">
      <c r="A148" s="1" t="s">
        <v>586</v>
      </c>
      <c r="B148" s="8" t="s">
        <v>73</v>
      </c>
      <c r="C148" s="38" t="n">
        <f aca="false">Q!$D$46-cx_rt*Q!$D$16-cx_awso*Thesis!$C$143</f>
        <v>25.2781053077374</v>
      </c>
      <c r="D148" s="38" t="n">
        <f aca="false">Q!$E$46-cx_rt*Q!$E$16-cx_awso*Thesis!$D$143</f>
        <v>69.5686316310026</v>
      </c>
      <c r="E148" s="38" t="n">
        <f aca="false">Q!$P$46-cx_rt*Q!$P$16-cx_awso*Thesis!$E$143</f>
        <v>64.1899206485108</v>
      </c>
      <c r="F148" s="38" t="n">
        <f aca="false">MAX(Thesis!$F$125*(Thesis!$F$130+tk_fac*(1-colo_sh))/1000,capex_g26-Q!$P$46-Thesis!$F$146)</f>
        <v>96.2481299895</v>
      </c>
      <c r="G148" s="38" t="n">
        <f aca="false">Thesis!$E$148+Thesis!$F$148</f>
        <v>160.438050638011</v>
      </c>
      <c r="H148" s="38" t="n">
        <f aca="false">Thesis!$H$125*(Thesis!$H$130+tk_fac*(1-colo_sh))/1000+Thesis!$H$149</f>
        <v>198.57136494475</v>
      </c>
      <c r="I148" s="38" t="n">
        <f aca="false">Thesis!$I$125*(Thesis!$I$130+tk_fac*(1-colo_sh))/1000+Thesis!$I$149</f>
        <v>204.6464699105</v>
      </c>
      <c r="J148" s="38" t="n">
        <f aca="false">Thesis!$J$125*(Thesis!$J$130+tk_fac*(1-colo_sh))/1000+Thesis!$J$149</f>
        <v>209.8832381105</v>
      </c>
      <c r="K148" s="38" t="n">
        <f aca="false">Thesis!$K$125*(Thesis!$K$130+tk_fac*(1-colo_sh))/1000+Thesis!$K$149</f>
        <v>215.1200063105</v>
      </c>
      <c r="L148" s="38" t="n">
        <f aca="false">Thesis!$L$125*(Thesis!$L$130+tk_fac*(1-colo_sh))/1000+Thesis!$L$149</f>
        <v>251.7773837105</v>
      </c>
      <c r="M148" s="38" t="n">
        <f aca="false">Thesis!$M$125*(Thesis!$M$130+tk_fac*(1-colo_sh))/1000+Thesis!$M$149</f>
        <v>311.87584476575</v>
      </c>
      <c r="P148" s="5" t="s">
        <v>587</v>
      </c>
      <c r="R148" s="38" t="n">
        <f aca="false">Q!$C$46-cx_rt*Q!$C$16-cx_awso*(Q!$C$7-mw_ye23/2*rpm_open/1000)</f>
        <v>1.50429979529945</v>
      </c>
      <c r="S148" s="38" t="n">
        <f aca="false">Thesis!$C$148</f>
        <v>25.2781053077374</v>
      </c>
      <c r="T148" s="38" t="n">
        <f aca="false">Thesis!$D$148</f>
        <v>69.5686316310026</v>
      </c>
      <c r="U148" s="38" t="n">
        <f aca="false">Thesis!$G$148</f>
        <v>160.438050638011</v>
      </c>
      <c r="V148" s="38" t="n">
        <f aca="false">Thesis!$H$148</f>
        <v>198.57136494475</v>
      </c>
      <c r="W148" s="38" t="n">
        <f aca="false">Thesis!$I$148</f>
        <v>204.6464699105</v>
      </c>
      <c r="X148" s="38" t="n">
        <f aca="false">Thesis!$J$148</f>
        <v>209.8832381105</v>
      </c>
      <c r="Y148" s="38" t="n">
        <f aca="false">Thesis!$K$148</f>
        <v>215.1200063105</v>
      </c>
      <c r="Z148" s="38" t="n">
        <f aca="false">Thesis!$L$148</f>
        <v>251.7773837105</v>
      </c>
      <c r="AA148" s="38" t="n">
        <f aca="false">Thesis!$M$148</f>
        <v>311.87584476575</v>
      </c>
    </row>
    <row r="149" customFormat="false" ht="17.15" hidden="false" customHeight="false" outlineLevel="0" collapsed="false">
      <c r="A149" s="0" t="s">
        <v>588</v>
      </c>
      <c r="B149" s="0" t="s">
        <v>73</v>
      </c>
      <c r="H149" s="38" t="n">
        <f aca="false">SUMPRODUCT(--(Thesis!$R$119:$AA$119=2027-tk_life),Thesis!$R$125:$AA$125)*Thesis!$H$130/1000</f>
        <v>0</v>
      </c>
      <c r="I149" s="38" t="n">
        <f aca="false">SUMPRODUCT(--(Thesis!$R$119:$AA$119=2028-tk_life),Thesis!$R$125:$AA$125)*Thesis!$I$130/1000</f>
        <v>0</v>
      </c>
      <c r="J149" s="38" t="n">
        <f aca="false">SUMPRODUCT(--(Thesis!$R$119:$AA$119=2029-tk_life),Thesis!$R$125:$AA$125)*Thesis!$J$130/1000</f>
        <v>5.2367682</v>
      </c>
      <c r="K149" s="38" t="n">
        <f aca="false">SUMPRODUCT(--(Thesis!$R$119:$AA$119=2030-tk_life),Thesis!$R$125:$AA$125)*Thesis!$K$130/1000</f>
        <v>10.4735364</v>
      </c>
      <c r="L149" s="38" t="n">
        <f aca="false">SUMPRODUCT(--(Thesis!$R$119:$AA$119=2031-tk_life),Thesis!$R$125:$AA$125)*Thesis!$L$130/1000</f>
        <v>47.1309138</v>
      </c>
      <c r="M149" s="38" t="n">
        <f aca="false">SUMPRODUCT(--(Thesis!$R$119:$AA$119=2032-tk_life),Thesis!$R$125:$AA$125)*Thesis!$M$130/1000</f>
        <v>107.22937485525</v>
      </c>
    </row>
    <row r="150" customFormat="false" ht="17.15" hidden="false" customHeight="false" outlineLevel="0" collapsed="false">
      <c r="A150" s="5" t="s">
        <v>589</v>
      </c>
      <c r="B150" s="0" t="s">
        <v>73</v>
      </c>
      <c r="C150" s="38" t="n">
        <f aca="false">Thesis!$C$148*Thesis!$C$147</f>
        <v>18.472138699801</v>
      </c>
      <c r="D150" s="38" t="n">
        <f aca="false">Thesis!$D$148*Thesis!$D$147</f>
        <v>50.8377268390402</v>
      </c>
      <c r="E150" s="38" t="n">
        <f aca="false">Thesis!$E$148*Thesis!$E$147</f>
        <v>48.8351995705653</v>
      </c>
      <c r="F150" s="38" t="n">
        <f aca="false">Thesis!$F$148*Thesis!$F$147</f>
        <v>73.2248394895</v>
      </c>
      <c r="G150" s="38" t="n">
        <f aca="false">Thesis!$E$150+Thesis!$F$150</f>
        <v>122.060039060065</v>
      </c>
      <c r="H150" s="38" t="n">
        <f aca="false">(Thesis!$H$148-Thesis!$H$149)*Thesis!$H$147+Thesis!$H$149</f>
        <v>152.52478394475</v>
      </c>
      <c r="I150" s="38" t="n">
        <f aca="false">(Thesis!$I$148-Thesis!$I$149)*Thesis!$I$147+Thesis!$I$149</f>
        <v>158.5998889105</v>
      </c>
      <c r="J150" s="38" t="n">
        <f aca="false">(Thesis!$J$148-Thesis!$J$149)*Thesis!$J$147+Thesis!$J$149</f>
        <v>163.8366571105</v>
      </c>
      <c r="K150" s="38" t="n">
        <f aca="false">(Thesis!$K$148-Thesis!$K$149)*Thesis!$K$147+Thesis!$K$149</f>
        <v>169.0734253105</v>
      </c>
      <c r="L150" s="38" t="n">
        <f aca="false">(Thesis!$L$148-Thesis!$L$149)*Thesis!$L$147+Thesis!$L$149</f>
        <v>205.7308027105</v>
      </c>
      <c r="M150" s="38" t="n">
        <f aca="false">(Thesis!$M$148-Thesis!$M$149)*Thesis!$M$147+Thesis!$M$149</f>
        <v>265.82926376575</v>
      </c>
      <c r="R150" s="38" t="n">
        <f aca="false">Thesis!$R$148*Thesis!$C$147</f>
        <v>1.09927679019314</v>
      </c>
      <c r="S150" s="38" t="n">
        <f aca="false">Thesis!$C$150</f>
        <v>18.472138699801</v>
      </c>
      <c r="T150" s="38" t="n">
        <f aca="false">Thesis!$D$150</f>
        <v>50.8377268390402</v>
      </c>
      <c r="U150" s="38" t="n">
        <f aca="false">Thesis!$G$150</f>
        <v>122.060039060065</v>
      </c>
      <c r="V150" s="38" t="n">
        <f aca="false">Thesis!$H$150</f>
        <v>152.52478394475</v>
      </c>
      <c r="W150" s="38" t="n">
        <f aca="false">Thesis!$I$150</f>
        <v>158.5998889105</v>
      </c>
      <c r="X150" s="38" t="n">
        <f aca="false">Thesis!$J$150</f>
        <v>163.8366571105</v>
      </c>
      <c r="Y150" s="38" t="n">
        <f aca="false">Thesis!$K$150</f>
        <v>169.0734253105</v>
      </c>
      <c r="Z150" s="38" t="n">
        <f aca="false">Thesis!$L$150</f>
        <v>205.7308027105</v>
      </c>
      <c r="AA150" s="38" t="n">
        <f aca="false">Thesis!$M$150</f>
        <v>265.82926376575</v>
      </c>
    </row>
    <row r="151" customFormat="false" ht="15" hidden="false" customHeight="false" outlineLevel="0" collapsed="false">
      <c r="A151" s="5" t="s">
        <v>590</v>
      </c>
      <c r="B151" s="0" t="s">
        <v>73</v>
      </c>
      <c r="C151" s="38" t="n">
        <f aca="false">Thesis!$C$148-Thesis!$C$150</f>
        <v>6.80596660793636</v>
      </c>
      <c r="D151" s="38" t="n">
        <f aca="false">Thesis!$D$148-Thesis!$D$150</f>
        <v>18.7309047919624</v>
      </c>
      <c r="E151" s="38" t="n">
        <f aca="false">Thesis!$E$148-Thesis!$E$150</f>
        <v>15.3547210779455</v>
      </c>
      <c r="F151" s="38" t="n">
        <f aca="false">Thesis!$F$148-Thesis!$F$150</f>
        <v>23.0232905</v>
      </c>
      <c r="G151" s="38" t="n">
        <f aca="false">Thesis!$G$148-Thesis!$G$150</f>
        <v>38.3780115779455</v>
      </c>
      <c r="H151" s="38" t="n">
        <f aca="false">Thesis!$H$148-Thesis!$H$150</f>
        <v>46.046581</v>
      </c>
      <c r="I151" s="38" t="n">
        <f aca="false">Thesis!$I$148-Thesis!$I$150</f>
        <v>46.046581</v>
      </c>
      <c r="J151" s="38" t="n">
        <f aca="false">Thesis!$J$148-Thesis!$J$150</f>
        <v>46.046581</v>
      </c>
      <c r="K151" s="38" t="n">
        <f aca="false">Thesis!$K$148-Thesis!$K$150</f>
        <v>46.046581</v>
      </c>
      <c r="L151" s="38" t="n">
        <f aca="false">Thesis!$L$148-Thesis!$L$150</f>
        <v>46.046581</v>
      </c>
      <c r="M151" s="38" t="n">
        <f aca="false">Thesis!$M$148-Thesis!$M$150</f>
        <v>46.046581</v>
      </c>
      <c r="R151" s="38" t="n">
        <f aca="false">Thesis!$R$148-Thesis!$R$150</f>
        <v>0.405023005106309</v>
      </c>
      <c r="S151" s="38" t="n">
        <f aca="false">Thesis!$S$148-Thesis!$S$150</f>
        <v>6.80596660793636</v>
      </c>
      <c r="T151" s="38" t="n">
        <f aca="false">Thesis!$T$148-Thesis!$T$150</f>
        <v>18.7309047919624</v>
      </c>
      <c r="U151" s="38" t="n">
        <f aca="false">Thesis!$U$148-Thesis!$U$150</f>
        <v>38.3780115779455</v>
      </c>
      <c r="V151" s="38" t="n">
        <f aca="false">Thesis!$V$148-Thesis!$V$150</f>
        <v>46.046581</v>
      </c>
      <c r="W151" s="38" t="n">
        <f aca="false">Thesis!$W$148-Thesis!$W$150</f>
        <v>46.046581</v>
      </c>
      <c r="X151" s="38" t="n">
        <f aca="false">Thesis!$X$148-Thesis!$X$150</f>
        <v>46.046581</v>
      </c>
      <c r="Y151" s="38" t="n">
        <f aca="false">Thesis!$Y$148-Thesis!$Y$150</f>
        <v>46.046581</v>
      </c>
      <c r="Z151" s="38" t="n">
        <f aca="false">Thesis!$Z$148-Thesis!$Z$150</f>
        <v>46.046581</v>
      </c>
      <c r="AA151" s="38" t="n">
        <f aca="false">Thesis!$AA$148-Thesis!$AA$150</f>
        <v>46.046581</v>
      </c>
    </row>
    <row r="152" customFormat="false" ht="17.15" hidden="false" customHeight="false" outlineLevel="0" collapsed="false">
      <c r="A152" s="0" t="s">
        <v>591</v>
      </c>
      <c r="B152" s="0" t="s">
        <v>52</v>
      </c>
      <c r="C152" s="12" t="n">
        <f aca="false">Thesis!$C$148/CF!$C$84</f>
        <v>0.325505489553393</v>
      </c>
      <c r="D152" s="12" t="n">
        <f aca="false">Thesis!$D$148/CF!$D$84</f>
        <v>0.54214956071542</v>
      </c>
      <c r="E152" s="12" t="n">
        <f aca="false">Thesis!$E$148/CF!$E$84</f>
        <v>0.666492790452817</v>
      </c>
      <c r="F152" s="12" t="n">
        <f aca="false">Thesis!$F$148/CF!$F$84</f>
        <v>0.723383481058938</v>
      </c>
      <c r="G152" s="12" t="n">
        <f aca="false">Thesis!$G$148/CF!$G$84</f>
        <v>0.699494931364102</v>
      </c>
      <c r="H152" s="12" t="n">
        <f aca="false">Thesis!$H$148/CF!$H$84</f>
        <v>0.714619350171483</v>
      </c>
      <c r="I152" s="12" t="n">
        <f aca="false">Thesis!$I$148/CF!$I$84</f>
        <v>0.696231624961614</v>
      </c>
      <c r="J152" s="12" t="n">
        <f aca="false">Thesis!$J$148/CF!$J$84</f>
        <v>0.681286352509885</v>
      </c>
      <c r="K152" s="12" t="n">
        <f aca="false">Thesis!$K$148/CF!$K$84</f>
        <v>0.671440649805508</v>
      </c>
      <c r="L152" s="12" t="n">
        <f aca="false">Thesis!$L$148/CF!$L$84</f>
        <v>0.6904509846562</v>
      </c>
      <c r="M152" s="12" t="n">
        <f aca="false">Thesis!$M$148/CF!$M$84</f>
        <v>0.720362080285865</v>
      </c>
    </row>
    <row r="153" customFormat="false" ht="17.15" hidden="false" customHeight="false" outlineLevel="0" collapsed="false">
      <c r="A153" s="0" t="s">
        <v>592</v>
      </c>
      <c r="B153" s="0" t="s">
        <v>73</v>
      </c>
      <c r="C153" s="38" t="n">
        <f aca="false">Thesis!$S$153</f>
        <v>0.183212798365523</v>
      </c>
      <c r="D153" s="38" t="n">
        <f aca="false">Thesis!$T$153</f>
        <v>3.2619025816657</v>
      </c>
      <c r="E153" s="38" t="n">
        <f aca="false">Thesis!$G$153/2</f>
        <v>5.86742852741953</v>
      </c>
      <c r="F153" s="38" t="n">
        <f aca="false">Thesis!$G$153/2</f>
        <v>5.86742852741953</v>
      </c>
      <c r="G153" s="38" t="n">
        <f aca="false">Thesis!$U$153</f>
        <v>11.7348570548391</v>
      </c>
      <c r="H153" s="38" t="n">
        <f aca="false">Thesis!$V$153</f>
        <v>32.0781968981833</v>
      </c>
      <c r="I153" s="38" t="n">
        <f aca="false">Thesis!$W$153</f>
        <v>57.4989942223083</v>
      </c>
      <c r="J153" s="38" t="n">
        <f aca="false">Thesis!$X$153</f>
        <v>83.932309040725</v>
      </c>
      <c r="K153" s="38" t="n">
        <f aca="false">Thesis!$Y$153</f>
        <v>111.055205760776</v>
      </c>
      <c r="L153" s="38" t="n">
        <f aca="false">Thesis!$Z$153</f>
        <v>136.155420195893</v>
      </c>
      <c r="M153" s="38" t="n">
        <f aca="false">Thesis!$AA$153</f>
        <v>161.970932841136</v>
      </c>
      <c r="N153" s="38" t="n">
        <f aca="false">Thesis!$D$153/2</f>
        <v>1.63095129083285</v>
      </c>
      <c r="O153" s="38" t="n">
        <f aca="false">Thesis!$D$153/2</f>
        <v>1.63095129083285</v>
      </c>
      <c r="R153" s="38" t="n">
        <f aca="false">SUMPRODUCT(--(Thesis!$R$119:$AA$119&lt;Thesis!R$119),--(Thesis!$R$119:$AA$119&gt;=Thesis!R$119-tk_life),Thesis!$R$150:$AA$150)/tk_life</f>
        <v>0</v>
      </c>
      <c r="S153" s="38" t="n">
        <f aca="false">SUMPRODUCT(--(Thesis!$R$119:$AA$119&lt;Thesis!S$119),--(Thesis!$R$119:$AA$119&gt;=Thesis!S$119-tk_life),Thesis!$R$150:$AA$150)/tk_life</f>
        <v>0.183212798365523</v>
      </c>
      <c r="T153" s="38" t="n">
        <f aca="false">SUMPRODUCT(--(Thesis!$R$119:$AA$119&lt;Thesis!T$119),--(Thesis!$R$119:$AA$119&gt;=Thesis!T$119-tk_life),Thesis!$R$150:$AA$150)/tk_life</f>
        <v>3.2619025816657</v>
      </c>
      <c r="U153" s="38" t="n">
        <f aca="false">SUMPRODUCT(--(Thesis!$R$119:$AA$119&lt;Thesis!U$119),--(Thesis!$R$119:$AA$119&gt;=Thesis!U$119-tk_life),Thesis!$R$150:$AA$150)/tk_life</f>
        <v>11.7348570548391</v>
      </c>
      <c r="V153" s="38" t="n">
        <f aca="false">SUMPRODUCT(--(Thesis!$R$119:$AA$119&lt;Thesis!V$119),--(Thesis!$R$119:$AA$119&gt;=Thesis!V$119-tk_life),Thesis!$R$150:$AA$150)/tk_life</f>
        <v>32.0781968981833</v>
      </c>
      <c r="W153" s="38" t="n">
        <f aca="false">SUMPRODUCT(--(Thesis!$R$119:$AA$119&lt;Thesis!W$119),--(Thesis!$R$119:$AA$119&gt;=Thesis!W$119-tk_life),Thesis!$R$150:$AA$150)/tk_life</f>
        <v>57.4989942223083</v>
      </c>
      <c r="X153" s="38" t="n">
        <f aca="false">SUMPRODUCT(--(Thesis!$R$119:$AA$119&lt;Thesis!X$119),--(Thesis!$R$119:$AA$119&gt;=Thesis!X$119-tk_life),Thesis!$R$150:$AA$150)/tk_life</f>
        <v>83.932309040725</v>
      </c>
      <c r="Y153" s="38" t="n">
        <f aca="false">SUMPRODUCT(--(Thesis!$R$119:$AA$119&lt;Thesis!Y$119),--(Thesis!$R$119:$AA$119&gt;=Thesis!Y$119-tk_life),Thesis!$R$150:$AA$150)/tk_life</f>
        <v>111.055205760776</v>
      </c>
      <c r="Z153" s="38" t="n">
        <f aca="false">SUMPRODUCT(--(Thesis!$R$119:$AA$119&lt;Thesis!Z$119),--(Thesis!$R$119:$AA$119&gt;=Thesis!Z$119-tk_life),Thesis!$R$150:$AA$150)/tk_life</f>
        <v>136.155420195893</v>
      </c>
      <c r="AA153" s="38" t="n">
        <f aca="false">SUMPRODUCT(--(Thesis!$R$119:$AA$119&lt;Thesis!AA$119),--(Thesis!$R$119:$AA$119&gt;=Thesis!AA$119-tk_life),Thesis!$R$150:$AA$150)/tk_life</f>
        <v>161.970932841136</v>
      </c>
    </row>
    <row r="154" customFormat="false" ht="17.15" hidden="false" customHeight="false" outlineLevel="0" collapsed="false">
      <c r="A154" s="0" t="s">
        <v>593</v>
      </c>
      <c r="B154" s="0" t="s">
        <v>73</v>
      </c>
      <c r="C154" s="38" t="n">
        <f aca="false">Thesis!$S$154</f>
        <v>0.0202511502553155</v>
      </c>
      <c r="D154" s="38" t="n">
        <f aca="false">Thesis!$T$154</f>
        <v>0.360549480652134</v>
      </c>
      <c r="E154" s="38" t="n">
        <f aca="false">Thesis!$G$154/2</f>
        <v>0.648547360125127</v>
      </c>
      <c r="F154" s="38" t="n">
        <f aca="false">Thesis!$G$154/2</f>
        <v>0.648547360125127</v>
      </c>
      <c r="G154" s="38" t="n">
        <f aca="false">Thesis!$U$154</f>
        <v>1.29709472025025</v>
      </c>
      <c r="H154" s="38" t="n">
        <f aca="false">Thesis!$V$154</f>
        <v>3.21599529914753</v>
      </c>
      <c r="I154" s="38" t="n">
        <f aca="false">Thesis!$W$154</f>
        <v>5.51832434914753</v>
      </c>
      <c r="J154" s="38" t="n">
        <f aca="false">Thesis!$X$154</f>
        <v>7.82065339914753</v>
      </c>
      <c r="K154" s="38" t="n">
        <f aca="false">Thesis!$Y$154</f>
        <v>10.1229824491475</v>
      </c>
      <c r="L154" s="38" t="n">
        <f aca="false">Thesis!$Z$154</f>
        <v>12.4253114991475</v>
      </c>
      <c r="M154" s="38" t="n">
        <f aca="false">Thesis!$AA$154</f>
        <v>14.7276405491475</v>
      </c>
      <c r="N154" s="38" t="n">
        <f aca="false">Thesis!$D$154/2</f>
        <v>0.180274740326067</v>
      </c>
      <c r="O154" s="38" t="n">
        <f aca="false">Thesis!$D$154/2</f>
        <v>0.180274740326067</v>
      </c>
      <c r="R154" s="38" t="n">
        <f aca="false">SUMPRODUCT(--(Thesis!$R$119:$AA$119&lt;Thesis!R$119),Thesis!$R$151:$AA$151)/fac_life</f>
        <v>0</v>
      </c>
      <c r="S154" s="38" t="n">
        <f aca="false">SUMPRODUCT(--(Thesis!$R$119:$AA$119&lt;Thesis!S$119),Thesis!$R$151:$AA$151)/fac_life</f>
        <v>0.0202511502553155</v>
      </c>
      <c r="T154" s="38" t="n">
        <f aca="false">SUMPRODUCT(--(Thesis!$R$119:$AA$119&lt;Thesis!T$119),Thesis!$R$151:$AA$151)/fac_life</f>
        <v>0.360549480652134</v>
      </c>
      <c r="U154" s="38" t="n">
        <f aca="false">SUMPRODUCT(--(Thesis!$R$119:$AA$119&lt;Thesis!U$119),Thesis!$R$151:$AA$151)/fac_life</f>
        <v>1.29709472025025</v>
      </c>
      <c r="V154" s="38" t="n">
        <f aca="false">SUMPRODUCT(--(Thesis!$R$119:$AA$119&lt;Thesis!V$119),Thesis!$R$151:$AA$151)/fac_life</f>
        <v>3.21599529914753</v>
      </c>
      <c r="W154" s="38" t="n">
        <f aca="false">SUMPRODUCT(--(Thesis!$R$119:$AA$119&lt;Thesis!W$119),Thesis!$R$151:$AA$151)/fac_life</f>
        <v>5.51832434914753</v>
      </c>
      <c r="X154" s="38" t="n">
        <f aca="false">SUMPRODUCT(--(Thesis!$R$119:$AA$119&lt;Thesis!X$119),Thesis!$R$151:$AA$151)/fac_life</f>
        <v>7.82065339914753</v>
      </c>
      <c r="Y154" s="38" t="n">
        <f aca="false">SUMPRODUCT(--(Thesis!$R$119:$AA$119&lt;Thesis!Y$119),Thesis!$R$151:$AA$151)/fac_life</f>
        <v>10.1229824491475</v>
      </c>
      <c r="Z154" s="38" t="n">
        <f aca="false">SUMPRODUCT(--(Thesis!$R$119:$AA$119&lt;Thesis!Z$119),Thesis!$R$151:$AA$151)/fac_life</f>
        <v>12.4253114991475</v>
      </c>
      <c r="AA154" s="38" t="n">
        <f aca="false">SUMPRODUCT(--(Thesis!$R$119:$AA$119&lt;Thesis!AA$119),Thesis!$R$151:$AA$151)/fac_life</f>
        <v>14.7276405491475</v>
      </c>
    </row>
    <row r="155" customFormat="false" ht="17.15" hidden="false" customHeight="false" outlineLevel="0" collapsed="false">
      <c r="A155" s="1" t="s">
        <v>594</v>
      </c>
      <c r="B155" s="8" t="s">
        <v>73</v>
      </c>
      <c r="C155" s="38" t="n">
        <f aca="false">Thesis!$C$153+Thesis!$C$154</f>
        <v>0.203463948620839</v>
      </c>
      <c r="D155" s="38" t="n">
        <f aca="false">Thesis!$D$153+Thesis!$D$154</f>
        <v>3.62245206231783</v>
      </c>
      <c r="E155" s="38" t="n">
        <f aca="false">Thesis!$E$153+Thesis!$E$154</f>
        <v>6.51597588754466</v>
      </c>
      <c r="F155" s="38" t="n">
        <f aca="false">Thesis!$F$153+Thesis!$F$154</f>
        <v>6.51597588754466</v>
      </c>
      <c r="G155" s="38" t="n">
        <f aca="false">Thesis!$G$153+Thesis!$G$154</f>
        <v>13.0319517750893</v>
      </c>
      <c r="H155" s="38" t="n">
        <f aca="false">Thesis!$H$153+Thesis!$H$154</f>
        <v>35.2941921973308</v>
      </c>
      <c r="I155" s="38" t="n">
        <f aca="false">Thesis!$I$153+Thesis!$I$154</f>
        <v>63.0173185714558</v>
      </c>
      <c r="J155" s="38" t="n">
        <f aca="false">Thesis!$J$153+Thesis!$J$154</f>
        <v>91.7529624398725</v>
      </c>
      <c r="K155" s="38" t="n">
        <f aca="false">Thesis!$K$153+Thesis!$K$154</f>
        <v>121.178188209924</v>
      </c>
      <c r="L155" s="38" t="n">
        <f aca="false">Thesis!$L$153+Thesis!$L$154</f>
        <v>148.58073169504</v>
      </c>
      <c r="M155" s="38" t="n">
        <f aca="false">Thesis!$M$153+Thesis!$M$154</f>
        <v>176.698573390283</v>
      </c>
      <c r="N155" s="38" t="n">
        <f aca="false">Thesis!$N$153+Thesis!$N$154</f>
        <v>1.81122603115892</v>
      </c>
      <c r="O155" s="38" t="n">
        <f aca="false">Thesis!$O$153+Thesis!$O$154</f>
        <v>1.81122603115892</v>
      </c>
      <c r="R155" s="38" t="n">
        <f aca="false">Thesis!$R$153+Thesis!$R$154</f>
        <v>0</v>
      </c>
      <c r="S155" s="38" t="n">
        <f aca="false">Thesis!$S$153+Thesis!$S$154</f>
        <v>0.203463948620839</v>
      </c>
      <c r="T155" s="38" t="n">
        <f aca="false">Thesis!$T$153+Thesis!$T$154</f>
        <v>3.62245206231783</v>
      </c>
      <c r="U155" s="38" t="n">
        <f aca="false">Thesis!$U$153+Thesis!$U$154</f>
        <v>13.0319517750893</v>
      </c>
      <c r="V155" s="38" t="n">
        <f aca="false">Thesis!$V$153+Thesis!$V$154</f>
        <v>35.2941921973308</v>
      </c>
      <c r="W155" s="38" t="n">
        <f aca="false">Thesis!$W$153+Thesis!$W$154</f>
        <v>63.0173185714558</v>
      </c>
      <c r="X155" s="38" t="n">
        <f aca="false">Thesis!$X$153+Thesis!$X$154</f>
        <v>91.7529624398725</v>
      </c>
      <c r="Y155" s="38" t="n">
        <f aca="false">Thesis!$Y$153+Thesis!$Y$154</f>
        <v>121.178188209924</v>
      </c>
      <c r="Z155" s="38" t="n">
        <f aca="false">Thesis!$Z$153+Thesis!$Z$154</f>
        <v>148.58073169504</v>
      </c>
      <c r="AA155" s="38" t="n">
        <f aca="false">Thesis!$AA$153+Thesis!$AA$154</f>
        <v>176.698573390283</v>
      </c>
    </row>
    <row r="156" customFormat="false" ht="17.15" hidden="false" customHeight="false" outlineLevel="0" collapsed="false">
      <c r="A156" s="0" t="s">
        <v>595</v>
      </c>
      <c r="B156" s="0" t="s">
        <v>73</v>
      </c>
      <c r="C156" s="38" t="n">
        <f aca="false">Thesis!$S$156</f>
        <v>26.578941154416</v>
      </c>
      <c r="D156" s="38" t="n">
        <f aca="false">Thesis!$T$156</f>
        <v>92.5251207231008</v>
      </c>
      <c r="G156" s="38" t="n">
        <f aca="false">Thesis!$U$156</f>
        <v>239.931219586022</v>
      </c>
      <c r="H156" s="38" t="n">
        <f aca="false">Thesis!$V$156</f>
        <v>403.208392333442</v>
      </c>
      <c r="I156" s="38" t="n">
        <f aca="false">Thesis!$W$156</f>
        <v>544.837543672486</v>
      </c>
      <c r="J156" s="38" t="n">
        <f aca="false">Thesis!$X$156</f>
        <v>662.967819343113</v>
      </c>
      <c r="K156" s="38" t="n">
        <f aca="false">Thesis!$Y$156</f>
        <v>756.90963744369</v>
      </c>
      <c r="L156" s="38" t="n">
        <f aca="false">Thesis!$Z$156</f>
        <v>860.10628945915</v>
      </c>
      <c r="M156" s="38" t="n">
        <f aca="false">Thesis!$AA$156</f>
        <v>995.283560834616</v>
      </c>
      <c r="R156" s="38" t="n">
        <f aca="false">SUM(Thesis!$R$148:$R$148)-SUM(Thesis!$R$155:$R$155)</f>
        <v>1.50429979529945</v>
      </c>
      <c r="S156" s="38" t="n">
        <f aca="false">SUM(Thesis!$R$148:$S$148)-SUM(Thesis!$R$155:$S$155)</f>
        <v>26.578941154416</v>
      </c>
      <c r="T156" s="38" t="n">
        <f aca="false">SUM(Thesis!$R$148:$T$148)-SUM(Thesis!$R$155:$T$155)</f>
        <v>92.5251207231008</v>
      </c>
      <c r="U156" s="38" t="n">
        <f aca="false">SUM(Thesis!$R$148:$U$148)-SUM(Thesis!$R$155:$U$155)</f>
        <v>239.931219586022</v>
      </c>
      <c r="V156" s="38" t="n">
        <f aca="false">SUM(Thesis!$R$148:$V$148)-SUM(Thesis!$R$155:$V$155)</f>
        <v>403.208392333442</v>
      </c>
      <c r="W156" s="38" t="n">
        <f aca="false">SUM(Thesis!$R$148:$W$148)-SUM(Thesis!$R$155:$W$155)</f>
        <v>544.837543672486</v>
      </c>
      <c r="X156" s="38" t="n">
        <f aca="false">SUM(Thesis!$R$148:$X$148)-SUM(Thesis!$R$155:$X$155)</f>
        <v>662.967819343113</v>
      </c>
      <c r="Y156" s="38" t="n">
        <f aca="false">SUM(Thesis!$R$148:$Y$148)-SUM(Thesis!$R$155:$Y$155)</f>
        <v>756.90963744369</v>
      </c>
      <c r="Z156" s="38" t="n">
        <f aca="false">SUM(Thesis!$R$148:$Z$148)-SUM(Thesis!$R$155:$Z$155)</f>
        <v>860.10628945915</v>
      </c>
      <c r="AA156" s="38" t="n">
        <f aca="false">SUM(Thesis!$R$148:$AA$148)-SUM(Thesis!$R$155:$AA$155)</f>
        <v>995.283560834616</v>
      </c>
    </row>
    <row r="157" customFormat="false" ht="17.15" hidden="false" customHeight="false" outlineLevel="0" collapsed="false">
      <c r="A157" s="1" t="s">
        <v>596</v>
      </c>
    </row>
    <row r="158" customFormat="false" ht="17.15" hidden="false" customHeight="false" outlineLevel="0" collapsed="false">
      <c r="A158" s="0" t="s">
        <v>597</v>
      </c>
      <c r="B158" s="0" t="s">
        <v>73</v>
      </c>
      <c r="C158" s="38" t="n">
        <f aca="false">Thesis!$C$139-ext_sh*Thesis!$C$141</f>
        <v>1.80694998843362</v>
      </c>
      <c r="D158" s="38" t="n">
        <f aca="false">Thesis!$D$139-ext_sh*Thesis!$D$141</f>
        <v>6.77606245662607</v>
      </c>
      <c r="E158" s="38" t="n">
        <f aca="false">Thesis!$E$139-ext_sh*Thesis!$E$141</f>
        <v>6.62548329092326</v>
      </c>
      <c r="F158" s="38" t="n">
        <f aca="false">Thesis!$F$139-ext_sh*Thesis!$F$141</f>
        <v>10.8940413794839</v>
      </c>
      <c r="G158" s="38" t="n">
        <f aca="false">Thesis!$G$139-ext_sh*Thesis!$G$141</f>
        <v>17.5195246704072</v>
      </c>
      <c r="H158" s="38" t="n">
        <f aca="false">Thesis!$H$139-ext_sh*Thesis!$H$141</f>
        <v>40.7735721541341</v>
      </c>
      <c r="I158" s="38" t="n">
        <f aca="false">Thesis!$I$139-ext_sh*Thesis!$I$141</f>
        <v>66.8500163832358</v>
      </c>
      <c r="J158" s="38" t="n">
        <f aca="false">Thesis!$J$139-ext_sh*Thesis!$J$141</f>
        <v>93.0640470849174</v>
      </c>
      <c r="K158" s="38" t="n">
        <f aca="false">Thesis!$K$139-ext_sh*Thesis!$K$141</f>
        <v>119.323939944126</v>
      </c>
      <c r="L158" s="38" t="n">
        <f aca="false">Thesis!$L$139-ext_sh*Thesis!$L$141</f>
        <v>145.604679238573</v>
      </c>
      <c r="M158" s="38" t="n">
        <f aca="false">Thesis!$M$139-ext_sh*Thesis!$M$141</f>
        <v>171.896643536611</v>
      </c>
      <c r="N158" s="38" t="n">
        <f aca="false">Thesis!$N$139-ext_sh*Thesis!$N$141</f>
        <v>2.37162185981912</v>
      </c>
      <c r="O158" s="38" t="n">
        <f aca="false">Thesis!$O$139-ext_sh*Thesis!$O$141</f>
        <v>4.40444059680694</v>
      </c>
    </row>
    <row r="159" customFormat="false" ht="17.15" hidden="false" customHeight="false" outlineLevel="0" collapsed="false">
      <c r="A159" s="1" t="s">
        <v>598</v>
      </c>
      <c r="B159" s="8" t="s">
        <v>73</v>
      </c>
      <c r="C159" s="38" t="n">
        <f aca="false">Thesis!$C$158-ext_sh*Thesis!$C$155</f>
        <v>1.64417882953695</v>
      </c>
      <c r="D159" s="38" t="n">
        <f aca="false">Thesis!$D$158-ext_sh*Thesis!$D$155</f>
        <v>3.8781008067718</v>
      </c>
      <c r="E159" s="38" t="n">
        <f aca="false">Thesis!$E$158-ext_sh*Thesis!$E$155</f>
        <v>1.41270258088753</v>
      </c>
      <c r="F159" s="38" t="n">
        <f aca="false">Thesis!$F$158-ext_sh*Thesis!$F$155</f>
        <v>5.68126066944818</v>
      </c>
      <c r="G159" s="38" t="n">
        <f aca="false">Thesis!$G$158-ext_sh*Thesis!$G$155</f>
        <v>7.09396325033571</v>
      </c>
      <c r="H159" s="38" t="n">
        <f aca="false">Thesis!$H$158-ext_sh*Thesis!$H$155</f>
        <v>12.5382183962694</v>
      </c>
      <c r="I159" s="38" t="n">
        <f aca="false">Thesis!$I$158-ext_sh*Thesis!$I$155</f>
        <v>16.4361615260712</v>
      </c>
      <c r="J159" s="38" t="n">
        <f aca="false">Thesis!$J$158-ext_sh*Thesis!$J$155</f>
        <v>19.6616771330194</v>
      </c>
      <c r="K159" s="38" t="n">
        <f aca="false">Thesis!$K$158-ext_sh*Thesis!$K$155</f>
        <v>22.3813893761866</v>
      </c>
      <c r="L159" s="38" t="n">
        <f aca="false">Thesis!$L$158-ext_sh*Thesis!$L$155</f>
        <v>26.740093882541</v>
      </c>
      <c r="M159" s="38" t="n">
        <f aca="false">Thesis!$M$158-ext_sh*Thesis!$M$155</f>
        <v>30.5377848243843</v>
      </c>
      <c r="N159" s="38" t="n">
        <f aca="false">Thesis!$N$158-ext_sh*Thesis!$N$155</f>
        <v>0.92264103489199</v>
      </c>
      <c r="O159" s="38" t="n">
        <f aca="false">Thesis!$O$158-ext_sh*Thesis!$O$155</f>
        <v>2.95545977187981</v>
      </c>
    </row>
    <row r="160" customFormat="false" ht="17.15" hidden="false" customHeight="false" outlineLevel="0" collapsed="false">
      <c r="A160" s="0" t="s">
        <v>599</v>
      </c>
      <c r="B160" s="0" t="s">
        <v>52</v>
      </c>
      <c r="C160" s="12" t="n">
        <f aca="false">Thesis!$C$159/Thesis!$C$139</f>
        <v>0.708390794789371</v>
      </c>
      <c r="D160" s="12" t="n">
        <f aca="false">Thesis!$D$159/Thesis!$D$139</f>
        <v>0.445565630441968</v>
      </c>
      <c r="E160" s="12" t="n">
        <f aca="false">Thesis!$E$159/Thesis!$E$139</f>
        <v>0.165998118402711</v>
      </c>
      <c r="F160" s="12" t="n">
        <f aca="false">Thesis!$F$159/Thesis!$F$139</f>
        <v>0.401859869136011</v>
      </c>
      <c r="G160" s="12" t="n">
        <f aca="false">Thesis!$G$159/Thesis!$G$139</f>
        <v>0.313230095563868</v>
      </c>
      <c r="H160" s="12" t="n">
        <f aca="false">Thesis!$H$159/Thesis!$H$139</f>
        <v>0.23470012891306</v>
      </c>
      <c r="I160" s="12" t="n">
        <f aca="false">Thesis!$I$159/Thesis!$I$139</f>
        <v>0.187200558396588</v>
      </c>
      <c r="J160" s="12" t="n">
        <f aca="false">Thesis!$J$159/Thesis!$J$139</f>
        <v>0.160726355342167</v>
      </c>
      <c r="K160" s="12" t="n">
        <f aca="false">Thesis!$K$159/Thesis!$K$139</f>
        <v>0.142637017621647</v>
      </c>
      <c r="L160" s="12" t="n">
        <f aca="false">Thesis!$L$159/Thesis!$L$139</f>
        <v>0.139623254059572</v>
      </c>
      <c r="M160" s="12" t="n">
        <f aca="false">Thesis!$M$159/Thesis!$M$139</f>
        <v>0.135043429136094</v>
      </c>
      <c r="N160" s="12" t="n">
        <f aca="false">Thesis!$N$159/Thesis!$N$139</f>
        <v>0.302870734830849</v>
      </c>
      <c r="O160" s="12" t="n">
        <f aca="false">Thesis!$O$159/Thesis!$O$139</f>
        <v>0.52240134346334</v>
      </c>
    </row>
    <row r="161" customFormat="false" ht="17.15" hidden="false" customHeight="false" outlineLevel="0" collapsed="false">
      <c r="A161" s="5" t="s">
        <v>600</v>
      </c>
      <c r="B161" s="0" t="s">
        <v>73</v>
      </c>
      <c r="C161" s="38" t="n">
        <f aca="false">rd2*(1-ext_sh)/ext_sh*Thesis!$C$122*he_open*Thesis!$C$123/1000</f>
        <v>0</v>
      </c>
      <c r="D161" s="38" t="n">
        <f aca="false">rd2*(1-ext_sh)/ext_sh*Thesis!$D$122*he_open*Thesis!$D$123/1000</f>
        <v>0</v>
      </c>
      <c r="E161" s="38" t="n">
        <f aca="false">rd2*(1-ext_sh)/ext_sh*Thesis!$E$122*he_open*Thesis!$E$123/1000</f>
        <v>0</v>
      </c>
      <c r="F161" s="38" t="n">
        <f aca="false">rd2*(1-ext_sh)/ext_sh*(mw_open*he_open+Thesis!$F$137*Thesis!$F$134)*Thesis!$F$123/1000</f>
        <v>0</v>
      </c>
      <c r="G161" s="38" t="n">
        <f aca="false">Thesis!$E$161+Thesis!$F$161</f>
        <v>0</v>
      </c>
      <c r="H161" s="38" t="n">
        <f aca="false">rd2*(1-ext_sh)/ext_sh*(mw_open*he_open+Thesis!$H$137*Thesis!$H$134)*Thesis!$H$123/1000</f>
        <v>0</v>
      </c>
      <c r="I161" s="38" t="n">
        <f aca="false">rd2*(1-ext_sh)/ext_sh*(mw_open*he_open+Thesis!$I$137*Thesis!$I$134)*Thesis!$I$123/1000</f>
        <v>0</v>
      </c>
      <c r="J161" s="38" t="n">
        <f aca="false">rd2*(1-ext_sh)/ext_sh*(mw_open*he_open+Thesis!$J$137*Thesis!$J$134)*Thesis!$J$123/1000</f>
        <v>0</v>
      </c>
      <c r="K161" s="38" t="n">
        <f aca="false">rd2*(1-ext_sh)/ext_sh*(mw_open*he_open+Thesis!$K$137*Thesis!$K$134)*Thesis!$K$123/1000</f>
        <v>0</v>
      </c>
      <c r="L161" s="38" t="n">
        <f aca="false">rd2*(1-ext_sh)/ext_sh*(mw_open*he_open+Thesis!$L$137*Thesis!$L$134)*Thesis!$L$123/1000</f>
        <v>0</v>
      </c>
      <c r="M161" s="38" t="n">
        <f aca="false">rd2*(1-ext_sh)/ext_sh*(mw_open*he_open+Thesis!$M$137*Thesis!$M$134)*Thesis!$M$123/1000</f>
        <v>0</v>
      </c>
      <c r="N161" s="38" t="n">
        <f aca="false">rd2*(1-ext_sh)/ext_sh*Thesis!$N$122*he_open*Thesis!$N$123/1000</f>
        <v>0</v>
      </c>
      <c r="O161" s="38" t="n">
        <f aca="false">rd2*(1-ext_sh)/ext_sh*Thesis!$O$122*he_open*Thesis!$O$123/1000</f>
        <v>0</v>
      </c>
      <c r="P161" s="8" t="s">
        <v>601</v>
      </c>
    </row>
    <row r="162" customFormat="false" ht="17.15" hidden="false" customHeight="false" outlineLevel="0" collapsed="false">
      <c r="A162" s="5" t="s">
        <v>602</v>
      </c>
      <c r="B162" s="0" t="s">
        <v>73</v>
      </c>
      <c r="C162" s="38" t="n">
        <f aca="false">(1-ext_sh)*(Thesis!$C$141+Thesis!$C$155)-Thesis!$C$161</f>
        <v>0.169206631859174</v>
      </c>
      <c r="D162" s="38" t="n">
        <f aca="false">(1-ext_sh)*(Thesis!$D$141+Thesis!$D$155)-Thesis!$D$161</f>
        <v>1.20641732046984</v>
      </c>
      <c r="E162" s="38" t="n">
        <f aca="false">(1-ext_sh)*(Thesis!$E$141+Thesis!$E$155)-Thesis!$E$161</f>
        <v>1.77441259867062</v>
      </c>
      <c r="F162" s="38" t="n">
        <f aca="false">(1-ext_sh)*(Thesis!$F$141+Thesis!$F$155)-Thesis!$F$161</f>
        <v>2.1140391597214</v>
      </c>
      <c r="G162" s="38" t="n">
        <f aca="false">(1-ext_sh)*(Thesis!$G$141+Thesis!$G$155)-Thesis!$G$161</f>
        <v>3.88845175839202</v>
      </c>
      <c r="H162" s="38" t="n">
        <f aca="false">(1-ext_sh)*(Thesis!$H$141+Thesis!$H$155)-Thesis!$H$161</f>
        <v>10.2210179503985</v>
      </c>
      <c r="I162" s="38" t="n">
        <f aca="false">(1-ext_sh)*(Thesis!$I$141+Thesis!$I$155)-Thesis!$I$161</f>
        <v>17.8408961823075</v>
      </c>
      <c r="J162" s="38" t="n">
        <f aca="false">(1-ext_sh)*(Thesis!$J$141+Thesis!$J$155)-Thesis!$J$161</f>
        <v>25.6671150670732</v>
      </c>
      <c r="K162" s="38" t="n">
        <f aca="false">(1-ext_sh)*(Thesis!$K$141+Thesis!$K$155)-Thesis!$K$161</f>
        <v>33.6325293834986</v>
      </c>
      <c r="L162" s="38" t="n">
        <f aca="false">(1-ext_sh)*(Thesis!$L$141+Thesis!$L$155)-Thesis!$L$161</f>
        <v>41.1939886299065</v>
      </c>
      <c r="M162" s="38" t="n">
        <f aca="false">(1-ext_sh)*(Thesis!$M$141+Thesis!$M$155)-Thesis!$M$161</f>
        <v>48.8988205728617</v>
      </c>
      <c r="N162" s="38" t="n">
        <f aca="false">(1-ext_sh)*(Thesis!$N$141+Thesis!$N$155)-Thesis!$N$161</f>
        <v>0.530919624033979</v>
      </c>
      <c r="O162" s="38" t="n">
        <f aca="false">(1-ext_sh)*(Thesis!$O$141+Thesis!$O$155)-Thesis!$O$161</f>
        <v>0.675497696435861</v>
      </c>
    </row>
    <row r="163" customFormat="false" ht="17.15" hidden="false" customHeight="false" outlineLevel="0" collapsed="false">
      <c r="A163" s="0" t="s">
        <v>603</v>
      </c>
      <c r="B163" s="0" t="s">
        <v>73</v>
      </c>
      <c r="C163" s="38" t="n">
        <f aca="false">Q!$D$24</f>
        <v>39.834</v>
      </c>
      <c r="D163" s="38" t="n">
        <f aca="false">Q!$E$24</f>
        <v>45.606</v>
      </c>
      <c r="E163" s="38" t="n">
        <f aca="false">Q!$P$24</f>
        <v>30.782</v>
      </c>
      <c r="N163" s="38" t="n">
        <f aca="false">Q!$N$24</f>
        <v>21.707</v>
      </c>
      <c r="O163" s="38" t="n">
        <f aca="false">Q!$O$24</f>
        <v>23.899</v>
      </c>
    </row>
    <row r="164" customFormat="false" ht="17.15" hidden="false" customHeight="false" outlineLevel="0" collapsed="false">
      <c r="A164" s="0" t="s">
        <v>604</v>
      </c>
      <c r="B164" s="0" t="s">
        <v>73</v>
      </c>
      <c r="C164" s="38" t="n">
        <f aca="false">Thesis!$C$163-Thesis!$C$159</f>
        <v>38.1898211704631</v>
      </c>
      <c r="D164" s="38" t="n">
        <f aca="false">Thesis!$D$163-Thesis!$D$159</f>
        <v>41.7278991932282</v>
      </c>
      <c r="E164" s="38" t="n">
        <f aca="false">Thesis!$E$163-Thesis!$E$159</f>
        <v>29.3692974191125</v>
      </c>
      <c r="F164" s="38" t="n">
        <f aca="false">Thesis!$F$143*Thesis!$F$165</f>
        <v>29.458060516894</v>
      </c>
      <c r="G164" s="38" t="n">
        <f aca="false">Thesis!$E$164+Thesis!$F$164</f>
        <v>58.8273579360065</v>
      </c>
      <c r="H164" s="38" t="n">
        <f aca="false">Thesis!$H$143*Thesis!$H$165</f>
        <v>67.8004040185081</v>
      </c>
      <c r="I164" s="38" t="n">
        <f aca="false">Thesis!$I$143*Thesis!$I$165</f>
        <v>78.9527630302702</v>
      </c>
      <c r="J164" s="38" t="n">
        <f aca="false">Thesis!$J$143*Thesis!$J$165</f>
        <v>88.6042681781841</v>
      </c>
      <c r="K164" s="38" t="n">
        <f aca="false">Thesis!$K$143*Thesis!$K$165</f>
        <v>95.6926096324389</v>
      </c>
      <c r="L164" s="38" t="n">
        <f aca="false">Thesis!$L$143*Thesis!$L$165</f>
        <v>103.348018403034</v>
      </c>
      <c r="M164" s="38" t="n">
        <f aca="false">Thesis!$M$143*Thesis!$M$165</f>
        <v>111.615859875277</v>
      </c>
      <c r="N164" s="38" t="n">
        <f aca="false">Thesis!$N$163-Thesis!$N$159</f>
        <v>20.784358965108</v>
      </c>
      <c r="O164" s="38" t="n">
        <f aca="false">Thesis!$O$163-Thesis!$O$159</f>
        <v>20.9435402281202</v>
      </c>
      <c r="P164" s="5" t="s">
        <v>605</v>
      </c>
    </row>
    <row r="165" customFormat="false" ht="17.15" hidden="false" customHeight="false" outlineLevel="0" collapsed="false">
      <c r="A165" s="0" t="s">
        <v>606</v>
      </c>
      <c r="B165" s="0" t="s">
        <v>52</v>
      </c>
      <c r="C165" s="12" t="n">
        <f aca="false">Thesis!$C$164/Thesis!$C$143</f>
        <v>0.362900395443635</v>
      </c>
      <c r="D165" s="12" t="n">
        <f aca="false">Thesis!$D$164/Thesis!$D$143</f>
        <v>0.34767098474203</v>
      </c>
      <c r="E165" s="12" t="n">
        <f aca="false">Thesis!$E$164/Thesis!$E$143</f>
        <v>0.411861655558416</v>
      </c>
      <c r="F165" s="12" t="n">
        <f aca="false">(Thesis!$O$164+Thesis!$E$164)/(Thesis!$O$143+Thesis!$E$143)</f>
        <v>0.37480827803158</v>
      </c>
      <c r="G165" s="12" t="n">
        <f aca="false">Thesis!$G$164/Thesis!$G$143</f>
        <v>0.392434440489471</v>
      </c>
      <c r="H165" s="12" t="n">
        <f aca="false">Thesis!$F$165</f>
        <v>0.37480827803158</v>
      </c>
      <c r="I165" s="12" t="n">
        <f aca="false">Thesis!$F$165</f>
        <v>0.37480827803158</v>
      </c>
      <c r="J165" s="12" t="n">
        <f aca="false">Thesis!$F$165</f>
        <v>0.37480827803158</v>
      </c>
      <c r="K165" s="12" t="n">
        <f aca="false">Thesis!$F$165</f>
        <v>0.37480827803158</v>
      </c>
      <c r="L165" s="12" t="n">
        <f aca="false">Thesis!$F$165</f>
        <v>0.37480827803158</v>
      </c>
      <c r="M165" s="12" t="n">
        <f aca="false">Thesis!$F$165</f>
        <v>0.37480827803158</v>
      </c>
      <c r="N165" s="12" t="n">
        <f aca="false">Thesis!$N$164/Thesis!$N$143</f>
        <v>0.364039571356823</v>
      </c>
      <c r="O165" s="12" t="n">
        <f aca="false">Thesis!$O$164/Thesis!$O$143</f>
        <v>0.332819892300086</v>
      </c>
      <c r="P165" s="8" t="s">
        <v>607</v>
      </c>
    </row>
    <row r="166" customFormat="false" ht="17.15" hidden="false" customHeight="false" outlineLevel="0" collapsed="false">
      <c r="A166" s="0" t="s">
        <v>608</v>
      </c>
      <c r="B166" s="0" t="s">
        <v>52</v>
      </c>
      <c r="D166" s="12" t="n">
        <f aca="false">(Q!$E$31-ext_sh*Thesis!$D$155)/Thesis!$D$143</f>
        <v>0.154572973163571</v>
      </c>
    </row>
    <row r="167" customFormat="false" ht="17.15" hidden="false" customHeight="false" outlineLevel="0" collapsed="false">
      <c r="A167" s="0" t="s">
        <v>609</v>
      </c>
      <c r="B167" s="0" t="s">
        <v>73</v>
      </c>
      <c r="C167" s="38" t="n">
        <f aca="false">Q!$D$31</f>
        <v>13.32</v>
      </c>
      <c r="D167" s="38" t="n">
        <f aca="false">Q!$E$31</f>
        <v>21.45</v>
      </c>
      <c r="E167" s="38" t="n">
        <f aca="false">Q!$P$31</f>
        <v>15.353</v>
      </c>
      <c r="F167" s="38" t="n">
        <f aca="false">ext_sh*Thesis!$F$155+Thesis!$D$166*Thesis!$F$143</f>
        <v>17.3614451462707</v>
      </c>
      <c r="G167" s="38" t="n">
        <f aca="false">Thesis!$E$167+Thesis!$F$167</f>
        <v>32.7144451462707</v>
      </c>
      <c r="H167" s="38" t="n">
        <f aca="false">ext_sh*Thesis!$H$155+Thesis!$D$166*Thesis!$H$143</f>
        <v>56.1966092719415</v>
      </c>
      <c r="I167" s="38" t="n">
        <f aca="false">ext_sh*Thesis!$I$155+Thesis!$D$166*Thesis!$I$143</f>
        <v>82.9744039068297</v>
      </c>
      <c r="J167" s="38" t="n">
        <f aca="false">ext_sh*Thesis!$J$155+Thesis!$D$166*Thesis!$J$143</f>
        <v>109.943252237669</v>
      </c>
      <c r="K167" s="38" t="n">
        <f aca="false">ext_sh*Thesis!$K$155+Thesis!$D$166*Thesis!$K$143</f>
        <v>136.406703436571</v>
      </c>
      <c r="L167" s="38" t="n">
        <f aca="false">ext_sh*Thesis!$L$155+Thesis!$D$166*Thesis!$L$143</f>
        <v>161.485870454155</v>
      </c>
      <c r="M167" s="38" t="n">
        <f aca="false">ext_sh*Thesis!$M$155+Thesis!$D$166*Thesis!$M$143</f>
        <v>187.389846618199</v>
      </c>
      <c r="N167" s="38" t="n">
        <f aca="false">Q!$N$31</f>
        <v>9.234</v>
      </c>
      <c r="O167" s="38" t="n">
        <f aca="false">Q!$O$31</f>
        <v>12.216</v>
      </c>
    </row>
    <row r="168" customFormat="false" ht="17.15" hidden="false" customHeight="false" outlineLevel="0" collapsed="false">
      <c r="A168" s="1" t="s">
        <v>610</v>
      </c>
    </row>
    <row r="169" customFormat="false" ht="17.15" hidden="false" customHeight="false" outlineLevel="0" collapsed="false">
      <c r="A169" s="14" t="s">
        <v>611</v>
      </c>
      <c r="B169" s="13" t="s">
        <v>52</v>
      </c>
      <c r="C169" s="13"/>
      <c r="D169" s="13"/>
      <c r="E169" s="13"/>
      <c r="F169" s="13"/>
      <c r="G169" s="16" t="n">
        <f aca="false">Thesis!$G$159*(1-tax)/(ext_sh*(Thesis!$D$156+Thesis!$G$156)/2)</f>
        <v>0.0440851947071316</v>
      </c>
      <c r="H169" s="16" t="n">
        <f aca="false">Thesis!$H$159*(1-tax)/(ext_sh*(Thesis!$G$156+Thesis!$H$156)/2)</f>
        <v>0.0402781040820865</v>
      </c>
      <c r="I169" s="16" t="n">
        <f aca="false">Thesis!$I$159*(1-tax)/(ext_sh*(Thesis!$H$156+Thesis!$I$156)/2)</f>
        <v>0.0358186710480674</v>
      </c>
      <c r="J169" s="16" t="n">
        <f aca="false">Thesis!$J$159*(1-tax)/(ext_sh*(Thesis!$I$156+Thesis!$J$156)/2)</f>
        <v>0.0336327249258515</v>
      </c>
      <c r="K169" s="16" t="n">
        <f aca="false">Thesis!$K$159*(1-tax)/(ext_sh*(Thesis!$J$156+Thesis!$K$156)/2)</f>
        <v>0.0325667655468976</v>
      </c>
      <c r="L169" s="16" t="n">
        <f aca="false">Thesis!$L$159*(1-tax)/(ext_sh*(Thesis!$K$156+Thesis!$L$156)/2)</f>
        <v>0.034165444780845</v>
      </c>
      <c r="M169" s="16" t="n">
        <f aca="false">Thesis!$M$159*(1-tax)/(ext_sh*(Thesis!$L$156+Thesis!$M$156)/2)</f>
        <v>0.0340048452587916</v>
      </c>
      <c r="N169" s="13"/>
      <c r="O169" s="13"/>
      <c r="P169" s="8" t="s">
        <v>612</v>
      </c>
    </row>
    <row r="170" customFormat="false" ht="17.15" hidden="false" customHeight="false" outlineLevel="0" collapsed="false">
      <c r="A170" s="5" t="s">
        <v>613</v>
      </c>
      <c r="B170" s="0" t="s">
        <v>57</v>
      </c>
      <c r="H170" s="36" t="n">
        <f aca="false">Thesis!$H$139*1000/(mw_open*he_open+Thesis!$H$137*Thesis!$H$134)</f>
        <v>0.880767940782091</v>
      </c>
      <c r="I170" s="36" t="n">
        <f aca="false">Thesis!$I$139*1000/(mw_open*he_open+Thesis!$I$137*Thesis!$I$134)</f>
        <v>0.858026572758645</v>
      </c>
      <c r="J170" s="36" t="n">
        <f aca="false">Thesis!$J$139*1000/(mw_open*he_open+Thesis!$J$137*Thesis!$J$134)</f>
        <v>0.848417499448742</v>
      </c>
      <c r="K170" s="36" t="n">
        <f aca="false">Thesis!$K$139*1000/(mw_open*he_open+Thesis!$K$137*Thesis!$K$134)</f>
        <v>0.843126318994332</v>
      </c>
      <c r="L170" s="36" t="n">
        <f aca="false">Thesis!$L$139*1000/(mw_open*he_open+Thesis!$L$137*Thesis!$L$134)</f>
        <v>0.839778769178837</v>
      </c>
      <c r="M170" s="36" t="n">
        <f aca="false">Thesis!$M$139*1000/(mw_open*he_open+Thesis!$M$137*Thesis!$M$134)</f>
        <v>0.837470686826078</v>
      </c>
    </row>
    <row r="171" customFormat="false" ht="17.15" hidden="false" customHeight="false" outlineLevel="0" collapsed="false">
      <c r="A171" s="5" t="s">
        <v>614</v>
      </c>
      <c r="B171" s="0" t="s">
        <v>57</v>
      </c>
      <c r="H171" s="36" t="n">
        <f aca="false">Thesis!$H$170*(Thesis!$H$139+wacc*ext_sh*(Thesis!$G$156+Thesis!$H$156)/2/(1-tax)-Thesis!$H$159)/Thesis!$H$139</f>
        <v>1.3149781212103</v>
      </c>
      <c r="I171" s="36" t="n">
        <f aca="false">Thesis!$I$170*(Thesis!$I$139+wacc*ext_sh*(Thesis!$H$156+Thesis!$I$156)/2/(1-tax)-Thesis!$I$159)/Thesis!$I$139</f>
        <v>1.25742005569107</v>
      </c>
      <c r="J171" s="36" t="n">
        <f aca="false">Thesis!$J$170*(Thesis!$J$139+wacc*ext_sh*(Thesis!$I$156+Thesis!$J$156)/2/(1-tax)-Thesis!$J$159)/Thesis!$J$139</f>
        <v>1.21838845868559</v>
      </c>
      <c r="K171" s="36" t="n">
        <f aca="false">Thesis!$K$170*(Thesis!$K$139+wacc*ext_sh*(Thesis!$J$156+Thesis!$K$156)/2/(1-tax)-Thesis!$K$159)/Thesis!$K$139</f>
        <v>1.18402644209548</v>
      </c>
      <c r="L171" s="36" t="n">
        <f aca="false">Thesis!$L$170*(Thesis!$L$139+wacc*ext_sh*(Thesis!$K$156+Thesis!$L$156)/2/(1-tax)-Thesis!$L$159)/Thesis!$L$139</f>
        <v>1.15111215322059</v>
      </c>
      <c r="M171" s="36" t="n">
        <f aca="false">Thesis!$M$170*(Thesis!$M$139+wacc*ext_sh*(Thesis!$L$156+Thesis!$M$156)/2/(1-tax)-Thesis!$M$159)/Thesis!$M$139</f>
        <v>1.1397166845677</v>
      </c>
    </row>
    <row r="172" customFormat="false" ht="17.15" hidden="false" customHeight="false" outlineLevel="0" collapsed="false">
      <c r="A172" s="5" t="s">
        <v>615</v>
      </c>
      <c r="B172" s="0" t="s">
        <v>52</v>
      </c>
      <c r="C172" s="12" t="n">
        <f aca="false">Thesis!$C$140/tk_pq</f>
        <v>0.195316432429398</v>
      </c>
      <c r="D172" s="12" t="n">
        <f aca="false">Thesis!$D$140/tk_pq</f>
        <v>0.195316432429398</v>
      </c>
      <c r="E172" s="12" t="n">
        <f aca="false">Thesis!$E$140/tk_pq</f>
        <v>0.195316432429398</v>
      </c>
      <c r="F172" s="12" t="n">
        <f aca="false">Thesis!$F$140/tk_pq</f>
        <v>0.191077608072499</v>
      </c>
      <c r="G172" s="12" t="n">
        <f aca="false">Thesis!$G$140/tk_pq</f>
        <v>0.192648675364927</v>
      </c>
      <c r="H172" s="12" t="n">
        <f aca="false">Thesis!$H$140/tk_pq</f>
        <v>0.188813632292207</v>
      </c>
      <c r="I172" s="12" t="n">
        <f aca="false">Thesis!$I$140/tk_pq</f>
        <v>0.18967957363228</v>
      </c>
      <c r="J172" s="12" t="n">
        <f aca="false">Thesis!$J$140/tk_pq</f>
        <v>0.190298617624149</v>
      </c>
      <c r="K172" s="12" t="n">
        <f aca="false">Thesis!$K$140/tk_pq</f>
        <v>0.190708841601505</v>
      </c>
      <c r="L172" s="12" t="n">
        <f aca="false">Thesis!$L$140/tk_pq</f>
        <v>0.190994938306812</v>
      </c>
      <c r="M172" s="12" t="n">
        <f aca="false">Thesis!$M$140/tk_pq</f>
        <v>0.191204523963728</v>
      </c>
      <c r="N172" s="12" t="n">
        <f aca="false">Thesis!$N$140/tk_pq</f>
        <v>0.195316432429398</v>
      </c>
      <c r="O172" s="12" t="n">
        <f aca="false">Thesis!$O$140/tk_pq</f>
        <v>0.195316432429398</v>
      </c>
      <c r="P172" s="5" t="s">
        <v>616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15" min="3" style="0" width="11"/>
    <col collapsed="false" customWidth="true" hidden="false" outlineLevel="0" max="16" min="16" style="0" width="60"/>
  </cols>
  <sheetData>
    <row r="1" customFormat="false" ht="17.15" hidden="false" customHeight="false" outlineLevel="0" collapsed="false">
      <c r="A1" s="0" t="s">
        <v>619</v>
      </c>
    </row>
    <row r="4" customFormat="false" ht="19.4" hidden="false" customHeight="false" outlineLevel="0" collapsed="false">
      <c r="A4" s="31" t="s">
        <v>620</v>
      </c>
    </row>
    <row r="5" customFormat="false" ht="17.15" hidden="false" customHeight="false" outlineLevel="0" collapsed="false">
      <c r="A5" s="6" t="s">
        <v>16</v>
      </c>
      <c r="B5" s="6" t="s">
        <v>17</v>
      </c>
      <c r="C5" s="20" t="s">
        <v>457</v>
      </c>
      <c r="D5" s="20" t="s">
        <v>458</v>
      </c>
      <c r="E5" s="20" t="s">
        <v>540</v>
      </c>
      <c r="F5" s="20" t="s">
        <v>541</v>
      </c>
      <c r="G5" s="20" t="s">
        <v>542</v>
      </c>
      <c r="H5" s="20" t="s">
        <v>543</v>
      </c>
      <c r="I5" s="20" t="s">
        <v>544</v>
      </c>
      <c r="J5" s="20" t="s">
        <v>545</v>
      </c>
      <c r="K5" s="20" t="s">
        <v>546</v>
      </c>
      <c r="L5" s="20" t="s">
        <v>547</v>
      </c>
      <c r="M5" s="20" t="s">
        <v>548</v>
      </c>
      <c r="N5" s="20" t="s">
        <v>549</v>
      </c>
      <c r="O5" s="20" t="s">
        <v>550</v>
      </c>
      <c r="P5" s="6" t="s">
        <v>23</v>
      </c>
      <c r="R5" s="20" t="n">
        <v>2023</v>
      </c>
      <c r="S5" s="20" t="n">
        <v>2024</v>
      </c>
      <c r="T5" s="20" t="n">
        <v>2025</v>
      </c>
      <c r="U5" s="20" t="n">
        <v>2026</v>
      </c>
      <c r="V5" s="20" t="n">
        <v>2027</v>
      </c>
      <c r="W5" s="20" t="n">
        <v>2028</v>
      </c>
      <c r="X5" s="20" t="n">
        <v>2029</v>
      </c>
      <c r="Y5" s="20" t="n">
        <v>2030</v>
      </c>
      <c r="Z5" s="20" t="n">
        <v>2031</v>
      </c>
      <c r="AA5" s="20" t="n">
        <v>2032</v>
      </c>
    </row>
    <row r="6" customFormat="false" ht="17.15" hidden="false" customHeight="false" outlineLevel="0" collapsed="false">
      <c r="A6" s="1" t="s">
        <v>621</v>
      </c>
    </row>
    <row r="7" customFormat="false" ht="17.15" hidden="false" customHeight="false" outlineLevel="0" collapsed="false">
      <c r="A7" s="0" t="s">
        <v>479</v>
      </c>
      <c r="B7" s="0" t="s">
        <v>73</v>
      </c>
      <c r="C7" s="38" t="n">
        <f aca="false">Q!$D$10</f>
        <v>247.029</v>
      </c>
      <c r="D7" s="38" t="n">
        <f aca="false">Q!$E$10</f>
        <v>269.287</v>
      </c>
      <c r="E7" s="38" t="n">
        <f aca="false">Q!$P$10</f>
        <v>134.686</v>
      </c>
      <c r="F7" s="38" t="n">
        <f aca="false">Seg!$O$7*(1+Seg!$F$8)-pd_amt*Q!$O$10/(Q!$O$10+Q!$O$12)</f>
        <v>160.728085930082</v>
      </c>
      <c r="G7" s="38" t="n">
        <f aca="false">Seg!$E$7+Seg!$F$7</f>
        <v>295.414085930082</v>
      </c>
      <c r="H7" s="38" t="n">
        <f aca="false">Seg!$G$7*(1+Seg!$H$8)</f>
        <v>320.828163943375</v>
      </c>
      <c r="I7" s="38" t="n">
        <f aca="false">Seg!$H$7*(1+Seg!$I$8)</f>
        <v>344.575578072228</v>
      </c>
      <c r="J7" s="38" t="n">
        <f aca="false">Seg!$I$7*(1+Seg!$J$8)</f>
        <v>365.942555779681</v>
      </c>
      <c r="K7" s="38" t="n">
        <f aca="false">Seg!$J$7*(1+Seg!$K$8)</f>
        <v>384.239683568665</v>
      </c>
      <c r="L7" s="38" t="n">
        <f aca="false">Seg!$K$7*(1+Seg!$L$8)</f>
        <v>403.451667747098</v>
      </c>
      <c r="M7" s="38" t="n">
        <f aca="false">Seg!$L$7*(1+Seg!$M$8)</f>
        <v>423.624251134453</v>
      </c>
      <c r="N7" s="38" t="n">
        <f aca="false">Q!$N$10</f>
        <v>118.892</v>
      </c>
      <c r="O7" s="38" t="n">
        <f aca="false">Q!$O$10</f>
        <v>150.395</v>
      </c>
      <c r="P7" s="8" t="s">
        <v>622</v>
      </c>
    </row>
    <row r="8" customFormat="false" ht="17.15" hidden="false" customHeight="false" outlineLevel="0" collapsed="false">
      <c r="A8" s="0" t="s">
        <v>623</v>
      </c>
      <c r="B8" s="0" t="s">
        <v>52</v>
      </c>
      <c r="E8" s="12" t="n">
        <f aca="false">Seg!$E$7/Seg!$N$7-1</f>
        <v>0.132843252699929</v>
      </c>
      <c r="F8" s="12" t="n">
        <f aca="false">Seg!$O$7/(Q!$F$10+Q!$G$10)-1</f>
        <v>0.0980382135842941</v>
      </c>
      <c r="G8" s="12" t="n">
        <f aca="false">Seg!$G$7/Seg!$D$7-1</f>
        <v>0.0970231980380869</v>
      </c>
      <c r="H8" s="12" t="n">
        <f aca="false">Seg!$F$8+(g_os-Seg!$F$8)*1/4</f>
        <v>0.0860286601882206</v>
      </c>
      <c r="I8" s="12" t="n">
        <f aca="false">Seg!$F$8+(g_os-Seg!$F$8)*2/4</f>
        <v>0.074019106792147</v>
      </c>
      <c r="J8" s="12" t="n">
        <f aca="false">Seg!$F$8+(g_os-Seg!$F$8)*3/4</f>
        <v>0.0620095533960735</v>
      </c>
      <c r="K8" s="12" t="n">
        <f aca="false">Seg!$F$8+(g_os-Seg!$F$8)*4/4</f>
        <v>0.05</v>
      </c>
      <c r="L8" s="12" t="n">
        <f aca="false">g_os</f>
        <v>0.05</v>
      </c>
      <c r="M8" s="12" t="n">
        <f aca="false">g_os</f>
        <v>0.05</v>
      </c>
      <c r="P8" s="8" t="s">
        <v>624</v>
      </c>
    </row>
    <row r="9" customFormat="false" ht="17.15" hidden="false" customHeight="false" outlineLevel="0" collapsed="false">
      <c r="A9" s="0" t="s">
        <v>480</v>
      </c>
      <c r="B9" s="0" t="s">
        <v>73</v>
      </c>
      <c r="C9" s="38" t="n">
        <f aca="false">Q!$D$11</f>
        <v>21.215</v>
      </c>
      <c r="D9" s="38" t="n">
        <f aca="false">Q!$E$11</f>
        <v>22.561</v>
      </c>
      <c r="E9" s="38" t="n">
        <f aca="false">Q!$P$11</f>
        <v>11.579</v>
      </c>
      <c r="F9" s="38" t="n">
        <f aca="false">Seg!$O$9*(1+Seg!$F$10)</f>
        <v>12.0952613121125</v>
      </c>
      <c r="G9" s="38" t="n">
        <f aca="false">Seg!$E$9+Seg!$F$9</f>
        <v>23.6742613121125</v>
      </c>
      <c r="H9" s="38" t="n">
        <f aca="false">Seg!$G$9*(1+Seg!$H$10)</f>
        <v>24.8803243963206</v>
      </c>
      <c r="I9" s="38" t="n">
        <f aca="false">Seg!$H$9*(1+Seg!$I$10)</f>
        <v>25.9741308664154</v>
      </c>
      <c r="J9" s="38" t="n">
        <f aca="false">Seg!$I$9*(1+Seg!$J$10)</f>
        <v>26.9346894124267</v>
      </c>
      <c r="K9" s="38" t="n">
        <f aca="false">Seg!$J$9*(1+Seg!$K$10)</f>
        <v>27.7427300947995</v>
      </c>
      <c r="L9" s="38" t="n">
        <f aca="false">Seg!$K$9*(1+Seg!$L$10)</f>
        <v>28.5750119976435</v>
      </c>
      <c r="M9" s="38" t="n">
        <f aca="false">Seg!$L$9*(1+Seg!$M$10)</f>
        <v>29.4322623575728</v>
      </c>
      <c r="N9" s="38" t="n">
        <f aca="false">Q!$N$11</f>
        <v>11.128</v>
      </c>
      <c r="O9" s="38" t="n">
        <f aca="false">Q!$O$11</f>
        <v>11.433</v>
      </c>
      <c r="P9" s="8" t="s">
        <v>622</v>
      </c>
    </row>
    <row r="10" customFormat="false" ht="17.15" hidden="false" customHeight="false" outlineLevel="0" collapsed="false">
      <c r="A10" s="0" t="s">
        <v>625</v>
      </c>
      <c r="B10" s="0" t="s">
        <v>52</v>
      </c>
      <c r="E10" s="12" t="n">
        <f aca="false">Seg!$E$9/Seg!$N$9-1</f>
        <v>0.0405283968368082</v>
      </c>
      <c r="F10" s="12" t="n">
        <f aca="false">Seg!$O$9/(Q!$F$11+Q!$G$11)-1</f>
        <v>0.0579254187100955</v>
      </c>
      <c r="G10" s="12" t="n">
        <f aca="false">Seg!$G$9/Seg!$D$9-1</f>
        <v>0.0493445021103904</v>
      </c>
      <c r="H10" s="12" t="n">
        <f aca="false">Seg!$F$10+(g_ps-Seg!$F$10)*1/4</f>
        <v>0.0509440640325716</v>
      </c>
      <c r="I10" s="12" t="n">
        <f aca="false">Seg!$F$10+(g_ps-Seg!$F$10)*2/4</f>
        <v>0.0439627093550477</v>
      </c>
      <c r="J10" s="12" t="n">
        <f aca="false">Seg!$F$10+(g_ps-Seg!$F$10)*3/4</f>
        <v>0.0369813546775239</v>
      </c>
      <c r="K10" s="12" t="n">
        <f aca="false">Seg!$F$10+(g_ps-Seg!$F$10)*4/4</f>
        <v>0.03</v>
      </c>
      <c r="L10" s="12" t="n">
        <f aca="false">g_ps</f>
        <v>0.03</v>
      </c>
      <c r="M10" s="12" t="n">
        <f aca="false">g_ps</f>
        <v>0.03</v>
      </c>
      <c r="P10" s="8" t="s">
        <v>626</v>
      </c>
    </row>
    <row r="11" customFormat="false" ht="17.15" hidden="false" customHeight="false" outlineLevel="0" collapsed="false">
      <c r="A11" s="0" t="s">
        <v>481</v>
      </c>
      <c r="B11" s="0" t="s">
        <v>73</v>
      </c>
      <c r="C11" s="38" t="n">
        <f aca="false">Q!$D$12</f>
        <v>156.146</v>
      </c>
      <c r="D11" s="38" t="n">
        <f aca="false">Q!$E$12</f>
        <v>172.162</v>
      </c>
      <c r="E11" s="38" t="n">
        <f aca="false">Q!$P$12</f>
        <v>88.358</v>
      </c>
      <c r="F11" s="38" t="n">
        <f aca="false">Seg!$O$11*(1+Seg!$F$12)-pd_amt*Q!$O$12/(Q!$O$10+Q!$O$12)</f>
        <v>103.62028337149</v>
      </c>
      <c r="G11" s="38" t="n">
        <f aca="false">Seg!$E$11+Seg!$F$11</f>
        <v>191.97828337149</v>
      </c>
      <c r="H11" s="38" t="n">
        <f aca="false">Seg!$G$11*(1+Seg!$H$12)</f>
        <v>212.128608444755</v>
      </c>
      <c r="I11" s="38" t="n">
        <f aca="false">Seg!$H$11*(1+Seg!$I$12)</f>
        <v>231.92183134134</v>
      </c>
      <c r="J11" s="38" t="n">
        <f aca="false">Seg!$I$11*(1+Seg!$J$12)</f>
        <v>250.859136487863</v>
      </c>
      <c r="K11" s="38" t="n">
        <f aca="false">Seg!$J$11*(1+Seg!$K$12)</f>
        <v>268.419276042014</v>
      </c>
      <c r="L11" s="38" t="n">
        <f aca="false">Seg!$K$11*(1+Seg!$L$12)</f>
        <v>287.208625364954</v>
      </c>
      <c r="M11" s="38" t="n">
        <f aca="false">Seg!$L$11*(1+Seg!$M$12)</f>
        <v>307.313229140501</v>
      </c>
      <c r="N11" s="38" t="n">
        <f aca="false">Q!$N$12</f>
        <v>76.86</v>
      </c>
      <c r="O11" s="38" t="n">
        <f aca="false">Q!$O$12</f>
        <v>95.302</v>
      </c>
      <c r="P11" s="8" t="s">
        <v>622</v>
      </c>
    </row>
    <row r="12" customFormat="false" ht="17.15" hidden="false" customHeight="false" outlineLevel="0" collapsed="false">
      <c r="A12" s="0" t="s">
        <v>627</v>
      </c>
      <c r="B12" s="0" t="s">
        <v>52</v>
      </c>
      <c r="E12" s="12" t="n">
        <f aca="false">Seg!$E$11/Seg!$N$11-1</f>
        <v>0.1495966692688</v>
      </c>
      <c r="F12" s="12" t="n">
        <f aca="false">Seg!$O$11/(Q!$F$12+Q!$G$12)-1</f>
        <v>0.11661530890813</v>
      </c>
      <c r="G12" s="12" t="n">
        <f aca="false">Seg!$G$11/Seg!$D$11-1</f>
        <v>0.115102539303041</v>
      </c>
      <c r="H12" s="12" t="n">
        <f aca="false">Seg!$F$12+(g_sp-Seg!$F$12)*1/4</f>
        <v>0.104961481681098</v>
      </c>
      <c r="I12" s="12" t="n">
        <f aca="false">Seg!$F$12+(g_sp-Seg!$F$12)*2/4</f>
        <v>0.0933076544540651</v>
      </c>
      <c r="J12" s="12" t="n">
        <f aca="false">Seg!$F$12+(g_sp-Seg!$F$12)*3/4</f>
        <v>0.0816538272270325</v>
      </c>
      <c r="K12" s="12" t="n">
        <f aca="false">Seg!$F$12+(g_sp-Seg!$F$12)*4/4</f>
        <v>0.07</v>
      </c>
      <c r="L12" s="12" t="n">
        <f aca="false">g_sp</f>
        <v>0.07</v>
      </c>
      <c r="M12" s="12" t="n">
        <f aca="false">g_sp</f>
        <v>0.07</v>
      </c>
      <c r="P12" s="8" t="s">
        <v>628</v>
      </c>
    </row>
    <row r="13" customFormat="false" ht="17.15" hidden="false" customHeight="false" outlineLevel="0" collapsed="false">
      <c r="A13" s="0" t="s">
        <v>482</v>
      </c>
      <c r="B13" s="0" t="s">
        <v>73</v>
      </c>
      <c r="C13" s="38" t="n">
        <f aca="false">Q!$D$13</f>
        <v>56.214</v>
      </c>
      <c r="D13" s="38" t="n">
        <f aca="false">Q!$E$13</f>
        <v>68.635</v>
      </c>
      <c r="E13" s="38" t="n">
        <f aca="false">Q!$P$13</f>
        <v>37.052</v>
      </c>
      <c r="F13" s="38" t="n">
        <f aca="false">Seg!$O$13*(1+Seg!$F$14)</f>
        <v>48.1533381827382</v>
      </c>
      <c r="G13" s="38" t="n">
        <f aca="false">Seg!$E$13+Seg!$F$13</f>
        <v>85.2053381827382</v>
      </c>
      <c r="H13" s="38" t="n">
        <f aca="false">Seg!$G$13*(1+Seg!$H$14)</f>
        <v>102.29336185894</v>
      </c>
      <c r="I13" s="38" t="n">
        <f aca="false">Seg!$H$13*(1+Seg!$I$14)</f>
        <v>119.379837585241</v>
      </c>
      <c r="J13" s="38" t="n">
        <f aca="false">Seg!$I$13*(1+Seg!$J$14)</f>
        <v>135.319079048844</v>
      </c>
      <c r="K13" s="38" t="n">
        <f aca="false">Seg!$J$13*(1+Seg!$K$14)</f>
        <v>148.850986953729</v>
      </c>
      <c r="L13" s="38" t="n">
        <f aca="false">Seg!$K$13*(1+Seg!$L$14)</f>
        <v>163.736085649102</v>
      </c>
      <c r="M13" s="38" t="n">
        <f aca="false">Seg!$L$13*(1+Seg!$M$14)</f>
        <v>180.109694214012</v>
      </c>
      <c r="N13" s="38" t="n">
        <f aca="false">Q!$N$13</f>
        <v>29.615</v>
      </c>
      <c r="O13" s="38" t="n">
        <f aca="false">Q!$O$13</f>
        <v>39.02</v>
      </c>
      <c r="P13" s="8" t="s">
        <v>622</v>
      </c>
    </row>
    <row r="14" customFormat="false" ht="17.15" hidden="false" customHeight="false" outlineLevel="0" collapsed="false">
      <c r="A14" s="0" t="s">
        <v>629</v>
      </c>
      <c r="B14" s="0" t="s">
        <v>52</v>
      </c>
      <c r="E14" s="12" t="n">
        <f aca="false">Seg!$E$13/Seg!$N$13-1</f>
        <v>0.25112274185379</v>
      </c>
      <c r="F14" s="12" t="n">
        <f aca="false">Seg!$O$13/(Q!$F$13+Q!$G$13)-1</f>
        <v>0.234068123596572</v>
      </c>
      <c r="G14" s="12" t="n">
        <f aca="false">Seg!$G$13/Seg!$D$13-1</f>
        <v>0.241426942270536</v>
      </c>
      <c r="H14" s="12" t="n">
        <f aca="false">Seg!$F$14+(g_ad-Seg!$F$14)*1/4</f>
        <v>0.200551092697429</v>
      </c>
      <c r="I14" s="12" t="n">
        <f aca="false">Seg!$F$14+(g_ad-Seg!$F$14)*2/4</f>
        <v>0.167034061798286</v>
      </c>
      <c r="J14" s="12" t="n">
        <f aca="false">Seg!$F$14+(g_ad-Seg!$F$14)*3/4</f>
        <v>0.133517030899143</v>
      </c>
      <c r="K14" s="12" t="n">
        <f aca="false">Seg!$F$14+(g_ad-Seg!$F$14)*4/4</f>
        <v>0.1</v>
      </c>
      <c r="L14" s="12" t="n">
        <f aca="false">g_ad</f>
        <v>0.1</v>
      </c>
      <c r="M14" s="12" t="n">
        <f aca="false">g_ad</f>
        <v>0.1</v>
      </c>
      <c r="P14" s="8" t="s">
        <v>630</v>
      </c>
    </row>
    <row r="15" customFormat="false" ht="17.15" hidden="false" customHeight="false" outlineLevel="0" collapsed="false">
      <c r="A15" s="0" t="s">
        <v>483</v>
      </c>
      <c r="B15" s="0" t="s">
        <v>73</v>
      </c>
      <c r="C15" s="38" t="n">
        <f aca="false">Q!$D$14</f>
        <v>44.374</v>
      </c>
      <c r="D15" s="38" t="n">
        <f aca="false">Q!$E$14</f>
        <v>49.619</v>
      </c>
      <c r="E15" s="38" t="n">
        <f aca="false">Q!$P$14</f>
        <v>27.157</v>
      </c>
      <c r="F15" s="38" t="n">
        <f aca="false">Seg!$O$15*(1+Seg!$F$16)</f>
        <v>28.9776360923374</v>
      </c>
      <c r="G15" s="38" t="n">
        <f aca="false">Seg!$E$15+Seg!$F$15</f>
        <v>56.1346360923374</v>
      </c>
      <c r="H15" s="38" t="n">
        <f aca="false">Seg!$G$15*(1+Seg!$H$16)</f>
        <v>62.4937078946075</v>
      </c>
      <c r="I15" s="38" t="n">
        <f aca="false">Seg!$H$15*(1+Seg!$I$16)</f>
        <v>68.6715233062498</v>
      </c>
      <c r="J15" s="38" t="n">
        <f aca="false">Seg!$I$15*(1+Seg!$J$16)</f>
        <v>74.4692882949818</v>
      </c>
      <c r="K15" s="38" t="n">
        <f aca="false">Seg!$J$15*(1+Seg!$K$16)</f>
        <v>79.6821384756306</v>
      </c>
      <c r="L15" s="38" t="n">
        <f aca="false">Seg!$K$15*(1+Seg!$L$16)</f>
        <v>85.2598881689247</v>
      </c>
      <c r="M15" s="38" t="n">
        <f aca="false">Seg!$L$15*(1+Seg!$M$16)</f>
        <v>91.2280803407494</v>
      </c>
      <c r="N15" s="38" t="n">
        <f aca="false">Q!$N$14</f>
        <v>23.923</v>
      </c>
      <c r="O15" s="38" t="n">
        <f aca="false">Q!$O$14</f>
        <v>25.696</v>
      </c>
      <c r="P15" s="8" t="s">
        <v>622</v>
      </c>
    </row>
    <row r="16" customFormat="false" ht="17.15" hidden="false" customHeight="false" outlineLevel="0" collapsed="false">
      <c r="A16" s="0" t="s">
        <v>631</v>
      </c>
      <c r="B16" s="0" t="s">
        <v>52</v>
      </c>
      <c r="E16" s="12" t="n">
        <f aca="false">Seg!$E$15/Seg!$N$15-1</f>
        <v>0.135183714417088</v>
      </c>
      <c r="F16" s="12" t="n">
        <f aca="false">Seg!$O$15/(Q!$F$14+Q!$G$14)-1</f>
        <v>0.127709997366804</v>
      </c>
      <c r="G16" s="12" t="n">
        <f aca="false">Seg!$G$15/Seg!$D$15-1</f>
        <v>0.131313329416905</v>
      </c>
      <c r="H16" s="12" t="n">
        <f aca="false">Seg!$F$16+(g_sub-Seg!$F$16)*1/4</f>
        <v>0.113282498025103</v>
      </c>
      <c r="I16" s="12" t="n">
        <f aca="false">Seg!$F$16+(g_sub-Seg!$F$16)*2/4</f>
        <v>0.0988549986834021</v>
      </c>
      <c r="J16" s="12" t="n">
        <f aca="false">Seg!$F$16+(g_sub-Seg!$F$16)*3/4</f>
        <v>0.084427499341701</v>
      </c>
      <c r="K16" s="12" t="n">
        <f aca="false">Seg!$F$16+(g_sub-Seg!$F$16)*4/4</f>
        <v>0.07</v>
      </c>
      <c r="L16" s="12" t="n">
        <f aca="false">g_sub</f>
        <v>0.07</v>
      </c>
      <c r="M16" s="12" t="n">
        <f aca="false">g_sub</f>
        <v>0.07</v>
      </c>
      <c r="P16" s="8" t="s">
        <v>632</v>
      </c>
    </row>
    <row r="17" customFormat="false" ht="17.15" hidden="false" customHeight="false" outlineLevel="0" collapsed="false">
      <c r="A17" s="0" t="s">
        <v>484</v>
      </c>
      <c r="B17" s="0" t="s">
        <v>73</v>
      </c>
      <c r="C17" s="38" t="n">
        <f aca="false">Q!$D$15</f>
        <v>5.425</v>
      </c>
      <c r="D17" s="38" t="n">
        <f aca="false">Q!$E$15</f>
        <v>5.935</v>
      </c>
      <c r="E17" s="38" t="n">
        <f aca="false">Q!$P$15</f>
        <v>3.474</v>
      </c>
      <c r="F17" s="38" t="n">
        <f aca="false">Seg!$O$17*(1+Seg!$F$18)</f>
        <v>3.36182431966931</v>
      </c>
      <c r="G17" s="38" t="n">
        <f aca="false">Seg!$E$17+Seg!$F$17</f>
        <v>6.83582431966931</v>
      </c>
      <c r="H17" s="38" t="n">
        <f aca="false">Seg!$G$17*(1+Seg!$H$18)</f>
        <v>7.31157108370141</v>
      </c>
      <c r="I17" s="38" t="n">
        <f aca="false">Seg!$H$17*(1+Seg!$I$18)</f>
        <v>7.77266852639815</v>
      </c>
      <c r="J17" s="38" t="n">
        <f aca="false">Seg!$I$17*(1+Seg!$J$18)</f>
        <v>8.2120733019884</v>
      </c>
      <c r="K17" s="38" t="n">
        <f aca="false">Seg!$J$17*(1+Seg!$K$18)</f>
        <v>8.62267696708783</v>
      </c>
      <c r="L17" s="38" t="n">
        <f aca="false">Seg!$K$17*(1+Seg!$L$18)</f>
        <v>9.05381081544222</v>
      </c>
      <c r="M17" s="38" t="n">
        <f aca="false">Seg!$L$17*(1+Seg!$M$18)</f>
        <v>9.50650135621433</v>
      </c>
      <c r="N17" s="38" t="n">
        <f aca="false">Q!$N$15</f>
        <v>2.811</v>
      </c>
      <c r="O17" s="38" t="n">
        <f aca="false">Q!$O$15</f>
        <v>3.124</v>
      </c>
      <c r="P17" s="8" t="s">
        <v>622</v>
      </c>
    </row>
    <row r="18" customFormat="false" ht="17.15" hidden="false" customHeight="false" outlineLevel="0" collapsed="false">
      <c r="A18" s="0" t="s">
        <v>633</v>
      </c>
      <c r="B18" s="0" t="s">
        <v>52</v>
      </c>
      <c r="E18" s="12" t="n">
        <f aca="false">Seg!$E$17/Seg!$N$17-1</f>
        <v>0.235859124866596</v>
      </c>
      <c r="F18" s="12" t="n">
        <f aca="false">Seg!$O$17/(Q!$F$15+Q!$G$15)-1</f>
        <v>0.0761281433000345</v>
      </c>
      <c r="G18" s="12" t="n">
        <f aca="false">Seg!$G$17/Seg!$D$17-1</f>
        <v>0.151781688234087</v>
      </c>
      <c r="H18" s="12" t="n">
        <f aca="false">Seg!$F$18+(g_ot-Seg!$F$18)*1/4</f>
        <v>0.0695961074750259</v>
      </c>
      <c r="I18" s="12" t="n">
        <f aca="false">Seg!$F$18+(g_ot-Seg!$F$18)*2/4</f>
        <v>0.0630640716500172</v>
      </c>
      <c r="J18" s="12" t="n">
        <f aca="false">Seg!$F$18+(g_ot-Seg!$F$18)*3/4</f>
        <v>0.0565320358250086</v>
      </c>
      <c r="K18" s="12" t="n">
        <f aca="false">Seg!$F$18+(g_ot-Seg!$F$18)*4/4</f>
        <v>0.05</v>
      </c>
      <c r="L18" s="12" t="n">
        <f aca="false">g_ot</f>
        <v>0.05</v>
      </c>
      <c r="M18" s="12" t="n">
        <f aca="false">g_ot</f>
        <v>0.05</v>
      </c>
      <c r="P18" s="8" t="s">
        <v>634</v>
      </c>
    </row>
    <row r="19" customFormat="false" ht="17.15" hidden="false" customHeight="false" outlineLevel="0" collapsed="false">
      <c r="A19" s="3" t="s">
        <v>635</v>
      </c>
      <c r="B19" s="8" t="s">
        <v>73</v>
      </c>
      <c r="C19" s="38" t="n">
        <f aca="false">Seg!$C$7+Seg!$C$9+Seg!$C$11+Seg!$C$13+Seg!$C$15+Seg!$C$17</f>
        <v>530.403</v>
      </c>
      <c r="D19" s="38" t="n">
        <f aca="false">Seg!$D$7+Seg!$D$9+Seg!$D$11+Seg!$D$13+Seg!$D$15+Seg!$D$17</f>
        <v>588.199</v>
      </c>
      <c r="E19" s="38" t="n">
        <f aca="false">Seg!$E$7+Seg!$E$9+Seg!$E$11+Seg!$E$13+Seg!$E$15+Seg!$E$17</f>
        <v>302.306</v>
      </c>
      <c r="F19" s="38" t="n">
        <f aca="false">Seg!$F$7+Seg!$F$9+Seg!$F$11+Seg!$F$13+Seg!$F$15+Seg!$F$17</f>
        <v>356.93642920843</v>
      </c>
      <c r="G19" s="38" t="n">
        <f aca="false">Seg!$G$7+Seg!$G$9+Seg!$G$11+Seg!$G$13+Seg!$G$15+Seg!$G$17</f>
        <v>659.24242920843</v>
      </c>
      <c r="H19" s="38" t="n">
        <f aca="false">Seg!$H$7+Seg!$H$9+Seg!$H$11+Seg!$H$13+Seg!$H$15+Seg!$H$17</f>
        <v>729.935737621701</v>
      </c>
      <c r="I19" s="38" t="n">
        <f aca="false">Seg!$I$7+Seg!$I$9+Seg!$I$11+Seg!$I$13+Seg!$I$15+Seg!$I$17</f>
        <v>798.295569697873</v>
      </c>
      <c r="J19" s="38" t="n">
        <f aca="false">Seg!$J$7+Seg!$J$9+Seg!$J$11+Seg!$J$13+Seg!$J$15+Seg!$J$17</f>
        <v>861.736822325785</v>
      </c>
      <c r="K19" s="38" t="n">
        <f aca="false">Seg!$K$7+Seg!$K$9+Seg!$K$11+Seg!$K$13+Seg!$K$15+Seg!$K$17</f>
        <v>917.557492101925</v>
      </c>
      <c r="L19" s="38" t="n">
        <f aca="false">Seg!$L$7+Seg!$L$9+Seg!$L$11+Seg!$L$13+Seg!$L$15+Seg!$L$17</f>
        <v>977.285089743165</v>
      </c>
      <c r="M19" s="38" t="n">
        <f aca="false">Seg!$M$7+Seg!$M$9+Seg!$M$11+Seg!$M$13+Seg!$M$15+Seg!$M$17</f>
        <v>1041.2140185435</v>
      </c>
      <c r="N19" s="38" t="n">
        <f aca="false">Seg!$N$7+Seg!$N$9+Seg!$N$11+Seg!$N$13+Seg!$N$15+Seg!$N$17</f>
        <v>263.229</v>
      </c>
      <c r="O19" s="38" t="n">
        <f aca="false">Seg!$O$7+Seg!$O$9+Seg!$O$11+Seg!$O$13+Seg!$O$15+Seg!$O$17</f>
        <v>324.97</v>
      </c>
    </row>
    <row r="20" customFormat="false" ht="17.15" hidden="false" customHeight="false" outlineLevel="0" collapsed="false">
      <c r="A20" s="5" t="s">
        <v>636</v>
      </c>
      <c r="B20" s="0" t="s">
        <v>52</v>
      </c>
      <c r="C20" s="12" t="n">
        <f aca="false">Q!$D$5/(Q!$D$5+Q!$D$6)</f>
        <v>0.730570905519011</v>
      </c>
      <c r="D20" s="12" t="n">
        <f aca="false">Q!$E$5/(Q!$E$5+Q!$E$6)</f>
        <v>0.724763217890544</v>
      </c>
      <c r="E20" s="12" t="n">
        <f aca="false">Q!$P$5/(Q!$P$5+Q!$P$6)</f>
        <v>0.728797972914861</v>
      </c>
      <c r="F20" s="12" t="n">
        <f aca="false">Seg!$O$20</f>
        <v>0.718066283041511</v>
      </c>
      <c r="G20" s="12" t="n">
        <f aca="false">Seg!$G$21/Seg!$G$19</f>
        <v>0.722987468473627</v>
      </c>
      <c r="H20" s="12" t="n">
        <f aca="false">Seg!$G$20</f>
        <v>0.722987468473627</v>
      </c>
      <c r="I20" s="12" t="n">
        <f aca="false">Seg!$G$20</f>
        <v>0.722987468473627</v>
      </c>
      <c r="J20" s="12" t="n">
        <f aca="false">Seg!$G$20</f>
        <v>0.722987468473627</v>
      </c>
      <c r="K20" s="12" t="n">
        <f aca="false">Seg!$G$20</f>
        <v>0.722987468473627</v>
      </c>
      <c r="L20" s="12" t="n">
        <f aca="false">Seg!$G$20</f>
        <v>0.722987468473627</v>
      </c>
      <c r="M20" s="12" t="n">
        <f aca="false">Seg!$G$20</f>
        <v>0.722987468473627</v>
      </c>
      <c r="N20" s="12" t="n">
        <f aca="false">Q!$N$5/(Q!$N$5+Q!$N$6)</f>
        <v>0.733030935041352</v>
      </c>
      <c r="O20" s="12" t="n">
        <f aca="false">Q!$O$5/(Q!$O$5+Q!$O$6)</f>
        <v>0.718066283041511</v>
      </c>
      <c r="P20" s="8" t="s">
        <v>637</v>
      </c>
    </row>
    <row r="21" customFormat="false" ht="17.15" hidden="false" customHeight="false" outlineLevel="0" collapsed="false">
      <c r="A21" s="1" t="s">
        <v>472</v>
      </c>
      <c r="B21" s="8" t="s">
        <v>73</v>
      </c>
      <c r="C21" s="38" t="n">
        <f aca="false">Q!$D$5</f>
        <v>387.497</v>
      </c>
      <c r="D21" s="38" t="n">
        <f aca="false">Q!$E$5</f>
        <v>426.305</v>
      </c>
      <c r="E21" s="38" t="n">
        <f aca="false">Q!$P$5</f>
        <v>220.32</v>
      </c>
      <c r="F21" s="38" t="n">
        <f aca="false">Seg!$F$19*Seg!$F$20</f>
        <v>256.304015003807</v>
      </c>
      <c r="G21" s="38" t="n">
        <f aca="false">Seg!$E$21+Seg!$F$21</f>
        <v>476.624015003807</v>
      </c>
      <c r="H21" s="38" t="n">
        <f aca="false">Seg!$H$19*Seg!$H$20</f>
        <v>527.734391091543</v>
      </c>
      <c r="I21" s="38" t="n">
        <f aca="false">Seg!$I$19*Seg!$I$20</f>
        <v>577.157693029577</v>
      </c>
      <c r="J21" s="38" t="n">
        <f aca="false">Seg!$J$19*Seg!$J$20</f>
        <v>623.024923663827</v>
      </c>
      <c r="K21" s="38" t="n">
        <f aca="false">Seg!$K$19*Seg!$K$20</f>
        <v>663.382568393781</v>
      </c>
      <c r="L21" s="38" t="n">
        <f aca="false">Seg!$L$19*Seg!$L$20</f>
        <v>706.564873010432</v>
      </c>
      <c r="M21" s="38" t="n">
        <f aca="false">Seg!$M$19*Seg!$M$20</f>
        <v>752.784687406019</v>
      </c>
      <c r="N21" s="38" t="n">
        <f aca="false">Q!$N$5</f>
        <v>192.955</v>
      </c>
      <c r="O21" s="38" t="n">
        <f aca="false">Q!$O$5</f>
        <v>233.35</v>
      </c>
      <c r="P21" s="5" t="s">
        <v>638</v>
      </c>
    </row>
    <row r="22" customFormat="false" ht="17.15" hidden="false" customHeight="false" outlineLevel="0" collapsed="false">
      <c r="A22" s="1" t="s">
        <v>475</v>
      </c>
      <c r="B22" s="8" t="s">
        <v>73</v>
      </c>
      <c r="C22" s="38" t="n">
        <f aca="false">Q!$D$6</f>
        <v>142.906</v>
      </c>
      <c r="D22" s="38" t="n">
        <f aca="false">Q!$E$6</f>
        <v>161.894</v>
      </c>
      <c r="E22" s="38" t="n">
        <f aca="false">Q!$P$6</f>
        <v>81.986</v>
      </c>
      <c r="F22" s="38" t="n">
        <f aca="false">Seg!$F$19*(1-Seg!$F$20)</f>
        <v>100.632414204623</v>
      </c>
      <c r="G22" s="38" t="n">
        <f aca="false">Seg!$E$22+Seg!$F$22</f>
        <v>182.618414204623</v>
      </c>
      <c r="H22" s="38" t="n">
        <f aca="false">Seg!$H$19*(1-Seg!$H$20)</f>
        <v>202.201346530158</v>
      </c>
      <c r="I22" s="38" t="n">
        <f aca="false">Seg!$I$19*(1-Seg!$I$20)</f>
        <v>221.137876668296</v>
      </c>
      <c r="J22" s="38" t="n">
        <f aca="false">Seg!$J$19*(1-Seg!$J$20)</f>
        <v>238.711898661958</v>
      </c>
      <c r="K22" s="38" t="n">
        <f aca="false">Seg!$K$19*(1-Seg!$K$20)</f>
        <v>254.174923708144</v>
      </c>
      <c r="L22" s="38" t="n">
        <f aca="false">Seg!$L$19*(1-Seg!$L$20)</f>
        <v>270.720216732733</v>
      </c>
      <c r="M22" s="38" t="n">
        <f aca="false">Seg!$M$19*(1-Seg!$M$20)</f>
        <v>288.429331137484</v>
      </c>
      <c r="N22" s="38" t="n">
        <f aca="false">Q!$N$6</f>
        <v>70.274</v>
      </c>
      <c r="O22" s="38" t="n">
        <f aca="false">Q!$O$6</f>
        <v>91.62</v>
      </c>
      <c r="P22" s="5" t="s">
        <v>639</v>
      </c>
    </row>
    <row r="23" customFormat="false" ht="17.15" hidden="false" customHeight="false" outlineLevel="0" collapsed="false">
      <c r="A23" s="5" t="s">
        <v>640</v>
      </c>
      <c r="B23" s="0" t="s">
        <v>73</v>
      </c>
      <c r="C23" s="38" t="n">
        <f aca="false">Seg!$C$13*Seg!$C$20</f>
        <v>41.0683128828457</v>
      </c>
      <c r="D23" s="38" t="n">
        <f aca="false">Seg!$D$13*Seg!$D$20</f>
        <v>49.7441234599175</v>
      </c>
      <c r="E23" s="38" t="n">
        <f aca="false">Seg!$E$13*Seg!$E$20</f>
        <v>27.0034224924414</v>
      </c>
      <c r="F23" s="38" t="n">
        <f aca="false">Seg!$F$13*Seg!$F$20</f>
        <v>34.5772885649197</v>
      </c>
      <c r="G23" s="38" t="n">
        <f aca="false">Seg!$G$13*Seg!$G$20</f>
        <v>61.6023917531772</v>
      </c>
      <c r="H23" s="38" t="n">
        <f aca="false">Seg!$H$13*Seg!$H$20</f>
        <v>73.9568187320519</v>
      </c>
      <c r="I23" s="38" t="n">
        <f aca="false">Seg!$I$13*Seg!$I$20</f>
        <v>86.3101265625461</v>
      </c>
      <c r="J23" s="38" t="n">
        <f aca="false">Seg!$J$13*Seg!$J$20</f>
        <v>97.8339983977065</v>
      </c>
      <c r="K23" s="38" t="n">
        <f aca="false">Seg!$K$13*Seg!$K$20</f>
        <v>107.617398237477</v>
      </c>
      <c r="L23" s="38" t="n">
        <f aca="false">Seg!$L$13*Seg!$L$20</f>
        <v>118.379138061225</v>
      </c>
      <c r="M23" s="38" t="n">
        <f aca="false">Seg!$M$13*Seg!$M$20</f>
        <v>130.217051867347</v>
      </c>
      <c r="N23" s="38" t="n">
        <f aca="false">Seg!$N$13*Seg!$N$20</f>
        <v>21.7087111412496</v>
      </c>
      <c r="O23" s="38" t="n">
        <f aca="false">Seg!$O$13*Seg!$O$20</f>
        <v>28.0189463642798</v>
      </c>
      <c r="P23" s="5" t="s">
        <v>641</v>
      </c>
    </row>
    <row r="24" customFormat="false" ht="15" hidden="false" customHeight="false" outlineLevel="0" collapsed="false">
      <c r="A24" s="5" t="s">
        <v>642</v>
      </c>
      <c r="B24" s="0" t="s">
        <v>73</v>
      </c>
      <c r="C24" s="38" t="n">
        <f aca="false">Seg!$C$13-Seg!$C$23</f>
        <v>15.1456871171543</v>
      </c>
      <c r="D24" s="38" t="n">
        <f aca="false">Seg!$D$13-Seg!$D$23</f>
        <v>18.8908765400825</v>
      </c>
      <c r="E24" s="38" t="n">
        <f aca="false">Seg!$E$13-Seg!$E$23</f>
        <v>10.0485775075586</v>
      </c>
      <c r="F24" s="38" t="n">
        <f aca="false">Seg!$F$13-Seg!$F$23</f>
        <v>13.5760496178185</v>
      </c>
      <c r="G24" s="38" t="n">
        <f aca="false">Seg!$G$13-Seg!$G$23</f>
        <v>23.6029464295611</v>
      </c>
      <c r="H24" s="38" t="n">
        <f aca="false">Seg!$H$13-Seg!$H$23</f>
        <v>28.3365431268884</v>
      </c>
      <c r="I24" s="38" t="n">
        <f aca="false">Seg!$I$13-Seg!$I$23</f>
        <v>33.0697110226949</v>
      </c>
      <c r="J24" s="38" t="n">
        <f aca="false">Seg!$J$13-Seg!$J$23</f>
        <v>37.4850806511378</v>
      </c>
      <c r="K24" s="38" t="n">
        <f aca="false">Seg!$K$13-Seg!$K$23</f>
        <v>41.2335887162515</v>
      </c>
      <c r="L24" s="38" t="n">
        <f aca="false">Seg!$L$13-Seg!$L$23</f>
        <v>45.3569475878767</v>
      </c>
      <c r="M24" s="38" t="n">
        <f aca="false">Seg!$M$13-Seg!$M$23</f>
        <v>49.8926423466644</v>
      </c>
      <c r="N24" s="38" t="n">
        <f aca="false">Seg!$N$13-Seg!$N$23</f>
        <v>7.90628885875037</v>
      </c>
      <c r="O24" s="38" t="n">
        <f aca="false">Seg!$O$13-Seg!$O$23</f>
        <v>11.0010536357202</v>
      </c>
    </row>
    <row r="25" customFormat="false" ht="17.15" hidden="false" customHeight="false" outlineLevel="0" collapsed="false">
      <c r="A25" s="1" t="s">
        <v>643</v>
      </c>
    </row>
    <row r="26" customFormat="false" ht="17.15" hidden="false" customHeight="false" outlineLevel="0" collapsed="false">
      <c r="A26" s="0" t="s">
        <v>644</v>
      </c>
      <c r="B26" s="0" t="s">
        <v>73</v>
      </c>
      <c r="C26" s="38" t="n">
        <f aca="false">Thesis!$C$25</f>
        <v>2.32100535697364</v>
      </c>
      <c r="D26" s="38" t="n">
        <f aca="false">Thesis!$D$25</f>
        <v>8.70377008865116</v>
      </c>
      <c r="E26" s="38" t="n">
        <f aca="false">Thesis!$E$25</f>
        <v>8.51035297557002</v>
      </c>
      <c r="F26" s="38" t="n">
        <f aca="false">Thesis!$F$25</f>
        <v>17.7706326212121</v>
      </c>
      <c r="G26" s="38" t="n">
        <f aca="false">Thesis!$G$25</f>
        <v>26.2809855967821</v>
      </c>
      <c r="H26" s="38" t="n">
        <f aca="false">Thesis!$H$25</f>
        <v>83.0838740066237</v>
      </c>
      <c r="I26" s="38" t="n">
        <f aca="false">Thesis!$I$25</f>
        <v>148.076291961995</v>
      </c>
      <c r="J26" s="38" t="n">
        <f aca="false">Thesis!$J$25</f>
        <v>213.357841875822</v>
      </c>
      <c r="K26" s="38" t="n">
        <f aca="false">Thesis!$K$25</f>
        <v>278.735769109134</v>
      </c>
      <c r="L26" s="38" t="n">
        <f aca="false">Thesis!$L$25</f>
        <v>344.157504214939</v>
      </c>
      <c r="M26" s="38" t="n">
        <f aca="false">Thesis!$M$25</f>
        <v>409.602828175164</v>
      </c>
      <c r="N26" s="38" t="n">
        <f aca="false">Thesis!$N$25</f>
        <v>3.04631953102791</v>
      </c>
      <c r="O26" s="38" t="n">
        <f aca="false">Thesis!$O$25</f>
        <v>5.65745055762326</v>
      </c>
      <c r="P26" s="8" t="s">
        <v>645</v>
      </c>
    </row>
    <row r="27" customFormat="false" ht="17.15" hidden="false" customHeight="false" outlineLevel="0" collapsed="false">
      <c r="A27" s="0" t="s">
        <v>646</v>
      </c>
      <c r="B27" s="0" t="s">
        <v>73</v>
      </c>
      <c r="C27" s="38" t="n">
        <f aca="false">Thesis!$C$29</f>
        <v>105.234994643026</v>
      </c>
      <c r="D27" s="38" t="n">
        <f aca="false">Thesis!$D$29</f>
        <v>120.021229911349</v>
      </c>
      <c r="E27" s="38" t="n">
        <f aca="false">Thesis!$E$29</f>
        <v>71.30864702443</v>
      </c>
      <c r="F27" s="38" t="n">
        <f aca="false">Thesis!$F$29</f>
        <v>78.5950104186653</v>
      </c>
      <c r="G27" s="38" t="n">
        <f aca="false">Thesis!$G$29</f>
        <v>149.903657443095</v>
      </c>
      <c r="H27" s="38" t="n">
        <f aca="false">Thesis!$H$29</f>
        <v>180.893560768142</v>
      </c>
      <c r="I27" s="38" t="n">
        <f aca="false">Thesis!$I$29</f>
        <v>210.64839721501</v>
      </c>
      <c r="J27" s="38" t="n">
        <f aca="false">Thesis!$J$29</f>
        <v>236.398909446495</v>
      </c>
      <c r="K27" s="38" t="n">
        <f aca="false">Thesis!$K$29</f>
        <v>255.310822202215</v>
      </c>
      <c r="L27" s="38" t="n">
        <f aca="false">Thesis!$L$29</f>
        <v>275.735687978392</v>
      </c>
      <c r="M27" s="38" t="n">
        <f aca="false">Thesis!$M$29</f>
        <v>297.794543016663</v>
      </c>
      <c r="N27" s="38" t="n">
        <f aca="false">Thesis!$N$29</f>
        <v>57.0936804689721</v>
      </c>
      <c r="O27" s="38" t="n">
        <f aca="false">Thesis!$O$29</f>
        <v>62.9275494423768</v>
      </c>
      <c r="P27" s="8" t="s">
        <v>645</v>
      </c>
    </row>
    <row r="28" customFormat="false" ht="17.15" hidden="false" customHeight="false" outlineLevel="0" collapsed="false">
      <c r="A28" s="1" t="s">
        <v>476</v>
      </c>
      <c r="B28" s="8" t="s">
        <v>73</v>
      </c>
      <c r="C28" s="38" t="n">
        <f aca="false">Q!$D$7</f>
        <v>107.556</v>
      </c>
      <c r="D28" s="38" t="n">
        <f aca="false">Q!$E$7</f>
        <v>128.725</v>
      </c>
      <c r="E28" s="38" t="n">
        <f aca="false">Q!$P$7</f>
        <v>79.819</v>
      </c>
      <c r="F28" s="38" t="n">
        <f aca="false">Seg!$F$26+Seg!$F$27</f>
        <v>96.3656430398774</v>
      </c>
      <c r="G28" s="38" t="n">
        <f aca="false">Seg!$G$26+Seg!$G$27</f>
        <v>176.184643039877</v>
      </c>
      <c r="H28" s="38" t="n">
        <f aca="false">Seg!$H$26+Seg!$H$27</f>
        <v>263.977434774765</v>
      </c>
      <c r="I28" s="38" t="n">
        <f aca="false">Seg!$I$26+Seg!$I$27</f>
        <v>358.724689177006</v>
      </c>
      <c r="J28" s="38" t="n">
        <f aca="false">Seg!$J$26+Seg!$J$27</f>
        <v>449.756751322317</v>
      </c>
      <c r="K28" s="38" t="n">
        <f aca="false">Seg!$K$26+Seg!$K$27</f>
        <v>534.046591311349</v>
      </c>
      <c r="L28" s="38" t="n">
        <f aca="false">Seg!$L$26+Seg!$L$27</f>
        <v>619.893192193331</v>
      </c>
      <c r="M28" s="38" t="n">
        <f aca="false">Seg!$M$26+Seg!$M$27</f>
        <v>707.397371191827</v>
      </c>
      <c r="N28" s="38" t="n">
        <f aca="false">Q!$N$7</f>
        <v>60.14</v>
      </c>
      <c r="O28" s="38" t="n">
        <f aca="false">Q!$O$7</f>
        <v>68.585</v>
      </c>
      <c r="P28" s="5" t="s">
        <v>647</v>
      </c>
    </row>
    <row r="29" customFormat="false" ht="15" hidden="false" customHeight="false" outlineLevel="0" collapsed="false">
      <c r="A29" s="3" t="s">
        <v>648</v>
      </c>
      <c r="B29" s="8" t="s">
        <v>73</v>
      </c>
      <c r="C29" s="38" t="n">
        <f aca="false">Q!$D$8</f>
        <v>637.959</v>
      </c>
      <c r="D29" s="38" t="n">
        <f aca="false">Q!$E$8</f>
        <v>716.924</v>
      </c>
      <c r="E29" s="38" t="n">
        <f aca="false">Q!$P$8</f>
        <v>382.125</v>
      </c>
      <c r="F29" s="38" t="n">
        <f aca="false">Seg!$F$19+Seg!$F$28</f>
        <v>453.302072248307</v>
      </c>
      <c r="G29" s="38" t="n">
        <f aca="false">Seg!$G$19+Seg!$G$28</f>
        <v>835.427072248307</v>
      </c>
      <c r="H29" s="38" t="n">
        <f aca="false">Seg!$H$19+Seg!$H$28</f>
        <v>993.913172396466</v>
      </c>
      <c r="I29" s="38" t="n">
        <f aca="false">Seg!$I$19+Seg!$I$28</f>
        <v>1157.02025887488</v>
      </c>
      <c r="J29" s="38" t="n">
        <f aca="false">Seg!$J$19+Seg!$J$28</f>
        <v>1311.4935736481</v>
      </c>
      <c r="K29" s="38" t="n">
        <f aca="false">Seg!$K$19+Seg!$K$28</f>
        <v>1451.60408341327</v>
      </c>
      <c r="L29" s="38" t="n">
        <f aca="false">Seg!$L$19+Seg!$L$28</f>
        <v>1597.1782819365</v>
      </c>
      <c r="M29" s="38" t="n">
        <f aca="false">Seg!$M$19+Seg!$M$28</f>
        <v>1748.61138973533</v>
      </c>
      <c r="N29" s="38" t="n">
        <f aca="false">Q!$N$8</f>
        <v>323.369</v>
      </c>
      <c r="O29" s="38" t="n">
        <f aca="false">Q!$O$8</f>
        <v>393.555</v>
      </c>
    </row>
    <row r="30" customFormat="false" ht="17.15" hidden="false" customHeight="false" outlineLevel="0" collapsed="false">
      <c r="A30" s="24" t="s">
        <v>649</v>
      </c>
      <c r="B30" s="25" t="s">
        <v>73</v>
      </c>
      <c r="C30" s="39" t="n">
        <f aca="false">Seg!$C$19-(Seg!$C$21+Seg!$C$22)</f>
        <v>0</v>
      </c>
      <c r="D30" s="39" t="n">
        <f aca="false">Seg!$D$19-(Seg!$D$21+Seg!$D$22)</f>
        <v>0</v>
      </c>
      <c r="E30" s="39" t="n">
        <f aca="false">Seg!$E$19-(Seg!$E$21+Seg!$E$22)</f>
        <v>0</v>
      </c>
      <c r="F30" s="39" t="n">
        <f aca="false">Seg!$F$19-(Seg!$F$21+Seg!$F$22)</f>
        <v>0</v>
      </c>
      <c r="G30" s="39" t="n">
        <f aca="false">Seg!$G$19-(Seg!$G$21+Seg!$G$22)</f>
        <v>0</v>
      </c>
      <c r="H30" s="39" t="n">
        <f aca="false">Seg!$H$19-(Seg!$H$21+Seg!$H$22)</f>
        <v>0</v>
      </c>
      <c r="I30" s="39" t="n">
        <f aca="false">Seg!$I$19-(Seg!$I$21+Seg!$I$22)</f>
        <v>0</v>
      </c>
      <c r="J30" s="39" t="n">
        <f aca="false">Seg!$J$19-(Seg!$J$21+Seg!$J$22)</f>
        <v>0</v>
      </c>
      <c r="K30" s="39" t="n">
        <f aca="false">Seg!$K$19-(Seg!$K$21+Seg!$K$22)</f>
        <v>0</v>
      </c>
      <c r="L30" s="39" t="n">
        <f aca="false">Seg!$L$19-(Seg!$L$21+Seg!$L$22)</f>
        <v>0</v>
      </c>
      <c r="M30" s="39" t="n">
        <f aca="false">Seg!$M$19-(Seg!$M$21+Seg!$M$22)</f>
        <v>0</v>
      </c>
      <c r="N30" s="39" t="n">
        <f aca="false">Seg!$N$19-(Seg!$N$21+Seg!$N$22)</f>
        <v>0</v>
      </c>
      <c r="O30" s="39" t="n">
        <f aca="false">Seg!$O$19-(Seg!$O$21+Seg!$O$22)</f>
        <v>0</v>
      </c>
    </row>
    <row r="31" customFormat="false" ht="17.15" hidden="false" customHeight="false" outlineLevel="0" collapsed="false">
      <c r="A31" s="24" t="s">
        <v>650</v>
      </c>
      <c r="B31" s="25" t="s">
        <v>73</v>
      </c>
      <c r="C31" s="39" t="n">
        <f aca="false">Seg!$C$26+Seg!$C$27-Seg!$C$28</f>
        <v>0</v>
      </c>
      <c r="D31" s="39" t="n">
        <f aca="false">Seg!$D$26+Seg!$D$27-Seg!$D$28</f>
        <v>0</v>
      </c>
      <c r="E31" s="39" t="n">
        <f aca="false">Seg!$E$26+Seg!$E$27-Seg!$E$28</f>
        <v>0</v>
      </c>
      <c r="F31" s="39" t="n">
        <f aca="false">Seg!$F$26+Seg!$F$27-Seg!$F$28</f>
        <v>0</v>
      </c>
      <c r="G31" s="39" t="n">
        <f aca="false">Seg!$G$26+Seg!$G$27-Seg!$G$28</f>
        <v>0</v>
      </c>
      <c r="H31" s="39" t="n">
        <f aca="false">Seg!$H$26+Seg!$H$27-Seg!$H$28</f>
        <v>0</v>
      </c>
      <c r="I31" s="39" t="n">
        <f aca="false">Seg!$I$26+Seg!$I$27-Seg!$I$28</f>
        <v>0</v>
      </c>
      <c r="J31" s="39" t="n">
        <f aca="false">Seg!$J$26+Seg!$J$27-Seg!$J$28</f>
        <v>0</v>
      </c>
      <c r="K31" s="39" t="n">
        <f aca="false">Seg!$K$26+Seg!$K$27-Seg!$K$28</f>
        <v>0</v>
      </c>
      <c r="L31" s="39" t="n">
        <f aca="false">Seg!$L$26+Seg!$L$27-Seg!$L$28</f>
        <v>0</v>
      </c>
      <c r="M31" s="39" t="n">
        <f aca="false">Seg!$M$26+Seg!$M$27-Seg!$M$28</f>
        <v>0</v>
      </c>
      <c r="N31" s="39" t="n">
        <f aca="false">Seg!$N$26+Seg!$N$27-Seg!$N$28</f>
        <v>0</v>
      </c>
      <c r="O31" s="39" t="n">
        <f aca="false">Seg!$O$26+Seg!$O$27-Seg!$O$28</f>
        <v>0</v>
      </c>
    </row>
    <row r="32" customFormat="false" ht="17.15" hidden="false" customHeight="false" outlineLevel="0" collapsed="false">
      <c r="A32" s="24" t="s">
        <v>651</v>
      </c>
      <c r="B32" s="25" t="s">
        <v>73</v>
      </c>
      <c r="C32" s="39" t="n">
        <f aca="false">Seg!$C$21+Seg!$C$22+Seg!$C$28-Seg!$C$29</f>
        <v>0</v>
      </c>
      <c r="D32" s="39" t="n">
        <f aca="false">Seg!$D$21+Seg!$D$22+Seg!$D$28-Seg!$D$29</f>
        <v>0</v>
      </c>
      <c r="E32" s="39" t="n">
        <f aca="false">Seg!$E$21+Seg!$E$22+Seg!$E$28-Seg!$E$29</f>
        <v>0</v>
      </c>
      <c r="F32" s="39" t="n">
        <f aca="false">Seg!$F$21+Seg!$F$22+Seg!$F$28-Seg!$F$29</f>
        <v>0</v>
      </c>
      <c r="G32" s="39" t="n">
        <f aca="false">Seg!$G$21+Seg!$G$22+Seg!$G$28-Seg!$G$29</f>
        <v>0</v>
      </c>
      <c r="H32" s="39" t="n">
        <f aca="false">Seg!$H$21+Seg!$H$22+Seg!$H$28-Seg!$H$29</f>
        <v>0</v>
      </c>
      <c r="I32" s="39" t="n">
        <f aca="false">Seg!$I$21+Seg!$I$22+Seg!$I$28-Seg!$I$29</f>
        <v>0</v>
      </c>
      <c r="J32" s="39" t="n">
        <f aca="false">Seg!$J$21+Seg!$J$22+Seg!$J$28-Seg!$J$29</f>
        <v>0</v>
      </c>
      <c r="K32" s="39" t="n">
        <f aca="false">Seg!$K$21+Seg!$K$22+Seg!$K$28-Seg!$K$29</f>
        <v>0</v>
      </c>
      <c r="L32" s="39" t="n">
        <f aca="false">Seg!$L$21+Seg!$L$22+Seg!$L$28-Seg!$L$29</f>
        <v>0</v>
      </c>
      <c r="M32" s="39" t="n">
        <f aca="false">Seg!$M$21+Seg!$M$22+Seg!$M$28-Seg!$M$29</f>
        <v>0</v>
      </c>
      <c r="N32" s="39" t="n">
        <f aca="false">Seg!$N$21+Seg!$N$22+Seg!$N$28-Seg!$N$29</f>
        <v>0</v>
      </c>
      <c r="O32" s="39" t="n">
        <f aca="false">Seg!$O$21+Seg!$O$22+Seg!$O$28-Seg!$O$29</f>
        <v>0</v>
      </c>
    </row>
    <row r="33" customFormat="false" ht="15" hidden="false" customHeight="false" outlineLevel="0" collapsed="false">
      <c r="A33" s="5" t="s">
        <v>652</v>
      </c>
      <c r="B33" s="0" t="s">
        <v>52</v>
      </c>
      <c r="G33" s="12" t="n">
        <f aca="false">Seg!$G$29/Seg!$D$29-1</f>
        <v>0.165293772071108</v>
      </c>
      <c r="H33" s="12" t="n">
        <f aca="false">Seg!$H$29/Seg!$G$29-1</f>
        <v>0.189706684656076</v>
      </c>
      <c r="I33" s="12" t="n">
        <f aca="false">Seg!$I$29/Seg!$H$29-1</f>
        <v>0.164105971234025</v>
      </c>
      <c r="J33" s="12" t="n">
        <f aca="false">Seg!$J$29/Seg!$I$29-1</f>
        <v>0.133509602436381</v>
      </c>
      <c r="K33" s="12" t="n">
        <f aca="false">Seg!$K$29/Seg!$J$29-1</f>
        <v>0.106832784071853</v>
      </c>
      <c r="L33" s="12" t="n">
        <f aca="false">Seg!$L$29/Seg!$K$29-1</f>
        <v>0.100285057190609</v>
      </c>
      <c r="M33" s="12" t="n">
        <f aca="false">Seg!$M$29/Seg!$L$29-1</f>
        <v>0.0948129019230271</v>
      </c>
    </row>
    <row r="34" customFormat="false" ht="17.15" hidden="false" customHeight="false" outlineLevel="0" collapsed="false">
      <c r="A34" s="0" t="s">
        <v>653</v>
      </c>
      <c r="B34" s="0" t="s">
        <v>52</v>
      </c>
      <c r="C34" s="12" t="n">
        <f aca="false">Seg!$C$28/Seg!$C$29</f>
        <v>0.168593906504964</v>
      </c>
      <c r="D34" s="12" t="n">
        <f aca="false">Seg!$D$28/Seg!$D$29</f>
        <v>0.179551807444025</v>
      </c>
      <c r="E34" s="12" t="n">
        <f aca="false">Seg!$E$28/Seg!$E$29</f>
        <v>0.208881910369643</v>
      </c>
      <c r="F34" s="12" t="n">
        <f aca="false">Seg!$F$28/Seg!$F$29</f>
        <v>0.212585930970752</v>
      </c>
      <c r="G34" s="12" t="n">
        <f aca="false">Seg!$G$28/Seg!$G$29</f>
        <v>0.210891709034193</v>
      </c>
      <c r="H34" s="12" t="n">
        <f aca="false">Seg!$H$28/Seg!$H$29</f>
        <v>0.265594060030695</v>
      </c>
      <c r="I34" s="12" t="n">
        <f aca="false">Seg!$I$28/Seg!$I$29</f>
        <v>0.31004183930698</v>
      </c>
      <c r="J34" s="12" t="n">
        <f aca="false">Seg!$J$28/Seg!$J$29</f>
        <v>0.34293477326866</v>
      </c>
      <c r="K34" s="12" t="n">
        <f aca="false">Seg!$K$28/Seg!$K$29</f>
        <v>0.367900998222326</v>
      </c>
      <c r="L34" s="12" t="n">
        <f aca="false">Seg!$L$28/Seg!$L$29</f>
        <v>0.388117719358006</v>
      </c>
      <c r="M34" s="12" t="n">
        <f aca="false">Seg!$M$28/Seg!$M$29</f>
        <v>0.40454807474341</v>
      </c>
      <c r="N34" s="12" t="n">
        <f aca="false">Seg!$N$28/Seg!$N$29</f>
        <v>0.185979484737251</v>
      </c>
      <c r="O34" s="12" t="n">
        <f aca="false">Seg!$O$28/Seg!$O$29</f>
        <v>0.174270432341096</v>
      </c>
    </row>
    <row r="35" customFormat="false" ht="17.15" hidden="false" customHeight="false" outlineLevel="0" collapsed="false">
      <c r="A35" s="0" t="s">
        <v>654</v>
      </c>
      <c r="B35" s="0" t="s">
        <v>52</v>
      </c>
      <c r="C35" s="12" t="n">
        <f aca="false">Seg!$C$26/Seg!$C$28</f>
        <v>0.0215795060896058</v>
      </c>
      <c r="D35" s="12" t="n">
        <f aca="false">Seg!$D$26/Seg!$D$28</f>
        <v>0.0676152269462122</v>
      </c>
      <c r="E35" s="12" t="n">
        <f aca="false">Seg!$E$26/Seg!$E$28</f>
        <v>0.106620641395783</v>
      </c>
      <c r="F35" s="12" t="n">
        <f aca="false">Seg!$F$26/Seg!$F$28</f>
        <v>0.184408385194487</v>
      </c>
      <c r="G35" s="12" t="n">
        <f aca="false">Seg!$G$26/Seg!$G$28</f>
        <v>0.149167289176468</v>
      </c>
      <c r="H35" s="12" t="n">
        <f aca="false">Seg!$H$26/Seg!$H$28</f>
        <v>0.314738546033352</v>
      </c>
      <c r="I35" s="12" t="n">
        <f aca="false">Seg!$I$26/Seg!$I$28</f>
        <v>0.412785337696481</v>
      </c>
      <c r="J35" s="12" t="n">
        <f aca="false">Seg!$J$26/Seg!$J$28</f>
        <v>0.47438496753753</v>
      </c>
      <c r="K35" s="12" t="n">
        <f aca="false">Seg!$K$26/Seg!$K$28</f>
        <v>0.521931557365997</v>
      </c>
      <c r="L35" s="12" t="n">
        <f aca="false">Seg!$L$26/Seg!$L$28</f>
        <v>0.555188391402118</v>
      </c>
      <c r="M35" s="12" t="n">
        <f aca="false">Seg!$M$26/Seg!$M$28</f>
        <v>0.579027919604879</v>
      </c>
      <c r="N35" s="12" t="n">
        <f aca="false">Seg!$N$26/Seg!$N$28</f>
        <v>0.0506537999838362</v>
      </c>
      <c r="O35" s="12" t="n">
        <f aca="false">Seg!$O$26/Seg!$O$28</f>
        <v>0.0824881615167056</v>
      </c>
    </row>
    <row r="38" customFormat="false" ht="19.4" hidden="false" customHeight="false" outlineLevel="0" collapsed="false">
      <c r="A38" s="31" t="s">
        <v>655</v>
      </c>
    </row>
    <row r="39" customFormat="false" ht="17.15" hidden="false" customHeight="false" outlineLevel="0" collapsed="false">
      <c r="A39" s="6" t="s">
        <v>16</v>
      </c>
      <c r="B39" s="6" t="s">
        <v>17</v>
      </c>
      <c r="C39" s="20" t="s">
        <v>457</v>
      </c>
      <c r="D39" s="20" t="s">
        <v>458</v>
      </c>
      <c r="E39" s="20" t="s">
        <v>540</v>
      </c>
      <c r="F39" s="20" t="s">
        <v>541</v>
      </c>
      <c r="G39" s="20" t="s">
        <v>542</v>
      </c>
      <c r="H39" s="20" t="s">
        <v>543</v>
      </c>
      <c r="I39" s="20" t="s">
        <v>544</v>
      </c>
      <c r="J39" s="20" t="s">
        <v>545</v>
      </c>
      <c r="K39" s="20" t="s">
        <v>546</v>
      </c>
      <c r="L39" s="20" t="s">
        <v>547</v>
      </c>
      <c r="M39" s="20" t="s">
        <v>548</v>
      </c>
      <c r="N39" s="20" t="s">
        <v>549</v>
      </c>
      <c r="O39" s="20" t="s">
        <v>550</v>
      </c>
      <c r="P39" s="6" t="s">
        <v>23</v>
      </c>
      <c r="R39" s="20" t="n">
        <v>2023</v>
      </c>
      <c r="S39" s="20" t="n">
        <v>2024</v>
      </c>
      <c r="T39" s="20" t="n">
        <v>2025</v>
      </c>
      <c r="U39" s="20" t="n">
        <v>2026</v>
      </c>
      <c r="V39" s="20" t="n">
        <v>2027</v>
      </c>
      <c r="W39" s="20" t="n">
        <v>2028</v>
      </c>
      <c r="X39" s="20" t="n">
        <v>2029</v>
      </c>
      <c r="Y39" s="20" t="n">
        <v>2030</v>
      </c>
      <c r="Z39" s="20" t="n">
        <v>2031</v>
      </c>
      <c r="AA39" s="20" t="n">
        <v>2032</v>
      </c>
    </row>
    <row r="40" customFormat="false" ht="17.15" hidden="false" customHeight="false" outlineLevel="0" collapsed="false">
      <c r="A40" s="1" t="s">
        <v>621</v>
      </c>
    </row>
    <row r="41" customFormat="false" ht="17.15" hidden="false" customHeight="false" outlineLevel="0" collapsed="false">
      <c r="A41" s="0" t="s">
        <v>479</v>
      </c>
      <c r="B41" s="0" t="s">
        <v>73</v>
      </c>
      <c r="C41" s="38" t="n">
        <f aca="false">Q!$D$10</f>
        <v>247.029</v>
      </c>
      <c r="D41" s="38" t="n">
        <f aca="false">Q!$E$10</f>
        <v>269.287</v>
      </c>
      <c r="E41" s="38" t="n">
        <f aca="false">Q!$P$10</f>
        <v>134.686</v>
      </c>
      <c r="F41" s="38" t="n">
        <f aca="false">Seg!$O$41*(1+Seg!$F$42)-pd_amt*Q!$O$10/(Q!$O$10+Q!$O$12)</f>
        <v>160.728085930082</v>
      </c>
      <c r="G41" s="38" t="n">
        <f aca="false">Seg!$E$41+Seg!$F$41</f>
        <v>295.414085930082</v>
      </c>
      <c r="H41" s="38" t="n">
        <f aca="false">Seg!$G$41*(1+Seg!$H$42)</f>
        <v>320.828163943375</v>
      </c>
      <c r="I41" s="38" t="n">
        <f aca="false">Seg!$H$41*(1+Seg!$I$42)</f>
        <v>344.575578072228</v>
      </c>
      <c r="J41" s="38" t="n">
        <f aca="false">Seg!$I$41*(1+Seg!$J$42)</f>
        <v>365.942555779681</v>
      </c>
      <c r="K41" s="38" t="n">
        <f aca="false">Seg!$J$41*(1+Seg!$K$42)</f>
        <v>384.239683568665</v>
      </c>
      <c r="L41" s="38" t="n">
        <f aca="false">Seg!$K$41*(1+Seg!$L$42)</f>
        <v>403.451667747098</v>
      </c>
      <c r="M41" s="38" t="n">
        <f aca="false">Seg!$L$41*(1+Seg!$M$42)</f>
        <v>423.624251134453</v>
      </c>
      <c r="N41" s="38" t="n">
        <f aca="false">Q!$N$10</f>
        <v>118.892</v>
      </c>
      <c r="O41" s="38" t="n">
        <f aca="false">Q!$O$10</f>
        <v>150.395</v>
      </c>
      <c r="P41" s="8" t="s">
        <v>622</v>
      </c>
    </row>
    <row r="42" customFormat="false" ht="17.15" hidden="false" customHeight="false" outlineLevel="0" collapsed="false">
      <c r="A42" s="0" t="s">
        <v>623</v>
      </c>
      <c r="B42" s="0" t="s">
        <v>52</v>
      </c>
      <c r="E42" s="12" t="n">
        <f aca="false">Seg!$E$41/Seg!$N$41-1</f>
        <v>0.132843252699929</v>
      </c>
      <c r="F42" s="12" t="n">
        <f aca="false">Seg!$O$41/(Q!$F$10+Q!$G$10)-1</f>
        <v>0.0980382135842941</v>
      </c>
      <c r="G42" s="12" t="n">
        <f aca="false">Seg!$G$41/Seg!$D$41-1</f>
        <v>0.0970231980380869</v>
      </c>
      <c r="H42" s="12" t="n">
        <f aca="false">Seg!$F$42+(g_os-Seg!$F$42)*1/4</f>
        <v>0.0860286601882206</v>
      </c>
      <c r="I42" s="12" t="n">
        <f aca="false">Seg!$F$42+(g_os-Seg!$F$42)*2/4</f>
        <v>0.074019106792147</v>
      </c>
      <c r="J42" s="12" t="n">
        <f aca="false">Seg!$F$42+(g_os-Seg!$F$42)*3/4</f>
        <v>0.0620095533960735</v>
      </c>
      <c r="K42" s="12" t="n">
        <f aca="false">Seg!$F$42+(g_os-Seg!$F$42)*4/4</f>
        <v>0.05</v>
      </c>
      <c r="L42" s="12" t="n">
        <f aca="false">g_os</f>
        <v>0.05</v>
      </c>
      <c r="M42" s="12" t="n">
        <f aca="false">g_os</f>
        <v>0.05</v>
      </c>
      <c r="P42" s="8" t="s">
        <v>624</v>
      </c>
    </row>
    <row r="43" customFormat="false" ht="17.15" hidden="false" customHeight="false" outlineLevel="0" collapsed="false">
      <c r="A43" s="0" t="s">
        <v>480</v>
      </c>
      <c r="B43" s="0" t="s">
        <v>73</v>
      </c>
      <c r="C43" s="38" t="n">
        <f aca="false">Q!$D$11</f>
        <v>21.215</v>
      </c>
      <c r="D43" s="38" t="n">
        <f aca="false">Q!$E$11</f>
        <v>22.561</v>
      </c>
      <c r="E43" s="38" t="n">
        <f aca="false">Q!$P$11</f>
        <v>11.579</v>
      </c>
      <c r="F43" s="38" t="n">
        <f aca="false">Seg!$O$43*(1+Seg!$F$44)</f>
        <v>12.0952613121125</v>
      </c>
      <c r="G43" s="38" t="n">
        <f aca="false">Seg!$E$43+Seg!$F$43</f>
        <v>23.6742613121125</v>
      </c>
      <c r="H43" s="38" t="n">
        <f aca="false">Seg!$G$43*(1+Seg!$H$44)</f>
        <v>24.8803243963206</v>
      </c>
      <c r="I43" s="38" t="n">
        <f aca="false">Seg!$H$43*(1+Seg!$I$44)</f>
        <v>25.9741308664154</v>
      </c>
      <c r="J43" s="38" t="n">
        <f aca="false">Seg!$I$43*(1+Seg!$J$44)</f>
        <v>26.9346894124267</v>
      </c>
      <c r="K43" s="38" t="n">
        <f aca="false">Seg!$J$43*(1+Seg!$K$44)</f>
        <v>27.7427300947995</v>
      </c>
      <c r="L43" s="38" t="n">
        <f aca="false">Seg!$K$43*(1+Seg!$L$44)</f>
        <v>28.5750119976435</v>
      </c>
      <c r="M43" s="38" t="n">
        <f aca="false">Seg!$L$43*(1+Seg!$M$44)</f>
        <v>29.4322623575728</v>
      </c>
      <c r="N43" s="38" t="n">
        <f aca="false">Q!$N$11</f>
        <v>11.128</v>
      </c>
      <c r="O43" s="38" t="n">
        <f aca="false">Q!$O$11</f>
        <v>11.433</v>
      </c>
      <c r="P43" s="8" t="s">
        <v>622</v>
      </c>
    </row>
    <row r="44" customFormat="false" ht="17.15" hidden="false" customHeight="false" outlineLevel="0" collapsed="false">
      <c r="A44" s="0" t="s">
        <v>625</v>
      </c>
      <c r="B44" s="0" t="s">
        <v>52</v>
      </c>
      <c r="E44" s="12" t="n">
        <f aca="false">Seg!$E$43/Seg!$N$43-1</f>
        <v>0.0405283968368082</v>
      </c>
      <c r="F44" s="12" t="n">
        <f aca="false">Seg!$O$43/(Q!$F$11+Q!$G$11)-1</f>
        <v>0.0579254187100955</v>
      </c>
      <c r="G44" s="12" t="n">
        <f aca="false">Seg!$G$43/Seg!$D$43-1</f>
        <v>0.0493445021103904</v>
      </c>
      <c r="H44" s="12" t="n">
        <f aca="false">Seg!$F$44+(g_ps-Seg!$F$44)*1/4</f>
        <v>0.0509440640325716</v>
      </c>
      <c r="I44" s="12" t="n">
        <f aca="false">Seg!$F$44+(g_ps-Seg!$F$44)*2/4</f>
        <v>0.0439627093550477</v>
      </c>
      <c r="J44" s="12" t="n">
        <f aca="false">Seg!$F$44+(g_ps-Seg!$F$44)*3/4</f>
        <v>0.0369813546775239</v>
      </c>
      <c r="K44" s="12" t="n">
        <f aca="false">Seg!$F$44+(g_ps-Seg!$F$44)*4/4</f>
        <v>0.03</v>
      </c>
      <c r="L44" s="12" t="n">
        <f aca="false">g_ps</f>
        <v>0.03</v>
      </c>
      <c r="M44" s="12" t="n">
        <f aca="false">g_ps</f>
        <v>0.03</v>
      </c>
      <c r="P44" s="8" t="s">
        <v>626</v>
      </c>
    </row>
    <row r="45" customFormat="false" ht="17.15" hidden="false" customHeight="false" outlineLevel="0" collapsed="false">
      <c r="A45" s="0" t="s">
        <v>481</v>
      </c>
      <c r="B45" s="0" t="s">
        <v>73</v>
      </c>
      <c r="C45" s="38" t="n">
        <f aca="false">Q!$D$12</f>
        <v>156.146</v>
      </c>
      <c r="D45" s="38" t="n">
        <f aca="false">Q!$E$12</f>
        <v>172.162</v>
      </c>
      <c r="E45" s="38" t="n">
        <f aca="false">Q!$P$12</f>
        <v>88.358</v>
      </c>
      <c r="F45" s="38" t="n">
        <f aca="false">Seg!$O$45*(1+Seg!$F$46)-pd_amt*Q!$O$12/(Q!$O$10+Q!$O$12)</f>
        <v>103.62028337149</v>
      </c>
      <c r="G45" s="38" t="n">
        <f aca="false">Seg!$E$45+Seg!$F$45</f>
        <v>191.97828337149</v>
      </c>
      <c r="H45" s="38" t="n">
        <f aca="false">Seg!$G$45*(1+Seg!$H$46)</f>
        <v>212.128608444755</v>
      </c>
      <c r="I45" s="38" t="n">
        <f aca="false">Seg!$H$45*(1+Seg!$I$46)</f>
        <v>231.92183134134</v>
      </c>
      <c r="J45" s="38" t="n">
        <f aca="false">Seg!$I$45*(1+Seg!$J$46)</f>
        <v>250.859136487863</v>
      </c>
      <c r="K45" s="38" t="n">
        <f aca="false">Seg!$J$45*(1+Seg!$K$46)</f>
        <v>268.419276042014</v>
      </c>
      <c r="L45" s="38" t="n">
        <f aca="false">Seg!$K$45*(1+Seg!$L$46)</f>
        <v>287.208625364954</v>
      </c>
      <c r="M45" s="38" t="n">
        <f aca="false">Seg!$L$45*(1+Seg!$M$46)</f>
        <v>307.313229140501</v>
      </c>
      <c r="N45" s="38" t="n">
        <f aca="false">Q!$N$12</f>
        <v>76.86</v>
      </c>
      <c r="O45" s="38" t="n">
        <f aca="false">Q!$O$12</f>
        <v>95.302</v>
      </c>
      <c r="P45" s="8" t="s">
        <v>622</v>
      </c>
    </row>
    <row r="46" customFormat="false" ht="17.15" hidden="false" customHeight="false" outlineLevel="0" collapsed="false">
      <c r="A46" s="0" t="s">
        <v>627</v>
      </c>
      <c r="B46" s="0" t="s">
        <v>52</v>
      </c>
      <c r="E46" s="12" t="n">
        <f aca="false">Seg!$E$45/Seg!$N$45-1</f>
        <v>0.1495966692688</v>
      </c>
      <c r="F46" s="12" t="n">
        <f aca="false">Seg!$O$45/(Q!$F$12+Q!$G$12)-1</f>
        <v>0.11661530890813</v>
      </c>
      <c r="G46" s="12" t="n">
        <f aca="false">Seg!$G$45/Seg!$D$45-1</f>
        <v>0.115102539303041</v>
      </c>
      <c r="H46" s="12" t="n">
        <f aca="false">Seg!$F$46+(g_sp-Seg!$F$46)*1/4</f>
        <v>0.104961481681098</v>
      </c>
      <c r="I46" s="12" t="n">
        <f aca="false">Seg!$F$46+(g_sp-Seg!$F$46)*2/4</f>
        <v>0.0933076544540651</v>
      </c>
      <c r="J46" s="12" t="n">
        <f aca="false">Seg!$F$46+(g_sp-Seg!$F$46)*3/4</f>
        <v>0.0816538272270325</v>
      </c>
      <c r="K46" s="12" t="n">
        <f aca="false">Seg!$F$46+(g_sp-Seg!$F$46)*4/4</f>
        <v>0.07</v>
      </c>
      <c r="L46" s="12" t="n">
        <f aca="false">g_sp</f>
        <v>0.07</v>
      </c>
      <c r="M46" s="12" t="n">
        <f aca="false">g_sp</f>
        <v>0.07</v>
      </c>
      <c r="P46" s="8" t="s">
        <v>628</v>
      </c>
    </row>
    <row r="47" customFormat="false" ht="17.15" hidden="false" customHeight="false" outlineLevel="0" collapsed="false">
      <c r="A47" s="0" t="s">
        <v>482</v>
      </c>
      <c r="B47" s="0" t="s">
        <v>73</v>
      </c>
      <c r="C47" s="38" t="n">
        <f aca="false">Q!$D$13</f>
        <v>56.214</v>
      </c>
      <c r="D47" s="38" t="n">
        <f aca="false">Q!$E$13</f>
        <v>68.635</v>
      </c>
      <c r="E47" s="38" t="n">
        <f aca="false">Q!$P$13</f>
        <v>37.052</v>
      </c>
      <c r="F47" s="38" t="n">
        <f aca="false">Seg!$O$47*(1+Seg!$F$48)</f>
        <v>48.1533381827382</v>
      </c>
      <c r="G47" s="38" t="n">
        <f aca="false">Seg!$E$47+Seg!$F$47</f>
        <v>85.2053381827382</v>
      </c>
      <c r="H47" s="38" t="n">
        <f aca="false">Seg!$G$47*(1+Seg!$H$48)</f>
        <v>102.29336185894</v>
      </c>
      <c r="I47" s="38" t="n">
        <f aca="false">Seg!$H$47*(1+Seg!$I$48)</f>
        <v>119.379837585241</v>
      </c>
      <c r="J47" s="38" t="n">
        <f aca="false">Seg!$I$47*(1+Seg!$J$48)</f>
        <v>135.319079048844</v>
      </c>
      <c r="K47" s="38" t="n">
        <f aca="false">Seg!$J$47*(1+Seg!$K$48)</f>
        <v>148.850986953729</v>
      </c>
      <c r="L47" s="38" t="n">
        <f aca="false">Seg!$K$47*(1+Seg!$L$48)</f>
        <v>163.736085649102</v>
      </c>
      <c r="M47" s="38" t="n">
        <f aca="false">Seg!$L$47*(1+Seg!$M$48)</f>
        <v>180.109694214012</v>
      </c>
      <c r="N47" s="38" t="n">
        <f aca="false">Q!$N$13</f>
        <v>29.615</v>
      </c>
      <c r="O47" s="38" t="n">
        <f aca="false">Q!$O$13</f>
        <v>39.02</v>
      </c>
      <c r="P47" s="8" t="s">
        <v>622</v>
      </c>
    </row>
    <row r="48" customFormat="false" ht="17.15" hidden="false" customHeight="false" outlineLevel="0" collapsed="false">
      <c r="A48" s="0" t="s">
        <v>629</v>
      </c>
      <c r="B48" s="0" t="s">
        <v>52</v>
      </c>
      <c r="E48" s="12" t="n">
        <f aca="false">Seg!$E$47/Seg!$N$47-1</f>
        <v>0.25112274185379</v>
      </c>
      <c r="F48" s="12" t="n">
        <f aca="false">Seg!$O$47/(Q!$F$13+Q!$G$13)-1</f>
        <v>0.234068123596572</v>
      </c>
      <c r="G48" s="12" t="n">
        <f aca="false">Seg!$G$47/Seg!$D$47-1</f>
        <v>0.241426942270536</v>
      </c>
      <c r="H48" s="12" t="n">
        <f aca="false">Seg!$F$48+(g_ad-Seg!$F$48)*1/4</f>
        <v>0.200551092697429</v>
      </c>
      <c r="I48" s="12" t="n">
        <f aca="false">Seg!$F$48+(g_ad-Seg!$F$48)*2/4</f>
        <v>0.167034061798286</v>
      </c>
      <c r="J48" s="12" t="n">
        <f aca="false">Seg!$F$48+(g_ad-Seg!$F$48)*3/4</f>
        <v>0.133517030899143</v>
      </c>
      <c r="K48" s="12" t="n">
        <f aca="false">Seg!$F$48+(g_ad-Seg!$F$48)*4/4</f>
        <v>0.1</v>
      </c>
      <c r="L48" s="12" t="n">
        <f aca="false">g_ad</f>
        <v>0.1</v>
      </c>
      <c r="M48" s="12" t="n">
        <f aca="false">g_ad</f>
        <v>0.1</v>
      </c>
      <c r="P48" s="8" t="s">
        <v>630</v>
      </c>
    </row>
    <row r="49" customFormat="false" ht="17.15" hidden="false" customHeight="false" outlineLevel="0" collapsed="false">
      <c r="A49" s="0" t="s">
        <v>483</v>
      </c>
      <c r="B49" s="0" t="s">
        <v>73</v>
      </c>
      <c r="C49" s="38" t="n">
        <f aca="false">Q!$D$14</f>
        <v>44.374</v>
      </c>
      <c r="D49" s="38" t="n">
        <f aca="false">Q!$E$14</f>
        <v>49.619</v>
      </c>
      <c r="E49" s="38" t="n">
        <f aca="false">Q!$P$14</f>
        <v>27.157</v>
      </c>
      <c r="F49" s="38" t="n">
        <f aca="false">Seg!$O$49*(1+Seg!$F$50)</f>
        <v>28.9776360923374</v>
      </c>
      <c r="G49" s="38" t="n">
        <f aca="false">Seg!$E$49+Seg!$F$49</f>
        <v>56.1346360923374</v>
      </c>
      <c r="H49" s="38" t="n">
        <f aca="false">Seg!$G$49*(1+Seg!$H$50)</f>
        <v>62.4937078946075</v>
      </c>
      <c r="I49" s="38" t="n">
        <f aca="false">Seg!$H$49*(1+Seg!$I$50)</f>
        <v>68.6715233062498</v>
      </c>
      <c r="J49" s="38" t="n">
        <f aca="false">Seg!$I$49*(1+Seg!$J$50)</f>
        <v>74.4692882949818</v>
      </c>
      <c r="K49" s="38" t="n">
        <f aca="false">Seg!$J$49*(1+Seg!$K$50)</f>
        <v>79.6821384756306</v>
      </c>
      <c r="L49" s="38" t="n">
        <f aca="false">Seg!$K$49*(1+Seg!$L$50)</f>
        <v>85.2598881689247</v>
      </c>
      <c r="M49" s="38" t="n">
        <f aca="false">Seg!$L$49*(1+Seg!$M$50)</f>
        <v>91.2280803407494</v>
      </c>
      <c r="N49" s="38" t="n">
        <f aca="false">Q!$N$14</f>
        <v>23.923</v>
      </c>
      <c r="O49" s="38" t="n">
        <f aca="false">Q!$O$14</f>
        <v>25.696</v>
      </c>
      <c r="P49" s="8" t="s">
        <v>622</v>
      </c>
    </row>
    <row r="50" customFormat="false" ht="17.15" hidden="false" customHeight="false" outlineLevel="0" collapsed="false">
      <c r="A50" s="0" t="s">
        <v>631</v>
      </c>
      <c r="B50" s="0" t="s">
        <v>52</v>
      </c>
      <c r="E50" s="12" t="n">
        <f aca="false">Seg!$E$49/Seg!$N$49-1</f>
        <v>0.135183714417088</v>
      </c>
      <c r="F50" s="12" t="n">
        <f aca="false">Seg!$O$49/(Q!$F$14+Q!$G$14)-1</f>
        <v>0.127709997366804</v>
      </c>
      <c r="G50" s="12" t="n">
        <f aca="false">Seg!$G$49/Seg!$D$49-1</f>
        <v>0.131313329416905</v>
      </c>
      <c r="H50" s="12" t="n">
        <f aca="false">Seg!$F$50+(g_sub-Seg!$F$50)*1/4</f>
        <v>0.113282498025103</v>
      </c>
      <c r="I50" s="12" t="n">
        <f aca="false">Seg!$F$50+(g_sub-Seg!$F$50)*2/4</f>
        <v>0.0988549986834021</v>
      </c>
      <c r="J50" s="12" t="n">
        <f aca="false">Seg!$F$50+(g_sub-Seg!$F$50)*3/4</f>
        <v>0.084427499341701</v>
      </c>
      <c r="K50" s="12" t="n">
        <f aca="false">Seg!$F$50+(g_sub-Seg!$F$50)*4/4</f>
        <v>0.07</v>
      </c>
      <c r="L50" s="12" t="n">
        <f aca="false">g_sub</f>
        <v>0.07</v>
      </c>
      <c r="M50" s="12" t="n">
        <f aca="false">g_sub</f>
        <v>0.07</v>
      </c>
      <c r="P50" s="8" t="s">
        <v>632</v>
      </c>
    </row>
    <row r="51" customFormat="false" ht="17.15" hidden="false" customHeight="false" outlineLevel="0" collapsed="false">
      <c r="A51" s="0" t="s">
        <v>484</v>
      </c>
      <c r="B51" s="0" t="s">
        <v>73</v>
      </c>
      <c r="C51" s="38" t="n">
        <f aca="false">Q!$D$15</f>
        <v>5.425</v>
      </c>
      <c r="D51" s="38" t="n">
        <f aca="false">Q!$E$15</f>
        <v>5.935</v>
      </c>
      <c r="E51" s="38" t="n">
        <f aca="false">Q!$P$15</f>
        <v>3.474</v>
      </c>
      <c r="F51" s="38" t="n">
        <f aca="false">Seg!$O$51*(1+Seg!$F$52)</f>
        <v>3.36182431966931</v>
      </c>
      <c r="G51" s="38" t="n">
        <f aca="false">Seg!$E$51+Seg!$F$51</f>
        <v>6.83582431966931</v>
      </c>
      <c r="H51" s="38" t="n">
        <f aca="false">Seg!$G$51*(1+Seg!$H$52)</f>
        <v>7.31157108370141</v>
      </c>
      <c r="I51" s="38" t="n">
        <f aca="false">Seg!$H$51*(1+Seg!$I$52)</f>
        <v>7.77266852639815</v>
      </c>
      <c r="J51" s="38" t="n">
        <f aca="false">Seg!$I$51*(1+Seg!$J$52)</f>
        <v>8.2120733019884</v>
      </c>
      <c r="K51" s="38" t="n">
        <f aca="false">Seg!$J$51*(1+Seg!$K$52)</f>
        <v>8.62267696708783</v>
      </c>
      <c r="L51" s="38" t="n">
        <f aca="false">Seg!$K$51*(1+Seg!$L$52)</f>
        <v>9.05381081544222</v>
      </c>
      <c r="M51" s="38" t="n">
        <f aca="false">Seg!$L$51*(1+Seg!$M$52)</f>
        <v>9.50650135621433</v>
      </c>
      <c r="N51" s="38" t="n">
        <f aca="false">Q!$N$15</f>
        <v>2.811</v>
      </c>
      <c r="O51" s="38" t="n">
        <f aca="false">Q!$O$15</f>
        <v>3.124</v>
      </c>
      <c r="P51" s="8" t="s">
        <v>622</v>
      </c>
    </row>
    <row r="52" customFormat="false" ht="17.15" hidden="false" customHeight="false" outlineLevel="0" collapsed="false">
      <c r="A52" s="0" t="s">
        <v>633</v>
      </c>
      <c r="B52" s="0" t="s">
        <v>52</v>
      </c>
      <c r="E52" s="12" t="n">
        <f aca="false">Seg!$E$51/Seg!$N$51-1</f>
        <v>0.235859124866596</v>
      </c>
      <c r="F52" s="12" t="n">
        <f aca="false">Seg!$O$51/(Q!$F$15+Q!$G$15)-1</f>
        <v>0.0761281433000345</v>
      </c>
      <c r="G52" s="12" t="n">
        <f aca="false">Seg!$G$51/Seg!$D$51-1</f>
        <v>0.151781688234087</v>
      </c>
      <c r="H52" s="12" t="n">
        <f aca="false">Seg!$F$52+(g_ot-Seg!$F$52)*1/4</f>
        <v>0.0695961074750259</v>
      </c>
      <c r="I52" s="12" t="n">
        <f aca="false">Seg!$F$52+(g_ot-Seg!$F$52)*2/4</f>
        <v>0.0630640716500172</v>
      </c>
      <c r="J52" s="12" t="n">
        <f aca="false">Seg!$F$52+(g_ot-Seg!$F$52)*3/4</f>
        <v>0.0565320358250086</v>
      </c>
      <c r="K52" s="12" t="n">
        <f aca="false">Seg!$F$52+(g_ot-Seg!$F$52)*4/4</f>
        <v>0.05</v>
      </c>
      <c r="L52" s="12" t="n">
        <f aca="false">g_ot</f>
        <v>0.05</v>
      </c>
      <c r="M52" s="12" t="n">
        <f aca="false">g_ot</f>
        <v>0.05</v>
      </c>
      <c r="P52" s="8" t="s">
        <v>634</v>
      </c>
    </row>
    <row r="53" customFormat="false" ht="17.15" hidden="false" customHeight="false" outlineLevel="0" collapsed="false">
      <c r="A53" s="3" t="s">
        <v>635</v>
      </c>
      <c r="B53" s="8" t="s">
        <v>73</v>
      </c>
      <c r="C53" s="38" t="n">
        <f aca="false">Seg!$C$41+Seg!$C$43+Seg!$C$45+Seg!$C$47+Seg!$C$49+Seg!$C$51</f>
        <v>530.403</v>
      </c>
      <c r="D53" s="38" t="n">
        <f aca="false">Seg!$D$41+Seg!$D$43+Seg!$D$45+Seg!$D$47+Seg!$D$49+Seg!$D$51</f>
        <v>588.199</v>
      </c>
      <c r="E53" s="38" t="n">
        <f aca="false">Seg!$E$41+Seg!$E$43+Seg!$E$45+Seg!$E$47+Seg!$E$49+Seg!$E$51</f>
        <v>302.306</v>
      </c>
      <c r="F53" s="38" t="n">
        <f aca="false">Seg!$F$41+Seg!$F$43+Seg!$F$45+Seg!$F$47+Seg!$F$49+Seg!$F$51</f>
        <v>356.93642920843</v>
      </c>
      <c r="G53" s="38" t="n">
        <f aca="false">Seg!$G$41+Seg!$G$43+Seg!$G$45+Seg!$G$47+Seg!$G$49+Seg!$G$51</f>
        <v>659.24242920843</v>
      </c>
      <c r="H53" s="38" t="n">
        <f aca="false">Seg!$H$41+Seg!$H$43+Seg!$H$45+Seg!$H$47+Seg!$H$49+Seg!$H$51</f>
        <v>729.935737621701</v>
      </c>
      <c r="I53" s="38" t="n">
        <f aca="false">Seg!$I$41+Seg!$I$43+Seg!$I$45+Seg!$I$47+Seg!$I$49+Seg!$I$51</f>
        <v>798.295569697873</v>
      </c>
      <c r="J53" s="38" t="n">
        <f aca="false">Seg!$J$41+Seg!$J$43+Seg!$J$45+Seg!$J$47+Seg!$J$49+Seg!$J$51</f>
        <v>861.736822325785</v>
      </c>
      <c r="K53" s="38" t="n">
        <f aca="false">Seg!$K$41+Seg!$K$43+Seg!$K$45+Seg!$K$47+Seg!$K$49+Seg!$K$51</f>
        <v>917.557492101925</v>
      </c>
      <c r="L53" s="38" t="n">
        <f aca="false">Seg!$L$41+Seg!$L$43+Seg!$L$45+Seg!$L$47+Seg!$L$49+Seg!$L$51</f>
        <v>977.285089743165</v>
      </c>
      <c r="M53" s="38" t="n">
        <f aca="false">Seg!$M$41+Seg!$M$43+Seg!$M$45+Seg!$M$47+Seg!$M$49+Seg!$M$51</f>
        <v>1041.2140185435</v>
      </c>
      <c r="N53" s="38" t="n">
        <f aca="false">Seg!$N$41+Seg!$N$43+Seg!$N$45+Seg!$N$47+Seg!$N$49+Seg!$N$51</f>
        <v>263.229</v>
      </c>
      <c r="O53" s="38" t="n">
        <f aca="false">Seg!$O$41+Seg!$O$43+Seg!$O$45+Seg!$O$47+Seg!$O$49+Seg!$O$51</f>
        <v>324.97</v>
      </c>
    </row>
    <row r="54" customFormat="false" ht="17.15" hidden="false" customHeight="false" outlineLevel="0" collapsed="false">
      <c r="A54" s="5" t="s">
        <v>636</v>
      </c>
      <c r="B54" s="0" t="s">
        <v>52</v>
      </c>
      <c r="C54" s="12" t="n">
        <f aca="false">Q!$D$5/(Q!$D$5+Q!$D$6)</f>
        <v>0.730570905519011</v>
      </c>
      <c r="D54" s="12" t="n">
        <f aca="false">Q!$E$5/(Q!$E$5+Q!$E$6)</f>
        <v>0.724763217890544</v>
      </c>
      <c r="E54" s="12" t="n">
        <f aca="false">Q!$P$5/(Q!$P$5+Q!$P$6)</f>
        <v>0.728797972914861</v>
      </c>
      <c r="F54" s="12" t="n">
        <f aca="false">Seg!$O$54</f>
        <v>0.718066283041511</v>
      </c>
      <c r="G54" s="12" t="n">
        <f aca="false">Seg!$G$55/Seg!$G$53</f>
        <v>0.722987468473627</v>
      </c>
      <c r="H54" s="12" t="n">
        <f aca="false">Seg!$G$54</f>
        <v>0.722987468473627</v>
      </c>
      <c r="I54" s="12" t="n">
        <f aca="false">Seg!$G$54</f>
        <v>0.722987468473627</v>
      </c>
      <c r="J54" s="12" t="n">
        <f aca="false">Seg!$G$54</f>
        <v>0.722987468473627</v>
      </c>
      <c r="K54" s="12" t="n">
        <f aca="false">Seg!$G$54</f>
        <v>0.722987468473627</v>
      </c>
      <c r="L54" s="12" t="n">
        <f aca="false">Seg!$G$54</f>
        <v>0.722987468473627</v>
      </c>
      <c r="M54" s="12" t="n">
        <f aca="false">Seg!$G$54</f>
        <v>0.722987468473627</v>
      </c>
      <c r="N54" s="12" t="n">
        <f aca="false">Q!$N$5/(Q!$N$5+Q!$N$6)</f>
        <v>0.733030935041352</v>
      </c>
      <c r="O54" s="12" t="n">
        <f aca="false">Q!$O$5/(Q!$O$5+Q!$O$6)</f>
        <v>0.718066283041511</v>
      </c>
      <c r="P54" s="8" t="s">
        <v>637</v>
      </c>
    </row>
    <row r="55" customFormat="false" ht="17.15" hidden="false" customHeight="false" outlineLevel="0" collapsed="false">
      <c r="A55" s="1" t="s">
        <v>472</v>
      </c>
      <c r="B55" s="8" t="s">
        <v>73</v>
      </c>
      <c r="C55" s="38" t="n">
        <f aca="false">Q!$D$5</f>
        <v>387.497</v>
      </c>
      <c r="D55" s="38" t="n">
        <f aca="false">Q!$E$5</f>
        <v>426.305</v>
      </c>
      <c r="E55" s="38" t="n">
        <f aca="false">Q!$P$5</f>
        <v>220.32</v>
      </c>
      <c r="F55" s="38" t="n">
        <f aca="false">Seg!$F$53*Seg!$F$54</f>
        <v>256.304015003807</v>
      </c>
      <c r="G55" s="38" t="n">
        <f aca="false">Seg!$E$55+Seg!$F$55</f>
        <v>476.624015003807</v>
      </c>
      <c r="H55" s="38" t="n">
        <f aca="false">Seg!$H$53*Seg!$H$54</f>
        <v>527.734391091543</v>
      </c>
      <c r="I55" s="38" t="n">
        <f aca="false">Seg!$I$53*Seg!$I$54</f>
        <v>577.157693029577</v>
      </c>
      <c r="J55" s="38" t="n">
        <f aca="false">Seg!$J$53*Seg!$J$54</f>
        <v>623.024923663827</v>
      </c>
      <c r="K55" s="38" t="n">
        <f aca="false">Seg!$K$53*Seg!$K$54</f>
        <v>663.382568393781</v>
      </c>
      <c r="L55" s="38" t="n">
        <f aca="false">Seg!$L$53*Seg!$L$54</f>
        <v>706.564873010432</v>
      </c>
      <c r="M55" s="38" t="n">
        <f aca="false">Seg!$M$53*Seg!$M$54</f>
        <v>752.784687406019</v>
      </c>
      <c r="N55" s="38" t="n">
        <f aca="false">Q!$N$5</f>
        <v>192.955</v>
      </c>
      <c r="O55" s="38" t="n">
        <f aca="false">Q!$O$5</f>
        <v>233.35</v>
      </c>
      <c r="P55" s="5" t="s">
        <v>638</v>
      </c>
    </row>
    <row r="56" customFormat="false" ht="17.15" hidden="false" customHeight="false" outlineLevel="0" collapsed="false">
      <c r="A56" s="1" t="s">
        <v>475</v>
      </c>
      <c r="B56" s="8" t="s">
        <v>73</v>
      </c>
      <c r="C56" s="38" t="n">
        <f aca="false">Q!$D$6</f>
        <v>142.906</v>
      </c>
      <c r="D56" s="38" t="n">
        <f aca="false">Q!$E$6</f>
        <v>161.894</v>
      </c>
      <c r="E56" s="38" t="n">
        <f aca="false">Q!$P$6</f>
        <v>81.986</v>
      </c>
      <c r="F56" s="38" t="n">
        <f aca="false">Seg!$F$53*(1-Seg!$F$54)</f>
        <v>100.632414204623</v>
      </c>
      <c r="G56" s="38" t="n">
        <f aca="false">Seg!$E$56+Seg!$F$56</f>
        <v>182.618414204623</v>
      </c>
      <c r="H56" s="38" t="n">
        <f aca="false">Seg!$H$53*(1-Seg!$H$54)</f>
        <v>202.201346530158</v>
      </c>
      <c r="I56" s="38" t="n">
        <f aca="false">Seg!$I$53*(1-Seg!$I$54)</f>
        <v>221.137876668296</v>
      </c>
      <c r="J56" s="38" t="n">
        <f aca="false">Seg!$J$53*(1-Seg!$J$54)</f>
        <v>238.711898661958</v>
      </c>
      <c r="K56" s="38" t="n">
        <f aca="false">Seg!$K$53*(1-Seg!$K$54)</f>
        <v>254.174923708144</v>
      </c>
      <c r="L56" s="38" t="n">
        <f aca="false">Seg!$L$53*(1-Seg!$L$54)</f>
        <v>270.720216732733</v>
      </c>
      <c r="M56" s="38" t="n">
        <f aca="false">Seg!$M$53*(1-Seg!$M$54)</f>
        <v>288.429331137484</v>
      </c>
      <c r="N56" s="38" t="n">
        <f aca="false">Q!$N$6</f>
        <v>70.274</v>
      </c>
      <c r="O56" s="38" t="n">
        <f aca="false">Q!$O$6</f>
        <v>91.62</v>
      </c>
      <c r="P56" s="5" t="s">
        <v>639</v>
      </c>
    </row>
    <row r="57" customFormat="false" ht="17.15" hidden="false" customHeight="false" outlineLevel="0" collapsed="false">
      <c r="A57" s="5" t="s">
        <v>640</v>
      </c>
      <c r="B57" s="0" t="s">
        <v>73</v>
      </c>
      <c r="C57" s="38" t="n">
        <f aca="false">Seg!$C$47*Seg!$C$54</f>
        <v>41.0683128828457</v>
      </c>
      <c r="D57" s="38" t="n">
        <f aca="false">Seg!$D$47*Seg!$D$54</f>
        <v>49.7441234599175</v>
      </c>
      <c r="E57" s="38" t="n">
        <f aca="false">Seg!$E$47*Seg!$E$54</f>
        <v>27.0034224924414</v>
      </c>
      <c r="F57" s="38" t="n">
        <f aca="false">Seg!$F$47*Seg!$F$54</f>
        <v>34.5772885649197</v>
      </c>
      <c r="G57" s="38" t="n">
        <f aca="false">Seg!$G$47*Seg!$G$54</f>
        <v>61.6023917531772</v>
      </c>
      <c r="H57" s="38" t="n">
        <f aca="false">Seg!$H$47*Seg!$H$54</f>
        <v>73.9568187320519</v>
      </c>
      <c r="I57" s="38" t="n">
        <f aca="false">Seg!$I$47*Seg!$I$54</f>
        <v>86.3101265625461</v>
      </c>
      <c r="J57" s="38" t="n">
        <f aca="false">Seg!$J$47*Seg!$J$54</f>
        <v>97.8339983977065</v>
      </c>
      <c r="K57" s="38" t="n">
        <f aca="false">Seg!$K$47*Seg!$K$54</f>
        <v>107.617398237477</v>
      </c>
      <c r="L57" s="38" t="n">
        <f aca="false">Seg!$L$47*Seg!$L$54</f>
        <v>118.379138061225</v>
      </c>
      <c r="M57" s="38" t="n">
        <f aca="false">Seg!$M$47*Seg!$M$54</f>
        <v>130.217051867347</v>
      </c>
      <c r="N57" s="38" t="n">
        <f aca="false">Seg!$N$47*Seg!$N$54</f>
        <v>21.7087111412496</v>
      </c>
      <c r="O57" s="38" t="n">
        <f aca="false">Seg!$O$47*Seg!$O$54</f>
        <v>28.0189463642798</v>
      </c>
      <c r="P57" s="5" t="s">
        <v>641</v>
      </c>
    </row>
    <row r="58" customFormat="false" ht="15" hidden="false" customHeight="false" outlineLevel="0" collapsed="false">
      <c r="A58" s="5" t="s">
        <v>642</v>
      </c>
      <c r="B58" s="0" t="s">
        <v>73</v>
      </c>
      <c r="C58" s="38" t="n">
        <f aca="false">Seg!$C$47-Seg!$C$57</f>
        <v>15.1456871171543</v>
      </c>
      <c r="D58" s="38" t="n">
        <f aca="false">Seg!$D$47-Seg!$D$57</f>
        <v>18.8908765400825</v>
      </c>
      <c r="E58" s="38" t="n">
        <f aca="false">Seg!$E$47-Seg!$E$57</f>
        <v>10.0485775075586</v>
      </c>
      <c r="F58" s="38" t="n">
        <f aca="false">Seg!$F$47-Seg!$F$57</f>
        <v>13.5760496178185</v>
      </c>
      <c r="G58" s="38" t="n">
        <f aca="false">Seg!$G$47-Seg!$G$57</f>
        <v>23.6029464295611</v>
      </c>
      <c r="H58" s="38" t="n">
        <f aca="false">Seg!$H$47-Seg!$H$57</f>
        <v>28.3365431268884</v>
      </c>
      <c r="I58" s="38" t="n">
        <f aca="false">Seg!$I$47-Seg!$I$57</f>
        <v>33.0697110226949</v>
      </c>
      <c r="J58" s="38" t="n">
        <f aca="false">Seg!$J$47-Seg!$J$57</f>
        <v>37.4850806511378</v>
      </c>
      <c r="K58" s="38" t="n">
        <f aca="false">Seg!$K$47-Seg!$K$57</f>
        <v>41.2335887162515</v>
      </c>
      <c r="L58" s="38" t="n">
        <f aca="false">Seg!$L$47-Seg!$L$57</f>
        <v>45.3569475878767</v>
      </c>
      <c r="M58" s="38" t="n">
        <f aca="false">Seg!$M$47-Seg!$M$57</f>
        <v>49.8926423466644</v>
      </c>
      <c r="N58" s="38" t="n">
        <f aca="false">Seg!$N$47-Seg!$N$57</f>
        <v>7.90628885875037</v>
      </c>
      <c r="O58" s="38" t="n">
        <f aca="false">Seg!$O$47-Seg!$O$57</f>
        <v>11.0010536357202</v>
      </c>
    </row>
    <row r="59" customFormat="false" ht="17.15" hidden="false" customHeight="false" outlineLevel="0" collapsed="false">
      <c r="A59" s="1" t="s">
        <v>643</v>
      </c>
    </row>
    <row r="60" customFormat="false" ht="17.15" hidden="false" customHeight="false" outlineLevel="0" collapsed="false">
      <c r="A60" s="0" t="s">
        <v>644</v>
      </c>
      <c r="B60" s="0" t="s">
        <v>73</v>
      </c>
      <c r="C60" s="38" t="n">
        <f aca="false">Thesis!$C$82</f>
        <v>2.32100535697364</v>
      </c>
      <c r="D60" s="38" t="n">
        <f aca="false">Thesis!$D$82</f>
        <v>8.70377008865116</v>
      </c>
      <c r="E60" s="38" t="n">
        <f aca="false">Thesis!$E$82</f>
        <v>8.51035297557002</v>
      </c>
      <c r="F60" s="38" t="n">
        <f aca="false">Thesis!$F$82</f>
        <v>14.9634336447205</v>
      </c>
      <c r="G60" s="38" t="n">
        <f aca="false">Thesis!$G$82</f>
        <v>23.4737866202905</v>
      </c>
      <c r="H60" s="38" t="n">
        <f aca="false">Thesis!$H$82</f>
        <v>60.1658907497746</v>
      </c>
      <c r="I60" s="38" t="n">
        <f aca="false">Thesis!$I$82</f>
        <v>101.503699136432</v>
      </c>
      <c r="J60" s="38" t="n">
        <f aca="false">Thesis!$J$82</f>
        <v>143.025407151278</v>
      </c>
      <c r="K60" s="38" t="n">
        <f aca="false">Thesis!$K$82</f>
        <v>184.608415042187</v>
      </c>
      <c r="L60" s="38" t="n">
        <f aca="false">Thesis!$L$82</f>
        <v>226.219286513125</v>
      </c>
      <c r="M60" s="38" t="n">
        <f aca="false">Thesis!$M$82</f>
        <v>267.845161450232</v>
      </c>
      <c r="N60" s="38" t="n">
        <f aca="false">Thesis!$N$82</f>
        <v>3.04631953102791</v>
      </c>
      <c r="O60" s="38" t="n">
        <f aca="false">Thesis!$O$82</f>
        <v>5.65745055762326</v>
      </c>
      <c r="P60" s="8" t="s">
        <v>645</v>
      </c>
    </row>
    <row r="61" customFormat="false" ht="17.15" hidden="false" customHeight="false" outlineLevel="0" collapsed="false">
      <c r="A61" s="0" t="s">
        <v>646</v>
      </c>
      <c r="B61" s="0" t="s">
        <v>73</v>
      </c>
      <c r="C61" s="38" t="n">
        <f aca="false">Thesis!$C$86</f>
        <v>105.234994643026</v>
      </c>
      <c r="D61" s="38" t="n">
        <f aca="false">Thesis!$D$86</f>
        <v>120.021229911349</v>
      </c>
      <c r="E61" s="38" t="n">
        <f aca="false">Thesis!$E$86</f>
        <v>71.30864702443</v>
      </c>
      <c r="F61" s="38" t="n">
        <f aca="false">Thesis!$F$86</f>
        <v>78.5950104186653</v>
      </c>
      <c r="G61" s="38" t="n">
        <f aca="false">Thesis!$G$86</f>
        <v>149.903657443095</v>
      </c>
      <c r="H61" s="38" t="n">
        <f aca="false">Thesis!$H$86</f>
        <v>180.893560768142</v>
      </c>
      <c r="I61" s="38" t="n">
        <f aca="false">Thesis!$I$86</f>
        <v>210.64839721501</v>
      </c>
      <c r="J61" s="38" t="n">
        <f aca="false">Thesis!$J$86</f>
        <v>236.398909446495</v>
      </c>
      <c r="K61" s="38" t="n">
        <f aca="false">Thesis!$K$86</f>
        <v>255.310822202215</v>
      </c>
      <c r="L61" s="38" t="n">
        <f aca="false">Thesis!$L$86</f>
        <v>275.735687978392</v>
      </c>
      <c r="M61" s="38" t="n">
        <f aca="false">Thesis!$M$86</f>
        <v>297.794543016663</v>
      </c>
      <c r="N61" s="38" t="n">
        <f aca="false">Thesis!$N$86</f>
        <v>57.0936804689721</v>
      </c>
      <c r="O61" s="38" t="n">
        <f aca="false">Thesis!$O$86</f>
        <v>62.9275494423768</v>
      </c>
      <c r="P61" s="8" t="s">
        <v>645</v>
      </c>
    </row>
    <row r="62" customFormat="false" ht="17.15" hidden="false" customHeight="false" outlineLevel="0" collapsed="false">
      <c r="A62" s="1" t="s">
        <v>476</v>
      </c>
      <c r="B62" s="8" t="s">
        <v>73</v>
      </c>
      <c r="C62" s="38" t="n">
        <f aca="false">Q!$D$7</f>
        <v>107.556</v>
      </c>
      <c r="D62" s="38" t="n">
        <f aca="false">Q!$E$7</f>
        <v>128.725</v>
      </c>
      <c r="E62" s="38" t="n">
        <f aca="false">Q!$P$7</f>
        <v>79.819</v>
      </c>
      <c r="F62" s="38" t="n">
        <f aca="false">Seg!$F$60+Seg!$F$61</f>
        <v>93.5584440633857</v>
      </c>
      <c r="G62" s="38" t="n">
        <f aca="false">Seg!$G$60+Seg!$G$61</f>
        <v>173.377444063386</v>
      </c>
      <c r="H62" s="38" t="n">
        <f aca="false">Seg!$H$60+Seg!$H$61</f>
        <v>241.059451517916</v>
      </c>
      <c r="I62" s="38" t="n">
        <f aca="false">Seg!$I$60+Seg!$I$61</f>
        <v>312.152096351442</v>
      </c>
      <c r="J62" s="38" t="n">
        <f aca="false">Seg!$J$60+Seg!$J$61</f>
        <v>379.424316597773</v>
      </c>
      <c r="K62" s="38" t="n">
        <f aca="false">Seg!$K$60+Seg!$K$61</f>
        <v>439.919237244402</v>
      </c>
      <c r="L62" s="38" t="n">
        <f aca="false">Seg!$L$60+Seg!$L$61</f>
        <v>501.954974491517</v>
      </c>
      <c r="M62" s="38" t="n">
        <f aca="false">Seg!$M$60+Seg!$M$61</f>
        <v>565.639704466895</v>
      </c>
      <c r="N62" s="38" t="n">
        <f aca="false">Q!$N$7</f>
        <v>60.14</v>
      </c>
      <c r="O62" s="38" t="n">
        <f aca="false">Q!$O$7</f>
        <v>68.585</v>
      </c>
      <c r="P62" s="5" t="s">
        <v>647</v>
      </c>
    </row>
    <row r="63" customFormat="false" ht="15" hidden="false" customHeight="false" outlineLevel="0" collapsed="false">
      <c r="A63" s="3" t="s">
        <v>648</v>
      </c>
      <c r="B63" s="8" t="s">
        <v>73</v>
      </c>
      <c r="C63" s="38" t="n">
        <f aca="false">Q!$D$8</f>
        <v>637.959</v>
      </c>
      <c r="D63" s="38" t="n">
        <f aca="false">Q!$E$8</f>
        <v>716.924</v>
      </c>
      <c r="E63" s="38" t="n">
        <f aca="false">Q!$P$8</f>
        <v>382.125</v>
      </c>
      <c r="F63" s="38" t="n">
        <f aca="false">Seg!$F$53+Seg!$F$62</f>
        <v>450.494873271816</v>
      </c>
      <c r="G63" s="38" t="n">
        <f aca="false">Seg!$G$53+Seg!$G$62</f>
        <v>832.619873271816</v>
      </c>
      <c r="H63" s="38" t="n">
        <f aca="false">Seg!$H$53+Seg!$H$62</f>
        <v>970.995189139617</v>
      </c>
      <c r="I63" s="38" t="n">
        <f aca="false">Seg!$I$53+Seg!$I$62</f>
        <v>1110.44766604932</v>
      </c>
      <c r="J63" s="38" t="n">
        <f aca="false">Seg!$J$53+Seg!$J$62</f>
        <v>1241.16113892356</v>
      </c>
      <c r="K63" s="38" t="n">
        <f aca="false">Seg!$K$53+Seg!$K$62</f>
        <v>1357.47672934633</v>
      </c>
      <c r="L63" s="38" t="n">
        <f aca="false">Seg!$L$53+Seg!$L$62</f>
        <v>1479.24006423468</v>
      </c>
      <c r="M63" s="38" t="n">
        <f aca="false">Seg!$M$53+Seg!$M$62</f>
        <v>1606.8537230104</v>
      </c>
      <c r="N63" s="38" t="n">
        <f aca="false">Q!$N$8</f>
        <v>323.369</v>
      </c>
      <c r="O63" s="38" t="n">
        <f aca="false">Q!$O$8</f>
        <v>393.555</v>
      </c>
    </row>
    <row r="64" customFormat="false" ht="17.15" hidden="false" customHeight="false" outlineLevel="0" collapsed="false">
      <c r="A64" s="24" t="s">
        <v>656</v>
      </c>
      <c r="B64" s="25" t="s">
        <v>73</v>
      </c>
      <c r="C64" s="39" t="n">
        <f aca="false">Seg!$C$53-(Seg!$C$55+Seg!$C$56)</f>
        <v>0</v>
      </c>
      <c r="D64" s="39" t="n">
        <f aca="false">Seg!$D$53-(Seg!$D$55+Seg!$D$56)</f>
        <v>0</v>
      </c>
      <c r="E64" s="39" t="n">
        <f aca="false">Seg!$E$53-(Seg!$E$55+Seg!$E$56)</f>
        <v>0</v>
      </c>
      <c r="F64" s="39" t="n">
        <f aca="false">Seg!$F$53-(Seg!$F$55+Seg!$F$56)</f>
        <v>0</v>
      </c>
      <c r="G64" s="39" t="n">
        <f aca="false">Seg!$G$53-(Seg!$G$55+Seg!$G$56)</f>
        <v>0</v>
      </c>
      <c r="H64" s="39" t="n">
        <f aca="false">Seg!$H$53-(Seg!$H$55+Seg!$H$56)</f>
        <v>0</v>
      </c>
      <c r="I64" s="39" t="n">
        <f aca="false">Seg!$I$53-(Seg!$I$55+Seg!$I$56)</f>
        <v>0</v>
      </c>
      <c r="J64" s="39" t="n">
        <f aca="false">Seg!$J$53-(Seg!$J$55+Seg!$J$56)</f>
        <v>0</v>
      </c>
      <c r="K64" s="39" t="n">
        <f aca="false">Seg!$K$53-(Seg!$K$55+Seg!$K$56)</f>
        <v>0</v>
      </c>
      <c r="L64" s="39" t="n">
        <f aca="false">Seg!$L$53-(Seg!$L$55+Seg!$L$56)</f>
        <v>0</v>
      </c>
      <c r="M64" s="39" t="n">
        <f aca="false">Seg!$M$53-(Seg!$M$55+Seg!$M$56)</f>
        <v>0</v>
      </c>
      <c r="N64" s="39" t="n">
        <f aca="false">Seg!$N$53-(Seg!$N$55+Seg!$N$56)</f>
        <v>0</v>
      </c>
      <c r="O64" s="39" t="n">
        <f aca="false">Seg!$O$53-(Seg!$O$55+Seg!$O$56)</f>
        <v>0</v>
      </c>
    </row>
    <row r="65" customFormat="false" ht="17.15" hidden="false" customHeight="false" outlineLevel="0" collapsed="false">
      <c r="A65" s="24" t="s">
        <v>657</v>
      </c>
      <c r="B65" s="25" t="s">
        <v>73</v>
      </c>
      <c r="C65" s="39" t="n">
        <f aca="false">Seg!$C$60+Seg!$C$61-Seg!$C$62</f>
        <v>0</v>
      </c>
      <c r="D65" s="39" t="n">
        <f aca="false">Seg!$D$60+Seg!$D$61-Seg!$D$62</f>
        <v>0</v>
      </c>
      <c r="E65" s="39" t="n">
        <f aca="false">Seg!$E$60+Seg!$E$61-Seg!$E$62</f>
        <v>0</v>
      </c>
      <c r="F65" s="39" t="n">
        <f aca="false">Seg!$F$60+Seg!$F$61-Seg!$F$62</f>
        <v>0</v>
      </c>
      <c r="G65" s="39" t="n">
        <f aca="false">Seg!$G$60+Seg!$G$61-Seg!$G$62</f>
        <v>0</v>
      </c>
      <c r="H65" s="39" t="n">
        <f aca="false">Seg!$H$60+Seg!$H$61-Seg!$H$62</f>
        <v>0</v>
      </c>
      <c r="I65" s="39" t="n">
        <f aca="false">Seg!$I$60+Seg!$I$61-Seg!$I$62</f>
        <v>0</v>
      </c>
      <c r="J65" s="39" t="n">
        <f aca="false">Seg!$J$60+Seg!$J$61-Seg!$J$62</f>
        <v>0</v>
      </c>
      <c r="K65" s="39" t="n">
        <f aca="false">Seg!$K$60+Seg!$K$61-Seg!$K$62</f>
        <v>0</v>
      </c>
      <c r="L65" s="39" t="n">
        <f aca="false">Seg!$L$60+Seg!$L$61-Seg!$L$62</f>
        <v>0</v>
      </c>
      <c r="M65" s="39" t="n">
        <f aca="false">Seg!$M$60+Seg!$M$61-Seg!$M$62</f>
        <v>0</v>
      </c>
      <c r="N65" s="39" t="n">
        <f aca="false">Seg!$N$60+Seg!$N$61-Seg!$N$62</f>
        <v>0</v>
      </c>
      <c r="O65" s="39" t="n">
        <f aca="false">Seg!$O$60+Seg!$O$61-Seg!$O$62</f>
        <v>0</v>
      </c>
    </row>
    <row r="66" customFormat="false" ht="17.15" hidden="false" customHeight="false" outlineLevel="0" collapsed="false">
      <c r="A66" s="24" t="s">
        <v>658</v>
      </c>
      <c r="B66" s="25" t="s">
        <v>73</v>
      </c>
      <c r="C66" s="39" t="n">
        <f aca="false">Seg!$C$55+Seg!$C$56+Seg!$C$62-Seg!$C$63</f>
        <v>0</v>
      </c>
      <c r="D66" s="39" t="n">
        <f aca="false">Seg!$D$55+Seg!$D$56+Seg!$D$62-Seg!$D$63</f>
        <v>0</v>
      </c>
      <c r="E66" s="39" t="n">
        <f aca="false">Seg!$E$55+Seg!$E$56+Seg!$E$62-Seg!$E$63</f>
        <v>0</v>
      </c>
      <c r="F66" s="39" t="n">
        <f aca="false">Seg!$F$55+Seg!$F$56+Seg!$F$62-Seg!$F$63</f>
        <v>0</v>
      </c>
      <c r="G66" s="39" t="n">
        <f aca="false">Seg!$G$55+Seg!$G$56+Seg!$G$62-Seg!$G$63</f>
        <v>0</v>
      </c>
      <c r="H66" s="39" t="n">
        <f aca="false">Seg!$H$55+Seg!$H$56+Seg!$H$62-Seg!$H$63</f>
        <v>0</v>
      </c>
      <c r="I66" s="39" t="n">
        <f aca="false">Seg!$I$55+Seg!$I$56+Seg!$I$62-Seg!$I$63</f>
        <v>0</v>
      </c>
      <c r="J66" s="39" t="n">
        <f aca="false">Seg!$J$55+Seg!$J$56+Seg!$J$62-Seg!$J$63</f>
        <v>0</v>
      </c>
      <c r="K66" s="39" t="n">
        <f aca="false">Seg!$K$55+Seg!$K$56+Seg!$K$62-Seg!$K$63</f>
        <v>0</v>
      </c>
      <c r="L66" s="39" t="n">
        <f aca="false">Seg!$L$55+Seg!$L$56+Seg!$L$62-Seg!$L$63</f>
        <v>0</v>
      </c>
      <c r="M66" s="39" t="n">
        <f aca="false">Seg!$M$55+Seg!$M$56+Seg!$M$62-Seg!$M$63</f>
        <v>0</v>
      </c>
      <c r="N66" s="39" t="n">
        <f aca="false">Seg!$N$55+Seg!$N$56+Seg!$N$62-Seg!$N$63</f>
        <v>0</v>
      </c>
      <c r="O66" s="39" t="n">
        <f aca="false">Seg!$O$55+Seg!$O$56+Seg!$O$62-Seg!$O$63</f>
        <v>0</v>
      </c>
    </row>
    <row r="67" customFormat="false" ht="15" hidden="false" customHeight="false" outlineLevel="0" collapsed="false">
      <c r="A67" s="5" t="s">
        <v>652</v>
      </c>
      <c r="B67" s="0" t="s">
        <v>52</v>
      </c>
      <c r="G67" s="12" t="n">
        <f aca="false">Seg!$G$63/Seg!$D$63-1</f>
        <v>0.161378156222718</v>
      </c>
      <c r="H67" s="12" t="n">
        <f aca="false">Seg!$H$63/Seg!$G$63-1</f>
        <v>0.166192665236357</v>
      </c>
      <c r="I67" s="12" t="n">
        <f aca="false">Seg!$I$63/Seg!$H$63-1</f>
        <v>0.143618092519351</v>
      </c>
      <c r="J67" s="12" t="n">
        <f aca="false">Seg!$J$63/Seg!$I$63-1</f>
        <v>0.117712411733268</v>
      </c>
      <c r="K67" s="12" t="n">
        <f aca="false">Seg!$K$63/Seg!$J$63-1</f>
        <v>0.0937151404237868</v>
      </c>
      <c r="L67" s="12" t="n">
        <f aca="false">Seg!$L$63/Seg!$K$63-1</f>
        <v>0.0896982852494186</v>
      </c>
      <c r="M67" s="12" t="n">
        <f aca="false">Seg!$M$63/Seg!$L$63-1</f>
        <v>0.0862697420528154</v>
      </c>
    </row>
    <row r="68" customFormat="false" ht="17.15" hidden="false" customHeight="false" outlineLevel="0" collapsed="false">
      <c r="A68" s="0" t="s">
        <v>653</v>
      </c>
      <c r="B68" s="0" t="s">
        <v>52</v>
      </c>
      <c r="C68" s="12" t="n">
        <f aca="false">Seg!$C$62/Seg!$C$63</f>
        <v>0.168593906504964</v>
      </c>
      <c r="D68" s="12" t="n">
        <f aca="false">Seg!$D$62/Seg!$D$63</f>
        <v>0.179551807444025</v>
      </c>
      <c r="E68" s="12" t="n">
        <f aca="false">Seg!$E$62/Seg!$E$63</f>
        <v>0.208881910369643</v>
      </c>
      <c r="F68" s="12" t="n">
        <f aca="false">Seg!$F$62/Seg!$F$63</f>
        <v>0.207679264769203</v>
      </c>
      <c r="G68" s="12" t="n">
        <f aca="false">Seg!$G$62/Seg!$G$63</f>
        <v>0.208231210458731</v>
      </c>
      <c r="H68" s="12" t="n">
        <f aca="false">Seg!$H$62/Seg!$H$63</f>
        <v>0.248260191414043</v>
      </c>
      <c r="I68" s="12" t="n">
        <f aca="false">Seg!$I$62/Seg!$I$63</f>
        <v>0.28110473450946</v>
      </c>
      <c r="J68" s="12" t="n">
        <f aca="false">Seg!$J$62/Seg!$J$63</f>
        <v>0.30570109287086</v>
      </c>
      <c r="K68" s="12" t="n">
        <f aca="false">Seg!$K$62/Seg!$K$63</f>
        <v>0.324071291782835</v>
      </c>
      <c r="L68" s="12" t="n">
        <f aca="false">Seg!$L$62/Seg!$L$63</f>
        <v>0.339333003903741</v>
      </c>
      <c r="M68" s="12" t="n">
        <f aca="false">Seg!$M$62/Seg!$M$63</f>
        <v>0.3520169237354</v>
      </c>
      <c r="N68" s="12" t="n">
        <f aca="false">Seg!$N$62/Seg!$N$63</f>
        <v>0.185979484737251</v>
      </c>
      <c r="O68" s="12" t="n">
        <f aca="false">Seg!$O$62/Seg!$O$63</f>
        <v>0.174270432341096</v>
      </c>
    </row>
    <row r="69" customFormat="false" ht="17.15" hidden="false" customHeight="false" outlineLevel="0" collapsed="false">
      <c r="A69" s="0" t="s">
        <v>654</v>
      </c>
      <c r="B69" s="0" t="s">
        <v>52</v>
      </c>
      <c r="C69" s="12" t="n">
        <f aca="false">Seg!$C$60/Seg!$C$62</f>
        <v>0.0215795060896058</v>
      </c>
      <c r="D69" s="12" t="n">
        <f aca="false">Seg!$D$60/Seg!$D$62</f>
        <v>0.0676152269462122</v>
      </c>
      <c r="E69" s="12" t="n">
        <f aca="false">Seg!$E$60/Seg!$E$62</f>
        <v>0.106620641395783</v>
      </c>
      <c r="F69" s="12" t="n">
        <f aca="false">Seg!$F$60/Seg!$F$62</f>
        <v>0.159936751776064</v>
      </c>
      <c r="G69" s="12" t="n">
        <f aca="false">Seg!$G$60/Seg!$G$62</f>
        <v>0.135391237003751</v>
      </c>
      <c r="H69" s="12" t="n">
        <f aca="false">Seg!$H$60/Seg!$H$62</f>
        <v>0.249589428545194</v>
      </c>
      <c r="I69" s="12" t="n">
        <f aca="false">Seg!$I$60/Seg!$I$62</f>
        <v>0.325173850577483</v>
      </c>
      <c r="J69" s="12" t="n">
        <f aca="false">Seg!$J$60/Seg!$J$62</f>
        <v>0.376953718817392</v>
      </c>
      <c r="K69" s="12" t="n">
        <f aca="false">Seg!$K$60/Seg!$K$62</f>
        <v>0.419641605578676</v>
      </c>
      <c r="L69" s="12" t="n">
        <f aca="false">Seg!$L$60/Seg!$L$62</f>
        <v>0.450676451094615</v>
      </c>
      <c r="M69" s="12" t="n">
        <f aca="false">Seg!$M$60/Seg!$M$62</f>
        <v>0.473526096798086</v>
      </c>
      <c r="N69" s="12" t="n">
        <f aca="false">Seg!$N$60/Seg!$N$62</f>
        <v>0.0506537999838362</v>
      </c>
      <c r="O69" s="12" t="n">
        <f aca="false">Seg!$O$60/Seg!$O$62</f>
        <v>0.0824881615167056</v>
      </c>
    </row>
    <row r="72" customFormat="false" ht="19.4" hidden="false" customHeight="false" outlineLevel="0" collapsed="false">
      <c r="A72" s="31" t="s">
        <v>659</v>
      </c>
    </row>
    <row r="73" customFormat="false" ht="17.15" hidden="false" customHeight="false" outlineLevel="0" collapsed="false">
      <c r="A73" s="6" t="s">
        <v>16</v>
      </c>
      <c r="B73" s="6" t="s">
        <v>17</v>
      </c>
      <c r="C73" s="20" t="s">
        <v>457</v>
      </c>
      <c r="D73" s="20" t="s">
        <v>458</v>
      </c>
      <c r="E73" s="20" t="s">
        <v>540</v>
      </c>
      <c r="F73" s="20" t="s">
        <v>541</v>
      </c>
      <c r="G73" s="20" t="s">
        <v>542</v>
      </c>
      <c r="H73" s="20" t="s">
        <v>543</v>
      </c>
      <c r="I73" s="20" t="s">
        <v>544</v>
      </c>
      <c r="J73" s="20" t="s">
        <v>545</v>
      </c>
      <c r="K73" s="20" t="s">
        <v>546</v>
      </c>
      <c r="L73" s="20" t="s">
        <v>547</v>
      </c>
      <c r="M73" s="20" t="s">
        <v>548</v>
      </c>
      <c r="N73" s="20" t="s">
        <v>549</v>
      </c>
      <c r="O73" s="20" t="s">
        <v>550</v>
      </c>
      <c r="P73" s="6" t="s">
        <v>23</v>
      </c>
      <c r="R73" s="20" t="n">
        <v>2023</v>
      </c>
      <c r="S73" s="20" t="n">
        <v>2024</v>
      </c>
      <c r="T73" s="20" t="n">
        <v>2025</v>
      </c>
      <c r="U73" s="20" t="n">
        <v>2026</v>
      </c>
      <c r="V73" s="20" t="n">
        <v>2027</v>
      </c>
      <c r="W73" s="20" t="n">
        <v>2028</v>
      </c>
      <c r="X73" s="20" t="n">
        <v>2029</v>
      </c>
      <c r="Y73" s="20" t="n">
        <v>2030</v>
      </c>
      <c r="Z73" s="20" t="n">
        <v>2031</v>
      </c>
      <c r="AA73" s="20" t="n">
        <v>2032</v>
      </c>
    </row>
    <row r="74" customFormat="false" ht="17.15" hidden="false" customHeight="false" outlineLevel="0" collapsed="false">
      <c r="A74" s="1" t="s">
        <v>621</v>
      </c>
    </row>
    <row r="75" customFormat="false" ht="17.15" hidden="false" customHeight="false" outlineLevel="0" collapsed="false">
      <c r="A75" s="0" t="s">
        <v>479</v>
      </c>
      <c r="B75" s="0" t="s">
        <v>73</v>
      </c>
      <c r="C75" s="38" t="n">
        <f aca="false">Q!$D$10</f>
        <v>247.029</v>
      </c>
      <c r="D75" s="38" t="n">
        <f aca="false">Q!$E$10</f>
        <v>269.287</v>
      </c>
      <c r="E75" s="38" t="n">
        <f aca="false">Q!$P$10</f>
        <v>134.686</v>
      </c>
      <c r="F75" s="38" t="n">
        <f aca="false">Seg!$O$75*(1+Seg!$F$76)-pd_amt*Q!$O$10/(Q!$O$10+Q!$O$12)</f>
        <v>160.728085930082</v>
      </c>
      <c r="G75" s="38" t="n">
        <f aca="false">Seg!$E$75+Seg!$F$75</f>
        <v>295.414085930082</v>
      </c>
      <c r="H75" s="38" t="n">
        <f aca="false">Seg!$G$75*(1+Seg!$H$76)</f>
        <v>320.828163943375</v>
      </c>
      <c r="I75" s="38" t="n">
        <f aca="false">Seg!$H$75*(1+Seg!$I$76)</f>
        <v>344.575578072228</v>
      </c>
      <c r="J75" s="38" t="n">
        <f aca="false">Seg!$I$75*(1+Seg!$J$76)</f>
        <v>365.942555779681</v>
      </c>
      <c r="K75" s="38" t="n">
        <f aca="false">Seg!$J$75*(1+Seg!$K$76)</f>
        <v>384.239683568665</v>
      </c>
      <c r="L75" s="38" t="n">
        <f aca="false">Seg!$K$75*(1+Seg!$L$76)</f>
        <v>403.451667747098</v>
      </c>
      <c r="M75" s="38" t="n">
        <f aca="false">Seg!$L$75*(1+Seg!$M$76)</f>
        <v>423.624251134453</v>
      </c>
      <c r="N75" s="38" t="n">
        <f aca="false">Q!$N$10</f>
        <v>118.892</v>
      </c>
      <c r="O75" s="38" t="n">
        <f aca="false">Q!$O$10</f>
        <v>150.395</v>
      </c>
      <c r="P75" s="8" t="s">
        <v>622</v>
      </c>
    </row>
    <row r="76" customFormat="false" ht="17.15" hidden="false" customHeight="false" outlineLevel="0" collapsed="false">
      <c r="A76" s="0" t="s">
        <v>623</v>
      </c>
      <c r="B76" s="0" t="s">
        <v>52</v>
      </c>
      <c r="E76" s="12" t="n">
        <f aca="false">Seg!$E$75/Seg!$N$75-1</f>
        <v>0.132843252699929</v>
      </c>
      <c r="F76" s="12" t="n">
        <f aca="false">Seg!$O$75/(Q!$F$10+Q!$G$10)-1</f>
        <v>0.0980382135842941</v>
      </c>
      <c r="G76" s="12" t="n">
        <f aca="false">Seg!$G$75/Seg!$D$75-1</f>
        <v>0.0970231980380869</v>
      </c>
      <c r="H76" s="12" t="n">
        <f aca="false">Seg!$F$76+(g_os-Seg!$F$76)*1/4</f>
        <v>0.0860286601882206</v>
      </c>
      <c r="I76" s="12" t="n">
        <f aca="false">Seg!$F$76+(g_os-Seg!$F$76)*2/4</f>
        <v>0.074019106792147</v>
      </c>
      <c r="J76" s="12" t="n">
        <f aca="false">Seg!$F$76+(g_os-Seg!$F$76)*3/4</f>
        <v>0.0620095533960735</v>
      </c>
      <c r="K76" s="12" t="n">
        <f aca="false">Seg!$F$76+(g_os-Seg!$F$76)*4/4</f>
        <v>0.05</v>
      </c>
      <c r="L76" s="12" t="n">
        <f aca="false">g_os</f>
        <v>0.05</v>
      </c>
      <c r="M76" s="12" t="n">
        <f aca="false">g_os</f>
        <v>0.05</v>
      </c>
      <c r="P76" s="8" t="s">
        <v>624</v>
      </c>
    </row>
    <row r="77" customFormat="false" ht="17.15" hidden="false" customHeight="false" outlineLevel="0" collapsed="false">
      <c r="A77" s="0" t="s">
        <v>480</v>
      </c>
      <c r="B77" s="0" t="s">
        <v>73</v>
      </c>
      <c r="C77" s="38" t="n">
        <f aca="false">Q!$D$11</f>
        <v>21.215</v>
      </c>
      <c r="D77" s="38" t="n">
        <f aca="false">Q!$E$11</f>
        <v>22.561</v>
      </c>
      <c r="E77" s="38" t="n">
        <f aca="false">Q!$P$11</f>
        <v>11.579</v>
      </c>
      <c r="F77" s="38" t="n">
        <f aca="false">Seg!$O$77*(1+Seg!$F$78)</f>
        <v>12.0952613121125</v>
      </c>
      <c r="G77" s="38" t="n">
        <f aca="false">Seg!$E$77+Seg!$F$77</f>
        <v>23.6742613121125</v>
      </c>
      <c r="H77" s="38" t="n">
        <f aca="false">Seg!$G$77*(1+Seg!$H$78)</f>
        <v>24.8803243963206</v>
      </c>
      <c r="I77" s="38" t="n">
        <f aca="false">Seg!$H$77*(1+Seg!$I$78)</f>
        <v>25.9741308664154</v>
      </c>
      <c r="J77" s="38" t="n">
        <f aca="false">Seg!$I$77*(1+Seg!$J$78)</f>
        <v>26.9346894124267</v>
      </c>
      <c r="K77" s="38" t="n">
        <f aca="false">Seg!$J$77*(1+Seg!$K$78)</f>
        <v>27.7427300947995</v>
      </c>
      <c r="L77" s="38" t="n">
        <f aca="false">Seg!$K$77*(1+Seg!$L$78)</f>
        <v>28.5750119976435</v>
      </c>
      <c r="M77" s="38" t="n">
        <f aca="false">Seg!$L$77*(1+Seg!$M$78)</f>
        <v>29.4322623575728</v>
      </c>
      <c r="N77" s="38" t="n">
        <f aca="false">Q!$N$11</f>
        <v>11.128</v>
      </c>
      <c r="O77" s="38" t="n">
        <f aca="false">Q!$O$11</f>
        <v>11.433</v>
      </c>
      <c r="P77" s="8" t="s">
        <v>622</v>
      </c>
    </row>
    <row r="78" customFormat="false" ht="17.15" hidden="false" customHeight="false" outlineLevel="0" collapsed="false">
      <c r="A78" s="0" t="s">
        <v>625</v>
      </c>
      <c r="B78" s="0" t="s">
        <v>52</v>
      </c>
      <c r="E78" s="12" t="n">
        <f aca="false">Seg!$E$77/Seg!$N$77-1</f>
        <v>0.0405283968368082</v>
      </c>
      <c r="F78" s="12" t="n">
        <f aca="false">Seg!$O$77/(Q!$F$11+Q!$G$11)-1</f>
        <v>0.0579254187100955</v>
      </c>
      <c r="G78" s="12" t="n">
        <f aca="false">Seg!$G$77/Seg!$D$77-1</f>
        <v>0.0493445021103904</v>
      </c>
      <c r="H78" s="12" t="n">
        <f aca="false">Seg!$F$78+(g_ps-Seg!$F$78)*1/4</f>
        <v>0.0509440640325716</v>
      </c>
      <c r="I78" s="12" t="n">
        <f aca="false">Seg!$F$78+(g_ps-Seg!$F$78)*2/4</f>
        <v>0.0439627093550477</v>
      </c>
      <c r="J78" s="12" t="n">
        <f aca="false">Seg!$F$78+(g_ps-Seg!$F$78)*3/4</f>
        <v>0.0369813546775239</v>
      </c>
      <c r="K78" s="12" t="n">
        <f aca="false">Seg!$F$78+(g_ps-Seg!$F$78)*4/4</f>
        <v>0.03</v>
      </c>
      <c r="L78" s="12" t="n">
        <f aca="false">g_ps</f>
        <v>0.03</v>
      </c>
      <c r="M78" s="12" t="n">
        <f aca="false">g_ps</f>
        <v>0.03</v>
      </c>
      <c r="P78" s="8" t="s">
        <v>626</v>
      </c>
    </row>
    <row r="79" customFormat="false" ht="17.15" hidden="false" customHeight="false" outlineLevel="0" collapsed="false">
      <c r="A79" s="0" t="s">
        <v>481</v>
      </c>
      <c r="B79" s="0" t="s">
        <v>73</v>
      </c>
      <c r="C79" s="38" t="n">
        <f aca="false">Q!$D$12</f>
        <v>156.146</v>
      </c>
      <c r="D79" s="38" t="n">
        <f aca="false">Q!$E$12</f>
        <v>172.162</v>
      </c>
      <c r="E79" s="38" t="n">
        <f aca="false">Q!$P$12</f>
        <v>88.358</v>
      </c>
      <c r="F79" s="38" t="n">
        <f aca="false">Seg!$O$79*(1+Seg!$F$80)-pd_amt*Q!$O$12/(Q!$O$10+Q!$O$12)</f>
        <v>103.62028337149</v>
      </c>
      <c r="G79" s="38" t="n">
        <f aca="false">Seg!$E$79+Seg!$F$79</f>
        <v>191.97828337149</v>
      </c>
      <c r="H79" s="38" t="n">
        <f aca="false">Seg!$G$79*(1+Seg!$H$80)</f>
        <v>212.128608444755</v>
      </c>
      <c r="I79" s="38" t="n">
        <f aca="false">Seg!$H$79*(1+Seg!$I$80)</f>
        <v>231.92183134134</v>
      </c>
      <c r="J79" s="38" t="n">
        <f aca="false">Seg!$I$79*(1+Seg!$J$80)</f>
        <v>250.859136487863</v>
      </c>
      <c r="K79" s="38" t="n">
        <f aca="false">Seg!$J$79*(1+Seg!$K$80)</f>
        <v>268.419276042014</v>
      </c>
      <c r="L79" s="38" t="n">
        <f aca="false">Seg!$K$79*(1+Seg!$L$80)</f>
        <v>287.208625364954</v>
      </c>
      <c r="M79" s="38" t="n">
        <f aca="false">Seg!$L$79*(1+Seg!$M$80)</f>
        <v>307.313229140501</v>
      </c>
      <c r="N79" s="38" t="n">
        <f aca="false">Q!$N$12</f>
        <v>76.86</v>
      </c>
      <c r="O79" s="38" t="n">
        <f aca="false">Q!$O$12</f>
        <v>95.302</v>
      </c>
      <c r="P79" s="8" t="s">
        <v>622</v>
      </c>
    </row>
    <row r="80" customFormat="false" ht="17.15" hidden="false" customHeight="false" outlineLevel="0" collapsed="false">
      <c r="A80" s="0" t="s">
        <v>627</v>
      </c>
      <c r="B80" s="0" t="s">
        <v>52</v>
      </c>
      <c r="E80" s="12" t="n">
        <f aca="false">Seg!$E$79/Seg!$N$79-1</f>
        <v>0.1495966692688</v>
      </c>
      <c r="F80" s="12" t="n">
        <f aca="false">Seg!$O$79/(Q!$F$12+Q!$G$12)-1</f>
        <v>0.11661530890813</v>
      </c>
      <c r="G80" s="12" t="n">
        <f aca="false">Seg!$G$79/Seg!$D$79-1</f>
        <v>0.115102539303041</v>
      </c>
      <c r="H80" s="12" t="n">
        <f aca="false">Seg!$F$80+(g_sp-Seg!$F$80)*1/4</f>
        <v>0.104961481681098</v>
      </c>
      <c r="I80" s="12" t="n">
        <f aca="false">Seg!$F$80+(g_sp-Seg!$F$80)*2/4</f>
        <v>0.0933076544540651</v>
      </c>
      <c r="J80" s="12" t="n">
        <f aca="false">Seg!$F$80+(g_sp-Seg!$F$80)*3/4</f>
        <v>0.0816538272270325</v>
      </c>
      <c r="K80" s="12" t="n">
        <f aca="false">Seg!$F$80+(g_sp-Seg!$F$80)*4/4</f>
        <v>0.07</v>
      </c>
      <c r="L80" s="12" t="n">
        <f aca="false">g_sp</f>
        <v>0.07</v>
      </c>
      <c r="M80" s="12" t="n">
        <f aca="false">g_sp</f>
        <v>0.07</v>
      </c>
      <c r="P80" s="8" t="s">
        <v>628</v>
      </c>
    </row>
    <row r="81" customFormat="false" ht="17.15" hidden="false" customHeight="false" outlineLevel="0" collapsed="false">
      <c r="A81" s="0" t="s">
        <v>482</v>
      </c>
      <c r="B81" s="0" t="s">
        <v>73</v>
      </c>
      <c r="C81" s="38" t="n">
        <f aca="false">Q!$D$13</f>
        <v>56.214</v>
      </c>
      <c r="D81" s="38" t="n">
        <f aca="false">Q!$E$13</f>
        <v>68.635</v>
      </c>
      <c r="E81" s="38" t="n">
        <f aca="false">Q!$P$13</f>
        <v>37.052</v>
      </c>
      <c r="F81" s="38" t="n">
        <f aca="false">Seg!$O$81*(1+Seg!$F$82)</f>
        <v>48.1533381827382</v>
      </c>
      <c r="G81" s="38" t="n">
        <f aca="false">Seg!$E$81+Seg!$F$81</f>
        <v>85.2053381827382</v>
      </c>
      <c r="H81" s="38" t="n">
        <f aca="false">Seg!$G$81*(1+Seg!$H$82)</f>
        <v>102.29336185894</v>
      </c>
      <c r="I81" s="38" t="n">
        <f aca="false">Seg!$H$81*(1+Seg!$I$82)</f>
        <v>119.379837585241</v>
      </c>
      <c r="J81" s="38" t="n">
        <f aca="false">Seg!$I$81*(1+Seg!$J$82)</f>
        <v>135.319079048844</v>
      </c>
      <c r="K81" s="38" t="n">
        <f aca="false">Seg!$J$81*(1+Seg!$K$82)</f>
        <v>148.850986953729</v>
      </c>
      <c r="L81" s="38" t="n">
        <f aca="false">Seg!$K$81*(1+Seg!$L$82)</f>
        <v>163.736085649102</v>
      </c>
      <c r="M81" s="38" t="n">
        <f aca="false">Seg!$L$81*(1+Seg!$M$82)</f>
        <v>180.109694214012</v>
      </c>
      <c r="N81" s="38" t="n">
        <f aca="false">Q!$N$13</f>
        <v>29.615</v>
      </c>
      <c r="O81" s="38" t="n">
        <f aca="false">Q!$O$13</f>
        <v>39.02</v>
      </c>
      <c r="P81" s="8" t="s">
        <v>622</v>
      </c>
    </row>
    <row r="82" customFormat="false" ht="17.15" hidden="false" customHeight="false" outlineLevel="0" collapsed="false">
      <c r="A82" s="0" t="s">
        <v>629</v>
      </c>
      <c r="B82" s="0" t="s">
        <v>52</v>
      </c>
      <c r="E82" s="12" t="n">
        <f aca="false">Seg!$E$81/Seg!$N$81-1</f>
        <v>0.25112274185379</v>
      </c>
      <c r="F82" s="12" t="n">
        <f aca="false">Seg!$O$81/(Q!$F$13+Q!$G$13)-1</f>
        <v>0.234068123596572</v>
      </c>
      <c r="G82" s="12" t="n">
        <f aca="false">Seg!$G$81/Seg!$D$81-1</f>
        <v>0.241426942270536</v>
      </c>
      <c r="H82" s="12" t="n">
        <f aca="false">Seg!$F$82+(g_ad-Seg!$F$82)*1/4</f>
        <v>0.200551092697429</v>
      </c>
      <c r="I82" s="12" t="n">
        <f aca="false">Seg!$F$82+(g_ad-Seg!$F$82)*2/4</f>
        <v>0.167034061798286</v>
      </c>
      <c r="J82" s="12" t="n">
        <f aca="false">Seg!$F$82+(g_ad-Seg!$F$82)*3/4</f>
        <v>0.133517030899143</v>
      </c>
      <c r="K82" s="12" t="n">
        <f aca="false">Seg!$F$82+(g_ad-Seg!$F$82)*4/4</f>
        <v>0.1</v>
      </c>
      <c r="L82" s="12" t="n">
        <f aca="false">g_ad</f>
        <v>0.1</v>
      </c>
      <c r="M82" s="12" t="n">
        <f aca="false">g_ad</f>
        <v>0.1</v>
      </c>
      <c r="P82" s="8" t="s">
        <v>630</v>
      </c>
    </row>
    <row r="83" customFormat="false" ht="17.15" hidden="false" customHeight="false" outlineLevel="0" collapsed="false">
      <c r="A83" s="0" t="s">
        <v>483</v>
      </c>
      <c r="B83" s="0" t="s">
        <v>73</v>
      </c>
      <c r="C83" s="38" t="n">
        <f aca="false">Q!$D$14</f>
        <v>44.374</v>
      </c>
      <c r="D83" s="38" t="n">
        <f aca="false">Q!$E$14</f>
        <v>49.619</v>
      </c>
      <c r="E83" s="38" t="n">
        <f aca="false">Q!$P$14</f>
        <v>27.157</v>
      </c>
      <c r="F83" s="38" t="n">
        <f aca="false">Seg!$O$83*(1+Seg!$F$84)</f>
        <v>28.9776360923374</v>
      </c>
      <c r="G83" s="38" t="n">
        <f aca="false">Seg!$E$83+Seg!$F$83</f>
        <v>56.1346360923374</v>
      </c>
      <c r="H83" s="38" t="n">
        <f aca="false">Seg!$G$83*(1+Seg!$H$84)</f>
        <v>62.4937078946075</v>
      </c>
      <c r="I83" s="38" t="n">
        <f aca="false">Seg!$H$83*(1+Seg!$I$84)</f>
        <v>68.6715233062498</v>
      </c>
      <c r="J83" s="38" t="n">
        <f aca="false">Seg!$I$83*(1+Seg!$J$84)</f>
        <v>74.4692882949818</v>
      </c>
      <c r="K83" s="38" t="n">
        <f aca="false">Seg!$J$83*(1+Seg!$K$84)</f>
        <v>79.6821384756306</v>
      </c>
      <c r="L83" s="38" t="n">
        <f aca="false">Seg!$K$83*(1+Seg!$L$84)</f>
        <v>85.2598881689247</v>
      </c>
      <c r="M83" s="38" t="n">
        <f aca="false">Seg!$L$83*(1+Seg!$M$84)</f>
        <v>91.2280803407494</v>
      </c>
      <c r="N83" s="38" t="n">
        <f aca="false">Q!$N$14</f>
        <v>23.923</v>
      </c>
      <c r="O83" s="38" t="n">
        <f aca="false">Q!$O$14</f>
        <v>25.696</v>
      </c>
      <c r="P83" s="8" t="s">
        <v>622</v>
      </c>
    </row>
    <row r="84" customFormat="false" ht="17.15" hidden="false" customHeight="false" outlineLevel="0" collapsed="false">
      <c r="A84" s="0" t="s">
        <v>631</v>
      </c>
      <c r="B84" s="0" t="s">
        <v>52</v>
      </c>
      <c r="E84" s="12" t="n">
        <f aca="false">Seg!$E$83/Seg!$N$83-1</f>
        <v>0.135183714417088</v>
      </c>
      <c r="F84" s="12" t="n">
        <f aca="false">Seg!$O$83/(Q!$F$14+Q!$G$14)-1</f>
        <v>0.127709997366804</v>
      </c>
      <c r="G84" s="12" t="n">
        <f aca="false">Seg!$G$83/Seg!$D$83-1</f>
        <v>0.131313329416905</v>
      </c>
      <c r="H84" s="12" t="n">
        <f aca="false">Seg!$F$84+(g_sub-Seg!$F$84)*1/4</f>
        <v>0.113282498025103</v>
      </c>
      <c r="I84" s="12" t="n">
        <f aca="false">Seg!$F$84+(g_sub-Seg!$F$84)*2/4</f>
        <v>0.0988549986834021</v>
      </c>
      <c r="J84" s="12" t="n">
        <f aca="false">Seg!$F$84+(g_sub-Seg!$F$84)*3/4</f>
        <v>0.084427499341701</v>
      </c>
      <c r="K84" s="12" t="n">
        <f aca="false">Seg!$F$84+(g_sub-Seg!$F$84)*4/4</f>
        <v>0.07</v>
      </c>
      <c r="L84" s="12" t="n">
        <f aca="false">g_sub</f>
        <v>0.07</v>
      </c>
      <c r="M84" s="12" t="n">
        <f aca="false">g_sub</f>
        <v>0.07</v>
      </c>
      <c r="P84" s="8" t="s">
        <v>632</v>
      </c>
    </row>
    <row r="85" customFormat="false" ht="17.15" hidden="false" customHeight="false" outlineLevel="0" collapsed="false">
      <c r="A85" s="0" t="s">
        <v>484</v>
      </c>
      <c r="B85" s="0" t="s">
        <v>73</v>
      </c>
      <c r="C85" s="38" t="n">
        <f aca="false">Q!$D$15</f>
        <v>5.425</v>
      </c>
      <c r="D85" s="38" t="n">
        <f aca="false">Q!$E$15</f>
        <v>5.935</v>
      </c>
      <c r="E85" s="38" t="n">
        <f aca="false">Q!$P$15</f>
        <v>3.474</v>
      </c>
      <c r="F85" s="38" t="n">
        <f aca="false">Seg!$O$85*(1+Seg!$F$86)</f>
        <v>3.36182431966931</v>
      </c>
      <c r="G85" s="38" t="n">
        <f aca="false">Seg!$E$85+Seg!$F$85</f>
        <v>6.83582431966931</v>
      </c>
      <c r="H85" s="38" t="n">
        <f aca="false">Seg!$G$85*(1+Seg!$H$86)</f>
        <v>7.31157108370141</v>
      </c>
      <c r="I85" s="38" t="n">
        <f aca="false">Seg!$H$85*(1+Seg!$I$86)</f>
        <v>7.77266852639815</v>
      </c>
      <c r="J85" s="38" t="n">
        <f aca="false">Seg!$I$85*(1+Seg!$J$86)</f>
        <v>8.2120733019884</v>
      </c>
      <c r="K85" s="38" t="n">
        <f aca="false">Seg!$J$85*(1+Seg!$K$86)</f>
        <v>8.62267696708783</v>
      </c>
      <c r="L85" s="38" t="n">
        <f aca="false">Seg!$K$85*(1+Seg!$L$86)</f>
        <v>9.05381081544222</v>
      </c>
      <c r="M85" s="38" t="n">
        <f aca="false">Seg!$L$85*(1+Seg!$M$86)</f>
        <v>9.50650135621433</v>
      </c>
      <c r="N85" s="38" t="n">
        <f aca="false">Q!$N$15</f>
        <v>2.811</v>
      </c>
      <c r="O85" s="38" t="n">
        <f aca="false">Q!$O$15</f>
        <v>3.124</v>
      </c>
      <c r="P85" s="8" t="s">
        <v>622</v>
      </c>
    </row>
    <row r="86" customFormat="false" ht="17.15" hidden="false" customHeight="false" outlineLevel="0" collapsed="false">
      <c r="A86" s="0" t="s">
        <v>633</v>
      </c>
      <c r="B86" s="0" t="s">
        <v>52</v>
      </c>
      <c r="E86" s="12" t="n">
        <f aca="false">Seg!$E$85/Seg!$N$85-1</f>
        <v>0.235859124866596</v>
      </c>
      <c r="F86" s="12" t="n">
        <f aca="false">Seg!$O$85/(Q!$F$15+Q!$G$15)-1</f>
        <v>0.0761281433000345</v>
      </c>
      <c r="G86" s="12" t="n">
        <f aca="false">Seg!$G$85/Seg!$D$85-1</f>
        <v>0.151781688234087</v>
      </c>
      <c r="H86" s="12" t="n">
        <f aca="false">Seg!$F$86+(g_ot-Seg!$F$86)*1/4</f>
        <v>0.0695961074750259</v>
      </c>
      <c r="I86" s="12" t="n">
        <f aca="false">Seg!$F$86+(g_ot-Seg!$F$86)*2/4</f>
        <v>0.0630640716500172</v>
      </c>
      <c r="J86" s="12" t="n">
        <f aca="false">Seg!$F$86+(g_ot-Seg!$F$86)*3/4</f>
        <v>0.0565320358250086</v>
      </c>
      <c r="K86" s="12" t="n">
        <f aca="false">Seg!$F$86+(g_ot-Seg!$F$86)*4/4</f>
        <v>0.05</v>
      </c>
      <c r="L86" s="12" t="n">
        <f aca="false">g_ot</f>
        <v>0.05</v>
      </c>
      <c r="M86" s="12" t="n">
        <f aca="false">g_ot</f>
        <v>0.05</v>
      </c>
      <c r="P86" s="8" t="s">
        <v>634</v>
      </c>
    </row>
    <row r="87" customFormat="false" ht="17.15" hidden="false" customHeight="false" outlineLevel="0" collapsed="false">
      <c r="A87" s="3" t="s">
        <v>635</v>
      </c>
      <c r="B87" s="8" t="s">
        <v>73</v>
      </c>
      <c r="C87" s="38" t="n">
        <f aca="false">Seg!$C$75+Seg!$C$77+Seg!$C$79+Seg!$C$81+Seg!$C$83+Seg!$C$85</f>
        <v>530.403</v>
      </c>
      <c r="D87" s="38" t="n">
        <f aca="false">Seg!$D$75+Seg!$D$77+Seg!$D$79+Seg!$D$81+Seg!$D$83+Seg!$D$85</f>
        <v>588.199</v>
      </c>
      <c r="E87" s="38" t="n">
        <f aca="false">Seg!$E$75+Seg!$E$77+Seg!$E$79+Seg!$E$81+Seg!$E$83+Seg!$E$85</f>
        <v>302.306</v>
      </c>
      <c r="F87" s="38" t="n">
        <f aca="false">Seg!$F$75+Seg!$F$77+Seg!$F$79+Seg!$F$81+Seg!$F$83+Seg!$F$85</f>
        <v>356.93642920843</v>
      </c>
      <c r="G87" s="38" t="n">
        <f aca="false">Seg!$G$75+Seg!$G$77+Seg!$G$79+Seg!$G$81+Seg!$G$83+Seg!$G$85</f>
        <v>659.24242920843</v>
      </c>
      <c r="H87" s="38" t="n">
        <f aca="false">Seg!$H$75+Seg!$H$77+Seg!$H$79+Seg!$H$81+Seg!$H$83+Seg!$H$85</f>
        <v>729.935737621701</v>
      </c>
      <c r="I87" s="38" t="n">
        <f aca="false">Seg!$I$75+Seg!$I$77+Seg!$I$79+Seg!$I$81+Seg!$I$83+Seg!$I$85</f>
        <v>798.295569697873</v>
      </c>
      <c r="J87" s="38" t="n">
        <f aca="false">Seg!$J$75+Seg!$J$77+Seg!$J$79+Seg!$J$81+Seg!$J$83+Seg!$J$85</f>
        <v>861.736822325785</v>
      </c>
      <c r="K87" s="38" t="n">
        <f aca="false">Seg!$K$75+Seg!$K$77+Seg!$K$79+Seg!$K$81+Seg!$K$83+Seg!$K$85</f>
        <v>917.557492101925</v>
      </c>
      <c r="L87" s="38" t="n">
        <f aca="false">Seg!$L$75+Seg!$L$77+Seg!$L$79+Seg!$L$81+Seg!$L$83+Seg!$L$85</f>
        <v>977.285089743165</v>
      </c>
      <c r="M87" s="38" t="n">
        <f aca="false">Seg!$M$75+Seg!$M$77+Seg!$M$79+Seg!$M$81+Seg!$M$83+Seg!$M$85</f>
        <v>1041.2140185435</v>
      </c>
      <c r="N87" s="38" t="n">
        <f aca="false">Seg!$N$75+Seg!$N$77+Seg!$N$79+Seg!$N$81+Seg!$N$83+Seg!$N$85</f>
        <v>263.229</v>
      </c>
      <c r="O87" s="38" t="n">
        <f aca="false">Seg!$O$75+Seg!$O$77+Seg!$O$79+Seg!$O$81+Seg!$O$83+Seg!$O$85</f>
        <v>324.97</v>
      </c>
    </row>
    <row r="88" customFormat="false" ht="17.15" hidden="false" customHeight="false" outlineLevel="0" collapsed="false">
      <c r="A88" s="5" t="s">
        <v>636</v>
      </c>
      <c r="B88" s="0" t="s">
        <v>52</v>
      </c>
      <c r="C88" s="12" t="n">
        <f aca="false">Q!$D$5/(Q!$D$5+Q!$D$6)</f>
        <v>0.730570905519011</v>
      </c>
      <c r="D88" s="12" t="n">
        <f aca="false">Q!$E$5/(Q!$E$5+Q!$E$6)</f>
        <v>0.724763217890544</v>
      </c>
      <c r="E88" s="12" t="n">
        <f aca="false">Q!$P$5/(Q!$P$5+Q!$P$6)</f>
        <v>0.728797972914861</v>
      </c>
      <c r="F88" s="12" t="n">
        <f aca="false">Seg!$O$88</f>
        <v>0.718066283041511</v>
      </c>
      <c r="G88" s="12" t="n">
        <f aca="false">Seg!$G$89/Seg!$G$87</f>
        <v>0.722987468473627</v>
      </c>
      <c r="H88" s="12" t="n">
        <f aca="false">Seg!$G$88</f>
        <v>0.722987468473627</v>
      </c>
      <c r="I88" s="12" t="n">
        <f aca="false">Seg!$G$88</f>
        <v>0.722987468473627</v>
      </c>
      <c r="J88" s="12" t="n">
        <f aca="false">Seg!$G$88</f>
        <v>0.722987468473627</v>
      </c>
      <c r="K88" s="12" t="n">
        <f aca="false">Seg!$G$88</f>
        <v>0.722987468473627</v>
      </c>
      <c r="L88" s="12" t="n">
        <f aca="false">Seg!$G$88</f>
        <v>0.722987468473627</v>
      </c>
      <c r="M88" s="12" t="n">
        <f aca="false">Seg!$G$88</f>
        <v>0.722987468473627</v>
      </c>
      <c r="N88" s="12" t="n">
        <f aca="false">Q!$N$5/(Q!$N$5+Q!$N$6)</f>
        <v>0.733030935041352</v>
      </c>
      <c r="O88" s="12" t="n">
        <f aca="false">Q!$O$5/(Q!$O$5+Q!$O$6)</f>
        <v>0.718066283041511</v>
      </c>
      <c r="P88" s="8" t="s">
        <v>637</v>
      </c>
    </row>
    <row r="89" customFormat="false" ht="17.15" hidden="false" customHeight="false" outlineLevel="0" collapsed="false">
      <c r="A89" s="1" t="s">
        <v>472</v>
      </c>
      <c r="B89" s="8" t="s">
        <v>73</v>
      </c>
      <c r="C89" s="38" t="n">
        <f aca="false">Q!$D$5</f>
        <v>387.497</v>
      </c>
      <c r="D89" s="38" t="n">
        <f aca="false">Q!$E$5</f>
        <v>426.305</v>
      </c>
      <c r="E89" s="38" t="n">
        <f aca="false">Q!$P$5</f>
        <v>220.32</v>
      </c>
      <c r="F89" s="38" t="n">
        <f aca="false">Seg!$F$87*Seg!$F$88</f>
        <v>256.304015003807</v>
      </c>
      <c r="G89" s="38" t="n">
        <f aca="false">Seg!$E$89+Seg!$F$89</f>
        <v>476.624015003807</v>
      </c>
      <c r="H89" s="38" t="n">
        <f aca="false">Seg!$H$87*Seg!$H$88</f>
        <v>527.734391091543</v>
      </c>
      <c r="I89" s="38" t="n">
        <f aca="false">Seg!$I$87*Seg!$I$88</f>
        <v>577.157693029577</v>
      </c>
      <c r="J89" s="38" t="n">
        <f aca="false">Seg!$J$87*Seg!$J$88</f>
        <v>623.024923663827</v>
      </c>
      <c r="K89" s="38" t="n">
        <f aca="false">Seg!$K$87*Seg!$K$88</f>
        <v>663.382568393781</v>
      </c>
      <c r="L89" s="38" t="n">
        <f aca="false">Seg!$L$87*Seg!$L$88</f>
        <v>706.564873010432</v>
      </c>
      <c r="M89" s="38" t="n">
        <f aca="false">Seg!$M$87*Seg!$M$88</f>
        <v>752.784687406019</v>
      </c>
      <c r="N89" s="38" t="n">
        <f aca="false">Q!$N$5</f>
        <v>192.955</v>
      </c>
      <c r="O89" s="38" t="n">
        <f aca="false">Q!$O$5</f>
        <v>233.35</v>
      </c>
      <c r="P89" s="5" t="s">
        <v>638</v>
      </c>
    </row>
    <row r="90" customFormat="false" ht="17.15" hidden="false" customHeight="false" outlineLevel="0" collapsed="false">
      <c r="A90" s="1" t="s">
        <v>475</v>
      </c>
      <c r="B90" s="8" t="s">
        <v>73</v>
      </c>
      <c r="C90" s="38" t="n">
        <f aca="false">Q!$D$6</f>
        <v>142.906</v>
      </c>
      <c r="D90" s="38" t="n">
        <f aca="false">Q!$E$6</f>
        <v>161.894</v>
      </c>
      <c r="E90" s="38" t="n">
        <f aca="false">Q!$P$6</f>
        <v>81.986</v>
      </c>
      <c r="F90" s="38" t="n">
        <f aca="false">Seg!$F$87*(1-Seg!$F$88)</f>
        <v>100.632414204623</v>
      </c>
      <c r="G90" s="38" t="n">
        <f aca="false">Seg!$E$90+Seg!$F$90</f>
        <v>182.618414204623</v>
      </c>
      <c r="H90" s="38" t="n">
        <f aca="false">Seg!$H$87*(1-Seg!$H$88)</f>
        <v>202.201346530158</v>
      </c>
      <c r="I90" s="38" t="n">
        <f aca="false">Seg!$I$87*(1-Seg!$I$88)</f>
        <v>221.137876668296</v>
      </c>
      <c r="J90" s="38" t="n">
        <f aca="false">Seg!$J$87*(1-Seg!$J$88)</f>
        <v>238.711898661958</v>
      </c>
      <c r="K90" s="38" t="n">
        <f aca="false">Seg!$K$87*(1-Seg!$K$88)</f>
        <v>254.174923708144</v>
      </c>
      <c r="L90" s="38" t="n">
        <f aca="false">Seg!$L$87*(1-Seg!$L$88)</f>
        <v>270.720216732733</v>
      </c>
      <c r="M90" s="38" t="n">
        <f aca="false">Seg!$M$87*(1-Seg!$M$88)</f>
        <v>288.429331137484</v>
      </c>
      <c r="N90" s="38" t="n">
        <f aca="false">Q!$N$6</f>
        <v>70.274</v>
      </c>
      <c r="O90" s="38" t="n">
        <f aca="false">Q!$O$6</f>
        <v>91.62</v>
      </c>
      <c r="P90" s="5" t="s">
        <v>639</v>
      </c>
    </row>
    <row r="91" customFormat="false" ht="17.15" hidden="false" customHeight="false" outlineLevel="0" collapsed="false">
      <c r="A91" s="5" t="s">
        <v>640</v>
      </c>
      <c r="B91" s="0" t="s">
        <v>73</v>
      </c>
      <c r="C91" s="38" t="n">
        <f aca="false">Seg!$C$81*Seg!$C$88</f>
        <v>41.0683128828457</v>
      </c>
      <c r="D91" s="38" t="n">
        <f aca="false">Seg!$D$81*Seg!$D$88</f>
        <v>49.7441234599175</v>
      </c>
      <c r="E91" s="38" t="n">
        <f aca="false">Seg!$E$81*Seg!$E$88</f>
        <v>27.0034224924414</v>
      </c>
      <c r="F91" s="38" t="n">
        <f aca="false">Seg!$F$81*Seg!$F$88</f>
        <v>34.5772885649197</v>
      </c>
      <c r="G91" s="38" t="n">
        <f aca="false">Seg!$G$81*Seg!$G$88</f>
        <v>61.6023917531772</v>
      </c>
      <c r="H91" s="38" t="n">
        <f aca="false">Seg!$H$81*Seg!$H$88</f>
        <v>73.9568187320519</v>
      </c>
      <c r="I91" s="38" t="n">
        <f aca="false">Seg!$I$81*Seg!$I$88</f>
        <v>86.3101265625461</v>
      </c>
      <c r="J91" s="38" t="n">
        <f aca="false">Seg!$J$81*Seg!$J$88</f>
        <v>97.8339983977065</v>
      </c>
      <c r="K91" s="38" t="n">
        <f aca="false">Seg!$K$81*Seg!$K$88</f>
        <v>107.617398237477</v>
      </c>
      <c r="L91" s="38" t="n">
        <f aca="false">Seg!$L$81*Seg!$L$88</f>
        <v>118.379138061225</v>
      </c>
      <c r="M91" s="38" t="n">
        <f aca="false">Seg!$M$81*Seg!$M$88</f>
        <v>130.217051867347</v>
      </c>
      <c r="N91" s="38" t="n">
        <f aca="false">Seg!$N$81*Seg!$N$88</f>
        <v>21.7087111412496</v>
      </c>
      <c r="O91" s="38" t="n">
        <f aca="false">Seg!$O$81*Seg!$O$88</f>
        <v>28.0189463642798</v>
      </c>
      <c r="P91" s="5" t="s">
        <v>641</v>
      </c>
    </row>
    <row r="92" customFormat="false" ht="15" hidden="false" customHeight="false" outlineLevel="0" collapsed="false">
      <c r="A92" s="5" t="s">
        <v>642</v>
      </c>
      <c r="B92" s="0" t="s">
        <v>73</v>
      </c>
      <c r="C92" s="38" t="n">
        <f aca="false">Seg!$C$81-Seg!$C$91</f>
        <v>15.1456871171543</v>
      </c>
      <c r="D92" s="38" t="n">
        <f aca="false">Seg!$D$81-Seg!$D$91</f>
        <v>18.8908765400825</v>
      </c>
      <c r="E92" s="38" t="n">
        <f aca="false">Seg!$E$81-Seg!$E$91</f>
        <v>10.0485775075586</v>
      </c>
      <c r="F92" s="38" t="n">
        <f aca="false">Seg!$F$81-Seg!$F$91</f>
        <v>13.5760496178185</v>
      </c>
      <c r="G92" s="38" t="n">
        <f aca="false">Seg!$G$81-Seg!$G$91</f>
        <v>23.6029464295611</v>
      </c>
      <c r="H92" s="38" t="n">
        <f aca="false">Seg!$H$81-Seg!$H$91</f>
        <v>28.3365431268884</v>
      </c>
      <c r="I92" s="38" t="n">
        <f aca="false">Seg!$I$81-Seg!$I$91</f>
        <v>33.0697110226949</v>
      </c>
      <c r="J92" s="38" t="n">
        <f aca="false">Seg!$J$81-Seg!$J$91</f>
        <v>37.4850806511378</v>
      </c>
      <c r="K92" s="38" t="n">
        <f aca="false">Seg!$K$81-Seg!$K$91</f>
        <v>41.2335887162515</v>
      </c>
      <c r="L92" s="38" t="n">
        <f aca="false">Seg!$L$81-Seg!$L$91</f>
        <v>45.3569475878767</v>
      </c>
      <c r="M92" s="38" t="n">
        <f aca="false">Seg!$M$81-Seg!$M$91</f>
        <v>49.8926423466644</v>
      </c>
      <c r="N92" s="38" t="n">
        <f aca="false">Seg!$N$81-Seg!$N$91</f>
        <v>7.90628885875037</v>
      </c>
      <c r="O92" s="38" t="n">
        <f aca="false">Seg!$O$81-Seg!$O$91</f>
        <v>11.0010536357202</v>
      </c>
    </row>
    <row r="93" customFormat="false" ht="17.15" hidden="false" customHeight="false" outlineLevel="0" collapsed="false">
      <c r="A93" s="1" t="s">
        <v>643</v>
      </c>
    </row>
    <row r="94" customFormat="false" ht="17.15" hidden="false" customHeight="false" outlineLevel="0" collapsed="false">
      <c r="A94" s="0" t="s">
        <v>644</v>
      </c>
      <c r="B94" s="0" t="s">
        <v>73</v>
      </c>
      <c r="C94" s="38" t="n">
        <f aca="false">Thesis!$C$139</f>
        <v>2.32100535697364</v>
      </c>
      <c r="D94" s="38" t="n">
        <f aca="false">Thesis!$D$139</f>
        <v>8.70377008865116</v>
      </c>
      <c r="E94" s="38" t="n">
        <f aca="false">Thesis!$E$139</f>
        <v>8.51035297557002</v>
      </c>
      <c r="F94" s="38" t="n">
        <f aca="false">Thesis!$F$139</f>
        <v>14.1374173083338</v>
      </c>
      <c r="G94" s="38" t="n">
        <f aca="false">Thesis!$G$139</f>
        <v>22.6477702839038</v>
      </c>
      <c r="H94" s="38" t="n">
        <f aca="false">Thesis!$H$139</f>
        <v>53.4222901978634</v>
      </c>
      <c r="I94" s="38" t="n">
        <f aca="false">Thesis!$I$139</f>
        <v>87.7997462553011</v>
      </c>
      <c r="J94" s="38" t="n">
        <f aca="false">Thesis!$J$139</f>
        <v>122.330137401312</v>
      </c>
      <c r="K94" s="38" t="n">
        <f aca="false">Thesis!$K$139</f>
        <v>156.911506910181</v>
      </c>
      <c r="L94" s="38" t="n">
        <f aca="false">Thesis!$L$139</f>
        <v>191.516048402167</v>
      </c>
      <c r="M94" s="38" t="n">
        <f aca="false">Thesis!$M$139</f>
        <v>226.133067115831</v>
      </c>
      <c r="N94" s="38" t="n">
        <f aca="false">Thesis!$N$139</f>
        <v>3.04631953102791</v>
      </c>
      <c r="O94" s="38" t="n">
        <f aca="false">Thesis!$O$139</f>
        <v>5.65745055762326</v>
      </c>
      <c r="P94" s="8" t="s">
        <v>645</v>
      </c>
    </row>
    <row r="95" customFormat="false" ht="17.15" hidden="false" customHeight="false" outlineLevel="0" collapsed="false">
      <c r="A95" s="0" t="s">
        <v>646</v>
      </c>
      <c r="B95" s="0" t="s">
        <v>73</v>
      </c>
      <c r="C95" s="38" t="n">
        <f aca="false">Thesis!$C$143</f>
        <v>105.234994643026</v>
      </c>
      <c r="D95" s="38" t="n">
        <f aca="false">Thesis!$D$143</f>
        <v>120.021229911349</v>
      </c>
      <c r="E95" s="38" t="n">
        <f aca="false">Thesis!$E$143</f>
        <v>71.30864702443</v>
      </c>
      <c r="F95" s="38" t="n">
        <f aca="false">Thesis!$F$143</f>
        <v>78.5950104186653</v>
      </c>
      <c r="G95" s="38" t="n">
        <f aca="false">Thesis!$G$143</f>
        <v>149.903657443095</v>
      </c>
      <c r="H95" s="38" t="n">
        <f aca="false">Thesis!$H$143</f>
        <v>180.893560768142</v>
      </c>
      <c r="I95" s="38" t="n">
        <f aca="false">Thesis!$I$143</f>
        <v>210.64839721501</v>
      </c>
      <c r="J95" s="38" t="n">
        <f aca="false">Thesis!$J$143</f>
        <v>236.398909446495</v>
      </c>
      <c r="K95" s="38" t="n">
        <f aca="false">Thesis!$K$143</f>
        <v>255.310822202215</v>
      </c>
      <c r="L95" s="38" t="n">
        <f aca="false">Thesis!$L$143</f>
        <v>275.735687978392</v>
      </c>
      <c r="M95" s="38" t="n">
        <f aca="false">Thesis!$M$143</f>
        <v>297.794543016663</v>
      </c>
      <c r="N95" s="38" t="n">
        <f aca="false">Thesis!$N$143</f>
        <v>57.0936804689721</v>
      </c>
      <c r="O95" s="38" t="n">
        <f aca="false">Thesis!$O$143</f>
        <v>62.9275494423768</v>
      </c>
      <c r="P95" s="8" t="s">
        <v>645</v>
      </c>
    </row>
    <row r="96" customFormat="false" ht="17.15" hidden="false" customHeight="false" outlineLevel="0" collapsed="false">
      <c r="A96" s="1" t="s">
        <v>476</v>
      </c>
      <c r="B96" s="8" t="s">
        <v>73</v>
      </c>
      <c r="C96" s="38" t="n">
        <f aca="false">Q!$D$7</f>
        <v>107.556</v>
      </c>
      <c r="D96" s="38" t="n">
        <f aca="false">Q!$E$7</f>
        <v>128.725</v>
      </c>
      <c r="E96" s="38" t="n">
        <f aca="false">Q!$P$7</f>
        <v>79.819</v>
      </c>
      <c r="F96" s="38" t="n">
        <f aca="false">Seg!$F$94+Seg!$F$95</f>
        <v>92.7324277269991</v>
      </c>
      <c r="G96" s="38" t="n">
        <f aca="false">Seg!$G$94+Seg!$G$95</f>
        <v>172.551427726999</v>
      </c>
      <c r="H96" s="38" t="n">
        <f aca="false">Seg!$H$94+Seg!$H$95</f>
        <v>234.315850966005</v>
      </c>
      <c r="I96" s="38" t="n">
        <f aca="false">Seg!$I$94+Seg!$I$95</f>
        <v>298.448143470312</v>
      </c>
      <c r="J96" s="38" t="n">
        <f aca="false">Seg!$J$94+Seg!$J$95</f>
        <v>358.729046847807</v>
      </c>
      <c r="K96" s="38" t="n">
        <f aca="false">Seg!$K$94+Seg!$K$95</f>
        <v>412.222329112395</v>
      </c>
      <c r="L96" s="38" t="n">
        <f aca="false">Seg!$L$94+Seg!$L$95</f>
        <v>467.251736380559</v>
      </c>
      <c r="M96" s="38" t="n">
        <f aca="false">Seg!$M$94+Seg!$M$95</f>
        <v>523.927610132494</v>
      </c>
      <c r="N96" s="38" t="n">
        <f aca="false">Q!$N$7</f>
        <v>60.14</v>
      </c>
      <c r="O96" s="38" t="n">
        <f aca="false">Q!$O$7</f>
        <v>68.585</v>
      </c>
      <c r="P96" s="5" t="s">
        <v>647</v>
      </c>
    </row>
    <row r="97" customFormat="false" ht="15" hidden="false" customHeight="false" outlineLevel="0" collapsed="false">
      <c r="A97" s="3" t="s">
        <v>648</v>
      </c>
      <c r="B97" s="8" t="s">
        <v>73</v>
      </c>
      <c r="C97" s="38" t="n">
        <f aca="false">Q!$D$8</f>
        <v>637.959</v>
      </c>
      <c r="D97" s="38" t="n">
        <f aca="false">Q!$E$8</f>
        <v>716.924</v>
      </c>
      <c r="E97" s="38" t="n">
        <f aca="false">Q!$P$8</f>
        <v>382.125</v>
      </c>
      <c r="F97" s="38" t="n">
        <f aca="false">Seg!$F$87+Seg!$F$96</f>
        <v>449.668856935429</v>
      </c>
      <c r="G97" s="38" t="n">
        <f aca="false">Seg!$G$87+Seg!$G$96</f>
        <v>831.793856935429</v>
      </c>
      <c r="H97" s="38" t="n">
        <f aca="false">Seg!$H$87+Seg!$H$96</f>
        <v>964.251588587706</v>
      </c>
      <c r="I97" s="38" t="n">
        <f aca="false">Seg!$I$87+Seg!$I$96</f>
        <v>1096.74371316818</v>
      </c>
      <c r="J97" s="38" t="n">
        <f aca="false">Seg!$J$87+Seg!$J$96</f>
        <v>1220.46586917359</v>
      </c>
      <c r="K97" s="38" t="n">
        <f aca="false">Seg!$K$87+Seg!$K$96</f>
        <v>1329.77982121432</v>
      </c>
      <c r="L97" s="38" t="n">
        <f aca="false">Seg!$L$87+Seg!$L$96</f>
        <v>1444.53682612372</v>
      </c>
      <c r="M97" s="38" t="n">
        <f aca="false">Seg!$M$87+Seg!$M$96</f>
        <v>1565.141628676</v>
      </c>
      <c r="N97" s="38" t="n">
        <f aca="false">Q!$N$8</f>
        <v>323.369</v>
      </c>
      <c r="O97" s="38" t="n">
        <f aca="false">Q!$O$8</f>
        <v>393.555</v>
      </c>
    </row>
    <row r="98" customFormat="false" ht="17.15" hidden="false" customHeight="false" outlineLevel="0" collapsed="false">
      <c r="A98" s="24" t="s">
        <v>660</v>
      </c>
      <c r="B98" s="25" t="s">
        <v>73</v>
      </c>
      <c r="C98" s="39" t="n">
        <f aca="false">Seg!$C$87-(Seg!$C$89+Seg!$C$90)</f>
        <v>0</v>
      </c>
      <c r="D98" s="39" t="n">
        <f aca="false">Seg!$D$87-(Seg!$D$89+Seg!$D$90)</f>
        <v>0</v>
      </c>
      <c r="E98" s="39" t="n">
        <f aca="false">Seg!$E$87-(Seg!$E$89+Seg!$E$90)</f>
        <v>0</v>
      </c>
      <c r="F98" s="39" t="n">
        <f aca="false">Seg!$F$87-(Seg!$F$89+Seg!$F$90)</f>
        <v>0</v>
      </c>
      <c r="G98" s="39" t="n">
        <f aca="false">Seg!$G$87-(Seg!$G$89+Seg!$G$90)</f>
        <v>0</v>
      </c>
      <c r="H98" s="39" t="n">
        <f aca="false">Seg!$H$87-(Seg!$H$89+Seg!$H$90)</f>
        <v>0</v>
      </c>
      <c r="I98" s="39" t="n">
        <f aca="false">Seg!$I$87-(Seg!$I$89+Seg!$I$90)</f>
        <v>0</v>
      </c>
      <c r="J98" s="39" t="n">
        <f aca="false">Seg!$J$87-(Seg!$J$89+Seg!$J$90)</f>
        <v>0</v>
      </c>
      <c r="K98" s="39" t="n">
        <f aca="false">Seg!$K$87-(Seg!$K$89+Seg!$K$90)</f>
        <v>0</v>
      </c>
      <c r="L98" s="39" t="n">
        <f aca="false">Seg!$L$87-(Seg!$L$89+Seg!$L$90)</f>
        <v>0</v>
      </c>
      <c r="M98" s="39" t="n">
        <f aca="false">Seg!$M$87-(Seg!$M$89+Seg!$M$90)</f>
        <v>0</v>
      </c>
      <c r="N98" s="39" t="n">
        <f aca="false">Seg!$N$87-(Seg!$N$89+Seg!$N$90)</f>
        <v>0</v>
      </c>
      <c r="O98" s="39" t="n">
        <f aca="false">Seg!$O$87-(Seg!$O$89+Seg!$O$90)</f>
        <v>0</v>
      </c>
    </row>
    <row r="99" customFormat="false" ht="17.15" hidden="false" customHeight="false" outlineLevel="0" collapsed="false">
      <c r="A99" s="24" t="s">
        <v>661</v>
      </c>
      <c r="B99" s="25" t="s">
        <v>73</v>
      </c>
      <c r="C99" s="39" t="n">
        <f aca="false">Seg!$C$94+Seg!$C$95-Seg!$C$96</f>
        <v>0</v>
      </c>
      <c r="D99" s="39" t="n">
        <f aca="false">Seg!$D$94+Seg!$D$95-Seg!$D$96</f>
        <v>0</v>
      </c>
      <c r="E99" s="39" t="n">
        <f aca="false">Seg!$E$94+Seg!$E$95-Seg!$E$96</f>
        <v>0</v>
      </c>
      <c r="F99" s="39" t="n">
        <f aca="false">Seg!$F$94+Seg!$F$95-Seg!$F$96</f>
        <v>0</v>
      </c>
      <c r="G99" s="39" t="n">
        <f aca="false">Seg!$G$94+Seg!$G$95-Seg!$G$96</f>
        <v>0</v>
      </c>
      <c r="H99" s="39" t="n">
        <f aca="false">Seg!$H$94+Seg!$H$95-Seg!$H$96</f>
        <v>0</v>
      </c>
      <c r="I99" s="39" t="n">
        <f aca="false">Seg!$I$94+Seg!$I$95-Seg!$I$96</f>
        <v>0</v>
      </c>
      <c r="J99" s="39" t="n">
        <f aca="false">Seg!$J$94+Seg!$J$95-Seg!$J$96</f>
        <v>0</v>
      </c>
      <c r="K99" s="39" t="n">
        <f aca="false">Seg!$K$94+Seg!$K$95-Seg!$K$96</f>
        <v>0</v>
      </c>
      <c r="L99" s="39" t="n">
        <f aca="false">Seg!$L$94+Seg!$L$95-Seg!$L$96</f>
        <v>0</v>
      </c>
      <c r="M99" s="39" t="n">
        <f aca="false">Seg!$M$94+Seg!$M$95-Seg!$M$96</f>
        <v>0</v>
      </c>
      <c r="N99" s="39" t="n">
        <f aca="false">Seg!$N$94+Seg!$N$95-Seg!$N$96</f>
        <v>0</v>
      </c>
      <c r="O99" s="39" t="n">
        <f aca="false">Seg!$O$94+Seg!$O$95-Seg!$O$96</f>
        <v>0</v>
      </c>
    </row>
    <row r="100" customFormat="false" ht="17.15" hidden="false" customHeight="false" outlineLevel="0" collapsed="false">
      <c r="A100" s="24" t="s">
        <v>662</v>
      </c>
      <c r="B100" s="25" t="s">
        <v>73</v>
      </c>
      <c r="C100" s="39" t="n">
        <f aca="false">Seg!$C$89+Seg!$C$90+Seg!$C$96-Seg!$C$97</f>
        <v>0</v>
      </c>
      <c r="D100" s="39" t="n">
        <f aca="false">Seg!$D$89+Seg!$D$90+Seg!$D$96-Seg!$D$97</f>
        <v>0</v>
      </c>
      <c r="E100" s="39" t="n">
        <f aca="false">Seg!$E$89+Seg!$E$90+Seg!$E$96-Seg!$E$97</f>
        <v>0</v>
      </c>
      <c r="F100" s="39" t="n">
        <f aca="false">Seg!$F$89+Seg!$F$90+Seg!$F$96-Seg!$F$97</f>
        <v>0</v>
      </c>
      <c r="G100" s="39" t="n">
        <f aca="false">Seg!$G$89+Seg!$G$90+Seg!$G$96-Seg!$G$97</f>
        <v>0</v>
      </c>
      <c r="H100" s="39" t="n">
        <f aca="false">Seg!$H$89+Seg!$H$90+Seg!$H$96-Seg!$H$97</f>
        <v>0</v>
      </c>
      <c r="I100" s="39" t="n">
        <f aca="false">Seg!$I$89+Seg!$I$90+Seg!$I$96-Seg!$I$97</f>
        <v>0</v>
      </c>
      <c r="J100" s="39" t="n">
        <f aca="false">Seg!$J$89+Seg!$J$90+Seg!$J$96-Seg!$J$97</f>
        <v>0</v>
      </c>
      <c r="K100" s="39" t="n">
        <f aca="false">Seg!$K$89+Seg!$K$90+Seg!$K$96-Seg!$K$97</f>
        <v>0</v>
      </c>
      <c r="L100" s="39" t="n">
        <f aca="false">Seg!$L$89+Seg!$L$90+Seg!$L$96-Seg!$L$97</f>
        <v>0</v>
      </c>
      <c r="M100" s="39" t="n">
        <f aca="false">Seg!$M$89+Seg!$M$90+Seg!$M$96-Seg!$M$97</f>
        <v>0</v>
      </c>
      <c r="N100" s="39" t="n">
        <f aca="false">Seg!$N$89+Seg!$N$90+Seg!$N$96-Seg!$N$97</f>
        <v>0</v>
      </c>
      <c r="O100" s="39" t="n">
        <f aca="false">Seg!$O$89+Seg!$O$90+Seg!$O$96-Seg!$O$97</f>
        <v>0</v>
      </c>
    </row>
    <row r="101" customFormat="false" ht="15" hidden="false" customHeight="false" outlineLevel="0" collapsed="false">
      <c r="A101" s="5" t="s">
        <v>652</v>
      </c>
      <c r="B101" s="0" t="s">
        <v>52</v>
      </c>
      <c r="G101" s="12" t="n">
        <f aca="false">Seg!$G$97/Seg!$D$97-1</f>
        <v>0.160225988996642</v>
      </c>
      <c r="H101" s="12" t="n">
        <f aca="false">Seg!$H$97/Seg!$G$97-1</f>
        <v>0.159243459840266</v>
      </c>
      <c r="I101" s="12" t="n">
        <f aca="false">Seg!$I$97/Seg!$H$97-1</f>
        <v>0.137404102983676</v>
      </c>
      <c r="J101" s="12" t="n">
        <f aca="false">Seg!$J$97/Seg!$I$97-1</f>
        <v>0.1128086302387</v>
      </c>
      <c r="K101" s="12" t="n">
        <f aca="false">Seg!$K$97/Seg!$J$97-1</f>
        <v>0.0895673978287874</v>
      </c>
      <c r="L101" s="12" t="n">
        <f aca="false">Seg!$L$97/Seg!$K$97-1</f>
        <v>0.0862977487540833</v>
      </c>
      <c r="M101" s="12" t="n">
        <f aca="false">Seg!$M$97/Seg!$L$97-1</f>
        <v>0.0834902927853387</v>
      </c>
    </row>
    <row r="102" customFormat="false" ht="17.15" hidden="false" customHeight="false" outlineLevel="0" collapsed="false">
      <c r="A102" s="0" t="s">
        <v>653</v>
      </c>
      <c r="B102" s="0" t="s">
        <v>52</v>
      </c>
      <c r="C102" s="12" t="n">
        <f aca="false">Seg!$C$96/Seg!$C$97</f>
        <v>0.168593906504964</v>
      </c>
      <c r="D102" s="12" t="n">
        <f aca="false">Seg!$D$96/Seg!$D$97</f>
        <v>0.179551807444025</v>
      </c>
      <c r="E102" s="12" t="n">
        <f aca="false">Seg!$E$96/Seg!$E$97</f>
        <v>0.208881910369643</v>
      </c>
      <c r="F102" s="12" t="n">
        <f aca="false">Seg!$F$96/Seg!$F$97</f>
        <v>0.206223816252223</v>
      </c>
      <c r="G102" s="12" t="n">
        <f aca="false">Seg!$G$96/Seg!$G$97</f>
        <v>0.207444941181375</v>
      </c>
      <c r="H102" s="12" t="n">
        <f aca="false">Seg!$H$96/Seg!$H$97</f>
        <v>0.243002815592139</v>
      </c>
      <c r="I102" s="12" t="n">
        <f aca="false">Seg!$I$96/Seg!$I$97</f>
        <v>0.272122046278413</v>
      </c>
      <c r="J102" s="12" t="n">
        <f aca="false">Seg!$J$96/Seg!$J$97</f>
        <v>0.293927963008676</v>
      </c>
      <c r="K102" s="12" t="n">
        <f aca="false">Seg!$K$96/Seg!$K$97</f>
        <v>0.309992919531569</v>
      </c>
      <c r="L102" s="12" t="n">
        <f aca="false">Seg!$L$96/Seg!$L$97</f>
        <v>0.323461283873519</v>
      </c>
      <c r="M102" s="12" t="n">
        <f aca="false">Seg!$M$96/Seg!$M$97</f>
        <v>0.334747731791979</v>
      </c>
      <c r="N102" s="12" t="n">
        <f aca="false">Seg!$N$96/Seg!$N$97</f>
        <v>0.185979484737251</v>
      </c>
      <c r="O102" s="12" t="n">
        <f aca="false">Seg!$O$96/Seg!$O$97</f>
        <v>0.174270432341096</v>
      </c>
    </row>
    <row r="103" customFormat="false" ht="17.15" hidden="false" customHeight="false" outlineLevel="0" collapsed="false">
      <c r="A103" s="0" t="s">
        <v>654</v>
      </c>
      <c r="B103" s="0" t="s">
        <v>52</v>
      </c>
      <c r="C103" s="12" t="n">
        <f aca="false">Seg!$C$94/Seg!$C$96</f>
        <v>0.0215795060896058</v>
      </c>
      <c r="D103" s="12" t="n">
        <f aca="false">Seg!$D$94/Seg!$D$96</f>
        <v>0.0676152269462122</v>
      </c>
      <c r="E103" s="12" t="n">
        <f aca="false">Seg!$E$94/Seg!$E$96</f>
        <v>0.106620641395783</v>
      </c>
      <c r="F103" s="12" t="n">
        <f aca="false">Seg!$F$94/Seg!$F$96</f>
        <v>0.15245386813288</v>
      </c>
      <c r="G103" s="12" t="n">
        <f aca="false">Seg!$G$94/Seg!$G$96</f>
        <v>0.131252291460235</v>
      </c>
      <c r="H103" s="12" t="n">
        <f aca="false">Seg!$H$94/Seg!$H$96</f>
        <v>0.227992643167849</v>
      </c>
      <c r="I103" s="12" t="n">
        <f aca="false">Seg!$I$94/Seg!$I$96</f>
        <v>0.294187610733237</v>
      </c>
      <c r="J103" s="12" t="n">
        <f aca="false">Seg!$J$94/Seg!$J$96</f>
        <v>0.341009847059336</v>
      </c>
      <c r="K103" s="12" t="n">
        <f aca="false">Seg!$K$94/Seg!$K$96</f>
        <v>0.380647761726168</v>
      </c>
      <c r="L103" s="12" t="n">
        <f aca="false">Seg!$L$94/Seg!$L$96</f>
        <v>0.409877660136044</v>
      </c>
      <c r="M103" s="12" t="n">
        <f aca="false">Seg!$M$94/Seg!$M$96</f>
        <v>0.431611281296371</v>
      </c>
      <c r="N103" s="12" t="n">
        <f aca="false">Seg!$N$94/Seg!$N$96</f>
        <v>0.0506537999838362</v>
      </c>
      <c r="O103" s="12" t="n">
        <f aca="false">Seg!$O$94/Seg!$O$96</f>
        <v>0.0824881615167056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15" min="3" style="0" width="11"/>
    <col collapsed="false" customWidth="true" hidden="false" outlineLevel="0" max="16" min="16" style="0" width="60"/>
  </cols>
  <sheetData>
    <row r="1" customFormat="false" ht="17.15" hidden="false" customHeight="false" outlineLevel="0" collapsed="false">
      <c r="A1" s="0" t="s">
        <v>663</v>
      </c>
    </row>
    <row r="2" customFormat="false" ht="17.15" hidden="false" customHeight="false" outlineLevel="0" collapsed="false">
      <c r="A2" s="5" t="s">
        <v>664</v>
      </c>
    </row>
    <row r="4" customFormat="false" ht="17.15" hidden="false" customHeight="false" outlineLevel="0" collapsed="false">
      <c r="A4" s="3" t="s">
        <v>665</v>
      </c>
    </row>
    <row r="5" customFormat="false" ht="17.15" hidden="false" customHeight="false" outlineLevel="0" collapsed="false">
      <c r="A5" s="6" t="s">
        <v>16</v>
      </c>
      <c r="B5" s="6" t="s">
        <v>17</v>
      </c>
      <c r="C5" s="20" t="s">
        <v>457</v>
      </c>
      <c r="D5" s="20" t="s">
        <v>458</v>
      </c>
      <c r="E5" s="20" t="s">
        <v>540</v>
      </c>
      <c r="F5" s="20" t="s">
        <v>541</v>
      </c>
      <c r="G5" s="20" t="s">
        <v>542</v>
      </c>
      <c r="H5" s="20" t="s">
        <v>543</v>
      </c>
      <c r="I5" s="20" t="s">
        <v>544</v>
      </c>
      <c r="J5" s="20" t="s">
        <v>545</v>
      </c>
      <c r="K5" s="20" t="s">
        <v>546</v>
      </c>
      <c r="L5" s="20" t="s">
        <v>547</v>
      </c>
      <c r="M5" s="20" t="s">
        <v>548</v>
      </c>
      <c r="N5" s="20" t="s">
        <v>549</v>
      </c>
      <c r="O5" s="20" t="s">
        <v>550</v>
      </c>
      <c r="P5" s="6" t="s">
        <v>23</v>
      </c>
    </row>
    <row r="6" customFormat="false" ht="17.15" hidden="false" customHeight="false" outlineLevel="0" collapsed="false">
      <c r="A6" s="24" t="s">
        <v>487</v>
      </c>
      <c r="B6" s="25" t="s">
        <v>73</v>
      </c>
      <c r="C6" s="40" t="n">
        <f aca="false">ABS(PL!$C$28)+ABS(PL!$C$94)+ABS(PL!$C$160)</f>
        <v>0</v>
      </c>
      <c r="D6" s="40" t="n">
        <f aca="false">ABS(PL!$D$28)+ABS(PL!$D$94)+ABS(PL!$D$160)</f>
        <v>0</v>
      </c>
      <c r="E6" s="40" t="n">
        <f aca="false">ABS(PL!$E$28)+ABS(PL!$E$94)+ABS(PL!$E$160)</f>
        <v>0</v>
      </c>
      <c r="F6" s="40" t="n">
        <f aca="false">ABS(PL!$F$28)+ABS(PL!$F$94)+ABS(PL!$F$160)</f>
        <v>0</v>
      </c>
      <c r="G6" s="40" t="n">
        <f aca="false">ABS(PL!$G$28)+ABS(PL!$G$94)+ABS(PL!$G$160)</f>
        <v>0</v>
      </c>
      <c r="H6" s="40" t="n">
        <f aca="false">ABS(PL!$H$28)+ABS(PL!$H$94)+ABS(PL!$H$160)</f>
        <v>0</v>
      </c>
      <c r="I6" s="40" t="n">
        <f aca="false">ABS(PL!$I$28)+ABS(PL!$I$94)+ABS(PL!$I$160)</f>
        <v>0</v>
      </c>
      <c r="J6" s="40" t="n">
        <f aca="false">ABS(PL!$J$28)+ABS(PL!$J$94)+ABS(PL!$J$160)</f>
        <v>0</v>
      </c>
      <c r="K6" s="40" t="n">
        <f aca="false">ABS(PL!$K$28)+ABS(PL!$K$94)+ABS(PL!$K$160)</f>
        <v>0</v>
      </c>
      <c r="L6" s="40" t="n">
        <f aca="false">ABS(PL!$L$28)+ABS(PL!$L$94)+ABS(PL!$L$160)</f>
        <v>0</v>
      </c>
      <c r="M6" s="40" t="n">
        <f aca="false">ABS(PL!$M$28)+ABS(PL!$M$94)+ABS(PL!$M$160)</f>
        <v>0</v>
      </c>
      <c r="N6" s="40" t="n">
        <f aca="false">ABS(PL!$N$28)+ABS(PL!$N$94)+ABS(PL!$N$160)</f>
        <v>0</v>
      </c>
      <c r="O6" s="40" t="n">
        <f aca="false">ABS(PL!$O$28)+ABS(PL!$O$94)+ABS(PL!$O$160)</f>
        <v>0</v>
      </c>
    </row>
    <row r="7" customFormat="false" ht="17.15" hidden="false" customHeight="false" outlineLevel="0" collapsed="false">
      <c r="A7" s="24" t="s">
        <v>666</v>
      </c>
      <c r="B7" s="25" t="s">
        <v>73</v>
      </c>
      <c r="C7" s="40" t="n">
        <f aca="false">ABS(PL!$C$29)+ABS(PL!$C$95)+ABS(PL!$C$161)</f>
        <v>0</v>
      </c>
      <c r="D7" s="40" t="n">
        <f aca="false">ABS(PL!$D$29)+ABS(PL!$D$95)+ABS(PL!$D$161)</f>
        <v>0</v>
      </c>
      <c r="E7" s="40" t="n">
        <f aca="false">ABS(PL!$E$29)+ABS(PL!$E$95)+ABS(PL!$E$161)</f>
        <v>0</v>
      </c>
      <c r="F7" s="40" t="n">
        <f aca="false">ABS(PL!$F$29)+ABS(PL!$F$95)+ABS(PL!$F$161)</f>
        <v>0</v>
      </c>
      <c r="G7" s="40" t="n">
        <f aca="false">ABS(PL!$G$29)+ABS(PL!$G$95)+ABS(PL!$G$161)</f>
        <v>0</v>
      </c>
      <c r="H7" s="40" t="n">
        <f aca="false">ABS(PL!$H$29)+ABS(PL!$H$95)+ABS(PL!$H$161)</f>
        <v>0</v>
      </c>
      <c r="I7" s="40" t="n">
        <f aca="false">ABS(PL!$I$29)+ABS(PL!$I$95)+ABS(PL!$I$161)</f>
        <v>0</v>
      </c>
      <c r="J7" s="40" t="n">
        <f aca="false">ABS(PL!$J$29)+ABS(PL!$J$95)+ABS(PL!$J$161)</f>
        <v>0</v>
      </c>
      <c r="K7" s="40" t="n">
        <f aca="false">ABS(PL!$K$29)+ABS(PL!$K$95)+ABS(PL!$K$161)</f>
        <v>0</v>
      </c>
      <c r="L7" s="40" t="n">
        <f aca="false">ABS(PL!$L$29)+ABS(PL!$L$95)+ABS(PL!$L$161)</f>
        <v>0</v>
      </c>
      <c r="M7" s="40" t="n">
        <f aca="false">ABS(PL!$M$29)+ABS(PL!$M$95)+ABS(PL!$M$161)</f>
        <v>0</v>
      </c>
      <c r="N7" s="40" t="n">
        <f aca="false">ABS(PL!$N$29)+ABS(PL!$N$95)+ABS(PL!$N$161)</f>
        <v>0</v>
      </c>
      <c r="O7" s="40" t="n">
        <f aca="false">ABS(PL!$O$29)+ABS(PL!$O$95)+ABS(PL!$O$161)</f>
        <v>0</v>
      </c>
    </row>
    <row r="8" customFormat="false" ht="17.15" hidden="false" customHeight="false" outlineLevel="0" collapsed="false">
      <c r="A8" s="24" t="s">
        <v>488</v>
      </c>
      <c r="B8" s="25" t="s">
        <v>73</v>
      </c>
      <c r="C8" s="40" t="n">
        <f aca="false">ABS(PL!$C$30)+ABS(PL!$C$96)+ABS(PL!$C$162)</f>
        <v>0</v>
      </c>
      <c r="D8" s="40" t="n">
        <f aca="false">ABS(PL!$D$30)+ABS(PL!$D$96)+ABS(PL!$D$162)</f>
        <v>0</v>
      </c>
      <c r="E8" s="40" t="n">
        <f aca="false">ABS(PL!$E$30)+ABS(PL!$E$96)+ABS(PL!$E$162)</f>
        <v>0</v>
      </c>
      <c r="F8" s="40" t="n">
        <f aca="false">ABS(PL!$F$30)+ABS(PL!$F$96)+ABS(PL!$F$162)</f>
        <v>0</v>
      </c>
      <c r="G8" s="40" t="n">
        <f aca="false">ABS(PL!$G$30)+ABS(PL!$G$96)+ABS(PL!$G$162)</f>
        <v>0</v>
      </c>
      <c r="H8" s="40" t="n">
        <f aca="false">ABS(PL!$H$30)+ABS(PL!$H$96)+ABS(PL!$H$162)</f>
        <v>0</v>
      </c>
      <c r="I8" s="40" t="n">
        <f aca="false">ABS(PL!$I$30)+ABS(PL!$I$96)+ABS(PL!$I$162)</f>
        <v>0</v>
      </c>
      <c r="J8" s="40" t="n">
        <f aca="false">ABS(PL!$J$30)+ABS(PL!$J$96)+ABS(PL!$J$162)</f>
        <v>0</v>
      </c>
      <c r="K8" s="40" t="n">
        <f aca="false">ABS(PL!$K$30)+ABS(PL!$K$96)+ABS(PL!$K$162)</f>
        <v>0</v>
      </c>
      <c r="L8" s="40" t="n">
        <f aca="false">ABS(PL!$L$30)+ABS(PL!$L$96)+ABS(PL!$L$162)</f>
        <v>0</v>
      </c>
      <c r="M8" s="40" t="n">
        <f aca="false">ABS(PL!$M$30)+ABS(PL!$M$96)+ABS(PL!$M$162)</f>
        <v>0</v>
      </c>
      <c r="N8" s="40" t="n">
        <f aca="false">ABS(PL!$N$30)+ABS(PL!$N$96)+ABS(PL!$N$162)</f>
        <v>0</v>
      </c>
      <c r="O8" s="40" t="n">
        <f aca="false">ABS(PL!$O$30)+ABS(PL!$O$96)+ABS(PL!$O$162)</f>
        <v>0</v>
      </c>
    </row>
    <row r="9" customFormat="false" ht="15" hidden="false" customHeight="false" outlineLevel="0" collapsed="false">
      <c r="A9" s="24" t="s">
        <v>489</v>
      </c>
      <c r="B9" s="25" t="s">
        <v>73</v>
      </c>
      <c r="C9" s="40" t="n">
        <f aca="false">ABS(PL!$C$31)+ABS(PL!$C$97)+ABS(PL!$C$163)</f>
        <v>0</v>
      </c>
      <c r="D9" s="40" t="n">
        <f aca="false">ABS(PL!$D$31)+ABS(PL!$D$97)+ABS(PL!$D$163)</f>
        <v>0</v>
      </c>
      <c r="E9" s="40" t="n">
        <f aca="false">ABS(PL!$E$31)+ABS(PL!$E$97)+ABS(PL!$E$163)</f>
        <v>0</v>
      </c>
      <c r="F9" s="40" t="n">
        <f aca="false">ABS(PL!$F$31)+ABS(PL!$F$97)+ABS(PL!$F$163)</f>
        <v>0</v>
      </c>
      <c r="G9" s="40" t="n">
        <f aca="false">ABS(PL!$G$31)+ABS(PL!$G$97)+ABS(PL!$G$163)</f>
        <v>0</v>
      </c>
      <c r="H9" s="40" t="n">
        <f aca="false">ABS(PL!$H$31)+ABS(PL!$H$97)+ABS(PL!$H$163)</f>
        <v>0</v>
      </c>
      <c r="I9" s="40" t="n">
        <f aca="false">ABS(PL!$I$31)+ABS(PL!$I$97)+ABS(PL!$I$163)</f>
        <v>0</v>
      </c>
      <c r="J9" s="40" t="n">
        <f aca="false">ABS(PL!$J$31)+ABS(PL!$J$97)+ABS(PL!$J$163)</f>
        <v>0</v>
      </c>
      <c r="K9" s="40" t="n">
        <f aca="false">ABS(PL!$K$31)+ABS(PL!$K$97)+ABS(PL!$K$163)</f>
        <v>0</v>
      </c>
      <c r="L9" s="40" t="n">
        <f aca="false">ABS(PL!$L$31)+ABS(PL!$L$97)+ABS(PL!$L$163)</f>
        <v>0</v>
      </c>
      <c r="M9" s="40" t="n">
        <f aca="false">ABS(PL!$M$31)+ABS(PL!$M$97)+ABS(PL!$M$163)</f>
        <v>0</v>
      </c>
      <c r="N9" s="40" t="n">
        <f aca="false">ABS(PL!$N$31)+ABS(PL!$N$97)+ABS(PL!$N$163)</f>
        <v>0</v>
      </c>
      <c r="O9" s="40" t="n">
        <f aca="false">ABS(PL!$O$31)+ABS(PL!$O$97)+ABS(PL!$O$163)</f>
        <v>0</v>
      </c>
    </row>
    <row r="10" customFormat="false" ht="15" hidden="false" customHeight="false" outlineLevel="0" collapsed="false">
      <c r="A10" s="24" t="s">
        <v>667</v>
      </c>
      <c r="B10" s="25" t="s">
        <v>73</v>
      </c>
      <c r="C10" s="40" t="n">
        <f aca="false">ABS(PL!$C$48)+ABS(PL!$C$114)+ABS(PL!$C$180)</f>
        <v>0</v>
      </c>
      <c r="D10" s="40" t="n">
        <f aca="false">ABS(PL!$D$48)+ABS(PL!$D$114)+ABS(PL!$D$180)</f>
        <v>0</v>
      </c>
      <c r="E10" s="40" t="n">
        <f aca="false">ABS(PL!$E$48)+ABS(PL!$E$114)+ABS(PL!$E$180)</f>
        <v>0</v>
      </c>
      <c r="F10" s="40" t="n">
        <f aca="false">ABS(PL!$F$48)+ABS(PL!$F$114)+ABS(PL!$F$180)</f>
        <v>0</v>
      </c>
      <c r="G10" s="40" t="n">
        <f aca="false">ABS(PL!$G$48)+ABS(PL!$G$114)+ABS(PL!$G$180)</f>
        <v>0</v>
      </c>
      <c r="H10" s="40" t="n">
        <f aca="false">ABS(PL!$H$48)+ABS(PL!$H$114)+ABS(PL!$H$180)</f>
        <v>0</v>
      </c>
      <c r="I10" s="40" t="n">
        <f aca="false">ABS(PL!$I$48)+ABS(PL!$I$114)+ABS(PL!$I$180)</f>
        <v>0</v>
      </c>
      <c r="J10" s="40" t="n">
        <f aca="false">ABS(PL!$J$48)+ABS(PL!$J$114)+ABS(PL!$J$180)</f>
        <v>0</v>
      </c>
      <c r="K10" s="40" t="n">
        <f aca="false">ABS(PL!$K$48)+ABS(PL!$K$114)+ABS(PL!$K$180)</f>
        <v>0</v>
      </c>
      <c r="L10" s="40" t="n">
        <f aca="false">ABS(PL!$L$48)+ABS(PL!$L$114)+ABS(PL!$L$180)</f>
        <v>0</v>
      </c>
      <c r="M10" s="40" t="n">
        <f aca="false">ABS(PL!$M$48)+ABS(PL!$M$114)+ABS(PL!$M$180)</f>
        <v>0</v>
      </c>
      <c r="N10" s="40" t="n">
        <f aca="false">ABS(PL!$N$48)+ABS(PL!$N$114)+ABS(PL!$N$180)</f>
        <v>0</v>
      </c>
      <c r="O10" s="40" t="n">
        <f aca="false">ABS(PL!$O$48)+ABS(PL!$O$114)+ABS(PL!$O$180)</f>
        <v>0</v>
      </c>
    </row>
    <row r="12" customFormat="false" ht="19.4" hidden="false" customHeight="false" outlineLevel="0" collapsed="false">
      <c r="A12" s="31" t="s">
        <v>668</v>
      </c>
    </row>
    <row r="13" customFormat="false" ht="17.15" hidden="false" customHeight="false" outlineLevel="0" collapsed="false">
      <c r="A13" s="6" t="s">
        <v>16</v>
      </c>
      <c r="B13" s="6" t="s">
        <v>17</v>
      </c>
      <c r="C13" s="20" t="s">
        <v>457</v>
      </c>
      <c r="D13" s="20" t="s">
        <v>458</v>
      </c>
      <c r="E13" s="20" t="s">
        <v>540</v>
      </c>
      <c r="F13" s="20" t="s">
        <v>541</v>
      </c>
      <c r="G13" s="20" t="s">
        <v>542</v>
      </c>
      <c r="H13" s="20" t="s">
        <v>543</v>
      </c>
      <c r="I13" s="20" t="s">
        <v>544</v>
      </c>
      <c r="J13" s="20" t="s">
        <v>545</v>
      </c>
      <c r="K13" s="20" t="s">
        <v>546</v>
      </c>
      <c r="L13" s="20" t="s">
        <v>547</v>
      </c>
      <c r="M13" s="20" t="s">
        <v>548</v>
      </c>
      <c r="N13" s="20" t="s">
        <v>549</v>
      </c>
      <c r="O13" s="20" t="s">
        <v>550</v>
      </c>
      <c r="P13" s="6" t="s">
        <v>23</v>
      </c>
      <c r="R13" s="20" t="n">
        <v>2023</v>
      </c>
      <c r="S13" s="20" t="n">
        <v>2024</v>
      </c>
      <c r="T13" s="20" t="n">
        <v>2025</v>
      </c>
      <c r="U13" s="20" t="n">
        <v>2026</v>
      </c>
      <c r="V13" s="20" t="n">
        <v>2027</v>
      </c>
      <c r="W13" s="20" t="n">
        <v>2028</v>
      </c>
      <c r="X13" s="20" t="n">
        <v>2029</v>
      </c>
      <c r="Y13" s="20" t="n">
        <v>2030</v>
      </c>
      <c r="Z13" s="20" t="n">
        <v>2031</v>
      </c>
      <c r="AA13" s="20" t="n">
        <v>2032</v>
      </c>
    </row>
    <row r="14" customFormat="false" ht="17.15" hidden="false" customHeight="false" outlineLevel="0" collapsed="false">
      <c r="A14" s="1" t="s">
        <v>669</v>
      </c>
    </row>
    <row r="15" customFormat="false" ht="15" hidden="false" customHeight="false" outlineLevel="0" collapsed="false">
      <c r="A15" s="0" t="s">
        <v>479</v>
      </c>
      <c r="B15" s="0" t="s">
        <v>73</v>
      </c>
      <c r="C15" s="38" t="n">
        <f aca="false">Seg!$C$7</f>
        <v>247.029</v>
      </c>
      <c r="D15" s="38" t="n">
        <f aca="false">Seg!$D$7</f>
        <v>269.287</v>
      </c>
      <c r="E15" s="38" t="n">
        <f aca="false">Seg!$E$7</f>
        <v>134.686</v>
      </c>
      <c r="F15" s="38" t="n">
        <f aca="false">Seg!$F$7</f>
        <v>160.728085930082</v>
      </c>
      <c r="G15" s="38" t="n">
        <f aca="false">Seg!$G$7</f>
        <v>295.414085930082</v>
      </c>
      <c r="H15" s="38" t="n">
        <f aca="false">Seg!$H$7</f>
        <v>320.828163943375</v>
      </c>
      <c r="I15" s="38" t="n">
        <f aca="false">Seg!$I$7</f>
        <v>344.575578072228</v>
      </c>
      <c r="J15" s="38" t="n">
        <f aca="false">Seg!$J$7</f>
        <v>365.942555779681</v>
      </c>
      <c r="K15" s="38" t="n">
        <f aca="false">Seg!$K$7</f>
        <v>384.239683568665</v>
      </c>
      <c r="L15" s="38" t="n">
        <f aca="false">Seg!$L$7</f>
        <v>403.451667747098</v>
      </c>
      <c r="M15" s="38" t="n">
        <f aca="false">Seg!$M$7</f>
        <v>423.624251134453</v>
      </c>
      <c r="N15" s="38" t="n">
        <f aca="false">Seg!$N$7</f>
        <v>118.892</v>
      </c>
      <c r="O15" s="38" t="n">
        <f aca="false">Seg!$O$7</f>
        <v>150.395</v>
      </c>
    </row>
    <row r="16" customFormat="false" ht="15" hidden="false" customHeight="false" outlineLevel="0" collapsed="false">
      <c r="A16" s="0" t="s">
        <v>480</v>
      </c>
      <c r="B16" s="0" t="s">
        <v>73</v>
      </c>
      <c r="C16" s="38" t="n">
        <f aca="false">Seg!$C$9</f>
        <v>21.215</v>
      </c>
      <c r="D16" s="38" t="n">
        <f aca="false">Seg!$D$9</f>
        <v>22.561</v>
      </c>
      <c r="E16" s="38" t="n">
        <f aca="false">Seg!$E$9</f>
        <v>11.579</v>
      </c>
      <c r="F16" s="38" t="n">
        <f aca="false">Seg!$F$9</f>
        <v>12.0952613121125</v>
      </c>
      <c r="G16" s="38" t="n">
        <f aca="false">Seg!$G$9</f>
        <v>23.6742613121125</v>
      </c>
      <c r="H16" s="38" t="n">
        <f aca="false">Seg!$H$9</f>
        <v>24.8803243963206</v>
      </c>
      <c r="I16" s="38" t="n">
        <f aca="false">Seg!$I$9</f>
        <v>25.9741308664154</v>
      </c>
      <c r="J16" s="38" t="n">
        <f aca="false">Seg!$J$9</f>
        <v>26.9346894124267</v>
      </c>
      <c r="K16" s="38" t="n">
        <f aca="false">Seg!$K$9</f>
        <v>27.7427300947995</v>
      </c>
      <c r="L16" s="38" t="n">
        <f aca="false">Seg!$L$9</f>
        <v>28.5750119976435</v>
      </c>
      <c r="M16" s="38" t="n">
        <f aca="false">Seg!$M$9</f>
        <v>29.4322623575728</v>
      </c>
      <c r="N16" s="38" t="n">
        <f aca="false">Seg!$N$9</f>
        <v>11.128</v>
      </c>
      <c r="O16" s="38" t="n">
        <f aca="false">Seg!$O$9</f>
        <v>11.433</v>
      </c>
    </row>
    <row r="17" customFormat="false" ht="15" hidden="false" customHeight="false" outlineLevel="0" collapsed="false">
      <c r="A17" s="0" t="s">
        <v>481</v>
      </c>
      <c r="B17" s="0" t="s">
        <v>73</v>
      </c>
      <c r="C17" s="38" t="n">
        <f aca="false">Seg!$C$11</f>
        <v>156.146</v>
      </c>
      <c r="D17" s="38" t="n">
        <f aca="false">Seg!$D$11</f>
        <v>172.162</v>
      </c>
      <c r="E17" s="38" t="n">
        <f aca="false">Seg!$E$11</f>
        <v>88.358</v>
      </c>
      <c r="F17" s="38" t="n">
        <f aca="false">Seg!$F$11</f>
        <v>103.62028337149</v>
      </c>
      <c r="G17" s="38" t="n">
        <f aca="false">Seg!$G$11</f>
        <v>191.97828337149</v>
      </c>
      <c r="H17" s="38" t="n">
        <f aca="false">Seg!$H$11</f>
        <v>212.128608444755</v>
      </c>
      <c r="I17" s="38" t="n">
        <f aca="false">Seg!$I$11</f>
        <v>231.92183134134</v>
      </c>
      <c r="J17" s="38" t="n">
        <f aca="false">Seg!$J$11</f>
        <v>250.859136487863</v>
      </c>
      <c r="K17" s="38" t="n">
        <f aca="false">Seg!$K$11</f>
        <v>268.419276042014</v>
      </c>
      <c r="L17" s="38" t="n">
        <f aca="false">Seg!$L$11</f>
        <v>287.208625364954</v>
      </c>
      <c r="M17" s="38" t="n">
        <f aca="false">Seg!$M$11</f>
        <v>307.313229140501</v>
      </c>
      <c r="N17" s="38" t="n">
        <f aca="false">Seg!$N$11</f>
        <v>76.86</v>
      </c>
      <c r="O17" s="38" t="n">
        <f aca="false">Seg!$O$11</f>
        <v>95.302</v>
      </c>
    </row>
    <row r="18" customFormat="false" ht="15" hidden="false" customHeight="false" outlineLevel="0" collapsed="false">
      <c r="A18" s="0" t="s">
        <v>482</v>
      </c>
      <c r="B18" s="0" t="s">
        <v>73</v>
      </c>
      <c r="C18" s="38" t="n">
        <f aca="false">Seg!$C$13</f>
        <v>56.214</v>
      </c>
      <c r="D18" s="38" t="n">
        <f aca="false">Seg!$D$13</f>
        <v>68.635</v>
      </c>
      <c r="E18" s="38" t="n">
        <f aca="false">Seg!$E$13</f>
        <v>37.052</v>
      </c>
      <c r="F18" s="38" t="n">
        <f aca="false">Seg!$F$13</f>
        <v>48.1533381827382</v>
      </c>
      <c r="G18" s="38" t="n">
        <f aca="false">Seg!$G$13</f>
        <v>85.2053381827382</v>
      </c>
      <c r="H18" s="38" t="n">
        <f aca="false">Seg!$H$13</f>
        <v>102.29336185894</v>
      </c>
      <c r="I18" s="38" t="n">
        <f aca="false">Seg!$I$13</f>
        <v>119.379837585241</v>
      </c>
      <c r="J18" s="38" t="n">
        <f aca="false">Seg!$J$13</f>
        <v>135.319079048844</v>
      </c>
      <c r="K18" s="38" t="n">
        <f aca="false">Seg!$K$13</f>
        <v>148.850986953729</v>
      </c>
      <c r="L18" s="38" t="n">
        <f aca="false">Seg!$L$13</f>
        <v>163.736085649102</v>
      </c>
      <c r="M18" s="38" t="n">
        <f aca="false">Seg!$M$13</f>
        <v>180.109694214012</v>
      </c>
      <c r="N18" s="38" t="n">
        <f aca="false">Seg!$N$13</f>
        <v>29.615</v>
      </c>
      <c r="O18" s="38" t="n">
        <f aca="false">Seg!$O$13</f>
        <v>39.02</v>
      </c>
    </row>
    <row r="19" customFormat="false" ht="15" hidden="false" customHeight="false" outlineLevel="0" collapsed="false">
      <c r="A19" s="0" t="s">
        <v>483</v>
      </c>
      <c r="B19" s="0" t="s">
        <v>73</v>
      </c>
      <c r="C19" s="38" t="n">
        <f aca="false">Seg!$C$15</f>
        <v>44.374</v>
      </c>
      <c r="D19" s="38" t="n">
        <f aca="false">Seg!$D$15</f>
        <v>49.619</v>
      </c>
      <c r="E19" s="38" t="n">
        <f aca="false">Seg!$E$15</f>
        <v>27.157</v>
      </c>
      <c r="F19" s="38" t="n">
        <f aca="false">Seg!$F$15</f>
        <v>28.9776360923374</v>
      </c>
      <c r="G19" s="38" t="n">
        <f aca="false">Seg!$G$15</f>
        <v>56.1346360923374</v>
      </c>
      <c r="H19" s="38" t="n">
        <f aca="false">Seg!$H$15</f>
        <v>62.4937078946075</v>
      </c>
      <c r="I19" s="38" t="n">
        <f aca="false">Seg!$I$15</f>
        <v>68.6715233062498</v>
      </c>
      <c r="J19" s="38" t="n">
        <f aca="false">Seg!$J$15</f>
        <v>74.4692882949818</v>
      </c>
      <c r="K19" s="38" t="n">
        <f aca="false">Seg!$K$15</f>
        <v>79.6821384756306</v>
      </c>
      <c r="L19" s="38" t="n">
        <f aca="false">Seg!$L$15</f>
        <v>85.2598881689247</v>
      </c>
      <c r="M19" s="38" t="n">
        <f aca="false">Seg!$M$15</f>
        <v>91.2280803407494</v>
      </c>
      <c r="N19" s="38" t="n">
        <f aca="false">Seg!$N$15</f>
        <v>23.923</v>
      </c>
      <c r="O19" s="38" t="n">
        <f aca="false">Seg!$O$15</f>
        <v>25.696</v>
      </c>
    </row>
    <row r="20" customFormat="false" ht="15" hidden="false" customHeight="false" outlineLevel="0" collapsed="false">
      <c r="A20" s="0" t="s">
        <v>484</v>
      </c>
      <c r="B20" s="0" t="s">
        <v>73</v>
      </c>
      <c r="C20" s="38" t="n">
        <f aca="false">Seg!$C$17</f>
        <v>5.425</v>
      </c>
      <c r="D20" s="38" t="n">
        <f aca="false">Seg!$D$17</f>
        <v>5.935</v>
      </c>
      <c r="E20" s="38" t="n">
        <f aca="false">Seg!$E$17</f>
        <v>3.474</v>
      </c>
      <c r="F20" s="38" t="n">
        <f aca="false">Seg!$F$17</f>
        <v>3.36182431966931</v>
      </c>
      <c r="G20" s="38" t="n">
        <f aca="false">Seg!$G$17</f>
        <v>6.83582431966931</v>
      </c>
      <c r="H20" s="38" t="n">
        <f aca="false">Seg!$H$17</f>
        <v>7.31157108370141</v>
      </c>
      <c r="I20" s="38" t="n">
        <f aca="false">Seg!$I$17</f>
        <v>7.77266852639815</v>
      </c>
      <c r="J20" s="38" t="n">
        <f aca="false">Seg!$J$17</f>
        <v>8.2120733019884</v>
      </c>
      <c r="K20" s="38" t="n">
        <f aca="false">Seg!$K$17</f>
        <v>8.62267696708783</v>
      </c>
      <c r="L20" s="38" t="n">
        <f aca="false">Seg!$L$17</f>
        <v>9.05381081544222</v>
      </c>
      <c r="M20" s="38" t="n">
        <f aca="false">Seg!$M$17</f>
        <v>9.50650135621433</v>
      </c>
      <c r="N20" s="38" t="n">
        <f aca="false">Seg!$N$17</f>
        <v>2.811</v>
      </c>
      <c r="O20" s="38" t="n">
        <f aca="false">Seg!$O$17</f>
        <v>3.124</v>
      </c>
    </row>
    <row r="21" customFormat="false" ht="17.15" hidden="false" customHeight="false" outlineLevel="0" collapsed="false">
      <c r="A21" s="0" t="s">
        <v>670</v>
      </c>
      <c r="B21" s="0" t="s">
        <v>73</v>
      </c>
      <c r="C21" s="38" t="n">
        <f aca="false">Seg!$C$28</f>
        <v>107.556</v>
      </c>
      <c r="D21" s="38" t="n">
        <f aca="false">Seg!$D$28</f>
        <v>128.725</v>
      </c>
      <c r="E21" s="38" t="n">
        <f aca="false">Seg!$E$28</f>
        <v>79.819</v>
      </c>
      <c r="F21" s="38" t="n">
        <f aca="false">Seg!$F$28</f>
        <v>96.3656430398774</v>
      </c>
      <c r="G21" s="38" t="n">
        <f aca="false">Seg!$G$28</f>
        <v>176.184643039877</v>
      </c>
      <c r="H21" s="38" t="n">
        <f aca="false">Seg!$H$28</f>
        <v>263.977434774765</v>
      </c>
      <c r="I21" s="38" t="n">
        <f aca="false">Seg!$I$28</f>
        <v>358.724689177006</v>
      </c>
      <c r="J21" s="38" t="n">
        <f aca="false">Seg!$J$28</f>
        <v>449.756751322317</v>
      </c>
      <c r="K21" s="38" t="n">
        <f aca="false">Seg!$K$28</f>
        <v>534.046591311349</v>
      </c>
      <c r="L21" s="38" t="n">
        <f aca="false">Seg!$L$28</f>
        <v>619.893192193331</v>
      </c>
      <c r="M21" s="38" t="n">
        <f aca="false">Seg!$M$28</f>
        <v>707.397371191827</v>
      </c>
      <c r="N21" s="38" t="n">
        <f aca="false">Seg!$N$28</f>
        <v>60.14</v>
      </c>
      <c r="O21" s="38" t="n">
        <f aca="false">Seg!$O$28</f>
        <v>68.585</v>
      </c>
    </row>
    <row r="22" customFormat="false" ht="15" hidden="false" customHeight="false" outlineLevel="0" collapsed="false">
      <c r="A22" s="1" t="s">
        <v>472</v>
      </c>
      <c r="B22" s="8" t="s">
        <v>73</v>
      </c>
      <c r="C22" s="38" t="n">
        <f aca="false">Seg!$C$21</f>
        <v>387.497</v>
      </c>
      <c r="D22" s="38" t="n">
        <f aca="false">Seg!$D$21</f>
        <v>426.305</v>
      </c>
      <c r="E22" s="38" t="n">
        <f aca="false">Seg!$E$21</f>
        <v>220.32</v>
      </c>
      <c r="F22" s="38" t="n">
        <f aca="false">Seg!$F$21</f>
        <v>256.304015003807</v>
      </c>
      <c r="G22" s="38" t="n">
        <f aca="false">Seg!$G$21</f>
        <v>476.624015003807</v>
      </c>
      <c r="H22" s="38" t="n">
        <f aca="false">Seg!$H$21</f>
        <v>527.734391091543</v>
      </c>
      <c r="I22" s="38" t="n">
        <f aca="false">Seg!$I$21</f>
        <v>577.157693029577</v>
      </c>
      <c r="J22" s="38" t="n">
        <f aca="false">Seg!$J$21</f>
        <v>623.024923663827</v>
      </c>
      <c r="K22" s="38" t="n">
        <f aca="false">Seg!$K$21</f>
        <v>663.382568393781</v>
      </c>
      <c r="L22" s="38" t="n">
        <f aca="false">Seg!$L$21</f>
        <v>706.564873010432</v>
      </c>
      <c r="M22" s="38" t="n">
        <f aca="false">Seg!$M$21</f>
        <v>752.784687406019</v>
      </c>
      <c r="N22" s="38" t="n">
        <f aca="false">Seg!$N$21</f>
        <v>192.955</v>
      </c>
      <c r="O22" s="38" t="n">
        <f aca="false">Seg!$O$21</f>
        <v>233.35</v>
      </c>
    </row>
    <row r="23" customFormat="false" ht="15" hidden="false" customHeight="false" outlineLevel="0" collapsed="false">
      <c r="A23" s="1" t="s">
        <v>475</v>
      </c>
      <c r="B23" s="8" t="s">
        <v>73</v>
      </c>
      <c r="C23" s="38" t="n">
        <f aca="false">Seg!$C$22</f>
        <v>142.906</v>
      </c>
      <c r="D23" s="38" t="n">
        <f aca="false">Seg!$D$22</f>
        <v>161.894</v>
      </c>
      <c r="E23" s="38" t="n">
        <f aca="false">Seg!$E$22</f>
        <v>81.986</v>
      </c>
      <c r="F23" s="38" t="n">
        <f aca="false">Seg!$F$22</f>
        <v>100.632414204623</v>
      </c>
      <c r="G23" s="38" t="n">
        <f aca="false">Seg!$G$22</f>
        <v>182.618414204623</v>
      </c>
      <c r="H23" s="38" t="n">
        <f aca="false">Seg!$H$22</f>
        <v>202.201346530158</v>
      </c>
      <c r="I23" s="38" t="n">
        <f aca="false">Seg!$I$22</f>
        <v>221.137876668296</v>
      </c>
      <c r="J23" s="38" t="n">
        <f aca="false">Seg!$J$22</f>
        <v>238.711898661958</v>
      </c>
      <c r="K23" s="38" t="n">
        <f aca="false">Seg!$K$22</f>
        <v>254.174923708144</v>
      </c>
      <c r="L23" s="38" t="n">
        <f aca="false">Seg!$L$22</f>
        <v>270.720216732733</v>
      </c>
      <c r="M23" s="38" t="n">
        <f aca="false">Seg!$M$22</f>
        <v>288.429331137484</v>
      </c>
      <c r="N23" s="38" t="n">
        <f aca="false">Seg!$N$22</f>
        <v>70.274</v>
      </c>
      <c r="O23" s="38" t="n">
        <f aca="false">Seg!$O$22</f>
        <v>91.62</v>
      </c>
    </row>
    <row r="24" customFormat="false" ht="15" hidden="false" customHeight="false" outlineLevel="0" collapsed="false">
      <c r="A24" s="1" t="s">
        <v>476</v>
      </c>
      <c r="B24" s="8" t="s">
        <v>73</v>
      </c>
      <c r="C24" s="38" t="n">
        <f aca="false">Seg!$C$28</f>
        <v>107.556</v>
      </c>
      <c r="D24" s="38" t="n">
        <f aca="false">Seg!$D$28</f>
        <v>128.725</v>
      </c>
      <c r="E24" s="38" t="n">
        <f aca="false">Seg!$E$28</f>
        <v>79.819</v>
      </c>
      <c r="F24" s="38" t="n">
        <f aca="false">Seg!$F$28</f>
        <v>96.3656430398774</v>
      </c>
      <c r="G24" s="38" t="n">
        <f aca="false">Seg!$G$28</f>
        <v>176.184643039877</v>
      </c>
      <c r="H24" s="38" t="n">
        <f aca="false">Seg!$H$28</f>
        <v>263.977434774765</v>
      </c>
      <c r="I24" s="38" t="n">
        <f aca="false">Seg!$I$28</f>
        <v>358.724689177006</v>
      </c>
      <c r="J24" s="38" t="n">
        <f aca="false">Seg!$J$28</f>
        <v>449.756751322317</v>
      </c>
      <c r="K24" s="38" t="n">
        <f aca="false">Seg!$K$28</f>
        <v>534.046591311349</v>
      </c>
      <c r="L24" s="38" t="n">
        <f aca="false">Seg!$L$28</f>
        <v>619.893192193331</v>
      </c>
      <c r="M24" s="38" t="n">
        <f aca="false">Seg!$M$28</f>
        <v>707.397371191827</v>
      </c>
      <c r="N24" s="38" t="n">
        <f aca="false">Seg!$N$28</f>
        <v>60.14</v>
      </c>
      <c r="O24" s="38" t="n">
        <f aca="false">Seg!$O$28</f>
        <v>68.585</v>
      </c>
    </row>
    <row r="25" customFormat="false" ht="17.15" hidden="false" customHeight="false" outlineLevel="0" collapsed="false">
      <c r="A25" s="0" t="s">
        <v>644</v>
      </c>
      <c r="B25" s="0" t="s">
        <v>73</v>
      </c>
      <c r="C25" s="38" t="n">
        <f aca="false">Seg!$C$26</f>
        <v>2.32100535697364</v>
      </c>
      <c r="D25" s="38" t="n">
        <f aca="false">Seg!$D$26</f>
        <v>8.70377008865116</v>
      </c>
      <c r="E25" s="38" t="n">
        <f aca="false">Seg!$E$26</f>
        <v>8.51035297557002</v>
      </c>
      <c r="F25" s="38" t="n">
        <f aca="false">Seg!$F$26</f>
        <v>17.7706326212121</v>
      </c>
      <c r="G25" s="38" t="n">
        <f aca="false">Seg!$G$26</f>
        <v>26.2809855967821</v>
      </c>
      <c r="H25" s="38" t="n">
        <f aca="false">Seg!$H$26</f>
        <v>83.0838740066237</v>
      </c>
      <c r="I25" s="38" t="n">
        <f aca="false">Seg!$I$26</f>
        <v>148.076291961995</v>
      </c>
      <c r="J25" s="38" t="n">
        <f aca="false">Seg!$J$26</f>
        <v>213.357841875822</v>
      </c>
      <c r="K25" s="38" t="n">
        <f aca="false">Seg!$K$26</f>
        <v>278.735769109134</v>
      </c>
      <c r="L25" s="38" t="n">
        <f aca="false">Seg!$L$26</f>
        <v>344.157504214939</v>
      </c>
      <c r="M25" s="38" t="n">
        <f aca="false">Seg!$M$26</f>
        <v>409.602828175164</v>
      </c>
      <c r="N25" s="38" t="n">
        <f aca="false">Seg!$N$26</f>
        <v>3.04631953102791</v>
      </c>
      <c r="O25" s="38" t="n">
        <f aca="false">Seg!$O$26</f>
        <v>5.65745055762326</v>
      </c>
    </row>
    <row r="26" customFormat="false" ht="17.15" hidden="false" customHeight="false" outlineLevel="0" collapsed="false">
      <c r="A26" s="0" t="s">
        <v>646</v>
      </c>
      <c r="B26" s="0" t="s">
        <v>73</v>
      </c>
      <c r="C26" s="38" t="n">
        <f aca="false">Seg!$C$27</f>
        <v>105.234994643026</v>
      </c>
      <c r="D26" s="38" t="n">
        <f aca="false">Seg!$D$27</f>
        <v>120.021229911349</v>
      </c>
      <c r="E26" s="38" t="n">
        <f aca="false">Seg!$E$27</f>
        <v>71.30864702443</v>
      </c>
      <c r="F26" s="38" t="n">
        <f aca="false">Seg!$F$27</f>
        <v>78.5950104186653</v>
      </c>
      <c r="G26" s="38" t="n">
        <f aca="false">Seg!$G$27</f>
        <v>149.903657443095</v>
      </c>
      <c r="H26" s="38" t="n">
        <f aca="false">Seg!$H$27</f>
        <v>180.893560768142</v>
      </c>
      <c r="I26" s="38" t="n">
        <f aca="false">Seg!$I$27</f>
        <v>210.64839721501</v>
      </c>
      <c r="J26" s="38" t="n">
        <f aca="false">Seg!$J$27</f>
        <v>236.398909446495</v>
      </c>
      <c r="K26" s="38" t="n">
        <f aca="false">Seg!$K$27</f>
        <v>255.310822202215</v>
      </c>
      <c r="L26" s="38" t="n">
        <f aca="false">Seg!$L$27</f>
        <v>275.735687978392</v>
      </c>
      <c r="M26" s="38" t="n">
        <f aca="false">Seg!$M$27</f>
        <v>297.794543016663</v>
      </c>
      <c r="N26" s="38" t="n">
        <f aca="false">Seg!$N$27</f>
        <v>57.0936804689721</v>
      </c>
      <c r="O26" s="38" t="n">
        <f aca="false">Seg!$O$27</f>
        <v>62.9275494423768</v>
      </c>
    </row>
    <row r="27" customFormat="false" ht="15" hidden="false" customHeight="false" outlineLevel="0" collapsed="false">
      <c r="A27" s="3" t="s">
        <v>477</v>
      </c>
      <c r="B27" s="8" t="s">
        <v>73</v>
      </c>
      <c r="C27" s="38" t="n">
        <f aca="false">Seg!$C$29</f>
        <v>637.959</v>
      </c>
      <c r="D27" s="38" t="n">
        <f aca="false">Seg!$D$29</f>
        <v>716.924</v>
      </c>
      <c r="E27" s="38" t="n">
        <f aca="false">Seg!$E$29</f>
        <v>382.125</v>
      </c>
      <c r="F27" s="38" t="n">
        <f aca="false">Seg!$F$29</f>
        <v>453.302072248307</v>
      </c>
      <c r="G27" s="38" t="n">
        <f aca="false">Seg!$G$29</f>
        <v>835.427072248307</v>
      </c>
      <c r="H27" s="38" t="n">
        <f aca="false">Seg!$H$29</f>
        <v>993.913172396466</v>
      </c>
      <c r="I27" s="38" t="n">
        <f aca="false">Seg!$I$29</f>
        <v>1157.02025887488</v>
      </c>
      <c r="J27" s="38" t="n">
        <f aca="false">Seg!$J$29</f>
        <v>1311.4935736481</v>
      </c>
      <c r="K27" s="38" t="n">
        <f aca="false">Seg!$K$29</f>
        <v>1451.60408341327</v>
      </c>
      <c r="L27" s="38" t="n">
        <f aca="false">Seg!$L$29</f>
        <v>1597.1782819365</v>
      </c>
      <c r="M27" s="38" t="n">
        <f aca="false">Seg!$M$29</f>
        <v>1748.61138973533</v>
      </c>
      <c r="N27" s="38" t="n">
        <f aca="false">Seg!$N$29</f>
        <v>323.369</v>
      </c>
      <c r="O27" s="38" t="n">
        <f aca="false">Seg!$O$29</f>
        <v>393.555</v>
      </c>
    </row>
    <row r="28" customFormat="false" ht="17.15" hidden="false" customHeight="false" outlineLevel="0" collapsed="false">
      <c r="A28" s="24" t="s">
        <v>649</v>
      </c>
      <c r="B28" s="25" t="s">
        <v>73</v>
      </c>
      <c r="C28" s="39" t="n">
        <f aca="false">PL!$C$15+PL!$C$16+PL!$C$17+PL!$C$18+PL!$C$19+PL!$C$20-(PL!$C$22+PL!$C$23)</f>
        <v>0</v>
      </c>
      <c r="D28" s="39" t="n">
        <f aca="false">PL!$D$15+PL!$D$16+PL!$D$17+PL!$D$18+PL!$D$19+PL!$D$20-(PL!$D$22+PL!$D$23)</f>
        <v>0</v>
      </c>
      <c r="E28" s="39" t="n">
        <f aca="false">PL!$E$15+PL!$E$16+PL!$E$17+PL!$E$18+PL!$E$19+PL!$E$20-(PL!$E$22+PL!$E$23)</f>
        <v>0</v>
      </c>
      <c r="F28" s="39" t="n">
        <f aca="false">PL!$F$15+PL!$F$16+PL!$F$17+PL!$F$18+PL!$F$19+PL!$F$20-(PL!$F$22+PL!$F$23)</f>
        <v>0</v>
      </c>
      <c r="G28" s="39" t="n">
        <f aca="false">PL!$G$15+PL!$G$16+PL!$G$17+PL!$G$18+PL!$G$19+PL!$G$20-(PL!$G$22+PL!$G$23)</f>
        <v>0</v>
      </c>
      <c r="H28" s="39" t="n">
        <f aca="false">PL!$H$15+PL!$H$16+PL!$H$17+PL!$H$18+PL!$H$19+PL!$H$20-(PL!$H$22+PL!$H$23)</f>
        <v>0</v>
      </c>
      <c r="I28" s="39" t="n">
        <f aca="false">PL!$I$15+PL!$I$16+PL!$I$17+PL!$I$18+PL!$I$19+PL!$I$20-(PL!$I$22+PL!$I$23)</f>
        <v>0</v>
      </c>
      <c r="J28" s="39" t="n">
        <f aca="false">PL!$J$15+PL!$J$16+PL!$J$17+PL!$J$18+PL!$J$19+PL!$J$20-(PL!$J$22+PL!$J$23)</f>
        <v>0</v>
      </c>
      <c r="K28" s="39" t="n">
        <f aca="false">PL!$K$15+PL!$K$16+PL!$K$17+PL!$K$18+PL!$K$19+PL!$K$20-(PL!$K$22+PL!$K$23)</f>
        <v>0</v>
      </c>
      <c r="L28" s="39" t="n">
        <f aca="false">PL!$L$15+PL!$L$16+PL!$L$17+PL!$L$18+PL!$L$19+PL!$L$20-(PL!$L$22+PL!$L$23)</f>
        <v>0</v>
      </c>
      <c r="M28" s="39" t="n">
        <f aca="false">PL!$M$15+PL!$M$16+PL!$M$17+PL!$M$18+PL!$M$19+PL!$M$20-(PL!$M$22+PL!$M$23)</f>
        <v>0</v>
      </c>
      <c r="N28" s="39" t="n">
        <f aca="false">PL!$N$15+PL!$N$16+PL!$N$17+PL!$N$18+PL!$N$19+PL!$N$20-(PL!$N$22+PL!$N$23)</f>
        <v>0</v>
      </c>
      <c r="O28" s="39" t="n">
        <f aca="false">PL!$O$15+PL!$O$16+PL!$O$17+PL!$O$18+PL!$O$19+PL!$O$20-(PL!$O$22+PL!$O$23)</f>
        <v>0</v>
      </c>
    </row>
    <row r="29" customFormat="false" ht="17.15" hidden="false" customHeight="false" outlineLevel="0" collapsed="false">
      <c r="A29" s="24" t="s">
        <v>650</v>
      </c>
      <c r="B29" s="25" t="s">
        <v>73</v>
      </c>
      <c r="C29" s="39" t="n">
        <f aca="false">PL!$C$25+PL!$C$26-PL!$C$24</f>
        <v>0</v>
      </c>
      <c r="D29" s="39" t="n">
        <f aca="false">PL!$D$25+PL!$D$26-PL!$D$24</f>
        <v>0</v>
      </c>
      <c r="E29" s="39" t="n">
        <f aca="false">PL!$E$25+PL!$E$26-PL!$E$24</f>
        <v>0</v>
      </c>
      <c r="F29" s="39" t="n">
        <f aca="false">PL!$F$25+PL!$F$26-PL!$F$24</f>
        <v>0</v>
      </c>
      <c r="G29" s="39" t="n">
        <f aca="false">PL!$G$25+PL!$G$26-PL!$G$24</f>
        <v>0</v>
      </c>
      <c r="H29" s="39" t="n">
        <f aca="false">PL!$H$25+PL!$H$26-PL!$H$24</f>
        <v>0</v>
      </c>
      <c r="I29" s="39" t="n">
        <f aca="false">PL!$I$25+PL!$I$26-PL!$I$24</f>
        <v>0</v>
      </c>
      <c r="J29" s="39" t="n">
        <f aca="false">PL!$J$25+PL!$J$26-PL!$J$24</f>
        <v>0</v>
      </c>
      <c r="K29" s="39" t="n">
        <f aca="false">PL!$K$25+PL!$K$26-PL!$K$24</f>
        <v>0</v>
      </c>
      <c r="L29" s="39" t="n">
        <f aca="false">PL!$L$25+PL!$L$26-PL!$L$24</f>
        <v>0</v>
      </c>
      <c r="M29" s="39" t="n">
        <f aca="false">PL!$M$25+PL!$M$26-PL!$M$24</f>
        <v>0</v>
      </c>
      <c r="N29" s="39" t="n">
        <f aca="false">PL!$N$25+PL!$N$26-PL!$N$24</f>
        <v>0</v>
      </c>
      <c r="O29" s="39" t="n">
        <f aca="false">PL!$O$25+PL!$O$26-PL!$O$24</f>
        <v>0</v>
      </c>
    </row>
    <row r="30" customFormat="false" ht="17.15" hidden="false" customHeight="false" outlineLevel="0" collapsed="false">
      <c r="A30" s="24" t="s">
        <v>671</v>
      </c>
      <c r="B30" s="25" t="s">
        <v>73</v>
      </c>
      <c r="C30" s="39" t="n">
        <f aca="false">PL!$C$15+PL!$C$16+PL!$C$17+PL!$C$18+PL!$C$19+PL!$C$20+PL!$C$21-PL!$C$27</f>
        <v>0</v>
      </c>
      <c r="D30" s="39" t="n">
        <f aca="false">PL!$D$15+PL!$D$16+PL!$D$17+PL!$D$18+PL!$D$19+PL!$D$20+PL!$D$21-PL!$D$27</f>
        <v>0</v>
      </c>
      <c r="E30" s="39" t="n">
        <f aca="false">PL!$E$15+PL!$E$16+PL!$E$17+PL!$E$18+PL!$E$19+PL!$E$20+PL!$E$21-PL!$E$27</f>
        <v>0</v>
      </c>
      <c r="F30" s="39" t="n">
        <f aca="false">PL!$F$15+PL!$F$16+PL!$F$17+PL!$F$18+PL!$F$19+PL!$F$20+PL!$F$21-PL!$F$27</f>
        <v>0</v>
      </c>
      <c r="G30" s="39" t="n">
        <f aca="false">PL!$G$15+PL!$G$16+PL!$G$17+PL!$G$18+PL!$G$19+PL!$G$20+PL!$G$21-PL!$G$27</f>
        <v>0</v>
      </c>
      <c r="H30" s="39" t="n">
        <f aca="false">PL!$H$15+PL!$H$16+PL!$H$17+PL!$H$18+PL!$H$19+PL!$H$20+PL!$H$21-PL!$H$27</f>
        <v>0</v>
      </c>
      <c r="I30" s="39" t="n">
        <f aca="false">PL!$I$15+PL!$I$16+PL!$I$17+PL!$I$18+PL!$I$19+PL!$I$20+PL!$I$21-PL!$I$27</f>
        <v>0</v>
      </c>
      <c r="J30" s="39" t="n">
        <f aca="false">PL!$J$15+PL!$J$16+PL!$J$17+PL!$J$18+PL!$J$19+PL!$J$20+PL!$J$21-PL!$J$27</f>
        <v>0</v>
      </c>
      <c r="K30" s="39" t="n">
        <f aca="false">PL!$K$15+PL!$K$16+PL!$K$17+PL!$K$18+PL!$K$19+PL!$K$20+PL!$K$21-PL!$K$27</f>
        <v>0</v>
      </c>
      <c r="L30" s="39" t="n">
        <f aca="false">PL!$L$15+PL!$L$16+PL!$L$17+PL!$L$18+PL!$L$19+PL!$L$20+PL!$L$21-PL!$L$27</f>
        <v>0</v>
      </c>
      <c r="M30" s="39" t="n">
        <f aca="false">PL!$M$15+PL!$M$16+PL!$M$17+PL!$M$18+PL!$M$19+PL!$M$20+PL!$M$21-PL!$M$27</f>
        <v>0</v>
      </c>
      <c r="N30" s="39" t="n">
        <f aca="false">PL!$N$15+PL!$N$16+PL!$N$17+PL!$N$18+PL!$N$19+PL!$N$20+PL!$N$21-PL!$N$27</f>
        <v>0</v>
      </c>
      <c r="O30" s="39" t="n">
        <f aca="false">PL!$O$15+PL!$O$16+PL!$O$17+PL!$O$18+PL!$O$19+PL!$O$20+PL!$O$21-PL!$O$27</f>
        <v>0</v>
      </c>
    </row>
    <row r="31" customFormat="false" ht="17.15" hidden="false" customHeight="false" outlineLevel="0" collapsed="false">
      <c r="A31" s="24" t="s">
        <v>651</v>
      </c>
      <c r="B31" s="25" t="s">
        <v>73</v>
      </c>
      <c r="C31" s="39" t="n">
        <f aca="false">PL!$C$22+PL!$C$23+PL!$C$24-PL!$C$27</f>
        <v>0</v>
      </c>
      <c r="D31" s="39" t="n">
        <f aca="false">PL!$D$22+PL!$D$23+PL!$D$24-PL!$D$27</f>
        <v>0</v>
      </c>
      <c r="E31" s="39" t="n">
        <f aca="false">PL!$E$22+PL!$E$23+PL!$E$24-PL!$E$27</f>
        <v>0</v>
      </c>
      <c r="F31" s="39" t="n">
        <f aca="false">PL!$F$22+PL!$F$23+PL!$F$24-PL!$F$27</f>
        <v>0</v>
      </c>
      <c r="G31" s="39" t="n">
        <f aca="false">PL!$G$22+PL!$G$23+PL!$G$24-PL!$G$27</f>
        <v>0</v>
      </c>
      <c r="H31" s="39" t="n">
        <f aca="false">PL!$H$22+PL!$H$23+PL!$H$24-PL!$H$27</f>
        <v>0</v>
      </c>
      <c r="I31" s="39" t="n">
        <f aca="false">PL!$I$22+PL!$I$23+PL!$I$24-PL!$I$27</f>
        <v>0</v>
      </c>
      <c r="J31" s="39" t="n">
        <f aca="false">PL!$J$22+PL!$J$23+PL!$J$24-PL!$J$27</f>
        <v>0</v>
      </c>
      <c r="K31" s="39" t="n">
        <f aca="false">PL!$K$22+PL!$K$23+PL!$K$24-PL!$K$27</f>
        <v>0</v>
      </c>
      <c r="L31" s="39" t="n">
        <f aca="false">PL!$L$22+PL!$L$23+PL!$L$24-PL!$L$27</f>
        <v>0</v>
      </c>
      <c r="M31" s="39" t="n">
        <f aca="false">PL!$M$22+PL!$M$23+PL!$M$24-PL!$M$27</f>
        <v>0</v>
      </c>
      <c r="N31" s="39" t="n">
        <f aca="false">PL!$N$22+PL!$N$23+PL!$N$24-PL!$N$27</f>
        <v>0</v>
      </c>
      <c r="O31" s="39" t="n">
        <f aca="false">PL!$O$22+PL!$O$23+PL!$O$24-PL!$O$27</f>
        <v>0</v>
      </c>
    </row>
    <row r="32" customFormat="false" ht="17.15" hidden="false" customHeight="false" outlineLevel="0" collapsed="false">
      <c r="A32" s="1" t="s">
        <v>672</v>
      </c>
    </row>
    <row r="33" customFormat="false" ht="17.15" hidden="false" customHeight="false" outlineLevel="0" collapsed="false">
      <c r="A33" s="0" t="s">
        <v>673</v>
      </c>
      <c r="B33" s="0" t="s">
        <v>73</v>
      </c>
      <c r="C33" s="38" t="n">
        <f aca="false">Seg!$C$23*m_ad</f>
        <v>20.5341564414228</v>
      </c>
      <c r="D33" s="38" t="n">
        <f aca="false">Seg!$D$23*m_ad</f>
        <v>24.8720617299587</v>
      </c>
      <c r="E33" s="38" t="n">
        <f aca="false">Seg!$E$23*m_ad</f>
        <v>13.5017112462207</v>
      </c>
      <c r="F33" s="38" t="n">
        <f aca="false">Seg!$F$23*m_ad</f>
        <v>17.2886442824599</v>
      </c>
      <c r="G33" s="38" t="n">
        <f aca="false">Seg!$G$23*m_ad</f>
        <v>30.8011958765886</v>
      </c>
      <c r="H33" s="38" t="n">
        <f aca="false">Seg!$H$23*m_ad</f>
        <v>36.978409366026</v>
      </c>
      <c r="I33" s="38" t="n">
        <f aca="false">Seg!$I$23*m_ad</f>
        <v>43.155063281273</v>
      </c>
      <c r="J33" s="38" t="n">
        <f aca="false">Seg!$J$23*m_ad</f>
        <v>48.9169991988532</v>
      </c>
      <c r="K33" s="38" t="n">
        <f aca="false">Seg!$K$23*m_ad</f>
        <v>53.8086991187386</v>
      </c>
      <c r="L33" s="38" t="n">
        <f aca="false">Seg!$L$23*m_ad</f>
        <v>59.1895690306124</v>
      </c>
      <c r="M33" s="38" t="n">
        <f aca="false">Seg!$M$23*m_ad</f>
        <v>65.1085259336737</v>
      </c>
      <c r="N33" s="38" t="n">
        <f aca="false">Seg!$N$23*m_ad</f>
        <v>10.8543555706248</v>
      </c>
      <c r="O33" s="38" t="n">
        <f aca="false">Seg!$O$23*m_ad</f>
        <v>14.0094731821399</v>
      </c>
    </row>
    <row r="34" customFormat="false" ht="17.15" hidden="false" customHeight="false" outlineLevel="0" collapsed="false">
      <c r="A34" s="0" t="s">
        <v>674</v>
      </c>
      <c r="B34" s="0" t="s">
        <v>73</v>
      </c>
      <c r="C34" s="38" t="n">
        <f aca="false">Seg!$C$21-Seg!$C$23</f>
        <v>346.428687117154</v>
      </c>
      <c r="D34" s="38" t="n">
        <f aca="false">Seg!$D$21-Seg!$D$23</f>
        <v>376.560876540083</v>
      </c>
      <c r="E34" s="38" t="n">
        <f aca="false">Seg!$E$21-Seg!$E$23</f>
        <v>193.316577507559</v>
      </c>
      <c r="F34" s="38" t="n">
        <f aca="false">Seg!$F$21-Seg!$F$23</f>
        <v>221.726726438887</v>
      </c>
      <c r="G34" s="38" t="n">
        <f aca="false">Seg!$G$21-Seg!$G$23</f>
        <v>415.02162325063</v>
      </c>
      <c r="H34" s="38" t="n">
        <f aca="false">Seg!$H$21-Seg!$H$23</f>
        <v>453.777572359491</v>
      </c>
      <c r="I34" s="38" t="n">
        <f aca="false">Seg!$I$21-Seg!$I$23</f>
        <v>490.847566467031</v>
      </c>
      <c r="J34" s="38" t="n">
        <f aca="false">Seg!$J$21-Seg!$J$23</f>
        <v>525.190925266121</v>
      </c>
      <c r="K34" s="38" t="n">
        <f aca="false">Seg!$K$21-Seg!$K$23</f>
        <v>555.765170156304</v>
      </c>
      <c r="L34" s="38" t="n">
        <f aca="false">Seg!$L$21-Seg!$L$23</f>
        <v>588.185734949207</v>
      </c>
      <c r="M34" s="38" t="n">
        <f aca="false">Seg!$M$21-Seg!$M$23</f>
        <v>622.567635538672</v>
      </c>
      <c r="N34" s="38" t="n">
        <f aca="false">Seg!$N$21-Seg!$N$23</f>
        <v>171.24628885875</v>
      </c>
      <c r="O34" s="38" t="n">
        <f aca="false">Seg!$O$21-Seg!$O$23</f>
        <v>205.33105363572</v>
      </c>
    </row>
    <row r="35" customFormat="false" ht="17.15" hidden="false" customHeight="false" outlineLevel="0" collapsed="false">
      <c r="A35" s="0" t="s">
        <v>675</v>
      </c>
      <c r="B35" s="0" t="s">
        <v>73</v>
      </c>
      <c r="C35" s="38" t="n">
        <f aca="false">Thesis!$C$48*Seg!$C$20</f>
        <v>0.123617442257179</v>
      </c>
      <c r="D35" s="38" t="n">
        <f aca="false">Thesis!$D$48*Seg!$D$20</f>
        <v>0.874366899302609</v>
      </c>
      <c r="E35" s="38" t="n">
        <f aca="false">Thesis!$E$48*Seg!$E$20</f>
        <v>1.29318830502574</v>
      </c>
      <c r="F35" s="38" t="n">
        <f aca="false">Thesis!$F$48*Seg!$F$20</f>
        <v>1.52297257953576</v>
      </c>
      <c r="G35" s="38" t="n">
        <f aca="false">Thesis!$G$48*Seg!$G$20</f>
        <v>2.81628817127554</v>
      </c>
      <c r="H35" s="38" t="n">
        <f aca="false">Thesis!$H$48*Seg!$H$20</f>
        <v>7.48233356620103</v>
      </c>
      <c r="I35" s="38" t="n">
        <f aca="false">Thesis!$I$48*Seg!$I$20</f>
        <v>13.1410250538545</v>
      </c>
      <c r="J35" s="38" t="n">
        <f aca="false">Thesis!$J$48*Seg!$J$20</f>
        <v>18.9529497114276</v>
      </c>
      <c r="K35" s="38" t="n">
        <f aca="false">Thesis!$K$48*Seg!$K$20</f>
        <v>24.8655360357151</v>
      </c>
      <c r="L35" s="38" t="n">
        <f aca="false">Thesis!$L$48*Seg!$L$20</f>
        <v>30.486079321988</v>
      </c>
      <c r="M35" s="38" t="n">
        <f aca="false">Thesis!$M$48*Seg!$M$20</f>
        <v>36.2102854179582</v>
      </c>
      <c r="N35" s="38" t="n">
        <f aca="false">Thesis!$N$48*Seg!$N$20</f>
        <v>0.389180508437431</v>
      </c>
      <c r="O35" s="38" t="n">
        <f aca="false">Thesis!$O$48*Seg!$O$20</f>
        <v>0.485052120082802</v>
      </c>
    </row>
    <row r="36" customFormat="false" ht="17.15" hidden="false" customHeight="false" outlineLevel="0" collapsed="false">
      <c r="A36" s="0" t="s">
        <v>676</v>
      </c>
      <c r="B36" s="0" t="s">
        <v>52</v>
      </c>
      <c r="C36" s="28" t="n">
        <f aca="false">(PL!$C$37-PL!$C$33+PL!$C$35)/PL!$C$34</f>
        <v>0.0131526665379575</v>
      </c>
      <c r="D36" s="28" t="n">
        <f aca="false">(PL!$D$37-PL!$D$33+PL!$D$35)/PL!$D$34</f>
        <v>0.0149280116962589</v>
      </c>
      <c r="E36" s="28" t="n">
        <f aca="false">(PL!$E$37-PL!$E$33+PL!$E$35)/PL!$E$34</f>
        <v>0.0268030663774938</v>
      </c>
      <c r="F36" s="28" t="n">
        <f aca="false">PL!$O$36+(PL!$E$36-PL!$N$36)</f>
        <v>0.0232379346966962</v>
      </c>
      <c r="G36" s="28" t="n">
        <f aca="false">(PL!$G$37-PL!$G$33+PL!$G$35)/PL!$G$34</f>
        <v>0.0248739694723713</v>
      </c>
      <c r="H36" s="28" t="n">
        <f aca="false">PL!$G$36+step_na</f>
        <v>0.0278739694723713</v>
      </c>
      <c r="I36" s="28" t="n">
        <f aca="false">PL!$H$36+step_na</f>
        <v>0.0308739694723713</v>
      </c>
      <c r="J36" s="28" t="n">
        <f aca="false">PL!$I$36+step_na</f>
        <v>0.0338739694723713</v>
      </c>
      <c r="K36" s="28" t="n">
        <f aca="false">PL!$J$36+step_na</f>
        <v>0.0368739694723713</v>
      </c>
      <c r="L36" s="28" t="n">
        <f aca="false">PL!$K$36</f>
        <v>0.0368739694723713</v>
      </c>
      <c r="M36" s="28" t="n">
        <f aca="false">PL!$L$36</f>
        <v>0.0368739694723713</v>
      </c>
      <c r="N36" s="28" t="n">
        <f aca="false">(PL!$N$37-PL!$N$33+PL!$N$35)/PL!$N$34</f>
        <v>0.0168927744775755</v>
      </c>
      <c r="O36" s="28" t="n">
        <f aca="false">(PL!$O$37-PL!$O$33+PL!$O$35)/PL!$O$34</f>
        <v>0.0133276427967779</v>
      </c>
      <c r="P36" s="8" t="s">
        <v>677</v>
      </c>
    </row>
    <row r="37" customFormat="false" ht="17.15" hidden="false" customHeight="false" outlineLevel="0" collapsed="false">
      <c r="A37" s="1" t="s">
        <v>678</v>
      </c>
      <c r="B37" s="8" t="s">
        <v>73</v>
      </c>
      <c r="C37" s="38" t="n">
        <f aca="false">Q!$D$22</f>
        <v>24.967</v>
      </c>
      <c r="D37" s="38" t="n">
        <f aca="false">Q!$E$22</f>
        <v>29.619</v>
      </c>
      <c r="E37" s="38" t="n">
        <f aca="false">Q!$P$22</f>
        <v>17.39</v>
      </c>
      <c r="F37" s="38" t="n">
        <f aca="false">PL!$F$33+PL!$F$34*PL!$F$36-PL!$F$35</f>
        <v>20.9181428924232</v>
      </c>
      <c r="G37" s="38" t="n">
        <f aca="false">PL!$E$37+PL!$F$37</f>
        <v>38.3081428924232</v>
      </c>
      <c r="H37" s="38" t="n">
        <f aca="false">PL!$H$33+PL!$H$34*PL!$H$36-PL!$H$35</f>
        <v>42.1446579990201</v>
      </c>
      <c r="I37" s="38" t="n">
        <f aca="false">PL!$I$33+PL!$I$34*PL!$I$36-PL!$I$35</f>
        <v>45.1684510101094</v>
      </c>
      <c r="J37" s="38" t="n">
        <f aca="false">PL!$J$33+PL!$J$34*PL!$J$36-PL!$J$35</f>
        <v>47.7543508570566</v>
      </c>
      <c r="K37" s="38" t="n">
        <f aca="false">PL!$K$33+PL!$K$34*PL!$K$36-PL!$K$35</f>
        <v>49.4364310011742</v>
      </c>
      <c r="L37" s="38" t="n">
        <f aca="false">PL!$L$33+PL!$L$34*PL!$L$36-PL!$L$35</f>
        <v>50.3922325432258</v>
      </c>
      <c r="M37" s="38" t="n">
        <f aca="false">PL!$M$33+PL!$M$34*PL!$M$36-PL!$M$35</f>
        <v>51.8547805030549</v>
      </c>
      <c r="N37" s="38" t="n">
        <f aca="false">Q!$N$22</f>
        <v>13.358</v>
      </c>
      <c r="O37" s="38" t="n">
        <f aca="false">Q!$O$22</f>
        <v>16.261</v>
      </c>
    </row>
    <row r="38" customFormat="false" ht="17.15" hidden="false" customHeight="false" outlineLevel="0" collapsed="false">
      <c r="A38" s="0" t="s">
        <v>679</v>
      </c>
      <c r="B38" s="0" t="s">
        <v>73</v>
      </c>
      <c r="C38" s="38" t="n">
        <f aca="false">Seg!$C$24*m_ad</f>
        <v>7.57284355857716</v>
      </c>
      <c r="D38" s="38" t="n">
        <f aca="false">Seg!$D$24*m_ad</f>
        <v>9.44543827004127</v>
      </c>
      <c r="E38" s="38" t="n">
        <f aca="false">Seg!$E$24*m_ad</f>
        <v>5.02428875377928</v>
      </c>
      <c r="F38" s="38" t="n">
        <f aca="false">Seg!$F$24*m_ad</f>
        <v>6.78802480890925</v>
      </c>
      <c r="G38" s="38" t="n">
        <f aca="false">Seg!$G$24*m_ad</f>
        <v>11.8014732147805</v>
      </c>
      <c r="H38" s="38" t="n">
        <f aca="false">Seg!$H$24*m_ad</f>
        <v>14.1682715634442</v>
      </c>
      <c r="I38" s="38" t="n">
        <f aca="false">Seg!$I$24*m_ad</f>
        <v>16.5348555113474</v>
      </c>
      <c r="J38" s="38" t="n">
        <f aca="false">Seg!$J$24*m_ad</f>
        <v>18.7425403255689</v>
      </c>
      <c r="K38" s="38" t="n">
        <f aca="false">Seg!$K$24*m_ad</f>
        <v>20.6167943581258</v>
      </c>
      <c r="L38" s="38" t="n">
        <f aca="false">Seg!$L$24*m_ad</f>
        <v>22.6784737939383</v>
      </c>
      <c r="M38" s="38" t="n">
        <f aca="false">Seg!$M$24*m_ad</f>
        <v>24.9463211733322</v>
      </c>
      <c r="N38" s="38" t="n">
        <f aca="false">Seg!$N$24*m_ad</f>
        <v>3.95314442937518</v>
      </c>
      <c r="O38" s="38" t="n">
        <f aca="false">Seg!$O$24*m_ad</f>
        <v>5.50052681786011</v>
      </c>
    </row>
    <row r="39" customFormat="false" ht="17.15" hidden="false" customHeight="false" outlineLevel="0" collapsed="false">
      <c r="A39" s="0" t="s">
        <v>680</v>
      </c>
      <c r="B39" s="0" t="s">
        <v>73</v>
      </c>
      <c r="C39" s="38" t="n">
        <f aca="false">Seg!$C$22-Seg!$C$24</f>
        <v>127.760312882846</v>
      </c>
      <c r="D39" s="38" t="n">
        <f aca="false">Seg!$D$22-Seg!$D$24</f>
        <v>143.003123459917</v>
      </c>
      <c r="E39" s="38" t="n">
        <f aca="false">Seg!$E$22-Seg!$E$24</f>
        <v>71.9374224924414</v>
      </c>
      <c r="F39" s="38" t="n">
        <f aca="false">Seg!$F$22-Seg!$F$24</f>
        <v>87.0563645868046</v>
      </c>
      <c r="G39" s="38" t="n">
        <f aca="false">Seg!$G$22-Seg!$G$24</f>
        <v>159.015467775062</v>
      </c>
      <c r="H39" s="38" t="n">
        <f aca="false">Seg!$H$22-Seg!$H$24</f>
        <v>173.864803403269</v>
      </c>
      <c r="I39" s="38" t="n">
        <f aca="false">Seg!$I$22-Seg!$I$24</f>
        <v>188.068165645601</v>
      </c>
      <c r="J39" s="38" t="n">
        <f aca="false">Seg!$J$22-Seg!$J$24</f>
        <v>201.22681801082</v>
      </c>
      <c r="K39" s="38" t="n">
        <f aca="false">Seg!$K$22-Seg!$K$24</f>
        <v>212.941334991893</v>
      </c>
      <c r="L39" s="38" t="n">
        <f aca="false">Seg!$L$22-Seg!$L$24</f>
        <v>225.363269144856</v>
      </c>
      <c r="M39" s="38" t="n">
        <f aca="false">Seg!$M$22-Seg!$M$24</f>
        <v>238.536688790819</v>
      </c>
      <c r="N39" s="38" t="n">
        <f aca="false">Seg!$N$22-Seg!$N$24</f>
        <v>62.3677111412496</v>
      </c>
      <c r="O39" s="38" t="n">
        <f aca="false">Seg!$O$22-Seg!$O$24</f>
        <v>80.6189463642798</v>
      </c>
    </row>
    <row r="40" customFormat="false" ht="17.15" hidden="false" customHeight="false" outlineLevel="0" collapsed="false">
      <c r="A40" s="0" t="s">
        <v>681</v>
      </c>
      <c r="B40" s="0" t="s">
        <v>73</v>
      </c>
      <c r="C40" s="38" t="n">
        <f aca="false">Thesis!$C$48*(1-Seg!$C$20)</f>
        <v>0.0455891896019953</v>
      </c>
      <c r="D40" s="38" t="n">
        <f aca="false">Thesis!$D$48*(1-Seg!$D$20)</f>
        <v>0.332050421167231</v>
      </c>
      <c r="E40" s="38" t="n">
        <f aca="false">Thesis!$E$48*(1-Seg!$E$20)</f>
        <v>0.481224293644882</v>
      </c>
      <c r="F40" s="38" t="n">
        <f aca="false">Thesis!$F$48*(1-Seg!$F$20)</f>
        <v>0.597963350062425</v>
      </c>
      <c r="G40" s="38" t="n">
        <f aca="false">Thesis!$G$48*(1-Seg!$G$20)</f>
        <v>1.07906035699328</v>
      </c>
      <c r="H40" s="38" t="n">
        <f aca="false">Thesis!$H$48*(1-Seg!$H$20)</f>
        <v>2.86685489483517</v>
      </c>
      <c r="I40" s="38" t="n">
        <f aca="false">Thesis!$I$48*(1-Seg!$I$20)</f>
        <v>5.03498162244084</v>
      </c>
      <c r="J40" s="38" t="n">
        <f aca="false">Thesis!$J$48*(1-Seg!$J$20)</f>
        <v>7.26181961429962</v>
      </c>
      <c r="K40" s="38" t="n">
        <f aca="false">Thesis!$K$48*(1-Seg!$K$20)</f>
        <v>9.5272261074674</v>
      </c>
      <c r="L40" s="38" t="n">
        <f aca="false">Thesis!$L$48*(1-Seg!$L$20)</f>
        <v>11.6807363578886</v>
      </c>
      <c r="M40" s="38" t="n">
        <f aca="false">Thesis!$M$48*(1-Seg!$M$20)</f>
        <v>13.8739649970669</v>
      </c>
      <c r="N40" s="38" t="n">
        <f aca="false">Thesis!$N$48*(1-Seg!$N$20)</f>
        <v>0.141739115596548</v>
      </c>
      <c r="O40" s="38" t="n">
        <f aca="false">Thesis!$O$48*(1-Seg!$O$20)</f>
        <v>0.190445576353059</v>
      </c>
    </row>
    <row r="41" customFormat="false" ht="17.15" hidden="false" customHeight="false" outlineLevel="0" collapsed="false">
      <c r="A41" s="0" t="s">
        <v>682</v>
      </c>
      <c r="B41" s="0" t="s">
        <v>52</v>
      </c>
      <c r="C41" s="28" t="n">
        <f aca="false">(PL!$C$42-PL!$C$38+PL!$C$40)/PL!$C$39</f>
        <v>-0.0292364215826579</v>
      </c>
      <c r="D41" s="28" t="n">
        <f aca="false">(PL!$D$42-PL!$D$38+PL!$D$40)/PL!$D$39</f>
        <v>-0.0305125352740778</v>
      </c>
      <c r="E41" s="28" t="n">
        <f aca="false">(PL!$E$42-PL!$E$38+PL!$E$40)/PL!$E$39</f>
        <v>-0.019490056934994</v>
      </c>
      <c r="F41" s="28" t="n">
        <f aca="false">PL!$O$41+(PL!$E$41-PL!$N$41)</f>
        <v>-0.0367332293992226</v>
      </c>
      <c r="G41" s="28" t="n">
        <f aca="false">(PL!$G$42-PL!$G$38+PL!$G$40)/PL!$G$39</f>
        <v>-0.0288601660843562</v>
      </c>
      <c r="H41" s="28" t="n">
        <f aca="false">PL!$G$41+step_in</f>
        <v>-0.0288601660843562</v>
      </c>
      <c r="I41" s="28" t="n">
        <f aca="false">PL!$H$41+step_in</f>
        <v>-0.0288601660843562</v>
      </c>
      <c r="J41" s="28" t="n">
        <f aca="false">PL!$I$41+step_in</f>
        <v>-0.0288601660843562</v>
      </c>
      <c r="K41" s="28" t="n">
        <f aca="false">PL!$J$41+step_in</f>
        <v>-0.0288601660843562</v>
      </c>
      <c r="L41" s="28" t="n">
        <f aca="false">PL!$K$41</f>
        <v>-0.0288601660843562</v>
      </c>
      <c r="M41" s="28" t="n">
        <f aca="false">PL!$L$41</f>
        <v>-0.0288601660843562</v>
      </c>
      <c r="N41" s="28" t="n">
        <f aca="false">(PL!$N$42-PL!$N$38+PL!$N$40)/PL!$N$39</f>
        <v>-0.02085061789158</v>
      </c>
      <c r="O41" s="28" t="n">
        <f aca="false">(PL!$O$42-PL!$O$38+PL!$O$40)/PL!$O$39</f>
        <v>-0.0380937903558086</v>
      </c>
      <c r="P41" s="8" t="s">
        <v>677</v>
      </c>
    </row>
    <row r="42" customFormat="false" ht="17.15" hidden="false" customHeight="false" outlineLevel="0" collapsed="false">
      <c r="A42" s="1" t="s">
        <v>683</v>
      </c>
      <c r="B42" s="8" t="s">
        <v>73</v>
      </c>
      <c r="C42" s="38" t="n">
        <f aca="false">Q!$D$23</f>
        <v>3.792</v>
      </c>
      <c r="D42" s="38" t="n">
        <f aca="false">Q!$E$23</f>
        <v>4.75</v>
      </c>
      <c r="E42" s="38" t="n">
        <f aca="false">Q!$P$23</f>
        <v>3.141</v>
      </c>
      <c r="F42" s="38" t="n">
        <f aca="false">PL!$F$38+PL!$F$39*PL!$F$41-PL!$F$40</f>
        <v>2.99220004781738</v>
      </c>
      <c r="G42" s="38" t="n">
        <f aca="false">PL!$E$42+PL!$F$42</f>
        <v>6.13320004781738</v>
      </c>
      <c r="H42" s="38" t="n">
        <f aca="false">PL!$H$38+PL!$H$39*PL!$H$41-PL!$H$40</f>
        <v>6.28364956616674</v>
      </c>
      <c r="I42" s="38" t="n">
        <f aca="false">PL!$I$38+PL!$I$39*PL!$I$41-PL!$I$40</f>
        <v>6.07219539319433</v>
      </c>
      <c r="J42" s="38" t="n">
        <f aca="false">PL!$J$38+PL!$J$39*PL!$J$41-PL!$J$40</f>
        <v>5.67328132285046</v>
      </c>
      <c r="K42" s="38" t="n">
        <f aca="false">PL!$K$38+PL!$K$39*PL!$K$41-PL!$K$40</f>
        <v>4.9440459565678</v>
      </c>
      <c r="L42" s="38" t="n">
        <f aca="false">PL!$L$38+PL!$L$39*PL!$L$41-PL!$L$40</f>
        <v>4.49371605921576</v>
      </c>
      <c r="M42" s="38" t="n">
        <f aca="false">PL!$M$38+PL!$M$39*PL!$M$41-PL!$M$40</f>
        <v>4.18814772054985</v>
      </c>
      <c r="N42" s="38" t="n">
        <f aca="false">Q!$N$23</f>
        <v>2.511</v>
      </c>
      <c r="O42" s="38" t="n">
        <f aca="false">Q!$O$23</f>
        <v>2.239</v>
      </c>
    </row>
    <row r="43" customFormat="false" ht="17.15" hidden="false" customHeight="false" outlineLevel="0" collapsed="false">
      <c r="A43" s="0" t="s">
        <v>684</v>
      </c>
      <c r="B43" s="0" t="s">
        <v>73</v>
      </c>
      <c r="C43" s="38" t="n">
        <f aca="false">Thesis!$C$45</f>
        <v>1.64417882953695</v>
      </c>
      <c r="D43" s="38" t="n">
        <f aca="false">Thesis!$D$45</f>
        <v>3.8781008067718</v>
      </c>
      <c r="E43" s="38" t="n">
        <f aca="false">Thesis!$E$45</f>
        <v>1.41270258088753</v>
      </c>
      <c r="F43" s="38" t="n">
        <f aca="false">Thesis!$F$45</f>
        <v>9.28688890281936</v>
      </c>
      <c r="G43" s="38" t="n">
        <f aca="false">Thesis!$G$45</f>
        <v>10.6995914837069</v>
      </c>
      <c r="H43" s="38" t="n">
        <f aca="false">Thesis!$H$45</f>
        <v>41.6871201624788</v>
      </c>
      <c r="I43" s="38" t="n">
        <f aca="false">Thesis!$I$45</f>
        <v>75.3722652568139</v>
      </c>
      <c r="J43" s="38" t="n">
        <f aca="false">Thesis!$J$45</f>
        <v>108.498764572913</v>
      </c>
      <c r="K43" s="38" t="n">
        <f aca="false">Thesis!$K$45</f>
        <v>141.164720536404</v>
      </c>
      <c r="L43" s="38" t="n">
        <f aca="false">Thesis!$L$45</f>
        <v>175.490241495433</v>
      </c>
      <c r="M43" s="38" t="n">
        <f aca="false">Thesis!$M$45</f>
        <v>209.265826515063</v>
      </c>
      <c r="N43" s="38" t="n">
        <f aca="false">Thesis!$N$45</f>
        <v>0.92264103489199</v>
      </c>
      <c r="O43" s="38" t="n">
        <f aca="false">Thesis!$O$45</f>
        <v>2.95545977187981</v>
      </c>
    </row>
    <row r="44" customFormat="false" ht="17.15" hidden="false" customHeight="false" outlineLevel="0" collapsed="false">
      <c r="A44" s="0" t="s">
        <v>604</v>
      </c>
      <c r="B44" s="0" t="s">
        <v>73</v>
      </c>
      <c r="C44" s="38" t="n">
        <f aca="false">Thesis!$C$50</f>
        <v>38.1898211704631</v>
      </c>
      <c r="D44" s="38" t="n">
        <f aca="false">Thesis!$D$50</f>
        <v>41.7278991932282</v>
      </c>
      <c r="E44" s="38" t="n">
        <f aca="false">Thesis!$E$50</f>
        <v>29.3692974191125</v>
      </c>
      <c r="F44" s="38" t="n">
        <f aca="false">Thesis!$F$50</f>
        <v>29.458060516894</v>
      </c>
      <c r="G44" s="38" t="n">
        <f aca="false">Thesis!$G$50</f>
        <v>58.8273579360065</v>
      </c>
      <c r="H44" s="38" t="n">
        <f aca="false">Thesis!$H$50</f>
        <v>67.8004040185081</v>
      </c>
      <c r="I44" s="38" t="n">
        <f aca="false">Thesis!$I$50</f>
        <v>78.9527630302702</v>
      </c>
      <c r="J44" s="38" t="n">
        <f aca="false">Thesis!$J$50</f>
        <v>88.6042681781841</v>
      </c>
      <c r="K44" s="38" t="n">
        <f aca="false">Thesis!$K$50</f>
        <v>95.6926096324389</v>
      </c>
      <c r="L44" s="38" t="n">
        <f aca="false">Thesis!$L$50</f>
        <v>103.348018403034</v>
      </c>
      <c r="M44" s="38" t="n">
        <f aca="false">Thesis!$M$50</f>
        <v>111.615859875277</v>
      </c>
      <c r="N44" s="38" t="n">
        <f aca="false">Thesis!$N$50</f>
        <v>20.784358965108</v>
      </c>
      <c r="O44" s="38" t="n">
        <f aca="false">Thesis!$O$50</f>
        <v>20.9435402281202</v>
      </c>
    </row>
    <row r="45" customFormat="false" ht="17.15" hidden="false" customHeight="false" outlineLevel="0" collapsed="false">
      <c r="A45" s="1" t="s">
        <v>685</v>
      </c>
      <c r="B45" s="8" t="s">
        <v>73</v>
      </c>
      <c r="C45" s="38" t="n">
        <f aca="false">Q!$D$24</f>
        <v>39.834</v>
      </c>
      <c r="D45" s="38" t="n">
        <f aca="false">Q!$E$24</f>
        <v>45.606</v>
      </c>
      <c r="E45" s="38" t="n">
        <f aca="false">Q!$P$24</f>
        <v>30.782</v>
      </c>
      <c r="F45" s="38" t="n">
        <f aca="false">PL!$F$43+PL!$F$44</f>
        <v>38.7449494197134</v>
      </c>
      <c r="G45" s="38" t="n">
        <f aca="false">PL!$G$43+PL!$G$44</f>
        <v>69.5269494197134</v>
      </c>
      <c r="H45" s="38" t="n">
        <f aca="false">PL!$H$43+PL!$H$44</f>
        <v>109.487524180987</v>
      </c>
      <c r="I45" s="38" t="n">
        <f aca="false">PL!$I$43+PL!$I$44</f>
        <v>154.325028287084</v>
      </c>
      <c r="J45" s="38" t="n">
        <f aca="false">PL!$J$43+PL!$J$44</f>
        <v>197.103032751097</v>
      </c>
      <c r="K45" s="38" t="n">
        <f aca="false">PL!$K$43+PL!$K$44</f>
        <v>236.857330168843</v>
      </c>
      <c r="L45" s="38" t="n">
        <f aca="false">PL!$L$43+PL!$L$44</f>
        <v>278.838259898467</v>
      </c>
      <c r="M45" s="38" t="n">
        <f aca="false">PL!$M$43+PL!$M$44</f>
        <v>320.88168639034</v>
      </c>
      <c r="N45" s="38" t="n">
        <f aca="false">Q!$N$24</f>
        <v>21.707</v>
      </c>
      <c r="O45" s="38" t="n">
        <f aca="false">Q!$O$24</f>
        <v>23.899</v>
      </c>
    </row>
    <row r="46" customFormat="false" ht="17.15" hidden="false" customHeight="false" outlineLevel="0" collapsed="false">
      <c r="A46" s="5" t="s">
        <v>686</v>
      </c>
      <c r="B46" s="0" t="s">
        <v>73</v>
      </c>
      <c r="C46" s="38" t="n">
        <f aca="false">Q!$D$26</f>
        <v>0</v>
      </c>
      <c r="D46" s="38" t="n">
        <f aca="false">Q!$E$26</f>
        <v>0</v>
      </c>
      <c r="E46" s="38" t="n">
        <f aca="false">Q!$P$26</f>
        <v>0</v>
      </c>
      <c r="F46" s="41" t="n">
        <v>0</v>
      </c>
      <c r="G46" s="38" t="n">
        <f aca="false">PL!$E$46+PL!$F$46</f>
        <v>0</v>
      </c>
      <c r="H46" s="41" t="n">
        <v>0</v>
      </c>
      <c r="I46" s="41" t="n">
        <v>0</v>
      </c>
      <c r="J46" s="41" t="n">
        <v>0</v>
      </c>
      <c r="K46" s="41" t="n">
        <v>0</v>
      </c>
      <c r="L46" s="41" t="n">
        <v>0</v>
      </c>
      <c r="M46" s="41" t="n">
        <v>0</v>
      </c>
      <c r="N46" s="38" t="n">
        <f aca="false">Q!$N$26</f>
        <v>0</v>
      </c>
      <c r="O46" s="38" t="n">
        <f aca="false">Q!$O$26</f>
        <v>0</v>
      </c>
    </row>
    <row r="47" customFormat="false" ht="15" hidden="false" customHeight="false" outlineLevel="0" collapsed="false">
      <c r="A47" s="3" t="s">
        <v>494</v>
      </c>
      <c r="B47" s="8" t="s">
        <v>73</v>
      </c>
      <c r="C47" s="38" t="n">
        <f aca="false">Q!$D$25</f>
        <v>68.593</v>
      </c>
      <c r="D47" s="38" t="n">
        <f aca="false">Q!$E$25</f>
        <v>79.975</v>
      </c>
      <c r="E47" s="38" t="n">
        <f aca="false">Q!$P$25</f>
        <v>51.313</v>
      </c>
      <c r="F47" s="38" t="n">
        <f aca="false">PL!$F$37+PL!$F$42+PL!$F$45+PL!$F$46</f>
        <v>62.6552923599539</v>
      </c>
      <c r="G47" s="38" t="n">
        <f aca="false">PL!$G$37+PL!$G$42+PL!$G$45+PL!$G$46</f>
        <v>113.968292359954</v>
      </c>
      <c r="H47" s="38" t="n">
        <f aca="false">PL!$H$37+PL!$H$42+PL!$H$45+PL!$H$46</f>
        <v>157.915831746174</v>
      </c>
      <c r="I47" s="38" t="n">
        <f aca="false">PL!$I$37+PL!$I$42+PL!$I$45+PL!$I$46</f>
        <v>205.565674690388</v>
      </c>
      <c r="J47" s="38" t="n">
        <f aca="false">PL!$J$37+PL!$J$42+PL!$J$45+PL!$J$46</f>
        <v>250.530664931004</v>
      </c>
      <c r="K47" s="38" t="n">
        <f aca="false">PL!$K$37+PL!$K$42+PL!$K$45+PL!$K$46</f>
        <v>291.237807126585</v>
      </c>
      <c r="L47" s="38" t="n">
        <f aca="false">PL!$L$37+PL!$L$42+PL!$L$45+PL!$L$46</f>
        <v>333.724208500909</v>
      </c>
      <c r="M47" s="38" t="n">
        <f aca="false">PL!$M$37+PL!$M$42+PL!$M$45+PL!$M$46</f>
        <v>376.924614613945</v>
      </c>
      <c r="N47" s="38" t="n">
        <f aca="false">Q!$N$25</f>
        <v>37.576</v>
      </c>
      <c r="O47" s="38" t="n">
        <f aca="false">Q!$O$25</f>
        <v>42.399</v>
      </c>
    </row>
    <row r="48" customFormat="false" ht="17.15" hidden="false" customHeight="false" outlineLevel="0" collapsed="false">
      <c r="A48" s="24" t="s">
        <v>687</v>
      </c>
      <c r="B48" s="25" t="s">
        <v>73</v>
      </c>
      <c r="C48" s="39" t="n">
        <f aca="false">PL!$C$37+PL!$C$42+PL!$C$45+PL!$C$46-PL!$C$47</f>
        <v>0</v>
      </c>
      <c r="D48" s="39" t="n">
        <f aca="false">PL!$D$37+PL!$D$42+PL!$D$45+PL!$D$46-PL!$D$47</f>
        <v>0</v>
      </c>
      <c r="E48" s="39" t="n">
        <f aca="false">PL!$E$37+PL!$E$42+PL!$E$45+PL!$E$46-PL!$E$47</f>
        <v>0</v>
      </c>
      <c r="F48" s="39" t="n">
        <f aca="false">PL!$F$37+PL!$F$42+PL!$F$45+PL!$F$46-PL!$F$47</f>
        <v>0</v>
      </c>
      <c r="G48" s="39" t="n">
        <f aca="false">PL!$G$37+PL!$G$42+PL!$G$45+PL!$G$46-PL!$G$47</f>
        <v>0</v>
      </c>
      <c r="H48" s="39" t="n">
        <f aca="false">PL!$H$37+PL!$H$42+PL!$H$45+PL!$H$46-PL!$H$47</f>
        <v>0</v>
      </c>
      <c r="I48" s="39" t="n">
        <f aca="false">PL!$I$37+PL!$I$42+PL!$I$45+PL!$I$46-PL!$I$47</f>
        <v>0</v>
      </c>
      <c r="J48" s="39" t="n">
        <f aca="false">PL!$J$37+PL!$J$42+PL!$J$45+PL!$J$46-PL!$J$47</f>
        <v>0</v>
      </c>
      <c r="K48" s="39" t="n">
        <f aca="false">PL!$K$37+PL!$K$42+PL!$K$45+PL!$K$46-PL!$K$47</f>
        <v>0</v>
      </c>
      <c r="L48" s="39" t="n">
        <f aca="false">PL!$L$37+PL!$L$42+PL!$L$45+PL!$L$46-PL!$L$47</f>
        <v>0</v>
      </c>
      <c r="M48" s="39" t="n">
        <f aca="false">PL!$M$37+PL!$M$42+PL!$M$45+PL!$M$46-PL!$M$47</f>
        <v>0</v>
      </c>
      <c r="N48" s="39" t="n">
        <f aca="false">PL!$N$37+PL!$N$42+PL!$N$45+PL!$N$46-PL!$N$47</f>
        <v>0</v>
      </c>
      <c r="O48" s="39" t="n">
        <f aca="false">PL!$O$37+PL!$O$42+PL!$O$45+PL!$O$46-PL!$O$47</f>
        <v>0</v>
      </c>
    </row>
    <row r="49" customFormat="false" ht="17.15" hidden="false" customHeight="false" outlineLevel="0" collapsed="false">
      <c r="A49" s="0" t="s">
        <v>688</v>
      </c>
      <c r="B49" s="0" t="s">
        <v>52</v>
      </c>
      <c r="C49" s="12" t="n">
        <f aca="false">PL!$C$37/PL!$C$22</f>
        <v>0.0644314665661928</v>
      </c>
      <c r="D49" s="12" t="n">
        <f aca="false">PL!$D$37/PL!$D$22</f>
        <v>0.0694784250712518</v>
      </c>
      <c r="E49" s="12" t="n">
        <f aca="false">PL!$E$37/PL!$E$22</f>
        <v>0.0789306463326071</v>
      </c>
      <c r="F49" s="12" t="n">
        <f aca="false">PL!$F$37/PL!$F$22</f>
        <v>0.0816145735840794</v>
      </c>
      <c r="G49" s="12" t="n">
        <f aca="false">PL!$G$37/PL!$G$22</f>
        <v>0.0803739251202381</v>
      </c>
      <c r="H49" s="12" t="n">
        <f aca="false">PL!$H$37/PL!$H$22</f>
        <v>0.0798596011752237</v>
      </c>
      <c r="I49" s="12" t="n">
        <f aca="false">PL!$I$37/PL!$I$22</f>
        <v>0.0782601558562171</v>
      </c>
      <c r="J49" s="12" t="n">
        <f aca="false">PL!$J$37/PL!$J$22</f>
        <v>0.0766491821486487</v>
      </c>
      <c r="K49" s="12" t="n">
        <f aca="false">PL!$K$37/PL!$K$22</f>
        <v>0.0745217516355193</v>
      </c>
      <c r="L49" s="12" t="n">
        <f aca="false">PL!$L$37/PL!$L$22</f>
        <v>0.0713200365148662</v>
      </c>
      <c r="M49" s="12" t="n">
        <f aca="false">PL!$M$37/PL!$M$22</f>
        <v>0.0688839469911888</v>
      </c>
      <c r="N49" s="12" t="n">
        <f aca="false">PL!$N$37/PL!$N$22</f>
        <v>0.069228576611127</v>
      </c>
      <c r="O49" s="12" t="n">
        <f aca="false">PL!$O$37/PL!$O$22</f>
        <v>0.069685022498393</v>
      </c>
    </row>
    <row r="50" customFormat="false" ht="17.15" hidden="false" customHeight="false" outlineLevel="0" collapsed="false">
      <c r="A50" s="0" t="s">
        <v>689</v>
      </c>
      <c r="B50" s="0" t="s">
        <v>52</v>
      </c>
      <c r="C50" s="12" t="n">
        <f aca="false">PL!$C$42/PL!$C$23</f>
        <v>0.026534925055631</v>
      </c>
      <c r="D50" s="12" t="n">
        <f aca="false">PL!$D$42/PL!$D$23</f>
        <v>0.0293401855535103</v>
      </c>
      <c r="E50" s="12" t="n">
        <f aca="false">PL!$E$42/PL!$E$23</f>
        <v>0.03831141902276</v>
      </c>
      <c r="F50" s="12" t="n">
        <f aca="false">PL!$F$42/PL!$F$23</f>
        <v>0.0297339586997597</v>
      </c>
      <c r="G50" s="12" t="n">
        <f aca="false">PL!$G$42/PL!$G$23</f>
        <v>0.0335847842865679</v>
      </c>
      <c r="H50" s="12" t="n">
        <f aca="false">PL!$H$42/PL!$H$23</f>
        <v>0.0310762004012152</v>
      </c>
      <c r="I50" s="12" t="n">
        <f aca="false">PL!$I$42/PL!$I$23</f>
        <v>0.0274588663176076</v>
      </c>
      <c r="J50" s="12" t="n">
        <f aca="false">PL!$J$42/PL!$J$23</f>
        <v>0.023766227635282</v>
      </c>
      <c r="K50" s="12" t="n">
        <f aca="false">PL!$K$42/PL!$K$23</f>
        <v>0.0194513521807713</v>
      </c>
      <c r="L50" s="12" t="n">
        <f aca="false">PL!$L$42/PL!$L$23</f>
        <v>0.0165991151804232</v>
      </c>
      <c r="M50" s="12" t="n">
        <f aca="false">PL!$M$42/PL!$M$23</f>
        <v>0.0145205333453189</v>
      </c>
      <c r="N50" s="12" t="n">
        <f aca="false">PL!$N$42/PL!$N$23</f>
        <v>0.0357315650169337</v>
      </c>
      <c r="O50" s="12" t="n">
        <f aca="false">PL!$O$42/PL!$O$23</f>
        <v>0.0244378956559703</v>
      </c>
    </row>
    <row r="51" customFormat="false" ht="17.15" hidden="false" customHeight="false" outlineLevel="0" collapsed="false">
      <c r="A51" s="13" t="s">
        <v>690</v>
      </c>
      <c r="B51" s="13" t="s">
        <v>52</v>
      </c>
      <c r="C51" s="16" t="n">
        <f aca="false">PL!$C$45/PL!$C$24</f>
        <v>0.370355907620217</v>
      </c>
      <c r="D51" s="16" t="n">
        <f aca="false">PL!$D$45/PL!$D$24</f>
        <v>0.35429015342785</v>
      </c>
      <c r="E51" s="16" t="n">
        <f aca="false">PL!$E$45/PL!$E$24</f>
        <v>0.385647527531039</v>
      </c>
      <c r="F51" s="16" t="n">
        <f aca="false">PL!$F$45/PL!$F$24</f>
        <v>0.40206185729161</v>
      </c>
      <c r="G51" s="16" t="n">
        <f aca="false">PL!$G$45/PL!$G$24</f>
        <v>0.394625480519189</v>
      </c>
      <c r="H51" s="16" t="n">
        <f aca="false">PL!$H$45/PL!$H$24</f>
        <v>0.41476092179775</v>
      </c>
      <c r="I51" s="16" t="n">
        <f aca="false">PL!$I$45/PL!$I$24</f>
        <v>0.430204647026498</v>
      </c>
      <c r="J51" s="16" t="n">
        <f aca="false">PL!$J$45/PL!$J$24</f>
        <v>0.438243633189719</v>
      </c>
      <c r="K51" s="16" t="n">
        <f aca="false">PL!$K$45/PL!$K$24</f>
        <v>0.443514356279741</v>
      </c>
      <c r="L51" s="16" t="n">
        <f aca="false">PL!$L$45/PL!$L$24</f>
        <v>0.449816619072506</v>
      </c>
      <c r="M51" s="16" t="n">
        <f aca="false">PL!$M$45/PL!$M$24</f>
        <v>0.453608819396256</v>
      </c>
      <c r="N51" s="16" t="n">
        <f aca="false">PL!$N$45/PL!$N$24</f>
        <v>0.360941137346192</v>
      </c>
      <c r="O51" s="16" t="n">
        <f aca="false">PL!$O$45/PL!$O$24</f>
        <v>0.348458117664212</v>
      </c>
    </row>
    <row r="52" customFormat="false" ht="17.15" hidden="false" customHeight="false" outlineLevel="0" collapsed="false">
      <c r="A52" s="0" t="s">
        <v>691</v>
      </c>
      <c r="B52" s="0" t="s">
        <v>52</v>
      </c>
      <c r="C52" s="12" t="n">
        <f aca="false">PL!$C$43/PL!$C$25</f>
        <v>0.708390794789371</v>
      </c>
      <c r="D52" s="12" t="n">
        <f aca="false">PL!$D$43/PL!$D$25</f>
        <v>0.445565630441968</v>
      </c>
      <c r="E52" s="12" t="n">
        <f aca="false">PL!$E$43/PL!$E$25</f>
        <v>0.165998118402711</v>
      </c>
      <c r="F52" s="12" t="n">
        <f aca="false">PL!$F$43/PL!$F$25</f>
        <v>0.522597540603814</v>
      </c>
      <c r="G52" s="12" t="n">
        <f aca="false">PL!$G$43/PL!$G$25</f>
        <v>0.407122915702863</v>
      </c>
      <c r="H52" s="12" t="n">
        <f aca="false">PL!$H$43/PL!$H$25</f>
        <v>0.501747428859124</v>
      </c>
      <c r="I52" s="12" t="n">
        <f aca="false">PL!$I$43/PL!$I$25</f>
        <v>0.509009675067759</v>
      </c>
      <c r="J52" s="12" t="n">
        <f aca="false">PL!$J$43/PL!$J$25</f>
        <v>0.508529537133494</v>
      </c>
      <c r="K52" s="12" t="n">
        <f aca="false">PL!$K$43/PL!$K$25</f>
        <v>0.50644637746917</v>
      </c>
      <c r="L52" s="12" t="n">
        <f aca="false">PL!$L$43/PL!$L$25</f>
        <v>0.509912581728373</v>
      </c>
      <c r="M52" s="12" t="n">
        <f aca="false">PL!$M$43/PL!$M$25</f>
        <v>0.51089936914589</v>
      </c>
      <c r="N52" s="12" t="n">
        <f aca="false">PL!$N$43/PL!$N$25</f>
        <v>0.302870734830849</v>
      </c>
      <c r="O52" s="12" t="n">
        <f aca="false">PL!$O$43/PL!$O$25</f>
        <v>0.52240134346334</v>
      </c>
    </row>
    <row r="53" customFormat="false" ht="15" hidden="false" customHeight="false" outlineLevel="0" collapsed="false">
      <c r="A53" s="5" t="s">
        <v>692</v>
      </c>
      <c r="B53" s="0" t="s">
        <v>52</v>
      </c>
      <c r="C53" s="12" t="n">
        <f aca="false">PL!$C$47/PL!$C$27</f>
        <v>0.107519448742004</v>
      </c>
      <c r="D53" s="12" t="n">
        <f aca="false">PL!$D$47/PL!$D$27</f>
        <v>0.111552967957552</v>
      </c>
      <c r="E53" s="12" t="n">
        <f aca="false">PL!$E$47/PL!$E$27</f>
        <v>0.13428328426562</v>
      </c>
      <c r="F53" s="12" t="n">
        <f aca="false">PL!$F$47/PL!$F$27</f>
        <v>0.138219735129808</v>
      </c>
      <c r="G53" s="12" t="n">
        <f aca="false">PL!$G$47/PL!$G$27</f>
        <v>0.136419199408084</v>
      </c>
      <c r="H53" s="12" t="n">
        <f aca="false">PL!$H$47/PL!$H$27</f>
        <v>0.158882924718078</v>
      </c>
      <c r="I53" s="12" t="n">
        <f aca="false">PL!$I$47/PL!$I$27</f>
        <v>0.177668172284456</v>
      </c>
      <c r="J53" s="12" t="n">
        <f aca="false">PL!$J$47/PL!$J$27</f>
        <v>0.191026986303957</v>
      </c>
      <c r="K53" s="12" t="n">
        <f aca="false">PL!$K$47/PL!$K$27</f>
        <v>0.200631708366219</v>
      </c>
      <c r="L53" s="12" t="n">
        <f aca="false">PL!$L$47/PL!$L$27</f>
        <v>0.208946122217668</v>
      </c>
      <c r="M53" s="12" t="n">
        <f aca="false">PL!$M$47/PL!$M$27</f>
        <v>0.215556536361688</v>
      </c>
      <c r="N53" s="12" t="n">
        <f aca="false">PL!$N$47/PL!$N$27</f>
        <v>0.116201614873411</v>
      </c>
      <c r="O53" s="12" t="n">
        <f aca="false">PL!$O$47/PL!$O$27</f>
        <v>0.107733353660861</v>
      </c>
    </row>
    <row r="54" customFormat="false" ht="17.15" hidden="false" customHeight="false" outlineLevel="0" collapsed="false">
      <c r="A54" s="1" t="s">
        <v>693</v>
      </c>
    </row>
    <row r="55" customFormat="false" ht="17.15" hidden="false" customHeight="false" outlineLevel="0" collapsed="false">
      <c r="A55" s="5" t="s">
        <v>694</v>
      </c>
      <c r="B55" s="0" t="s">
        <v>52</v>
      </c>
      <c r="D55" s="28" t="n">
        <f aca="false">(Q!$E$29+Q!$E$30-(1-ext_sh)*Thesis!$D$41)/Seg!$D$19</f>
        <v>0.0334674312393194</v>
      </c>
    </row>
    <row r="56" customFormat="false" ht="17.15" hidden="false" customHeight="false" outlineLevel="0" collapsed="false">
      <c r="A56" s="0" t="s">
        <v>498</v>
      </c>
      <c r="B56" s="0" t="s">
        <v>73</v>
      </c>
      <c r="C56" s="38" t="n">
        <f aca="false">Q!$D$29</f>
        <v>14.285</v>
      </c>
      <c r="D56" s="38" t="n">
        <f aca="false">Q!$E$29</f>
        <v>15.503</v>
      </c>
      <c r="E56" s="38" t="n">
        <f aca="false">Q!$P$29</f>
        <v>8.78</v>
      </c>
      <c r="F56" s="38" t="n">
        <f aca="false">(PL!$D$55*Seg!$F$19+(1-ext_sh)*Thesis!$F$41)*Seg!$F$20</f>
        <v>9.51361751569285</v>
      </c>
      <c r="G56" s="38" t="n">
        <f aca="false">PL!$E$56+PL!$F$56</f>
        <v>18.2936175156929</v>
      </c>
      <c r="H56" s="38" t="n">
        <f aca="false">(PL!$D$55*Seg!$H$19+(1-ext_sh)*Thesis!$H$41)*Seg!$H$20</f>
        <v>22.8178120069944</v>
      </c>
      <c r="I56" s="38" t="n">
        <f aca="false">(PL!$D$55*Seg!$I$19+(1-ext_sh)*Thesis!$I$41)*Seg!$I$20</f>
        <v>28.5894453327073</v>
      </c>
      <c r="J56" s="38" t="n">
        <f aca="false">(PL!$D$55*Seg!$J$19+(1-ext_sh)*Thesis!$J$41)*Seg!$J$20</f>
        <v>34.3924497003759</v>
      </c>
      <c r="K56" s="38" t="n">
        <f aca="false">(PL!$D$55*Seg!$K$19+(1-ext_sh)*Thesis!$K$41)*Seg!$K$20</f>
        <v>40.1107741953089</v>
      </c>
      <c r="L56" s="38" t="n">
        <f aca="false">(PL!$D$55*Seg!$L$19+(1-ext_sh)*Thesis!$L$41)*Seg!$L$20</f>
        <v>45.6311580118322</v>
      </c>
      <c r="M56" s="38" t="n">
        <f aca="false">(PL!$D$55*Seg!$M$19+(1-ext_sh)*Thesis!$M$41)*Seg!$M$20</f>
        <v>51.3566298064494</v>
      </c>
      <c r="N56" s="38" t="n">
        <f aca="false">Q!$N$29</f>
        <v>7.272</v>
      </c>
      <c r="O56" s="38" t="n">
        <f aca="false">Q!$O$29</f>
        <v>8.231</v>
      </c>
    </row>
    <row r="57" customFormat="false" ht="17.15" hidden="false" customHeight="false" outlineLevel="0" collapsed="false">
      <c r="A57" s="0" t="s">
        <v>500</v>
      </c>
      <c r="B57" s="0" t="s">
        <v>73</v>
      </c>
      <c r="C57" s="38" t="n">
        <f aca="false">Q!$D$30</f>
        <v>4.462</v>
      </c>
      <c r="D57" s="38" t="n">
        <f aca="false">Q!$E$30</f>
        <v>4.907</v>
      </c>
      <c r="E57" s="38" t="n">
        <f aca="false">Q!$P$30</f>
        <v>2.57</v>
      </c>
      <c r="F57" s="38" t="n">
        <f aca="false">(PL!$D$55*Seg!$F$19+(1-ext_sh)*Thesis!$F$41)*(1-Seg!$F$20)</f>
        <v>3.7353230631574</v>
      </c>
      <c r="G57" s="38" t="n">
        <f aca="false">PL!$E$57+PL!$F$57</f>
        <v>6.3053230631574</v>
      </c>
      <c r="H57" s="38" t="n">
        <f aca="false">(PL!$D$55*Seg!$H$19+(1-ext_sh)*Thesis!$H$41)*(1-Seg!$H$20)</f>
        <v>8.74264097729789</v>
      </c>
      <c r="I57" s="38" t="n">
        <f aca="false">(PL!$D$55*Seg!$I$19+(1-ext_sh)*Thesis!$I$41)*(1-Seg!$I$20)</f>
        <v>10.9540413518758</v>
      </c>
      <c r="J57" s="38" t="n">
        <f aca="false">(PL!$D$55*Seg!$J$19+(1-ext_sh)*Thesis!$J$41)*(1-Seg!$J$20)</f>
        <v>13.1774615361014</v>
      </c>
      <c r="K57" s="38" t="n">
        <f aca="false">(PL!$D$55*Seg!$K$19+(1-ext_sh)*Thesis!$K$41)*(1-Seg!$K$20)</f>
        <v>15.3684366407944</v>
      </c>
      <c r="L57" s="38" t="n">
        <f aca="false">(PL!$D$55*Seg!$L$19+(1-ext_sh)*Thesis!$L$41)*(1-Seg!$L$20)</f>
        <v>17.4835708065923</v>
      </c>
      <c r="M57" s="38" t="n">
        <f aca="false">(PL!$D$55*Seg!$M$19+(1-ext_sh)*Thesis!$M$41)*(1-Seg!$M$20)</f>
        <v>19.6772843980024</v>
      </c>
      <c r="N57" s="38" t="n">
        <f aca="false">Q!$N$30</f>
        <v>2.316</v>
      </c>
      <c r="O57" s="38" t="n">
        <f aca="false">Q!$O$30</f>
        <v>2.591</v>
      </c>
    </row>
    <row r="58" customFormat="false" ht="17.15" hidden="false" customHeight="false" outlineLevel="0" collapsed="false">
      <c r="A58" s="0" t="s">
        <v>501</v>
      </c>
      <c r="B58" s="0" t="s">
        <v>73</v>
      </c>
      <c r="C58" s="38" t="n">
        <f aca="false">Thesis!$C$53</f>
        <v>13.32</v>
      </c>
      <c r="D58" s="38" t="n">
        <f aca="false">Thesis!$D$53</f>
        <v>21.45</v>
      </c>
      <c r="E58" s="38" t="n">
        <f aca="false">Thesis!$E$53</f>
        <v>15.353</v>
      </c>
      <c r="F58" s="38" t="n">
        <f aca="false">Thesis!$F$53</f>
        <v>17.3614451462707</v>
      </c>
      <c r="G58" s="38" t="n">
        <f aca="false">Thesis!$G$53</f>
        <v>32.7144451462707</v>
      </c>
      <c r="H58" s="38" t="n">
        <f aca="false">Thesis!$H$53</f>
        <v>56.4867710193415</v>
      </c>
      <c r="I58" s="38" t="n">
        <f aca="false">Thesis!$I$53</f>
        <v>83.8668874379297</v>
      </c>
      <c r="J58" s="38" t="n">
        <f aca="false">Thesis!$J$53</f>
        <v>111.460055841369</v>
      </c>
      <c r="K58" s="38" t="n">
        <f aca="false">Thesis!$K$53</f>
        <v>138.547827112871</v>
      </c>
      <c r="L58" s="38" t="n">
        <f aca="false">Thesis!$L$53</f>
        <v>164.251314203055</v>
      </c>
      <c r="M58" s="38" t="n">
        <f aca="false">Thesis!$M$53</f>
        <v>190.779610439699</v>
      </c>
      <c r="N58" s="38" t="n">
        <f aca="false">Thesis!$N$53</f>
        <v>9.234</v>
      </c>
      <c r="O58" s="38" t="n">
        <f aca="false">Thesis!$O$53</f>
        <v>12.216</v>
      </c>
    </row>
    <row r="59" customFormat="false" ht="17.15" hidden="false" customHeight="false" outlineLevel="0" collapsed="false">
      <c r="A59" s="5" t="s">
        <v>695</v>
      </c>
      <c r="B59" s="0" t="s">
        <v>73</v>
      </c>
      <c r="C59" s="38" t="n">
        <f aca="false">PL!$C$56+PL!$C$57+PL!$C$58</f>
        <v>32.067</v>
      </c>
      <c r="D59" s="38" t="n">
        <f aca="false">PL!$D$56+PL!$D$57+PL!$D$58</f>
        <v>41.86</v>
      </c>
      <c r="E59" s="38" t="n">
        <f aca="false">PL!$E$56+PL!$E$57+PL!$E$58</f>
        <v>26.703</v>
      </c>
      <c r="F59" s="38" t="n">
        <f aca="false">PL!$F$56+PL!$F$57+PL!$F$58</f>
        <v>30.6103857251209</v>
      </c>
      <c r="G59" s="38" t="n">
        <f aca="false">PL!$G$56+PL!$G$57+PL!$G$58</f>
        <v>57.3133857251209</v>
      </c>
      <c r="H59" s="38" t="n">
        <f aca="false">PL!$H$56+PL!$H$57+PL!$H$58</f>
        <v>88.0472240036338</v>
      </c>
      <c r="I59" s="38" t="n">
        <f aca="false">PL!$I$56+PL!$I$57+PL!$I$58</f>
        <v>123.410374122513</v>
      </c>
      <c r="J59" s="38" t="n">
        <f aca="false">PL!$J$56+PL!$J$57+PL!$J$58</f>
        <v>159.029967077846</v>
      </c>
      <c r="K59" s="38" t="n">
        <f aca="false">PL!$K$56+PL!$K$57+PL!$K$58</f>
        <v>194.027037948974</v>
      </c>
      <c r="L59" s="38" t="n">
        <f aca="false">PL!$L$56+PL!$L$57+PL!$L$58</f>
        <v>227.366043021479</v>
      </c>
      <c r="M59" s="38" t="n">
        <f aca="false">PL!$M$56+PL!$M$57+PL!$M$58</f>
        <v>261.813524644151</v>
      </c>
      <c r="N59" s="38" t="n">
        <f aca="false">PL!$N$56+PL!$N$57+PL!$N$58</f>
        <v>18.822</v>
      </c>
      <c r="O59" s="38" t="n">
        <f aca="false">PL!$O$56+PL!$O$57+PL!$O$58</f>
        <v>23.038</v>
      </c>
    </row>
    <row r="60" customFormat="false" ht="17.15" hidden="false" customHeight="false" outlineLevel="0" collapsed="false">
      <c r="A60" s="0" t="s">
        <v>696</v>
      </c>
      <c r="B60" s="0" t="s">
        <v>73</v>
      </c>
      <c r="C60" s="38" t="n">
        <f aca="false">PL!$C$33+PL!$C$38</f>
        <v>28.107</v>
      </c>
      <c r="D60" s="38" t="n">
        <f aca="false">PL!$D$33+PL!$D$38</f>
        <v>34.3175</v>
      </c>
      <c r="E60" s="38" t="n">
        <f aca="false">PL!$E$33+PL!$E$38</f>
        <v>18.526</v>
      </c>
      <c r="F60" s="38" t="n">
        <f aca="false">PL!$F$33+PL!$F$38</f>
        <v>24.0766690913691</v>
      </c>
      <c r="G60" s="38" t="n">
        <f aca="false">PL!$G$33+PL!$G$38</f>
        <v>42.6026690913691</v>
      </c>
      <c r="H60" s="38" t="n">
        <f aca="false">PL!$H$33+PL!$H$38</f>
        <v>51.1466809294702</v>
      </c>
      <c r="I60" s="38" t="n">
        <f aca="false">PL!$I$33+PL!$I$38</f>
        <v>59.6899187926205</v>
      </c>
      <c r="J60" s="38" t="n">
        <f aca="false">PL!$J$33+PL!$J$38</f>
        <v>67.6595395244221</v>
      </c>
      <c r="K60" s="38" t="n">
        <f aca="false">PL!$K$33+PL!$K$38</f>
        <v>74.4254934768643</v>
      </c>
      <c r="L60" s="38" t="n">
        <f aca="false">PL!$L$33+PL!$L$38</f>
        <v>81.8680428245508</v>
      </c>
      <c r="M60" s="38" t="n">
        <f aca="false">PL!$M$33+PL!$M$38</f>
        <v>90.0548471070059</v>
      </c>
      <c r="N60" s="38" t="n">
        <f aca="false">PL!$N$33+PL!$N$38</f>
        <v>14.8075</v>
      </c>
      <c r="O60" s="38" t="n">
        <f aca="false">PL!$O$33+PL!$O$38</f>
        <v>19.51</v>
      </c>
    </row>
    <row r="61" customFormat="false" ht="17.15" hidden="false" customHeight="false" outlineLevel="0" collapsed="false">
      <c r="A61" s="0" t="s">
        <v>697</v>
      </c>
      <c r="B61" s="0" t="s">
        <v>73</v>
      </c>
      <c r="C61" s="38" t="n">
        <f aca="false">PL!$C$37+PL!$C$42+PL!$C$56+PL!$C$57-PL!$C$60</f>
        <v>19.399</v>
      </c>
      <c r="D61" s="38" t="n">
        <f aca="false">PL!$D$37+PL!$D$42+PL!$D$56+PL!$D$57-PL!$D$60</f>
        <v>20.4615</v>
      </c>
      <c r="E61" s="38" t="n">
        <f aca="false">PL!$E$37+PL!$E$42+PL!$E$56+PL!$E$57-PL!$E$60</f>
        <v>13.355</v>
      </c>
      <c r="F61" s="38" t="n">
        <f aca="false">PL!$F$37+PL!$F$42+PL!$F$56+PL!$F$57-PL!$F$60</f>
        <v>13.0826144277217</v>
      </c>
      <c r="G61" s="38" t="n">
        <f aca="false">PL!$G$37+PL!$G$42+PL!$G$56+PL!$G$57-PL!$G$60</f>
        <v>26.4376144277217</v>
      </c>
      <c r="H61" s="38" t="n">
        <f aca="false">PL!$H$37+PL!$H$42+PL!$H$56+PL!$H$57-PL!$H$60</f>
        <v>28.842079620009</v>
      </c>
      <c r="I61" s="38" t="n">
        <f aca="false">PL!$I$37+PL!$I$42+PL!$I$56+PL!$I$57-PL!$I$60</f>
        <v>31.0942142952663</v>
      </c>
      <c r="J61" s="38" t="n">
        <f aca="false">PL!$J$37+PL!$J$42+PL!$J$56+PL!$J$57-PL!$J$60</f>
        <v>33.3380038919623</v>
      </c>
      <c r="K61" s="38" t="n">
        <f aca="false">PL!$K$37+PL!$K$42+PL!$K$56+PL!$K$57-PL!$K$60</f>
        <v>35.434194316981</v>
      </c>
      <c r="L61" s="38" t="n">
        <f aca="false">PL!$L$37+PL!$L$42+PL!$L$56+PL!$L$57-PL!$L$60</f>
        <v>36.1326345963153</v>
      </c>
      <c r="M61" s="38" t="n">
        <f aca="false">PL!$M$37+PL!$M$42+PL!$M$56+PL!$M$57-PL!$M$60</f>
        <v>37.0219953210507</v>
      </c>
      <c r="N61" s="38" t="n">
        <f aca="false">PL!$N$37+PL!$N$42+PL!$N$56+PL!$N$57-PL!$N$60</f>
        <v>10.6495</v>
      </c>
      <c r="O61" s="38" t="n">
        <f aca="false">PL!$O$37+PL!$O$42+PL!$O$56+PL!$O$57-PL!$O$60</f>
        <v>9.81200000000001</v>
      </c>
    </row>
    <row r="62" customFormat="false" ht="17.15" hidden="false" customHeight="false" outlineLevel="0" collapsed="false">
      <c r="A62" s="0" t="s">
        <v>698</v>
      </c>
      <c r="B62" s="0" t="s">
        <v>73</v>
      </c>
      <c r="C62" s="38" t="n">
        <f aca="false">PL!$C$44+PL!$C$58-ext_sh*Thesis!$C$41</f>
        <v>51.3470500115664</v>
      </c>
      <c r="D62" s="38" t="n">
        <f aca="false">PL!$D$44+PL!$D$58-ext_sh*Thesis!$D$41</f>
        <v>60.2799375433739</v>
      </c>
      <c r="E62" s="38" t="n">
        <f aca="false">PL!$E$44+PL!$E$58-ext_sh*Thesis!$E$41</f>
        <v>39.5095167090767</v>
      </c>
      <c r="F62" s="38" t="n">
        <f aca="false">PL!$F$44+PL!$F$58-ext_sh*Thesis!$F$41</f>
        <v>41.606724953129</v>
      </c>
      <c r="G62" s="38" t="n">
        <f aca="false">PL!$G$44+PL!$G$58-ext_sh*Thesis!$G$41</f>
        <v>81.1162416622057</v>
      </c>
      <c r="H62" s="38" t="n">
        <f aca="false">PL!$H$44+PL!$H$58-ext_sh*Thesis!$H$41</f>
        <v>95.7616595325849</v>
      </c>
      <c r="I62" s="38" t="n">
        <f aca="false">PL!$I$44+PL!$I$58-ext_sh*Thesis!$I$41</f>
        <v>111.513312079935</v>
      </c>
      <c r="J62" s="38" t="n">
        <f aca="false">PL!$J$44+PL!$J$58-ext_sh*Thesis!$J$41</f>
        <v>125.145150463955</v>
      </c>
      <c r="K62" s="38" t="n">
        <f aca="false">PL!$K$44+PL!$K$58-ext_sh*Thesis!$K$41</f>
        <v>135.156762501071</v>
      </c>
      <c r="L62" s="38" t="n">
        <f aca="false">PL!$L$44+PL!$L$58-ext_sh*Thesis!$L$41</f>
        <v>145.969303501157</v>
      </c>
      <c r="M62" s="38" t="n">
        <f aca="false">PL!$M$44+PL!$M$58-ext_sh*Thesis!$M$41</f>
        <v>157.646847781249</v>
      </c>
      <c r="N62" s="38" t="n">
        <f aca="false">PL!$N$44+PL!$N$58-ext_sh*Thesis!$N$41</f>
        <v>28.5693781401809</v>
      </c>
      <c r="O62" s="38" t="n">
        <f aca="false">PL!$O$44+PL!$O$58-ext_sh*Thesis!$O$41</f>
        <v>31.7105594031931</v>
      </c>
    </row>
    <row r="63" customFormat="false" ht="17.15" hidden="false" customHeight="false" outlineLevel="0" collapsed="false">
      <c r="A63" s="0" t="s">
        <v>699</v>
      </c>
      <c r="B63" s="0" t="s">
        <v>73</v>
      </c>
      <c r="C63" s="38" t="n">
        <f aca="false">Thesis!$C$44</f>
        <v>1.80694998843362</v>
      </c>
      <c r="D63" s="38" t="n">
        <f aca="false">Thesis!$D$44</f>
        <v>6.77606245662607</v>
      </c>
      <c r="E63" s="38" t="n">
        <f aca="false">Thesis!$E$44</f>
        <v>6.62548329092326</v>
      </c>
      <c r="F63" s="38" t="n">
        <f aca="false">Thesis!$F$44</f>
        <v>14.4996696128551</v>
      </c>
      <c r="G63" s="38" t="n">
        <f aca="false">Thesis!$G$44</f>
        <v>21.1251529037784</v>
      </c>
      <c r="H63" s="38" t="n">
        <f aca="false">Thesis!$H$44</f>
        <v>70.2126356677435</v>
      </c>
      <c r="I63" s="38" t="n">
        <f aca="false">Thesis!$I$44</f>
        <v>126.678603645079</v>
      </c>
      <c r="J63" s="38" t="n">
        <f aca="false">Thesis!$J$44</f>
        <v>183.417938128511</v>
      </c>
      <c r="K63" s="38" t="n">
        <f aca="false">Thesis!$K$44</f>
        <v>240.248394780643</v>
      </c>
      <c r="L63" s="38" t="n">
        <f aca="false">Thesis!$L$44</f>
        <v>297.120270600365</v>
      </c>
      <c r="M63" s="38" t="n">
        <f aca="false">Thesis!$M$44</f>
        <v>354.01444904879</v>
      </c>
      <c r="N63" s="38" t="n">
        <f aca="false">Thesis!$N$44</f>
        <v>2.37162185981912</v>
      </c>
      <c r="O63" s="38" t="n">
        <f aca="false">Thesis!$O$44</f>
        <v>4.40444059680694</v>
      </c>
    </row>
    <row r="64" customFormat="false" ht="17.15" hidden="false" customHeight="false" outlineLevel="0" collapsed="false">
      <c r="A64" s="0" t="s">
        <v>700</v>
      </c>
      <c r="B64" s="0" t="s">
        <v>73</v>
      </c>
      <c r="C64" s="38" t="n">
        <f aca="false">PL!$C$47+PL!$C$59</f>
        <v>100.66</v>
      </c>
      <c r="D64" s="38" t="n">
        <f aca="false">PL!$D$47+PL!$D$59</f>
        <v>121.835</v>
      </c>
      <c r="E64" s="38" t="n">
        <f aca="false">PL!$E$47+PL!$E$59</f>
        <v>78.016</v>
      </c>
      <c r="F64" s="38" t="n">
        <f aca="false">PL!$F$47+PL!$F$59</f>
        <v>93.2656780850749</v>
      </c>
      <c r="G64" s="38" t="n">
        <f aca="false">PL!$G$47+PL!$G$59</f>
        <v>171.281678085075</v>
      </c>
      <c r="H64" s="38" t="n">
        <f aca="false">PL!$H$47+PL!$H$59</f>
        <v>245.963055749808</v>
      </c>
      <c r="I64" s="38" t="n">
        <f aca="false">PL!$I$47+PL!$I$59</f>
        <v>328.976048812901</v>
      </c>
      <c r="J64" s="38" t="n">
        <f aca="false">PL!$J$47+PL!$J$59</f>
        <v>409.56063200885</v>
      </c>
      <c r="K64" s="38" t="n">
        <f aca="false">PL!$K$47+PL!$K$59</f>
        <v>485.264845075559</v>
      </c>
      <c r="L64" s="38" t="n">
        <f aca="false">PL!$L$47+PL!$L$59</f>
        <v>561.090251522388</v>
      </c>
      <c r="M64" s="38" t="n">
        <f aca="false">PL!$M$47+PL!$M$59</f>
        <v>638.738139258096</v>
      </c>
      <c r="N64" s="38" t="n">
        <f aca="false">PL!$N$47+PL!$N$59</f>
        <v>56.398</v>
      </c>
      <c r="O64" s="38" t="n">
        <f aca="false">PL!$O$47+PL!$O$59</f>
        <v>65.437</v>
      </c>
    </row>
    <row r="65" customFormat="false" ht="17.15" hidden="false" customHeight="false" outlineLevel="0" collapsed="false">
      <c r="A65" s="1" t="s">
        <v>701</v>
      </c>
    </row>
    <row r="66" customFormat="false" ht="15" hidden="false" customHeight="false" outlineLevel="0" collapsed="false">
      <c r="A66" s="5" t="s">
        <v>504</v>
      </c>
      <c r="B66" s="0" t="s">
        <v>73</v>
      </c>
      <c r="C66" s="38" t="n">
        <f aca="false">Q!$D$34</f>
        <v>2.406</v>
      </c>
      <c r="D66" s="38" t="n">
        <f aca="false">Q!$E$34</f>
        <v>2.274</v>
      </c>
      <c r="E66" s="38" t="n">
        <f aca="false">Q!$P$34</f>
        <v>2.114</v>
      </c>
      <c r="F66" s="38" t="n">
        <f aca="false">CF!$F$38</f>
        <v>3.24888964316061</v>
      </c>
      <c r="G66" s="38" t="n">
        <f aca="false">PL!$E$66+PL!$F$66</f>
        <v>5.36288964316061</v>
      </c>
      <c r="H66" s="38" t="n">
        <f aca="false">CF!$H$38</f>
        <v>7.42354178632123</v>
      </c>
      <c r="I66" s="38" t="n">
        <f aca="false">CF!$I$38</f>
        <v>7.42354178632123</v>
      </c>
      <c r="J66" s="38" t="n">
        <f aca="false">CF!$J$38</f>
        <v>7.42354178632123</v>
      </c>
      <c r="K66" s="38" t="n">
        <f aca="false">CF!$K$38</f>
        <v>7.42354178632123</v>
      </c>
      <c r="L66" s="38" t="n">
        <f aca="false">CF!$L$38</f>
        <v>7.42354178632123</v>
      </c>
      <c r="M66" s="38" t="n">
        <f aca="false">CF!$M$38</f>
        <v>7.42354178632123</v>
      </c>
      <c r="N66" s="38" t="n">
        <f aca="false">Q!$N$34</f>
        <v>1.057</v>
      </c>
      <c r="O66" s="38" t="n">
        <f aca="false">Q!$O$34</f>
        <v>1.217</v>
      </c>
    </row>
    <row r="67" customFormat="false" ht="15" hidden="false" customHeight="false" outlineLevel="0" collapsed="false">
      <c r="A67" s="5" t="s">
        <v>702</v>
      </c>
      <c r="B67" s="0" t="s">
        <v>73</v>
      </c>
      <c r="F67" s="38" t="n">
        <f aca="false">CF!$F$39</f>
        <v>2.59</v>
      </c>
      <c r="H67" s="38" t="n">
        <f aca="false">CF!$H$39</f>
        <v>4.00049461466689</v>
      </c>
      <c r="I67" s="38" t="n">
        <f aca="false">CF!$I$39</f>
        <v>2.63246486813071</v>
      </c>
      <c r="J67" s="38" t="n">
        <f aca="false">CF!$J$39</f>
        <v>3.93462223497699</v>
      </c>
      <c r="K67" s="38" t="n">
        <f aca="false">CF!$K$39</f>
        <v>7.99207115021509</v>
      </c>
      <c r="L67" s="38" t="n">
        <f aca="false">CF!$L$39</f>
        <v>14.780546642486</v>
      </c>
      <c r="M67" s="38" t="n">
        <f aca="false">CF!$M$39</f>
        <v>23.0498550409775</v>
      </c>
    </row>
    <row r="68" customFormat="false" ht="17.15" hidden="false" customHeight="false" outlineLevel="0" collapsed="false">
      <c r="A68" s="5" t="s">
        <v>703</v>
      </c>
      <c r="B68" s="0" t="s">
        <v>73</v>
      </c>
      <c r="C68" s="38" t="n">
        <f aca="false">Q!$D$39</f>
        <v>2.427</v>
      </c>
      <c r="D68" s="38" t="n">
        <f aca="false">Q!$E$39</f>
        <v>19.61</v>
      </c>
      <c r="E68" s="38" t="n">
        <f aca="false">Q!$P$39</f>
        <v>71.492</v>
      </c>
      <c r="F68" s="41" t="n">
        <v>0</v>
      </c>
      <c r="G68" s="38" t="n">
        <f aca="false">PL!$E$68+PL!$F$68</f>
        <v>71.492</v>
      </c>
      <c r="H68" s="41" t="n">
        <v>0</v>
      </c>
      <c r="I68" s="41" t="n">
        <v>0</v>
      </c>
      <c r="J68" s="41" t="n">
        <v>0</v>
      </c>
      <c r="K68" s="41" t="n">
        <v>0</v>
      </c>
      <c r="L68" s="41" t="n">
        <v>0</v>
      </c>
      <c r="M68" s="41" t="n">
        <v>0</v>
      </c>
      <c r="N68" s="38" t="n">
        <f aca="false">Q!$N$39</f>
        <v>6.017</v>
      </c>
      <c r="O68" s="38" t="n">
        <f aca="false">Q!$O$39</f>
        <v>13.593</v>
      </c>
      <c r="P68" s="5" t="s">
        <v>704</v>
      </c>
    </row>
    <row r="69" customFormat="false" ht="15" hidden="false" customHeight="false" outlineLevel="0" collapsed="false">
      <c r="A69" s="5" t="s">
        <v>507</v>
      </c>
      <c r="B69" s="0" t="s">
        <v>73</v>
      </c>
      <c r="C69" s="38" t="n">
        <f aca="false">Q!$D$36</f>
        <v>68.614</v>
      </c>
      <c r="D69" s="38" t="n">
        <f aca="false">Q!$E$36</f>
        <v>97.311</v>
      </c>
      <c r="E69" s="38" t="n">
        <f aca="false">Q!$P$36</f>
        <v>120.691</v>
      </c>
      <c r="F69" s="38" t="n">
        <f aca="false">PL!$F$47-PL!$F$66+PL!$F$67+PL!$F$68</f>
        <v>61.9964027167933</v>
      </c>
      <c r="G69" s="38" t="n">
        <f aca="false">PL!$E$69+PL!$F$69</f>
        <v>182.687402716793</v>
      </c>
      <c r="H69" s="38" t="n">
        <f aca="false">PL!$H$47-PL!$H$66+PL!$H$67+PL!$H$68</f>
        <v>154.492784574519</v>
      </c>
      <c r="I69" s="38" t="n">
        <f aca="false">PL!$I$47-PL!$I$66+PL!$I$67+PL!$I$68</f>
        <v>200.774597772197</v>
      </c>
      <c r="J69" s="38" t="n">
        <f aca="false">PL!$J$47-PL!$J$66+PL!$J$67+PL!$J$68</f>
        <v>247.04174537966</v>
      </c>
      <c r="K69" s="38" t="n">
        <f aca="false">PL!$K$47-PL!$K$66+PL!$K$67+PL!$K$68</f>
        <v>291.806336490479</v>
      </c>
      <c r="L69" s="38" t="n">
        <f aca="false">PL!$L$47-PL!$L$66+PL!$L$67+PL!$L$68</f>
        <v>341.081213357073</v>
      </c>
      <c r="M69" s="38" t="n">
        <f aca="false">PL!$M$47-PL!$M$66+PL!$M$67+PL!$M$68</f>
        <v>392.550927868601</v>
      </c>
      <c r="N69" s="38" t="n">
        <f aca="false">Q!$N$36</f>
        <v>42.536</v>
      </c>
      <c r="O69" s="38" t="n">
        <f aca="false">Q!$O$36</f>
        <v>54.775</v>
      </c>
    </row>
    <row r="70" customFormat="false" ht="15" hidden="false" customHeight="false" outlineLevel="0" collapsed="false">
      <c r="A70" s="5" t="s">
        <v>508</v>
      </c>
      <c r="B70" s="0" t="s">
        <v>73</v>
      </c>
      <c r="C70" s="38" t="n">
        <f aca="false">Q!$D$37</f>
        <v>9.265</v>
      </c>
      <c r="D70" s="38" t="n">
        <f aca="false">Q!$E$37</f>
        <v>19.087</v>
      </c>
      <c r="E70" s="38" t="n">
        <f aca="false">Q!$P$37</f>
        <v>27.759</v>
      </c>
      <c r="F70" s="38" t="n">
        <f aca="false">PL!$F$69*tax</f>
        <v>10.761616217801</v>
      </c>
      <c r="G70" s="38" t="n">
        <f aca="false">PL!$E$70+PL!$F$70</f>
        <v>38.5206162178011</v>
      </c>
      <c r="H70" s="38" t="n">
        <f aca="false">PL!$H$69*tax</f>
        <v>26.8175568767321</v>
      </c>
      <c r="I70" s="38" t="n">
        <f aca="false">PL!$I$69*tax</f>
        <v>34.8513635118137</v>
      </c>
      <c r="J70" s="38" t="n">
        <f aca="false">PL!$J$69*tax</f>
        <v>42.8826244273603</v>
      </c>
      <c r="K70" s="38" t="n">
        <f aca="false">PL!$K$69*tax</f>
        <v>50.6530647847155</v>
      </c>
      <c r="L70" s="38" t="n">
        <f aca="false">PL!$L$69*tax</f>
        <v>59.2064209599127</v>
      </c>
      <c r="M70" s="38" t="n">
        <f aca="false">PL!$M$69*tax</f>
        <v>68.1407669887155</v>
      </c>
      <c r="N70" s="38" t="n">
        <f aca="false">Q!$N$37</f>
        <v>7.231</v>
      </c>
      <c r="O70" s="38" t="n">
        <f aca="false">Q!$O$37</f>
        <v>11.856</v>
      </c>
    </row>
    <row r="71" customFormat="false" ht="15" hidden="false" customHeight="false" outlineLevel="0" collapsed="false">
      <c r="A71" s="3" t="s">
        <v>509</v>
      </c>
      <c r="B71" s="8" t="s">
        <v>73</v>
      </c>
      <c r="C71" s="38" t="n">
        <f aca="false">Q!$D$38</f>
        <v>59.248</v>
      </c>
      <c r="D71" s="38" t="n">
        <f aca="false">Q!$E$38</f>
        <v>77.67</v>
      </c>
      <c r="E71" s="38" t="n">
        <f aca="false">Q!$P$38</f>
        <v>92.902</v>
      </c>
      <c r="F71" s="38" t="n">
        <f aca="false">PL!$F$69-PL!$F$70</f>
        <v>51.2347864989923</v>
      </c>
      <c r="G71" s="38" t="n">
        <f aca="false">PL!$E$71+PL!$F$71</f>
        <v>144.136786498992</v>
      </c>
      <c r="H71" s="38" t="n">
        <f aca="false">PL!$H$69-PL!$H$70</f>
        <v>127.675227697787</v>
      </c>
      <c r="I71" s="38" t="n">
        <f aca="false">PL!$I$69-PL!$I$70</f>
        <v>165.923234260384</v>
      </c>
      <c r="J71" s="38" t="n">
        <f aca="false">PL!$J$69-PL!$J$70</f>
        <v>204.1591209523</v>
      </c>
      <c r="K71" s="38" t="n">
        <f aca="false">PL!$K$69-PL!$K$70</f>
        <v>241.153271705763</v>
      </c>
      <c r="L71" s="38" t="n">
        <f aca="false">PL!$L$69-PL!$L$70</f>
        <v>281.874792397161</v>
      </c>
      <c r="M71" s="38" t="n">
        <f aca="false">PL!$M$69-PL!$M$70</f>
        <v>324.410160879885</v>
      </c>
      <c r="N71" s="38" t="n">
        <f aca="false">Q!$N$38</f>
        <v>35.291</v>
      </c>
      <c r="O71" s="38" t="n">
        <f aca="false">Q!$O$38</f>
        <v>42.379</v>
      </c>
    </row>
    <row r="72" customFormat="false" ht="17.15" hidden="false" customHeight="false" outlineLevel="0" collapsed="false">
      <c r="A72" s="5" t="s">
        <v>512</v>
      </c>
      <c r="B72" s="5" t="s">
        <v>33</v>
      </c>
      <c r="C72" s="22" t="n">
        <f aca="false">Q!$D$41</f>
        <v>10.721</v>
      </c>
      <c r="D72" s="22" t="n">
        <f aca="false">Q!$E$41</f>
        <v>10.827</v>
      </c>
      <c r="E72" s="22" t="n">
        <f aca="false">(Q!$L$41+Q!$M$41)/2</f>
        <v>10.8885</v>
      </c>
      <c r="F72" s="22" t="n">
        <f aca="false">PL!$G$72</f>
        <v>10.924806</v>
      </c>
      <c r="G72" s="22" t="n">
        <f aca="false">Q!$M$41*(1+sh_g*0.25)</f>
        <v>10.924806</v>
      </c>
      <c r="H72" s="22" t="n">
        <f aca="false">PL!$G$72*(1+sh_g)</f>
        <v>11.012204448</v>
      </c>
      <c r="I72" s="22" t="n">
        <f aca="false">PL!$H$72*(1+sh_g)</f>
        <v>11.100302083584</v>
      </c>
      <c r="J72" s="22" t="n">
        <f aca="false">PL!$I$72*(1+sh_g)</f>
        <v>11.1891045002527</v>
      </c>
      <c r="K72" s="22" t="n">
        <f aca="false">PL!$J$72*(1+sh_g)</f>
        <v>11.2786173362547</v>
      </c>
      <c r="L72" s="22" t="n">
        <f aca="false">PL!$K$72*(1+sh_g)</f>
        <v>11.3688462749447</v>
      </c>
      <c r="M72" s="22" t="n">
        <f aca="false">PL!$L$72*(1+sh_g)</f>
        <v>11.4597970451443</v>
      </c>
      <c r="P72" s="5" t="s">
        <v>705</v>
      </c>
    </row>
    <row r="73" customFormat="false" ht="17.15" hidden="false" customHeight="false" outlineLevel="0" collapsed="false">
      <c r="A73" s="42" t="s">
        <v>706</v>
      </c>
      <c r="B73" s="13" t="s">
        <v>27</v>
      </c>
      <c r="C73" s="43" t="n">
        <f aca="false">PL!$C$71/PL!$C$72</f>
        <v>5.52635015390355</v>
      </c>
      <c r="D73" s="43" t="n">
        <f aca="false">PL!$D$71/PL!$D$72</f>
        <v>7.1737323358271</v>
      </c>
      <c r="E73" s="43" t="n">
        <f aca="false">PL!$E$71/PL!$E$72</f>
        <v>8.53212104513937</v>
      </c>
      <c r="F73" s="13"/>
      <c r="G73" s="43" t="n">
        <f aca="false">PL!$G$71/PL!$G$72</f>
        <v>13.1935328187056</v>
      </c>
      <c r="H73" s="43" t="n">
        <f aca="false">PL!$H$71/PL!$H$72</f>
        <v>11.5939754206957</v>
      </c>
      <c r="I73" s="43" t="n">
        <f aca="false">PL!$I$71/PL!$I$72</f>
        <v>14.9476323266701</v>
      </c>
      <c r="J73" s="43" t="n">
        <f aca="false">PL!$J$71/PL!$J$72</f>
        <v>18.2462431151384</v>
      </c>
      <c r="K73" s="43" t="n">
        <f aca="false">PL!$K$71/PL!$K$72</f>
        <v>21.3814570098575</v>
      </c>
      <c r="L73" s="43" t="n">
        <f aca="false">PL!$L$71/PL!$L$72</f>
        <v>24.7936145480629</v>
      </c>
      <c r="M73" s="43" t="n">
        <f aca="false">PL!$M$71/PL!$M$72</f>
        <v>28.3085433015887</v>
      </c>
      <c r="N73" s="13"/>
      <c r="O73" s="13"/>
    </row>
    <row r="74" customFormat="false" ht="17.15" hidden="false" customHeight="false" outlineLevel="0" collapsed="false">
      <c r="A74" s="0" t="s">
        <v>707</v>
      </c>
      <c r="B74" s="0" t="s">
        <v>27</v>
      </c>
      <c r="C74" s="30" t="n">
        <f aca="false">(PL!$C$71-PL!$C$68*(1-tax))/PL!$C$72</f>
        <v>5.33926775917445</v>
      </c>
      <c r="D74" s="30" t="n">
        <f aca="false">(PL!$D$71-PL!$D$68*(1-tax))/PL!$D$72</f>
        <v>5.67691812755503</v>
      </c>
      <c r="E74" s="30" t="n">
        <f aca="false">(PL!$E$71-PL!$E$68*(1-tax))/PL!$E$72</f>
        <v>3.10602057006846</v>
      </c>
      <c r="G74" s="30" t="n">
        <f aca="false">(PL!$G$71-PL!$G$68*(1-tax))/PL!$G$72</f>
        <v>7.78546470080866</v>
      </c>
      <c r="H74" s="30" t="n">
        <f aca="false">(PL!$H$71-PL!$H$68*(1-tax))/PL!$H$72</f>
        <v>11.5939754206957</v>
      </c>
      <c r="I74" s="30" t="n">
        <f aca="false">(PL!$I$71-PL!$I$68*(1-tax))/PL!$I$72</f>
        <v>14.9476323266701</v>
      </c>
      <c r="J74" s="30" t="n">
        <f aca="false">(PL!$J$71-PL!$J$68*(1-tax))/PL!$J$72</f>
        <v>18.2462431151384</v>
      </c>
      <c r="K74" s="30" t="n">
        <f aca="false">(PL!$K$71-PL!$K$68*(1-tax))/PL!$K$72</f>
        <v>21.3814570098575</v>
      </c>
      <c r="L74" s="30" t="n">
        <f aca="false">(PL!$L$71-PL!$L$68*(1-tax))/PL!$L$72</f>
        <v>24.7936145480629</v>
      </c>
      <c r="M74" s="30" t="n">
        <f aca="false">(PL!$M$71-PL!$M$68*(1-tax))/PL!$M$72</f>
        <v>28.3085433015887</v>
      </c>
      <c r="P74" s="5" t="s">
        <v>708</v>
      </c>
    </row>
    <row r="75" customFormat="false" ht="17.15" hidden="false" customHeight="false" outlineLevel="0" collapsed="false">
      <c r="A75" s="0" t="s">
        <v>709</v>
      </c>
      <c r="B75" s="0" t="s">
        <v>52</v>
      </c>
      <c r="H75" s="12" t="n">
        <f aca="false">PL!$H$73/PL!$G$73-1</f>
        <v>-0.121237989853798</v>
      </c>
      <c r="I75" s="12" t="n">
        <f aca="false">PL!$I$73/PL!$H$73-1</f>
        <v>0.289258583383577</v>
      </c>
      <c r="J75" s="12" t="n">
        <f aca="false">PL!$J$73/PL!$I$73-1</f>
        <v>0.220677811467362</v>
      </c>
      <c r="K75" s="12" t="n">
        <f aca="false">PL!$K$73/PL!$J$73-1</f>
        <v>0.171827914104568</v>
      </c>
      <c r="L75" s="12" t="n">
        <f aca="false">PL!$L$73/PL!$K$73-1</f>
        <v>0.159584893425753</v>
      </c>
      <c r="M75" s="12" t="n">
        <f aca="false">PL!$M$73/PL!$L$73-1</f>
        <v>0.141767500124357</v>
      </c>
    </row>
    <row r="78" customFormat="false" ht="19.4" hidden="false" customHeight="false" outlineLevel="0" collapsed="false">
      <c r="A78" s="31" t="s">
        <v>710</v>
      </c>
    </row>
    <row r="79" customFormat="false" ht="17.15" hidden="false" customHeight="false" outlineLevel="0" collapsed="false">
      <c r="A79" s="6" t="s">
        <v>16</v>
      </c>
      <c r="B79" s="6" t="s">
        <v>17</v>
      </c>
      <c r="C79" s="20" t="s">
        <v>457</v>
      </c>
      <c r="D79" s="20" t="s">
        <v>458</v>
      </c>
      <c r="E79" s="20" t="s">
        <v>540</v>
      </c>
      <c r="F79" s="20" t="s">
        <v>541</v>
      </c>
      <c r="G79" s="20" t="s">
        <v>542</v>
      </c>
      <c r="H79" s="20" t="s">
        <v>543</v>
      </c>
      <c r="I79" s="20" t="s">
        <v>544</v>
      </c>
      <c r="J79" s="20" t="s">
        <v>545</v>
      </c>
      <c r="K79" s="20" t="s">
        <v>546</v>
      </c>
      <c r="L79" s="20" t="s">
        <v>547</v>
      </c>
      <c r="M79" s="20" t="s">
        <v>548</v>
      </c>
      <c r="N79" s="20" t="s">
        <v>549</v>
      </c>
      <c r="O79" s="20" t="s">
        <v>550</v>
      </c>
      <c r="P79" s="6" t="s">
        <v>23</v>
      </c>
      <c r="R79" s="20" t="n">
        <v>2023</v>
      </c>
      <c r="S79" s="20" t="n">
        <v>2024</v>
      </c>
      <c r="T79" s="20" t="n">
        <v>2025</v>
      </c>
      <c r="U79" s="20" t="n">
        <v>2026</v>
      </c>
      <c r="V79" s="20" t="n">
        <v>2027</v>
      </c>
      <c r="W79" s="20" t="n">
        <v>2028</v>
      </c>
      <c r="X79" s="20" t="n">
        <v>2029</v>
      </c>
      <c r="Y79" s="20" t="n">
        <v>2030</v>
      </c>
      <c r="Z79" s="20" t="n">
        <v>2031</v>
      </c>
      <c r="AA79" s="20" t="n">
        <v>2032</v>
      </c>
    </row>
    <row r="80" customFormat="false" ht="17.15" hidden="false" customHeight="false" outlineLevel="0" collapsed="false">
      <c r="A80" s="1" t="s">
        <v>669</v>
      </c>
    </row>
    <row r="81" customFormat="false" ht="15" hidden="false" customHeight="false" outlineLevel="0" collapsed="false">
      <c r="A81" s="0" t="s">
        <v>479</v>
      </c>
      <c r="B81" s="0" t="s">
        <v>73</v>
      </c>
      <c r="C81" s="38" t="n">
        <f aca="false">Seg!$C$41</f>
        <v>247.029</v>
      </c>
      <c r="D81" s="38" t="n">
        <f aca="false">Seg!$D$41</f>
        <v>269.287</v>
      </c>
      <c r="E81" s="38" t="n">
        <f aca="false">Seg!$E$41</f>
        <v>134.686</v>
      </c>
      <c r="F81" s="38" t="n">
        <f aca="false">Seg!$F$41</f>
        <v>160.728085930082</v>
      </c>
      <c r="G81" s="38" t="n">
        <f aca="false">Seg!$G$41</f>
        <v>295.414085930082</v>
      </c>
      <c r="H81" s="38" t="n">
        <f aca="false">Seg!$H$41</f>
        <v>320.828163943375</v>
      </c>
      <c r="I81" s="38" t="n">
        <f aca="false">Seg!$I$41</f>
        <v>344.575578072228</v>
      </c>
      <c r="J81" s="38" t="n">
        <f aca="false">Seg!$J$41</f>
        <v>365.942555779681</v>
      </c>
      <c r="K81" s="38" t="n">
        <f aca="false">Seg!$K$41</f>
        <v>384.239683568665</v>
      </c>
      <c r="L81" s="38" t="n">
        <f aca="false">Seg!$L$41</f>
        <v>403.451667747098</v>
      </c>
      <c r="M81" s="38" t="n">
        <f aca="false">Seg!$M$41</f>
        <v>423.624251134453</v>
      </c>
      <c r="N81" s="38" t="n">
        <f aca="false">Seg!$N$41</f>
        <v>118.892</v>
      </c>
      <c r="O81" s="38" t="n">
        <f aca="false">Seg!$O$41</f>
        <v>150.395</v>
      </c>
    </row>
    <row r="82" customFormat="false" ht="15" hidden="false" customHeight="false" outlineLevel="0" collapsed="false">
      <c r="A82" s="0" t="s">
        <v>480</v>
      </c>
      <c r="B82" s="0" t="s">
        <v>73</v>
      </c>
      <c r="C82" s="38" t="n">
        <f aca="false">Seg!$C$43</f>
        <v>21.215</v>
      </c>
      <c r="D82" s="38" t="n">
        <f aca="false">Seg!$D$43</f>
        <v>22.561</v>
      </c>
      <c r="E82" s="38" t="n">
        <f aca="false">Seg!$E$43</f>
        <v>11.579</v>
      </c>
      <c r="F82" s="38" t="n">
        <f aca="false">Seg!$F$43</f>
        <v>12.0952613121125</v>
      </c>
      <c r="G82" s="38" t="n">
        <f aca="false">Seg!$G$43</f>
        <v>23.6742613121125</v>
      </c>
      <c r="H82" s="38" t="n">
        <f aca="false">Seg!$H$43</f>
        <v>24.8803243963206</v>
      </c>
      <c r="I82" s="38" t="n">
        <f aca="false">Seg!$I$43</f>
        <v>25.9741308664154</v>
      </c>
      <c r="J82" s="38" t="n">
        <f aca="false">Seg!$J$43</f>
        <v>26.9346894124267</v>
      </c>
      <c r="K82" s="38" t="n">
        <f aca="false">Seg!$K$43</f>
        <v>27.7427300947995</v>
      </c>
      <c r="L82" s="38" t="n">
        <f aca="false">Seg!$L$43</f>
        <v>28.5750119976435</v>
      </c>
      <c r="M82" s="38" t="n">
        <f aca="false">Seg!$M$43</f>
        <v>29.4322623575728</v>
      </c>
      <c r="N82" s="38" t="n">
        <f aca="false">Seg!$N$43</f>
        <v>11.128</v>
      </c>
      <c r="O82" s="38" t="n">
        <f aca="false">Seg!$O$43</f>
        <v>11.433</v>
      </c>
    </row>
    <row r="83" customFormat="false" ht="15" hidden="false" customHeight="false" outlineLevel="0" collapsed="false">
      <c r="A83" s="0" t="s">
        <v>481</v>
      </c>
      <c r="B83" s="0" t="s">
        <v>73</v>
      </c>
      <c r="C83" s="38" t="n">
        <f aca="false">Seg!$C$45</f>
        <v>156.146</v>
      </c>
      <c r="D83" s="38" t="n">
        <f aca="false">Seg!$D$45</f>
        <v>172.162</v>
      </c>
      <c r="E83" s="38" t="n">
        <f aca="false">Seg!$E$45</f>
        <v>88.358</v>
      </c>
      <c r="F83" s="38" t="n">
        <f aca="false">Seg!$F$45</f>
        <v>103.62028337149</v>
      </c>
      <c r="G83" s="38" t="n">
        <f aca="false">Seg!$G$45</f>
        <v>191.97828337149</v>
      </c>
      <c r="H83" s="38" t="n">
        <f aca="false">Seg!$H$45</f>
        <v>212.128608444755</v>
      </c>
      <c r="I83" s="38" t="n">
        <f aca="false">Seg!$I$45</f>
        <v>231.92183134134</v>
      </c>
      <c r="J83" s="38" t="n">
        <f aca="false">Seg!$J$45</f>
        <v>250.859136487863</v>
      </c>
      <c r="K83" s="38" t="n">
        <f aca="false">Seg!$K$45</f>
        <v>268.419276042014</v>
      </c>
      <c r="L83" s="38" t="n">
        <f aca="false">Seg!$L$45</f>
        <v>287.208625364954</v>
      </c>
      <c r="M83" s="38" t="n">
        <f aca="false">Seg!$M$45</f>
        <v>307.313229140501</v>
      </c>
      <c r="N83" s="38" t="n">
        <f aca="false">Seg!$N$45</f>
        <v>76.86</v>
      </c>
      <c r="O83" s="38" t="n">
        <f aca="false">Seg!$O$45</f>
        <v>95.302</v>
      </c>
    </row>
    <row r="84" customFormat="false" ht="15" hidden="false" customHeight="false" outlineLevel="0" collapsed="false">
      <c r="A84" s="0" t="s">
        <v>482</v>
      </c>
      <c r="B84" s="0" t="s">
        <v>73</v>
      </c>
      <c r="C84" s="38" t="n">
        <f aca="false">Seg!$C$47</f>
        <v>56.214</v>
      </c>
      <c r="D84" s="38" t="n">
        <f aca="false">Seg!$D$47</f>
        <v>68.635</v>
      </c>
      <c r="E84" s="38" t="n">
        <f aca="false">Seg!$E$47</f>
        <v>37.052</v>
      </c>
      <c r="F84" s="38" t="n">
        <f aca="false">Seg!$F$47</f>
        <v>48.1533381827382</v>
      </c>
      <c r="G84" s="38" t="n">
        <f aca="false">Seg!$G$47</f>
        <v>85.2053381827382</v>
      </c>
      <c r="H84" s="38" t="n">
        <f aca="false">Seg!$H$47</f>
        <v>102.29336185894</v>
      </c>
      <c r="I84" s="38" t="n">
        <f aca="false">Seg!$I$47</f>
        <v>119.379837585241</v>
      </c>
      <c r="J84" s="38" t="n">
        <f aca="false">Seg!$J$47</f>
        <v>135.319079048844</v>
      </c>
      <c r="K84" s="38" t="n">
        <f aca="false">Seg!$K$47</f>
        <v>148.850986953729</v>
      </c>
      <c r="L84" s="38" t="n">
        <f aca="false">Seg!$L$47</f>
        <v>163.736085649102</v>
      </c>
      <c r="M84" s="38" t="n">
        <f aca="false">Seg!$M$47</f>
        <v>180.109694214012</v>
      </c>
      <c r="N84" s="38" t="n">
        <f aca="false">Seg!$N$47</f>
        <v>29.615</v>
      </c>
      <c r="O84" s="38" t="n">
        <f aca="false">Seg!$O$47</f>
        <v>39.02</v>
      </c>
    </row>
    <row r="85" customFormat="false" ht="15" hidden="false" customHeight="false" outlineLevel="0" collapsed="false">
      <c r="A85" s="0" t="s">
        <v>483</v>
      </c>
      <c r="B85" s="0" t="s">
        <v>73</v>
      </c>
      <c r="C85" s="38" t="n">
        <f aca="false">Seg!$C$49</f>
        <v>44.374</v>
      </c>
      <c r="D85" s="38" t="n">
        <f aca="false">Seg!$D$49</f>
        <v>49.619</v>
      </c>
      <c r="E85" s="38" t="n">
        <f aca="false">Seg!$E$49</f>
        <v>27.157</v>
      </c>
      <c r="F85" s="38" t="n">
        <f aca="false">Seg!$F$49</f>
        <v>28.9776360923374</v>
      </c>
      <c r="G85" s="38" t="n">
        <f aca="false">Seg!$G$49</f>
        <v>56.1346360923374</v>
      </c>
      <c r="H85" s="38" t="n">
        <f aca="false">Seg!$H$49</f>
        <v>62.4937078946075</v>
      </c>
      <c r="I85" s="38" t="n">
        <f aca="false">Seg!$I$49</f>
        <v>68.6715233062498</v>
      </c>
      <c r="J85" s="38" t="n">
        <f aca="false">Seg!$J$49</f>
        <v>74.4692882949818</v>
      </c>
      <c r="K85" s="38" t="n">
        <f aca="false">Seg!$K$49</f>
        <v>79.6821384756306</v>
      </c>
      <c r="L85" s="38" t="n">
        <f aca="false">Seg!$L$49</f>
        <v>85.2598881689247</v>
      </c>
      <c r="M85" s="38" t="n">
        <f aca="false">Seg!$M$49</f>
        <v>91.2280803407494</v>
      </c>
      <c r="N85" s="38" t="n">
        <f aca="false">Seg!$N$49</f>
        <v>23.923</v>
      </c>
      <c r="O85" s="38" t="n">
        <f aca="false">Seg!$O$49</f>
        <v>25.696</v>
      </c>
    </row>
    <row r="86" customFormat="false" ht="15" hidden="false" customHeight="false" outlineLevel="0" collapsed="false">
      <c r="A86" s="0" t="s">
        <v>484</v>
      </c>
      <c r="B86" s="0" t="s">
        <v>73</v>
      </c>
      <c r="C86" s="38" t="n">
        <f aca="false">Seg!$C$51</f>
        <v>5.425</v>
      </c>
      <c r="D86" s="38" t="n">
        <f aca="false">Seg!$D$51</f>
        <v>5.935</v>
      </c>
      <c r="E86" s="38" t="n">
        <f aca="false">Seg!$E$51</f>
        <v>3.474</v>
      </c>
      <c r="F86" s="38" t="n">
        <f aca="false">Seg!$F$51</f>
        <v>3.36182431966931</v>
      </c>
      <c r="G86" s="38" t="n">
        <f aca="false">Seg!$G$51</f>
        <v>6.83582431966931</v>
      </c>
      <c r="H86" s="38" t="n">
        <f aca="false">Seg!$H$51</f>
        <v>7.31157108370141</v>
      </c>
      <c r="I86" s="38" t="n">
        <f aca="false">Seg!$I$51</f>
        <v>7.77266852639815</v>
      </c>
      <c r="J86" s="38" t="n">
        <f aca="false">Seg!$J$51</f>
        <v>8.2120733019884</v>
      </c>
      <c r="K86" s="38" t="n">
        <f aca="false">Seg!$K$51</f>
        <v>8.62267696708783</v>
      </c>
      <c r="L86" s="38" t="n">
        <f aca="false">Seg!$L$51</f>
        <v>9.05381081544222</v>
      </c>
      <c r="M86" s="38" t="n">
        <f aca="false">Seg!$M$51</f>
        <v>9.50650135621433</v>
      </c>
      <c r="N86" s="38" t="n">
        <f aca="false">Seg!$N$51</f>
        <v>2.811</v>
      </c>
      <c r="O86" s="38" t="n">
        <f aca="false">Seg!$O$51</f>
        <v>3.124</v>
      </c>
    </row>
    <row r="87" customFormat="false" ht="17.15" hidden="false" customHeight="false" outlineLevel="0" collapsed="false">
      <c r="A87" s="0" t="s">
        <v>670</v>
      </c>
      <c r="B87" s="0" t="s">
        <v>73</v>
      </c>
      <c r="C87" s="38" t="n">
        <f aca="false">Seg!$C$62</f>
        <v>107.556</v>
      </c>
      <c r="D87" s="38" t="n">
        <f aca="false">Seg!$D$62</f>
        <v>128.725</v>
      </c>
      <c r="E87" s="38" t="n">
        <f aca="false">Seg!$E$62</f>
        <v>79.819</v>
      </c>
      <c r="F87" s="38" t="n">
        <f aca="false">Seg!$F$62</f>
        <v>93.5584440633857</v>
      </c>
      <c r="G87" s="38" t="n">
        <f aca="false">Seg!$G$62</f>
        <v>173.377444063386</v>
      </c>
      <c r="H87" s="38" t="n">
        <f aca="false">Seg!$H$62</f>
        <v>241.059451517916</v>
      </c>
      <c r="I87" s="38" t="n">
        <f aca="false">Seg!$I$62</f>
        <v>312.152096351442</v>
      </c>
      <c r="J87" s="38" t="n">
        <f aca="false">Seg!$J$62</f>
        <v>379.424316597773</v>
      </c>
      <c r="K87" s="38" t="n">
        <f aca="false">Seg!$K$62</f>
        <v>439.919237244402</v>
      </c>
      <c r="L87" s="38" t="n">
        <f aca="false">Seg!$L$62</f>
        <v>501.954974491517</v>
      </c>
      <c r="M87" s="38" t="n">
        <f aca="false">Seg!$M$62</f>
        <v>565.639704466895</v>
      </c>
      <c r="N87" s="38" t="n">
        <f aca="false">Seg!$N$62</f>
        <v>60.14</v>
      </c>
      <c r="O87" s="38" t="n">
        <f aca="false">Seg!$O$62</f>
        <v>68.585</v>
      </c>
    </row>
    <row r="88" customFormat="false" ht="15" hidden="false" customHeight="false" outlineLevel="0" collapsed="false">
      <c r="A88" s="1" t="s">
        <v>472</v>
      </c>
      <c r="B88" s="8" t="s">
        <v>73</v>
      </c>
      <c r="C88" s="38" t="n">
        <f aca="false">Seg!$C$55</f>
        <v>387.497</v>
      </c>
      <c r="D88" s="38" t="n">
        <f aca="false">Seg!$D$55</f>
        <v>426.305</v>
      </c>
      <c r="E88" s="38" t="n">
        <f aca="false">Seg!$E$55</f>
        <v>220.32</v>
      </c>
      <c r="F88" s="38" t="n">
        <f aca="false">Seg!$F$55</f>
        <v>256.304015003807</v>
      </c>
      <c r="G88" s="38" t="n">
        <f aca="false">Seg!$G$55</f>
        <v>476.624015003807</v>
      </c>
      <c r="H88" s="38" t="n">
        <f aca="false">Seg!$H$55</f>
        <v>527.734391091543</v>
      </c>
      <c r="I88" s="38" t="n">
        <f aca="false">Seg!$I$55</f>
        <v>577.157693029577</v>
      </c>
      <c r="J88" s="38" t="n">
        <f aca="false">Seg!$J$55</f>
        <v>623.024923663827</v>
      </c>
      <c r="K88" s="38" t="n">
        <f aca="false">Seg!$K$55</f>
        <v>663.382568393781</v>
      </c>
      <c r="L88" s="38" t="n">
        <f aca="false">Seg!$L$55</f>
        <v>706.564873010432</v>
      </c>
      <c r="M88" s="38" t="n">
        <f aca="false">Seg!$M$55</f>
        <v>752.784687406019</v>
      </c>
      <c r="N88" s="38" t="n">
        <f aca="false">Seg!$N$55</f>
        <v>192.955</v>
      </c>
      <c r="O88" s="38" t="n">
        <f aca="false">Seg!$O$55</f>
        <v>233.35</v>
      </c>
    </row>
    <row r="89" customFormat="false" ht="15" hidden="false" customHeight="false" outlineLevel="0" collapsed="false">
      <c r="A89" s="1" t="s">
        <v>475</v>
      </c>
      <c r="B89" s="8" t="s">
        <v>73</v>
      </c>
      <c r="C89" s="38" t="n">
        <f aca="false">Seg!$C$56</f>
        <v>142.906</v>
      </c>
      <c r="D89" s="38" t="n">
        <f aca="false">Seg!$D$56</f>
        <v>161.894</v>
      </c>
      <c r="E89" s="38" t="n">
        <f aca="false">Seg!$E$56</f>
        <v>81.986</v>
      </c>
      <c r="F89" s="38" t="n">
        <f aca="false">Seg!$F$56</f>
        <v>100.632414204623</v>
      </c>
      <c r="G89" s="38" t="n">
        <f aca="false">Seg!$G$56</f>
        <v>182.618414204623</v>
      </c>
      <c r="H89" s="38" t="n">
        <f aca="false">Seg!$H$56</f>
        <v>202.201346530158</v>
      </c>
      <c r="I89" s="38" t="n">
        <f aca="false">Seg!$I$56</f>
        <v>221.137876668296</v>
      </c>
      <c r="J89" s="38" t="n">
        <f aca="false">Seg!$J$56</f>
        <v>238.711898661958</v>
      </c>
      <c r="K89" s="38" t="n">
        <f aca="false">Seg!$K$56</f>
        <v>254.174923708144</v>
      </c>
      <c r="L89" s="38" t="n">
        <f aca="false">Seg!$L$56</f>
        <v>270.720216732733</v>
      </c>
      <c r="M89" s="38" t="n">
        <f aca="false">Seg!$M$56</f>
        <v>288.429331137484</v>
      </c>
      <c r="N89" s="38" t="n">
        <f aca="false">Seg!$N$56</f>
        <v>70.274</v>
      </c>
      <c r="O89" s="38" t="n">
        <f aca="false">Seg!$O$56</f>
        <v>91.62</v>
      </c>
    </row>
    <row r="90" customFormat="false" ht="15" hidden="false" customHeight="false" outlineLevel="0" collapsed="false">
      <c r="A90" s="1" t="s">
        <v>476</v>
      </c>
      <c r="B90" s="8" t="s">
        <v>73</v>
      </c>
      <c r="C90" s="38" t="n">
        <f aca="false">Seg!$C$62</f>
        <v>107.556</v>
      </c>
      <c r="D90" s="38" t="n">
        <f aca="false">Seg!$D$62</f>
        <v>128.725</v>
      </c>
      <c r="E90" s="38" t="n">
        <f aca="false">Seg!$E$62</f>
        <v>79.819</v>
      </c>
      <c r="F90" s="38" t="n">
        <f aca="false">Seg!$F$62</f>
        <v>93.5584440633857</v>
      </c>
      <c r="G90" s="38" t="n">
        <f aca="false">Seg!$G$62</f>
        <v>173.377444063386</v>
      </c>
      <c r="H90" s="38" t="n">
        <f aca="false">Seg!$H$62</f>
        <v>241.059451517916</v>
      </c>
      <c r="I90" s="38" t="n">
        <f aca="false">Seg!$I$62</f>
        <v>312.152096351442</v>
      </c>
      <c r="J90" s="38" t="n">
        <f aca="false">Seg!$J$62</f>
        <v>379.424316597773</v>
      </c>
      <c r="K90" s="38" t="n">
        <f aca="false">Seg!$K$62</f>
        <v>439.919237244402</v>
      </c>
      <c r="L90" s="38" t="n">
        <f aca="false">Seg!$L$62</f>
        <v>501.954974491517</v>
      </c>
      <c r="M90" s="38" t="n">
        <f aca="false">Seg!$M$62</f>
        <v>565.639704466895</v>
      </c>
      <c r="N90" s="38" t="n">
        <f aca="false">Seg!$N$62</f>
        <v>60.14</v>
      </c>
      <c r="O90" s="38" t="n">
        <f aca="false">Seg!$O$62</f>
        <v>68.585</v>
      </c>
    </row>
    <row r="91" customFormat="false" ht="17.15" hidden="false" customHeight="false" outlineLevel="0" collapsed="false">
      <c r="A91" s="0" t="s">
        <v>644</v>
      </c>
      <c r="B91" s="0" t="s">
        <v>73</v>
      </c>
      <c r="C91" s="38" t="n">
        <f aca="false">Seg!$C$60</f>
        <v>2.32100535697364</v>
      </c>
      <c r="D91" s="38" t="n">
        <f aca="false">Seg!$D$60</f>
        <v>8.70377008865116</v>
      </c>
      <c r="E91" s="38" t="n">
        <f aca="false">Seg!$E$60</f>
        <v>8.51035297557002</v>
      </c>
      <c r="F91" s="38" t="n">
        <f aca="false">Seg!$F$60</f>
        <v>14.9634336447205</v>
      </c>
      <c r="G91" s="38" t="n">
        <f aca="false">Seg!$G$60</f>
        <v>23.4737866202905</v>
      </c>
      <c r="H91" s="38" t="n">
        <f aca="false">Seg!$H$60</f>
        <v>60.1658907497746</v>
      </c>
      <c r="I91" s="38" t="n">
        <f aca="false">Seg!$I$60</f>
        <v>101.503699136432</v>
      </c>
      <c r="J91" s="38" t="n">
        <f aca="false">Seg!$J$60</f>
        <v>143.025407151278</v>
      </c>
      <c r="K91" s="38" t="n">
        <f aca="false">Seg!$K$60</f>
        <v>184.608415042187</v>
      </c>
      <c r="L91" s="38" t="n">
        <f aca="false">Seg!$L$60</f>
        <v>226.219286513125</v>
      </c>
      <c r="M91" s="38" t="n">
        <f aca="false">Seg!$M$60</f>
        <v>267.845161450232</v>
      </c>
      <c r="N91" s="38" t="n">
        <f aca="false">Seg!$N$60</f>
        <v>3.04631953102791</v>
      </c>
      <c r="O91" s="38" t="n">
        <f aca="false">Seg!$O$60</f>
        <v>5.65745055762326</v>
      </c>
    </row>
    <row r="92" customFormat="false" ht="17.15" hidden="false" customHeight="false" outlineLevel="0" collapsed="false">
      <c r="A92" s="0" t="s">
        <v>646</v>
      </c>
      <c r="B92" s="0" t="s">
        <v>73</v>
      </c>
      <c r="C92" s="38" t="n">
        <f aca="false">Seg!$C$61</f>
        <v>105.234994643026</v>
      </c>
      <c r="D92" s="38" t="n">
        <f aca="false">Seg!$D$61</f>
        <v>120.021229911349</v>
      </c>
      <c r="E92" s="38" t="n">
        <f aca="false">Seg!$E$61</f>
        <v>71.30864702443</v>
      </c>
      <c r="F92" s="38" t="n">
        <f aca="false">Seg!$F$61</f>
        <v>78.5950104186653</v>
      </c>
      <c r="G92" s="38" t="n">
        <f aca="false">Seg!$G$61</f>
        <v>149.903657443095</v>
      </c>
      <c r="H92" s="38" t="n">
        <f aca="false">Seg!$H$61</f>
        <v>180.893560768142</v>
      </c>
      <c r="I92" s="38" t="n">
        <f aca="false">Seg!$I$61</f>
        <v>210.64839721501</v>
      </c>
      <c r="J92" s="38" t="n">
        <f aca="false">Seg!$J$61</f>
        <v>236.398909446495</v>
      </c>
      <c r="K92" s="38" t="n">
        <f aca="false">Seg!$K$61</f>
        <v>255.310822202215</v>
      </c>
      <c r="L92" s="38" t="n">
        <f aca="false">Seg!$L$61</f>
        <v>275.735687978392</v>
      </c>
      <c r="M92" s="38" t="n">
        <f aca="false">Seg!$M$61</f>
        <v>297.794543016663</v>
      </c>
      <c r="N92" s="38" t="n">
        <f aca="false">Seg!$N$61</f>
        <v>57.0936804689721</v>
      </c>
      <c r="O92" s="38" t="n">
        <f aca="false">Seg!$O$61</f>
        <v>62.9275494423768</v>
      </c>
    </row>
    <row r="93" customFormat="false" ht="15" hidden="false" customHeight="false" outlineLevel="0" collapsed="false">
      <c r="A93" s="3" t="s">
        <v>477</v>
      </c>
      <c r="B93" s="8" t="s">
        <v>73</v>
      </c>
      <c r="C93" s="38" t="n">
        <f aca="false">Seg!$C$63</f>
        <v>637.959</v>
      </c>
      <c r="D93" s="38" t="n">
        <f aca="false">Seg!$D$63</f>
        <v>716.924</v>
      </c>
      <c r="E93" s="38" t="n">
        <f aca="false">Seg!$E$63</f>
        <v>382.125</v>
      </c>
      <c r="F93" s="38" t="n">
        <f aca="false">Seg!$F$63</f>
        <v>450.494873271816</v>
      </c>
      <c r="G93" s="38" t="n">
        <f aca="false">Seg!$G$63</f>
        <v>832.619873271816</v>
      </c>
      <c r="H93" s="38" t="n">
        <f aca="false">Seg!$H$63</f>
        <v>970.995189139617</v>
      </c>
      <c r="I93" s="38" t="n">
        <f aca="false">Seg!$I$63</f>
        <v>1110.44766604932</v>
      </c>
      <c r="J93" s="38" t="n">
        <f aca="false">Seg!$J$63</f>
        <v>1241.16113892356</v>
      </c>
      <c r="K93" s="38" t="n">
        <f aca="false">Seg!$K$63</f>
        <v>1357.47672934633</v>
      </c>
      <c r="L93" s="38" t="n">
        <f aca="false">Seg!$L$63</f>
        <v>1479.24006423468</v>
      </c>
      <c r="M93" s="38" t="n">
        <f aca="false">Seg!$M$63</f>
        <v>1606.8537230104</v>
      </c>
      <c r="N93" s="38" t="n">
        <f aca="false">Seg!$N$63</f>
        <v>323.369</v>
      </c>
      <c r="O93" s="38" t="n">
        <f aca="false">Seg!$O$63</f>
        <v>393.555</v>
      </c>
    </row>
    <row r="94" customFormat="false" ht="17.15" hidden="false" customHeight="false" outlineLevel="0" collapsed="false">
      <c r="A94" s="24" t="s">
        <v>656</v>
      </c>
      <c r="B94" s="25" t="s">
        <v>73</v>
      </c>
      <c r="C94" s="39" t="n">
        <f aca="false">PL!$C$81+PL!$C$82+PL!$C$83+PL!$C$84+PL!$C$85+PL!$C$86-(PL!$C$88+PL!$C$89)</f>
        <v>0</v>
      </c>
      <c r="D94" s="39" t="n">
        <f aca="false">PL!$D$81+PL!$D$82+PL!$D$83+PL!$D$84+PL!$D$85+PL!$D$86-(PL!$D$88+PL!$D$89)</f>
        <v>0</v>
      </c>
      <c r="E94" s="39" t="n">
        <f aca="false">PL!$E$81+PL!$E$82+PL!$E$83+PL!$E$84+PL!$E$85+PL!$E$86-(PL!$E$88+PL!$E$89)</f>
        <v>0</v>
      </c>
      <c r="F94" s="39" t="n">
        <f aca="false">PL!$F$81+PL!$F$82+PL!$F$83+PL!$F$84+PL!$F$85+PL!$F$86-(PL!$F$88+PL!$F$89)</f>
        <v>0</v>
      </c>
      <c r="G94" s="39" t="n">
        <f aca="false">PL!$G$81+PL!$G$82+PL!$G$83+PL!$G$84+PL!$G$85+PL!$G$86-(PL!$G$88+PL!$G$89)</f>
        <v>0</v>
      </c>
      <c r="H94" s="39" t="n">
        <f aca="false">PL!$H$81+PL!$H$82+PL!$H$83+PL!$H$84+PL!$H$85+PL!$H$86-(PL!$H$88+PL!$H$89)</f>
        <v>0</v>
      </c>
      <c r="I94" s="39" t="n">
        <f aca="false">PL!$I$81+PL!$I$82+PL!$I$83+PL!$I$84+PL!$I$85+PL!$I$86-(PL!$I$88+PL!$I$89)</f>
        <v>0</v>
      </c>
      <c r="J94" s="39" t="n">
        <f aca="false">PL!$J$81+PL!$J$82+PL!$J$83+PL!$J$84+PL!$J$85+PL!$J$86-(PL!$J$88+PL!$J$89)</f>
        <v>0</v>
      </c>
      <c r="K94" s="39" t="n">
        <f aca="false">PL!$K$81+PL!$K$82+PL!$K$83+PL!$K$84+PL!$K$85+PL!$K$86-(PL!$K$88+PL!$K$89)</f>
        <v>0</v>
      </c>
      <c r="L94" s="39" t="n">
        <f aca="false">PL!$L$81+PL!$L$82+PL!$L$83+PL!$L$84+PL!$L$85+PL!$L$86-(PL!$L$88+PL!$L$89)</f>
        <v>0</v>
      </c>
      <c r="M94" s="39" t="n">
        <f aca="false">PL!$M$81+PL!$M$82+PL!$M$83+PL!$M$84+PL!$M$85+PL!$M$86-(PL!$M$88+PL!$M$89)</f>
        <v>0</v>
      </c>
      <c r="N94" s="39" t="n">
        <f aca="false">PL!$N$81+PL!$N$82+PL!$N$83+PL!$N$84+PL!$N$85+PL!$N$86-(PL!$N$88+PL!$N$89)</f>
        <v>0</v>
      </c>
      <c r="O94" s="39" t="n">
        <f aca="false">PL!$O$81+PL!$O$82+PL!$O$83+PL!$O$84+PL!$O$85+PL!$O$86-(PL!$O$88+PL!$O$89)</f>
        <v>0</v>
      </c>
    </row>
    <row r="95" customFormat="false" ht="17.15" hidden="false" customHeight="false" outlineLevel="0" collapsed="false">
      <c r="A95" s="24" t="s">
        <v>657</v>
      </c>
      <c r="B95" s="25" t="s">
        <v>73</v>
      </c>
      <c r="C95" s="39" t="n">
        <f aca="false">PL!$C$91+PL!$C$92-PL!$C$90</f>
        <v>0</v>
      </c>
      <c r="D95" s="39" t="n">
        <f aca="false">PL!$D$91+PL!$D$92-PL!$D$90</f>
        <v>0</v>
      </c>
      <c r="E95" s="39" t="n">
        <f aca="false">PL!$E$91+PL!$E$92-PL!$E$90</f>
        <v>0</v>
      </c>
      <c r="F95" s="39" t="n">
        <f aca="false">PL!$F$91+PL!$F$92-PL!$F$90</f>
        <v>0</v>
      </c>
      <c r="G95" s="39" t="n">
        <f aca="false">PL!$G$91+PL!$G$92-PL!$G$90</f>
        <v>0</v>
      </c>
      <c r="H95" s="39" t="n">
        <f aca="false">PL!$H$91+PL!$H$92-PL!$H$90</f>
        <v>0</v>
      </c>
      <c r="I95" s="39" t="n">
        <f aca="false">PL!$I$91+PL!$I$92-PL!$I$90</f>
        <v>0</v>
      </c>
      <c r="J95" s="39" t="n">
        <f aca="false">PL!$J$91+PL!$J$92-PL!$J$90</f>
        <v>0</v>
      </c>
      <c r="K95" s="39" t="n">
        <f aca="false">PL!$K$91+PL!$K$92-PL!$K$90</f>
        <v>0</v>
      </c>
      <c r="L95" s="39" t="n">
        <f aca="false">PL!$L$91+PL!$L$92-PL!$L$90</f>
        <v>0</v>
      </c>
      <c r="M95" s="39" t="n">
        <f aca="false">PL!$M$91+PL!$M$92-PL!$M$90</f>
        <v>0</v>
      </c>
      <c r="N95" s="39" t="n">
        <f aca="false">PL!$N$91+PL!$N$92-PL!$N$90</f>
        <v>0</v>
      </c>
      <c r="O95" s="39" t="n">
        <f aca="false">PL!$O$91+PL!$O$92-PL!$O$90</f>
        <v>0</v>
      </c>
    </row>
    <row r="96" customFormat="false" ht="17.15" hidden="false" customHeight="false" outlineLevel="0" collapsed="false">
      <c r="A96" s="24" t="s">
        <v>711</v>
      </c>
      <c r="B96" s="25" t="s">
        <v>73</v>
      </c>
      <c r="C96" s="39" t="n">
        <f aca="false">PL!$C$81+PL!$C$82+PL!$C$83+PL!$C$84+PL!$C$85+PL!$C$86+PL!$C$87-PL!$C$93</f>
        <v>0</v>
      </c>
      <c r="D96" s="39" t="n">
        <f aca="false">PL!$D$81+PL!$D$82+PL!$D$83+PL!$D$84+PL!$D$85+PL!$D$86+PL!$D$87-PL!$D$93</f>
        <v>0</v>
      </c>
      <c r="E96" s="39" t="n">
        <f aca="false">PL!$E$81+PL!$E$82+PL!$E$83+PL!$E$84+PL!$E$85+PL!$E$86+PL!$E$87-PL!$E$93</f>
        <v>0</v>
      </c>
      <c r="F96" s="39" t="n">
        <f aca="false">PL!$F$81+PL!$F$82+PL!$F$83+PL!$F$84+PL!$F$85+PL!$F$86+PL!$F$87-PL!$F$93</f>
        <v>0</v>
      </c>
      <c r="G96" s="39" t="n">
        <f aca="false">PL!$G$81+PL!$G$82+PL!$G$83+PL!$G$84+PL!$G$85+PL!$G$86+PL!$G$87-PL!$G$93</f>
        <v>0</v>
      </c>
      <c r="H96" s="39" t="n">
        <f aca="false">PL!$H$81+PL!$H$82+PL!$H$83+PL!$H$84+PL!$H$85+PL!$H$86+PL!$H$87-PL!$H$93</f>
        <v>0</v>
      </c>
      <c r="I96" s="39" t="n">
        <f aca="false">PL!$I$81+PL!$I$82+PL!$I$83+PL!$I$84+PL!$I$85+PL!$I$86+PL!$I$87-PL!$I$93</f>
        <v>0</v>
      </c>
      <c r="J96" s="39" t="n">
        <f aca="false">PL!$J$81+PL!$J$82+PL!$J$83+PL!$J$84+PL!$J$85+PL!$J$86+PL!$J$87-PL!$J$93</f>
        <v>0</v>
      </c>
      <c r="K96" s="39" t="n">
        <f aca="false">PL!$K$81+PL!$K$82+PL!$K$83+PL!$K$84+PL!$K$85+PL!$K$86+PL!$K$87-PL!$K$93</f>
        <v>0</v>
      </c>
      <c r="L96" s="39" t="n">
        <f aca="false">PL!$L$81+PL!$L$82+PL!$L$83+PL!$L$84+PL!$L$85+PL!$L$86+PL!$L$87-PL!$L$93</f>
        <v>0</v>
      </c>
      <c r="M96" s="39" t="n">
        <f aca="false">PL!$M$81+PL!$M$82+PL!$M$83+PL!$M$84+PL!$M$85+PL!$M$86+PL!$M$87-PL!$M$93</f>
        <v>0</v>
      </c>
      <c r="N96" s="39" t="n">
        <f aca="false">PL!$N$81+PL!$N$82+PL!$N$83+PL!$N$84+PL!$N$85+PL!$N$86+PL!$N$87-PL!$N$93</f>
        <v>0</v>
      </c>
      <c r="O96" s="39" t="n">
        <f aca="false">PL!$O$81+PL!$O$82+PL!$O$83+PL!$O$84+PL!$O$85+PL!$O$86+PL!$O$87-PL!$O$93</f>
        <v>0</v>
      </c>
    </row>
    <row r="97" customFormat="false" ht="17.15" hidden="false" customHeight="false" outlineLevel="0" collapsed="false">
      <c r="A97" s="24" t="s">
        <v>658</v>
      </c>
      <c r="B97" s="25" t="s">
        <v>73</v>
      </c>
      <c r="C97" s="39" t="n">
        <f aca="false">PL!$C$88+PL!$C$89+PL!$C$90-PL!$C$93</f>
        <v>0</v>
      </c>
      <c r="D97" s="39" t="n">
        <f aca="false">PL!$D$88+PL!$D$89+PL!$D$90-PL!$D$93</f>
        <v>0</v>
      </c>
      <c r="E97" s="39" t="n">
        <f aca="false">PL!$E$88+PL!$E$89+PL!$E$90-PL!$E$93</f>
        <v>0</v>
      </c>
      <c r="F97" s="39" t="n">
        <f aca="false">PL!$F$88+PL!$F$89+PL!$F$90-PL!$F$93</f>
        <v>0</v>
      </c>
      <c r="G97" s="39" t="n">
        <f aca="false">PL!$G$88+PL!$G$89+PL!$G$90-PL!$G$93</f>
        <v>0</v>
      </c>
      <c r="H97" s="39" t="n">
        <f aca="false">PL!$H$88+PL!$H$89+PL!$H$90-PL!$H$93</f>
        <v>0</v>
      </c>
      <c r="I97" s="39" t="n">
        <f aca="false">PL!$I$88+PL!$I$89+PL!$I$90-PL!$I$93</f>
        <v>0</v>
      </c>
      <c r="J97" s="39" t="n">
        <f aca="false">PL!$J$88+PL!$J$89+PL!$J$90-PL!$J$93</f>
        <v>0</v>
      </c>
      <c r="K97" s="39" t="n">
        <f aca="false">PL!$K$88+PL!$K$89+PL!$K$90-PL!$K$93</f>
        <v>0</v>
      </c>
      <c r="L97" s="39" t="n">
        <f aca="false">PL!$L$88+PL!$L$89+PL!$L$90-PL!$L$93</f>
        <v>0</v>
      </c>
      <c r="M97" s="39" t="n">
        <f aca="false">PL!$M$88+PL!$M$89+PL!$M$90-PL!$M$93</f>
        <v>0</v>
      </c>
      <c r="N97" s="39" t="n">
        <f aca="false">PL!$N$88+PL!$N$89+PL!$N$90-PL!$N$93</f>
        <v>0</v>
      </c>
      <c r="O97" s="39" t="n">
        <f aca="false">PL!$O$88+PL!$O$89+PL!$O$90-PL!$O$93</f>
        <v>0</v>
      </c>
    </row>
    <row r="98" customFormat="false" ht="17.15" hidden="false" customHeight="false" outlineLevel="0" collapsed="false">
      <c r="A98" s="1" t="s">
        <v>672</v>
      </c>
    </row>
    <row r="99" customFormat="false" ht="17.15" hidden="false" customHeight="false" outlineLevel="0" collapsed="false">
      <c r="A99" s="0" t="s">
        <v>673</v>
      </c>
      <c r="B99" s="0" t="s">
        <v>73</v>
      </c>
      <c r="C99" s="38" t="n">
        <f aca="false">Seg!$C$57*m_ad</f>
        <v>20.5341564414228</v>
      </c>
      <c r="D99" s="38" t="n">
        <f aca="false">Seg!$D$57*m_ad</f>
        <v>24.8720617299587</v>
      </c>
      <c r="E99" s="38" t="n">
        <f aca="false">Seg!$E$57*m_ad</f>
        <v>13.5017112462207</v>
      </c>
      <c r="F99" s="38" t="n">
        <f aca="false">Seg!$F$57*m_ad</f>
        <v>17.2886442824599</v>
      </c>
      <c r="G99" s="38" t="n">
        <f aca="false">Seg!$G$57*m_ad</f>
        <v>30.8011958765886</v>
      </c>
      <c r="H99" s="38" t="n">
        <f aca="false">Seg!$H$57*m_ad</f>
        <v>36.978409366026</v>
      </c>
      <c r="I99" s="38" t="n">
        <f aca="false">Seg!$I$57*m_ad</f>
        <v>43.155063281273</v>
      </c>
      <c r="J99" s="38" t="n">
        <f aca="false">Seg!$J$57*m_ad</f>
        <v>48.9169991988532</v>
      </c>
      <c r="K99" s="38" t="n">
        <f aca="false">Seg!$K$57*m_ad</f>
        <v>53.8086991187386</v>
      </c>
      <c r="L99" s="38" t="n">
        <f aca="false">Seg!$L$57*m_ad</f>
        <v>59.1895690306124</v>
      </c>
      <c r="M99" s="38" t="n">
        <f aca="false">Seg!$M$57*m_ad</f>
        <v>65.1085259336737</v>
      </c>
      <c r="N99" s="38" t="n">
        <f aca="false">Seg!$N$57*m_ad</f>
        <v>10.8543555706248</v>
      </c>
      <c r="O99" s="38" t="n">
        <f aca="false">Seg!$O$57*m_ad</f>
        <v>14.0094731821399</v>
      </c>
    </row>
    <row r="100" customFormat="false" ht="17.15" hidden="false" customHeight="false" outlineLevel="0" collapsed="false">
      <c r="A100" s="0" t="s">
        <v>674</v>
      </c>
      <c r="B100" s="0" t="s">
        <v>73</v>
      </c>
      <c r="C100" s="38" t="n">
        <f aca="false">Seg!$C$55-Seg!$C$57</f>
        <v>346.428687117154</v>
      </c>
      <c r="D100" s="38" t="n">
        <f aca="false">Seg!$D$55-Seg!$D$57</f>
        <v>376.560876540083</v>
      </c>
      <c r="E100" s="38" t="n">
        <f aca="false">Seg!$E$55-Seg!$E$57</f>
        <v>193.316577507559</v>
      </c>
      <c r="F100" s="38" t="n">
        <f aca="false">Seg!$F$55-Seg!$F$57</f>
        <v>221.726726438887</v>
      </c>
      <c r="G100" s="38" t="n">
        <f aca="false">Seg!$G$55-Seg!$G$57</f>
        <v>415.02162325063</v>
      </c>
      <c r="H100" s="38" t="n">
        <f aca="false">Seg!$H$55-Seg!$H$57</f>
        <v>453.777572359491</v>
      </c>
      <c r="I100" s="38" t="n">
        <f aca="false">Seg!$I$55-Seg!$I$57</f>
        <v>490.847566467031</v>
      </c>
      <c r="J100" s="38" t="n">
        <f aca="false">Seg!$J$55-Seg!$J$57</f>
        <v>525.190925266121</v>
      </c>
      <c r="K100" s="38" t="n">
        <f aca="false">Seg!$K$55-Seg!$K$57</f>
        <v>555.765170156304</v>
      </c>
      <c r="L100" s="38" t="n">
        <f aca="false">Seg!$L$55-Seg!$L$57</f>
        <v>588.185734949207</v>
      </c>
      <c r="M100" s="38" t="n">
        <f aca="false">Seg!$M$55-Seg!$M$57</f>
        <v>622.567635538672</v>
      </c>
      <c r="N100" s="38" t="n">
        <f aca="false">Seg!$N$55-Seg!$N$57</f>
        <v>171.24628885875</v>
      </c>
      <c r="O100" s="38" t="n">
        <f aca="false">Seg!$O$55-Seg!$O$57</f>
        <v>205.33105363572</v>
      </c>
    </row>
    <row r="101" customFormat="false" ht="17.15" hidden="false" customHeight="false" outlineLevel="0" collapsed="false">
      <c r="A101" s="0" t="s">
        <v>675</v>
      </c>
      <c r="B101" s="0" t="s">
        <v>73</v>
      </c>
      <c r="C101" s="38" t="n">
        <f aca="false">Thesis!$C$105*Seg!$C$54</f>
        <v>0.123617442257179</v>
      </c>
      <c r="D101" s="38" t="n">
        <f aca="false">Thesis!$D$105*Seg!$D$54</f>
        <v>0.874366899302609</v>
      </c>
      <c r="E101" s="38" t="n">
        <f aca="false">Thesis!$E$105*Seg!$E$54</f>
        <v>1.29318830502574</v>
      </c>
      <c r="F101" s="38" t="n">
        <f aca="false">Thesis!$F$105*Seg!$F$54</f>
        <v>1.51802024162534</v>
      </c>
      <c r="G101" s="38" t="n">
        <f aca="false">Thesis!$G$105*Seg!$G$54</f>
        <v>2.81130189308167</v>
      </c>
      <c r="H101" s="38" t="n">
        <f aca="false">Thesis!$H$105*Seg!$H$54</f>
        <v>7.38966789318209</v>
      </c>
      <c r="I101" s="38" t="n">
        <f aca="false">Thesis!$I$105*Seg!$I$54</f>
        <v>12.8987443661473</v>
      </c>
      <c r="J101" s="38" t="n">
        <f aca="false">Thesis!$J$105*Seg!$J$54</f>
        <v>18.5570025453645</v>
      </c>
      <c r="K101" s="38" t="n">
        <f aca="false">Thesis!$K$105*Seg!$K$54</f>
        <v>24.3158972773405</v>
      </c>
      <c r="L101" s="38" t="n">
        <f aca="false">Thesis!$L$105*Seg!$L$54</f>
        <v>29.7827375558674</v>
      </c>
      <c r="M101" s="38" t="n">
        <f aca="false">Thesis!$M$105*Seg!$M$54</f>
        <v>35.3532344973194</v>
      </c>
      <c r="N101" s="38" t="n">
        <f aca="false">Thesis!$N$105*Seg!$N$54</f>
        <v>0.389180508437431</v>
      </c>
      <c r="O101" s="38" t="n">
        <f aca="false">Thesis!$O$105*Seg!$O$54</f>
        <v>0.485052120082802</v>
      </c>
    </row>
    <row r="102" customFormat="false" ht="17.15" hidden="false" customHeight="false" outlineLevel="0" collapsed="false">
      <c r="A102" s="0" t="s">
        <v>676</v>
      </c>
      <c r="B102" s="0" t="s">
        <v>52</v>
      </c>
      <c r="C102" s="28" t="n">
        <f aca="false">(PL!$C$103-PL!$C$99+PL!$C$101)/PL!$C$100</f>
        <v>0.0131526665379575</v>
      </c>
      <c r="D102" s="28" t="n">
        <f aca="false">(PL!$D$103-PL!$D$99+PL!$D$101)/PL!$D$100</f>
        <v>0.0149280116962589</v>
      </c>
      <c r="E102" s="28" t="n">
        <f aca="false">(PL!$E$103-PL!$E$99+PL!$E$101)/PL!$E$100</f>
        <v>0.0268030663774938</v>
      </c>
      <c r="F102" s="28" t="n">
        <f aca="false">PL!$O$102+(PL!$E$102-PL!$N$102)</f>
        <v>0.0232379346966962</v>
      </c>
      <c r="G102" s="28" t="n">
        <f aca="false">(PL!$G$103-PL!$G$99+PL!$G$101)/PL!$G$100</f>
        <v>0.0248738876928168</v>
      </c>
      <c r="H102" s="28" t="n">
        <f aca="false">PL!$G$102+step_na</f>
        <v>0.0278738876928168</v>
      </c>
      <c r="I102" s="28" t="n">
        <f aca="false">PL!$H$102+step_na</f>
        <v>0.0308738876928168</v>
      </c>
      <c r="J102" s="28" t="n">
        <f aca="false">PL!$I$102+step_na</f>
        <v>0.0338738876928168</v>
      </c>
      <c r="K102" s="28" t="n">
        <f aca="false">PL!$J$102+step_na</f>
        <v>0.0368738876928168</v>
      </c>
      <c r="L102" s="28" t="n">
        <f aca="false">PL!$K$102</f>
        <v>0.0368738876928168</v>
      </c>
      <c r="M102" s="28" t="n">
        <f aca="false">PL!$L$102</f>
        <v>0.0368738876928168</v>
      </c>
      <c r="N102" s="28" t="n">
        <f aca="false">(PL!$N$103-PL!$N$99+PL!$N$101)/PL!$N$100</f>
        <v>0.0168927744775755</v>
      </c>
      <c r="O102" s="28" t="n">
        <f aca="false">(PL!$O$103-PL!$O$99+PL!$O$101)/PL!$O$100</f>
        <v>0.0133276427967779</v>
      </c>
      <c r="P102" s="8" t="s">
        <v>677</v>
      </c>
    </row>
    <row r="103" customFormat="false" ht="17.15" hidden="false" customHeight="false" outlineLevel="0" collapsed="false">
      <c r="A103" s="1" t="s">
        <v>678</v>
      </c>
      <c r="B103" s="8" t="s">
        <v>73</v>
      </c>
      <c r="C103" s="38" t="n">
        <f aca="false">Q!$D$22</f>
        <v>24.967</v>
      </c>
      <c r="D103" s="38" t="n">
        <f aca="false">Q!$E$22</f>
        <v>29.619</v>
      </c>
      <c r="E103" s="38" t="n">
        <f aca="false">Q!$P$22</f>
        <v>17.39</v>
      </c>
      <c r="F103" s="38" t="n">
        <f aca="false">PL!$F$99+PL!$F$100*PL!$F$102-PL!$F$101</f>
        <v>20.9230952303336</v>
      </c>
      <c r="G103" s="38" t="n">
        <f aca="false">PL!$E$103+PL!$F$103</f>
        <v>38.3130952303336</v>
      </c>
      <c r="H103" s="38" t="n">
        <f aca="false">PL!$H$99+PL!$H$100*PL!$H$102-PL!$H$101</f>
        <v>42.2372865623114</v>
      </c>
      <c r="I103" s="38" t="n">
        <f aca="false">PL!$I$99+PL!$I$100*PL!$I$102-PL!$I$101</f>
        <v>45.4106915565213</v>
      </c>
      <c r="J103" s="38" t="n">
        <f aca="false">PL!$J$99+PL!$J$100*PL!$J$102-PL!$J$101</f>
        <v>48.1502550732398</v>
      </c>
      <c r="K103" s="38" t="n">
        <f aca="false">PL!$K$99+PL!$K$100*PL!$K$102-PL!$K$101</f>
        <v>49.9860243093208</v>
      </c>
      <c r="L103" s="38" t="n">
        <f aca="false">PL!$L$99+PL!$L$100*PL!$L$102-PL!$L$101</f>
        <v>51.095526207779</v>
      </c>
      <c r="M103" s="38" t="n">
        <f aca="false">PL!$M$99+PL!$M$100*PL!$M$102-PL!$M$101</f>
        <v>52.7117805103898</v>
      </c>
      <c r="N103" s="38" t="n">
        <f aca="false">Q!$N$22</f>
        <v>13.358</v>
      </c>
      <c r="O103" s="38" t="n">
        <f aca="false">Q!$O$22</f>
        <v>16.261</v>
      </c>
    </row>
    <row r="104" customFormat="false" ht="17.15" hidden="false" customHeight="false" outlineLevel="0" collapsed="false">
      <c r="A104" s="0" t="s">
        <v>679</v>
      </c>
      <c r="B104" s="0" t="s">
        <v>73</v>
      </c>
      <c r="C104" s="38" t="n">
        <f aca="false">Seg!$C$58*m_ad</f>
        <v>7.57284355857716</v>
      </c>
      <c r="D104" s="38" t="n">
        <f aca="false">Seg!$D$58*m_ad</f>
        <v>9.44543827004127</v>
      </c>
      <c r="E104" s="38" t="n">
        <f aca="false">Seg!$E$58*m_ad</f>
        <v>5.02428875377928</v>
      </c>
      <c r="F104" s="38" t="n">
        <f aca="false">Seg!$F$58*m_ad</f>
        <v>6.78802480890925</v>
      </c>
      <c r="G104" s="38" t="n">
        <f aca="false">Seg!$G$58*m_ad</f>
        <v>11.8014732147805</v>
      </c>
      <c r="H104" s="38" t="n">
        <f aca="false">Seg!$H$58*m_ad</f>
        <v>14.1682715634442</v>
      </c>
      <c r="I104" s="38" t="n">
        <f aca="false">Seg!$I$58*m_ad</f>
        <v>16.5348555113474</v>
      </c>
      <c r="J104" s="38" t="n">
        <f aca="false">Seg!$J$58*m_ad</f>
        <v>18.7425403255689</v>
      </c>
      <c r="K104" s="38" t="n">
        <f aca="false">Seg!$K$58*m_ad</f>
        <v>20.6167943581258</v>
      </c>
      <c r="L104" s="38" t="n">
        <f aca="false">Seg!$L$58*m_ad</f>
        <v>22.6784737939383</v>
      </c>
      <c r="M104" s="38" t="n">
        <f aca="false">Seg!$M$58*m_ad</f>
        <v>24.9463211733322</v>
      </c>
      <c r="N104" s="38" t="n">
        <f aca="false">Seg!$N$58*m_ad</f>
        <v>3.95314442937518</v>
      </c>
      <c r="O104" s="38" t="n">
        <f aca="false">Seg!$O$58*m_ad</f>
        <v>5.50052681786011</v>
      </c>
    </row>
    <row r="105" customFormat="false" ht="17.15" hidden="false" customHeight="false" outlineLevel="0" collapsed="false">
      <c r="A105" s="0" t="s">
        <v>680</v>
      </c>
      <c r="B105" s="0" t="s">
        <v>73</v>
      </c>
      <c r="C105" s="38" t="n">
        <f aca="false">Seg!$C$56-Seg!$C$58</f>
        <v>127.760312882846</v>
      </c>
      <c r="D105" s="38" t="n">
        <f aca="false">Seg!$D$56-Seg!$D$58</f>
        <v>143.003123459917</v>
      </c>
      <c r="E105" s="38" t="n">
        <f aca="false">Seg!$E$56-Seg!$E$58</f>
        <v>71.9374224924414</v>
      </c>
      <c r="F105" s="38" t="n">
        <f aca="false">Seg!$F$56-Seg!$F$58</f>
        <v>87.0563645868046</v>
      </c>
      <c r="G105" s="38" t="n">
        <f aca="false">Seg!$G$56-Seg!$G$58</f>
        <v>159.015467775062</v>
      </c>
      <c r="H105" s="38" t="n">
        <f aca="false">Seg!$H$56-Seg!$H$58</f>
        <v>173.864803403269</v>
      </c>
      <c r="I105" s="38" t="n">
        <f aca="false">Seg!$I$56-Seg!$I$58</f>
        <v>188.068165645601</v>
      </c>
      <c r="J105" s="38" t="n">
        <f aca="false">Seg!$J$56-Seg!$J$58</f>
        <v>201.22681801082</v>
      </c>
      <c r="K105" s="38" t="n">
        <f aca="false">Seg!$K$56-Seg!$K$58</f>
        <v>212.941334991893</v>
      </c>
      <c r="L105" s="38" t="n">
        <f aca="false">Seg!$L$56-Seg!$L$58</f>
        <v>225.363269144856</v>
      </c>
      <c r="M105" s="38" t="n">
        <f aca="false">Seg!$M$56-Seg!$M$58</f>
        <v>238.536688790819</v>
      </c>
      <c r="N105" s="38" t="n">
        <f aca="false">Seg!$N$56-Seg!$N$58</f>
        <v>62.3677111412496</v>
      </c>
      <c r="O105" s="38" t="n">
        <f aca="false">Seg!$O$56-Seg!$O$58</f>
        <v>80.6189463642798</v>
      </c>
    </row>
    <row r="106" customFormat="false" ht="17.15" hidden="false" customHeight="false" outlineLevel="0" collapsed="false">
      <c r="A106" s="0" t="s">
        <v>681</v>
      </c>
      <c r="B106" s="0" t="s">
        <v>73</v>
      </c>
      <c r="C106" s="38" t="n">
        <f aca="false">Thesis!$C$105*(1-Seg!$C$54)</f>
        <v>0.0455891896019953</v>
      </c>
      <c r="D106" s="38" t="n">
        <f aca="false">Thesis!$D$105*(1-Seg!$D$54)</f>
        <v>0.332050421167231</v>
      </c>
      <c r="E106" s="38" t="n">
        <f aca="false">Thesis!$E$105*(1-Seg!$E$54)</f>
        <v>0.481224293644882</v>
      </c>
      <c r="F106" s="38" t="n">
        <f aca="false">Thesis!$F$105*(1-Seg!$F$54)</f>
        <v>0.596018918096053</v>
      </c>
      <c r="G106" s="38" t="n">
        <f aca="false">Thesis!$G$105*(1-Seg!$G$54)</f>
        <v>1.07714986531035</v>
      </c>
      <c r="H106" s="38" t="n">
        <f aca="false">Thesis!$H$105*(1-Seg!$H$54)</f>
        <v>2.83135005721638</v>
      </c>
      <c r="I106" s="38" t="n">
        <f aca="false">Thesis!$I$105*(1-Seg!$I$54)</f>
        <v>4.9421518161602</v>
      </c>
      <c r="J106" s="38" t="n">
        <f aca="false">Thesis!$J$105*(1-Seg!$J$54)</f>
        <v>7.11011252170866</v>
      </c>
      <c r="K106" s="38" t="n">
        <f aca="false">Thesis!$K$105*(1-Seg!$K$54)</f>
        <v>9.31663210615807</v>
      </c>
      <c r="L106" s="38" t="n">
        <f aca="false">Thesis!$L$105*(1-Seg!$L$54)</f>
        <v>11.411251074039</v>
      </c>
      <c r="M106" s="38" t="n">
        <f aca="false">Thesis!$M$105*(1-Seg!$M$54)</f>
        <v>13.5455860755423</v>
      </c>
      <c r="N106" s="38" t="n">
        <f aca="false">Thesis!$N$105*(1-Seg!$N$54)</f>
        <v>0.141739115596548</v>
      </c>
      <c r="O106" s="38" t="n">
        <f aca="false">Thesis!$O$105*(1-Seg!$O$54)</f>
        <v>0.190445576353059</v>
      </c>
    </row>
    <row r="107" customFormat="false" ht="17.15" hidden="false" customHeight="false" outlineLevel="0" collapsed="false">
      <c r="A107" s="0" t="s">
        <v>682</v>
      </c>
      <c r="B107" s="0" t="s">
        <v>52</v>
      </c>
      <c r="C107" s="28" t="n">
        <f aca="false">(PL!$C$108-PL!$C$104+PL!$C$106)/PL!$C$105</f>
        <v>-0.0292364215826579</v>
      </c>
      <c r="D107" s="28" t="n">
        <f aca="false">(PL!$D$108-PL!$D$104+PL!$D$106)/PL!$D$105</f>
        <v>-0.0305125352740778</v>
      </c>
      <c r="E107" s="28" t="n">
        <f aca="false">(PL!$E$108-PL!$E$104+PL!$E$106)/PL!$E$105</f>
        <v>-0.019490056934994</v>
      </c>
      <c r="F107" s="28" t="n">
        <f aca="false">PL!$O$107+(PL!$E$107-PL!$N$107)</f>
        <v>-0.0367332293992226</v>
      </c>
      <c r="G107" s="28" t="n">
        <f aca="false">(PL!$G$108-PL!$G$104+PL!$G$106)/PL!$G$105</f>
        <v>-0.0288599526442178</v>
      </c>
      <c r="H107" s="28" t="n">
        <f aca="false">PL!$G$107+step_in</f>
        <v>-0.0288599526442178</v>
      </c>
      <c r="I107" s="28" t="n">
        <f aca="false">PL!$H$107+step_in</f>
        <v>-0.0288599526442178</v>
      </c>
      <c r="J107" s="28" t="n">
        <f aca="false">PL!$I$107+step_in</f>
        <v>-0.0288599526442178</v>
      </c>
      <c r="K107" s="28" t="n">
        <f aca="false">PL!$J$107+step_in</f>
        <v>-0.0288599526442178</v>
      </c>
      <c r="L107" s="28" t="n">
        <f aca="false">PL!$K$107</f>
        <v>-0.0288599526442178</v>
      </c>
      <c r="M107" s="28" t="n">
        <f aca="false">PL!$L$107</f>
        <v>-0.0288599526442178</v>
      </c>
      <c r="N107" s="28" t="n">
        <f aca="false">(PL!$N$108-PL!$N$104+PL!$N$106)/PL!$N$105</f>
        <v>-0.02085061789158</v>
      </c>
      <c r="O107" s="28" t="n">
        <f aca="false">(PL!$O$108-PL!$O$104+PL!$O$106)/PL!$O$105</f>
        <v>-0.0380937903558086</v>
      </c>
      <c r="P107" s="8" t="s">
        <v>677</v>
      </c>
    </row>
    <row r="108" customFormat="false" ht="17.15" hidden="false" customHeight="false" outlineLevel="0" collapsed="false">
      <c r="A108" s="1" t="s">
        <v>683</v>
      </c>
      <c r="B108" s="8" t="s">
        <v>73</v>
      </c>
      <c r="C108" s="38" t="n">
        <f aca="false">Q!$D$23</f>
        <v>3.792</v>
      </c>
      <c r="D108" s="38" t="n">
        <f aca="false">Q!$E$23</f>
        <v>4.75</v>
      </c>
      <c r="E108" s="38" t="n">
        <f aca="false">Q!$P$23</f>
        <v>3.141</v>
      </c>
      <c r="F108" s="38" t="n">
        <f aca="false">PL!$F$104+PL!$F$105*PL!$F$107-PL!$F$106</f>
        <v>2.99414447978375</v>
      </c>
      <c r="G108" s="38" t="n">
        <f aca="false">PL!$E$108+PL!$F$108</f>
        <v>6.13514447978375</v>
      </c>
      <c r="H108" s="38" t="n">
        <f aca="false">PL!$H$104+PL!$H$105*PL!$H$107-PL!$H$106</f>
        <v>6.31919151351322</v>
      </c>
      <c r="I108" s="38" t="n">
        <f aca="false">PL!$I$104+PL!$I$105*PL!$I$107-PL!$I$106</f>
        <v>6.16506534077027</v>
      </c>
      <c r="J108" s="38" t="n">
        <f aca="false">PL!$J$104+PL!$J$105*PL!$J$107-PL!$J$106</f>
        <v>5.8250313653213</v>
      </c>
      <c r="K108" s="38" t="n">
        <f aca="false">PL!$K$104+PL!$K$105*PL!$K$107-PL!$K$106</f>
        <v>5.15468540810514</v>
      </c>
      <c r="L108" s="38" t="n">
        <f aca="false">PL!$L$104+PL!$L$105*PL!$L$107-PL!$L$106</f>
        <v>4.76324944463266</v>
      </c>
      <c r="M108" s="38" t="n">
        <f aca="false">PL!$M$104+PL!$M$105*PL!$M$107-PL!$M$106</f>
        <v>4.51657755537829</v>
      </c>
      <c r="N108" s="38" t="n">
        <f aca="false">Q!$N$23</f>
        <v>2.511</v>
      </c>
      <c r="O108" s="38" t="n">
        <f aca="false">Q!$O$23</f>
        <v>2.239</v>
      </c>
    </row>
    <row r="109" customFormat="false" ht="17.15" hidden="false" customHeight="false" outlineLevel="0" collapsed="false">
      <c r="A109" s="0" t="s">
        <v>684</v>
      </c>
      <c r="B109" s="0" t="s">
        <v>73</v>
      </c>
      <c r="C109" s="38" t="n">
        <f aca="false">Thesis!$C$102</f>
        <v>1.64417882953695</v>
      </c>
      <c r="D109" s="38" t="n">
        <f aca="false">Thesis!$D$102</f>
        <v>3.8781008067718</v>
      </c>
      <c r="E109" s="38" t="n">
        <f aca="false">Thesis!$E$102</f>
        <v>1.41270258088753</v>
      </c>
      <c r="F109" s="38" t="n">
        <f aca="false">Thesis!$F$102</f>
        <v>6.50727700583486</v>
      </c>
      <c r="G109" s="38" t="n">
        <f aca="false">Thesis!$G$102</f>
        <v>7.9199795867224</v>
      </c>
      <c r="H109" s="38" t="n">
        <f aca="false">Thesis!$H$102</f>
        <v>19.2818189481807</v>
      </c>
      <c r="I109" s="38" t="n">
        <f aca="false">Thesis!$I$102</f>
        <v>30.140114407202</v>
      </c>
      <c r="J109" s="38" t="n">
        <f aca="false">Thesis!$J$102</f>
        <v>40.3569468829854</v>
      </c>
      <c r="K109" s="38" t="n">
        <f aca="false">Thesis!$K$102</f>
        <v>50.0782975081929</v>
      </c>
      <c r="L109" s="38" t="n">
        <f aca="false">Thesis!$L$102</f>
        <v>61.443331993499</v>
      </c>
      <c r="M109" s="38" t="n">
        <f aca="false">Thesis!$M$102</f>
        <v>72.2498791587849</v>
      </c>
      <c r="N109" s="38" t="n">
        <f aca="false">Thesis!$N$102</f>
        <v>0.92264103489199</v>
      </c>
      <c r="O109" s="38" t="n">
        <f aca="false">Thesis!$O$102</f>
        <v>2.95545977187981</v>
      </c>
    </row>
    <row r="110" customFormat="false" ht="17.15" hidden="false" customHeight="false" outlineLevel="0" collapsed="false">
      <c r="A110" s="0" t="s">
        <v>604</v>
      </c>
      <c r="B110" s="0" t="s">
        <v>73</v>
      </c>
      <c r="C110" s="38" t="n">
        <f aca="false">Thesis!$C$107</f>
        <v>38.1898211704631</v>
      </c>
      <c r="D110" s="38" t="n">
        <f aca="false">Thesis!$D$107</f>
        <v>41.7278991932282</v>
      </c>
      <c r="E110" s="38" t="n">
        <f aca="false">Thesis!$E$107</f>
        <v>29.3692974191125</v>
      </c>
      <c r="F110" s="38" t="n">
        <f aca="false">Thesis!$F$107</f>
        <v>29.458060516894</v>
      </c>
      <c r="G110" s="38" t="n">
        <f aca="false">Thesis!$G$107</f>
        <v>58.8273579360065</v>
      </c>
      <c r="H110" s="38" t="n">
        <f aca="false">Thesis!$H$107</f>
        <v>67.8004040185081</v>
      </c>
      <c r="I110" s="38" t="n">
        <f aca="false">Thesis!$I$107</f>
        <v>78.9527630302702</v>
      </c>
      <c r="J110" s="38" t="n">
        <f aca="false">Thesis!$J$107</f>
        <v>88.6042681781841</v>
      </c>
      <c r="K110" s="38" t="n">
        <f aca="false">Thesis!$K$107</f>
        <v>95.6926096324389</v>
      </c>
      <c r="L110" s="38" t="n">
        <f aca="false">Thesis!$L$107</f>
        <v>103.348018403034</v>
      </c>
      <c r="M110" s="38" t="n">
        <f aca="false">Thesis!$M$107</f>
        <v>111.615859875277</v>
      </c>
      <c r="N110" s="38" t="n">
        <f aca="false">Thesis!$N$107</f>
        <v>20.784358965108</v>
      </c>
      <c r="O110" s="38" t="n">
        <f aca="false">Thesis!$O$107</f>
        <v>20.9435402281202</v>
      </c>
    </row>
    <row r="111" customFormat="false" ht="17.15" hidden="false" customHeight="false" outlineLevel="0" collapsed="false">
      <c r="A111" s="1" t="s">
        <v>685</v>
      </c>
      <c r="B111" s="8" t="s">
        <v>73</v>
      </c>
      <c r="C111" s="38" t="n">
        <f aca="false">Q!$D$24</f>
        <v>39.834</v>
      </c>
      <c r="D111" s="38" t="n">
        <f aca="false">Q!$E$24</f>
        <v>45.606</v>
      </c>
      <c r="E111" s="38" t="n">
        <f aca="false">Q!$P$24</f>
        <v>30.782</v>
      </c>
      <c r="F111" s="38" t="n">
        <f aca="false">PL!$F$109+PL!$F$110</f>
        <v>35.9653375227289</v>
      </c>
      <c r="G111" s="38" t="n">
        <f aca="false">PL!$G$109+PL!$G$110</f>
        <v>66.7473375227289</v>
      </c>
      <c r="H111" s="38" t="n">
        <f aca="false">PL!$H$109+PL!$H$110</f>
        <v>87.0822229666888</v>
      </c>
      <c r="I111" s="38" t="n">
        <f aca="false">PL!$I$109+PL!$I$110</f>
        <v>109.092877437472</v>
      </c>
      <c r="J111" s="38" t="n">
        <f aca="false">PL!$J$109+PL!$J$110</f>
        <v>128.96121506117</v>
      </c>
      <c r="K111" s="38" t="n">
        <f aca="false">PL!$K$109+PL!$K$110</f>
        <v>145.770907140632</v>
      </c>
      <c r="L111" s="38" t="n">
        <f aca="false">PL!$L$109+PL!$L$110</f>
        <v>164.791350396533</v>
      </c>
      <c r="M111" s="38" t="n">
        <f aca="false">PL!$M$109+PL!$M$110</f>
        <v>183.865739034062</v>
      </c>
      <c r="N111" s="38" t="n">
        <f aca="false">Q!$N$24</f>
        <v>21.707</v>
      </c>
      <c r="O111" s="38" t="n">
        <f aca="false">Q!$O$24</f>
        <v>23.899</v>
      </c>
    </row>
    <row r="112" customFormat="false" ht="17.15" hidden="false" customHeight="false" outlineLevel="0" collapsed="false">
      <c r="A112" s="5" t="s">
        <v>686</v>
      </c>
      <c r="B112" s="0" t="s">
        <v>73</v>
      </c>
      <c r="C112" s="38" t="n">
        <f aca="false">Q!$D$26</f>
        <v>0</v>
      </c>
      <c r="D112" s="38" t="n">
        <f aca="false">Q!$E$26</f>
        <v>0</v>
      </c>
      <c r="E112" s="38" t="n">
        <f aca="false">Q!$P$26</f>
        <v>0</v>
      </c>
      <c r="F112" s="41" t="n">
        <v>0</v>
      </c>
      <c r="G112" s="38" t="n">
        <f aca="false">PL!$E$112+PL!$F$112</f>
        <v>0</v>
      </c>
      <c r="H112" s="41" t="n">
        <v>0</v>
      </c>
      <c r="I112" s="41" t="n">
        <v>0</v>
      </c>
      <c r="J112" s="41" t="n">
        <v>0</v>
      </c>
      <c r="K112" s="41" t="n">
        <v>0</v>
      </c>
      <c r="L112" s="41" t="n">
        <v>0</v>
      </c>
      <c r="M112" s="41" t="n">
        <v>0</v>
      </c>
      <c r="N112" s="38" t="n">
        <f aca="false">Q!$N$26</f>
        <v>0</v>
      </c>
      <c r="O112" s="38" t="n">
        <f aca="false">Q!$O$26</f>
        <v>0</v>
      </c>
    </row>
    <row r="113" customFormat="false" ht="15" hidden="false" customHeight="false" outlineLevel="0" collapsed="false">
      <c r="A113" s="3" t="s">
        <v>494</v>
      </c>
      <c r="B113" s="8" t="s">
        <v>73</v>
      </c>
      <c r="C113" s="38" t="n">
        <f aca="false">Q!$D$25</f>
        <v>68.593</v>
      </c>
      <c r="D113" s="38" t="n">
        <f aca="false">Q!$E$25</f>
        <v>79.975</v>
      </c>
      <c r="E113" s="38" t="n">
        <f aca="false">Q!$P$25</f>
        <v>51.313</v>
      </c>
      <c r="F113" s="38" t="n">
        <f aca="false">PL!$F$103+PL!$F$108+PL!$F$111+PL!$F$112</f>
        <v>59.8825772328462</v>
      </c>
      <c r="G113" s="38" t="n">
        <f aca="false">PL!$G$103+PL!$G$108+PL!$G$111+PL!$G$112</f>
        <v>111.195577232846</v>
      </c>
      <c r="H113" s="38" t="n">
        <f aca="false">PL!$H$103+PL!$H$108+PL!$H$111+PL!$H$112</f>
        <v>135.638701042513</v>
      </c>
      <c r="I113" s="38" t="n">
        <f aca="false">PL!$I$103+PL!$I$108+PL!$I$111+PL!$I$112</f>
        <v>160.668634334764</v>
      </c>
      <c r="J113" s="38" t="n">
        <f aca="false">PL!$J$103+PL!$J$108+PL!$J$111+PL!$J$112</f>
        <v>182.936501499731</v>
      </c>
      <c r="K113" s="38" t="n">
        <f aca="false">PL!$K$103+PL!$K$108+PL!$K$111+PL!$K$112</f>
        <v>200.911616858058</v>
      </c>
      <c r="L113" s="38" t="n">
        <f aca="false">PL!$L$103+PL!$L$108+PL!$L$111+PL!$L$112</f>
        <v>220.650126048945</v>
      </c>
      <c r="M113" s="38" t="n">
        <f aca="false">PL!$M$103+PL!$M$108+PL!$M$111+PL!$M$112</f>
        <v>241.09409709983</v>
      </c>
      <c r="N113" s="38" t="n">
        <f aca="false">Q!$N$25</f>
        <v>37.576</v>
      </c>
      <c r="O113" s="38" t="n">
        <f aca="false">Q!$O$25</f>
        <v>42.399</v>
      </c>
    </row>
    <row r="114" customFormat="false" ht="17.15" hidden="false" customHeight="false" outlineLevel="0" collapsed="false">
      <c r="A114" s="24" t="s">
        <v>712</v>
      </c>
      <c r="B114" s="25" t="s">
        <v>73</v>
      </c>
      <c r="C114" s="39" t="n">
        <f aca="false">PL!$C$103+PL!$C$108+PL!$C$111+PL!$C$112-PL!$C$113</f>
        <v>0</v>
      </c>
      <c r="D114" s="39" t="n">
        <f aca="false">PL!$D$103+PL!$D$108+PL!$D$111+PL!$D$112-PL!$D$113</f>
        <v>0</v>
      </c>
      <c r="E114" s="39" t="n">
        <f aca="false">PL!$E$103+PL!$E$108+PL!$E$111+PL!$E$112-PL!$E$113</f>
        <v>0</v>
      </c>
      <c r="F114" s="39" t="n">
        <f aca="false">PL!$F$103+PL!$F$108+PL!$F$111+PL!$F$112-PL!$F$113</f>
        <v>0</v>
      </c>
      <c r="G114" s="39" t="n">
        <f aca="false">PL!$G$103+PL!$G$108+PL!$G$111+PL!$G$112-PL!$G$113</f>
        <v>0</v>
      </c>
      <c r="H114" s="39" t="n">
        <f aca="false">PL!$H$103+PL!$H$108+PL!$H$111+PL!$H$112-PL!$H$113</f>
        <v>0</v>
      </c>
      <c r="I114" s="39" t="n">
        <f aca="false">PL!$I$103+PL!$I$108+PL!$I$111+PL!$I$112-PL!$I$113</f>
        <v>0</v>
      </c>
      <c r="J114" s="39" t="n">
        <f aca="false">PL!$J$103+PL!$J$108+PL!$J$111+PL!$J$112-PL!$J$113</f>
        <v>0</v>
      </c>
      <c r="K114" s="39" t="n">
        <f aca="false">PL!$K$103+PL!$K$108+PL!$K$111+PL!$K$112-PL!$K$113</f>
        <v>0</v>
      </c>
      <c r="L114" s="39" t="n">
        <f aca="false">PL!$L$103+PL!$L$108+PL!$L$111+PL!$L$112-PL!$L$113</f>
        <v>0</v>
      </c>
      <c r="M114" s="39" t="n">
        <f aca="false">PL!$M$103+PL!$M$108+PL!$M$111+PL!$M$112-PL!$M$113</f>
        <v>0</v>
      </c>
      <c r="N114" s="39" t="n">
        <f aca="false">PL!$N$103+PL!$N$108+PL!$N$111+PL!$N$112-PL!$N$113</f>
        <v>0</v>
      </c>
      <c r="O114" s="39" t="n">
        <f aca="false">PL!$O$103+PL!$O$108+PL!$O$111+PL!$O$112-PL!$O$113</f>
        <v>0</v>
      </c>
    </row>
    <row r="115" customFormat="false" ht="17.15" hidden="false" customHeight="false" outlineLevel="0" collapsed="false">
      <c r="A115" s="0" t="s">
        <v>688</v>
      </c>
      <c r="B115" s="0" t="s">
        <v>52</v>
      </c>
      <c r="C115" s="12" t="n">
        <f aca="false">PL!$C$103/PL!$C$88</f>
        <v>0.0644314665661928</v>
      </c>
      <c r="D115" s="12" t="n">
        <f aca="false">PL!$D$103/PL!$D$88</f>
        <v>0.0694784250712518</v>
      </c>
      <c r="E115" s="12" t="n">
        <f aca="false">PL!$E$103/PL!$E$88</f>
        <v>0.0789306463326071</v>
      </c>
      <c r="F115" s="12" t="n">
        <f aca="false">PL!$F$103/PL!$F$88</f>
        <v>0.0816338957078875</v>
      </c>
      <c r="G115" s="12" t="n">
        <f aca="false">PL!$G$103/PL!$G$88</f>
        <v>0.080384315570057</v>
      </c>
      <c r="H115" s="12" t="n">
        <f aca="false">PL!$H$103/PL!$H$88</f>
        <v>0.080035122355679</v>
      </c>
      <c r="I115" s="12" t="n">
        <f aca="false">PL!$I$103/PL!$I$88</f>
        <v>0.0786798687862144</v>
      </c>
      <c r="J115" s="12" t="n">
        <f aca="false">PL!$J$103/PL!$J$88</f>
        <v>0.0772846370095153</v>
      </c>
      <c r="K115" s="12" t="n">
        <f aca="false">PL!$K$103/PL!$K$88</f>
        <v>0.0753502227686655</v>
      </c>
      <c r="L115" s="12" t="n">
        <f aca="false">PL!$L$103/PL!$L$88</f>
        <v>0.0723154067793922</v>
      </c>
      <c r="M115" s="12" t="n">
        <f aca="false">PL!$M$103/PL!$M$88</f>
        <v>0.070022386735876</v>
      </c>
      <c r="N115" s="12" t="n">
        <f aca="false">PL!$N$103/PL!$N$88</f>
        <v>0.069228576611127</v>
      </c>
      <c r="O115" s="12" t="n">
        <f aca="false">PL!$O$103/PL!$O$88</f>
        <v>0.069685022498393</v>
      </c>
    </row>
    <row r="116" customFormat="false" ht="17.15" hidden="false" customHeight="false" outlineLevel="0" collapsed="false">
      <c r="A116" s="0" t="s">
        <v>689</v>
      </c>
      <c r="B116" s="0" t="s">
        <v>52</v>
      </c>
      <c r="C116" s="12" t="n">
        <f aca="false">PL!$C$108/PL!$C$89</f>
        <v>0.026534925055631</v>
      </c>
      <c r="D116" s="12" t="n">
        <f aca="false">PL!$D$108/PL!$D$89</f>
        <v>0.0293401855535103</v>
      </c>
      <c r="E116" s="12" t="n">
        <f aca="false">PL!$E$108/PL!$E$89</f>
        <v>0.03831141902276</v>
      </c>
      <c r="F116" s="12" t="n">
        <f aca="false">PL!$F$108/PL!$F$89</f>
        <v>0.0297532808235678</v>
      </c>
      <c r="G116" s="12" t="n">
        <f aca="false">PL!$G$108/PL!$G$89</f>
        <v>0.0335954317997163</v>
      </c>
      <c r="H116" s="12" t="n">
        <f aca="false">PL!$H$108/PL!$H$89</f>
        <v>0.0312519754292078</v>
      </c>
      <c r="I116" s="12" t="n">
        <f aca="false">PL!$I$108/PL!$I$89</f>
        <v>0.0278788303191397</v>
      </c>
      <c r="J116" s="12" t="n">
        <f aca="false">PL!$J$108/PL!$J$89</f>
        <v>0.0244019313573061</v>
      </c>
      <c r="K116" s="12" t="n">
        <f aca="false">PL!$K$108/PL!$K$89</f>
        <v>0.020280070641524</v>
      </c>
      <c r="L116" s="12" t="n">
        <f aca="false">PL!$L$108/PL!$L$89</f>
        <v>0.0175947312030086</v>
      </c>
      <c r="M116" s="12" t="n">
        <f aca="false">PL!$M$108/PL!$M$89</f>
        <v>0.0156592172424565</v>
      </c>
      <c r="N116" s="12" t="n">
        <f aca="false">PL!$N$108/PL!$N$89</f>
        <v>0.0357315650169337</v>
      </c>
      <c r="O116" s="12" t="n">
        <f aca="false">PL!$O$108/PL!$O$89</f>
        <v>0.0244378956559703</v>
      </c>
    </row>
    <row r="117" customFormat="false" ht="17.15" hidden="false" customHeight="false" outlineLevel="0" collapsed="false">
      <c r="A117" s="13" t="s">
        <v>690</v>
      </c>
      <c r="B117" s="13" t="s">
        <v>52</v>
      </c>
      <c r="C117" s="16" t="n">
        <f aca="false">PL!$C$111/PL!$C$90</f>
        <v>0.370355907620217</v>
      </c>
      <c r="D117" s="16" t="n">
        <f aca="false">PL!$D$111/PL!$D$90</f>
        <v>0.35429015342785</v>
      </c>
      <c r="E117" s="16" t="n">
        <f aca="false">PL!$E$111/PL!$E$90</f>
        <v>0.385647527531039</v>
      </c>
      <c r="F117" s="16" t="n">
        <f aca="false">PL!$F$111/PL!$F$90</f>
        <v>0.384415729470259</v>
      </c>
      <c r="G117" s="16" t="n">
        <f aca="false">PL!$G$111/PL!$G$90</f>
        <v>0.38498282105443</v>
      </c>
      <c r="H117" s="16" t="n">
        <f aca="false">PL!$H$111/PL!$H$90</f>
        <v>0.361247909668527</v>
      </c>
      <c r="I117" s="16" t="n">
        <f aca="false">PL!$I$111/PL!$I$90</f>
        <v>0.349486287974975</v>
      </c>
      <c r="J117" s="16" t="n">
        <f aca="false">PL!$J$111/PL!$J$90</f>
        <v>0.339886531832068</v>
      </c>
      <c r="K117" s="16" t="n">
        <f aca="false">PL!$K$111/PL!$K$90</f>
        <v>0.33135833762061</v>
      </c>
      <c r="L117" s="16" t="n">
        <f aca="false">PL!$L$111/PL!$L$90</f>
        <v>0.328299068185284</v>
      </c>
      <c r="M117" s="16" t="n">
        <f aca="false">PL!$M$111/PL!$M$90</f>
        <v>0.325058049465166</v>
      </c>
      <c r="N117" s="16" t="n">
        <f aca="false">PL!$N$111/PL!$N$90</f>
        <v>0.360941137346192</v>
      </c>
      <c r="O117" s="16" t="n">
        <f aca="false">PL!$O$111/PL!$O$90</f>
        <v>0.348458117664212</v>
      </c>
    </row>
    <row r="118" customFormat="false" ht="17.15" hidden="false" customHeight="false" outlineLevel="0" collapsed="false">
      <c r="A118" s="0" t="s">
        <v>691</v>
      </c>
      <c r="B118" s="0" t="s">
        <v>52</v>
      </c>
      <c r="C118" s="12" t="n">
        <f aca="false">PL!$C$109/PL!$C$91</f>
        <v>0.708390794789371</v>
      </c>
      <c r="D118" s="12" t="n">
        <f aca="false">PL!$D$109/PL!$D$91</f>
        <v>0.445565630441968</v>
      </c>
      <c r="E118" s="12" t="n">
        <f aca="false">PL!$E$109/PL!$E$91</f>
        <v>0.165998118402711</v>
      </c>
      <c r="F118" s="12" t="n">
        <f aca="false">PL!$F$109/PL!$F$91</f>
        <v>0.434878595403858</v>
      </c>
      <c r="G118" s="12" t="n">
        <f aca="false">PL!$G$109/PL!$G$91</f>
        <v>0.3373967615381</v>
      </c>
      <c r="H118" s="12" t="n">
        <f aca="false">PL!$H$109/PL!$H$91</f>
        <v>0.320477578041224</v>
      </c>
      <c r="I118" s="12" t="n">
        <f aca="false">PL!$I$109/PL!$I$91</f>
        <v>0.296936118226494</v>
      </c>
      <c r="J118" s="12" t="n">
        <f aca="false">PL!$J$109/PL!$J$91</f>
        <v>0.282166278613001</v>
      </c>
      <c r="K118" s="12" t="n">
        <f aca="false">PL!$K$109/PL!$K$91</f>
        <v>0.271267685694333</v>
      </c>
      <c r="L118" s="12" t="n">
        <f aca="false">PL!$L$109/PL!$L$91</f>
        <v>0.27160960915653</v>
      </c>
      <c r="M118" s="12" t="n">
        <f aca="false">PL!$M$109/PL!$M$91</f>
        <v>0.26974494804234</v>
      </c>
      <c r="N118" s="12" t="n">
        <f aca="false">PL!$N$109/PL!$N$91</f>
        <v>0.302870734830849</v>
      </c>
      <c r="O118" s="12" t="n">
        <f aca="false">PL!$O$109/PL!$O$91</f>
        <v>0.52240134346334</v>
      </c>
    </row>
    <row r="119" customFormat="false" ht="15" hidden="false" customHeight="false" outlineLevel="0" collapsed="false">
      <c r="A119" s="5" t="s">
        <v>692</v>
      </c>
      <c r="B119" s="0" t="s">
        <v>52</v>
      </c>
      <c r="C119" s="12" t="n">
        <f aca="false">PL!$C$113/PL!$C$93</f>
        <v>0.107519448742004</v>
      </c>
      <c r="D119" s="12" t="n">
        <f aca="false">PL!$D$113/PL!$D$93</f>
        <v>0.111552967957552</v>
      </c>
      <c r="E119" s="12" t="n">
        <f aca="false">PL!$E$113/PL!$E$93</f>
        <v>0.13428328426562</v>
      </c>
      <c r="F119" s="12" t="n">
        <f aca="false">PL!$F$113/PL!$F$93</f>
        <v>0.132926212451512</v>
      </c>
      <c r="G119" s="12" t="n">
        <f aca="false">PL!$G$113/PL!$G$93</f>
        <v>0.133549030959228</v>
      </c>
      <c r="H119" s="12" t="n">
        <f aca="false">PL!$H$113/PL!$H$93</f>
        <v>0.139690394514416</v>
      </c>
      <c r="I119" s="12" t="n">
        <f aca="false">PL!$I$113/PL!$I$93</f>
        <v>0.144688164284573</v>
      </c>
      <c r="J119" s="12" t="n">
        <f aca="false">PL!$J$113/PL!$J$93</f>
        <v>0.147391419021054</v>
      </c>
      <c r="K119" s="12" t="n">
        <f aca="false">PL!$K$113/PL!$K$93</f>
        <v>0.148003728177944</v>
      </c>
      <c r="L119" s="12" t="n">
        <f aca="false">PL!$L$113/PL!$L$93</f>
        <v>0.149164514525979</v>
      </c>
      <c r="M119" s="12" t="n">
        <f aca="false">PL!$M$113/PL!$M$93</f>
        <v>0.150041098108262</v>
      </c>
      <c r="N119" s="12" t="n">
        <f aca="false">PL!$N$113/PL!$N$93</f>
        <v>0.116201614873411</v>
      </c>
      <c r="O119" s="12" t="n">
        <f aca="false">PL!$O$113/PL!$O$93</f>
        <v>0.107733353660861</v>
      </c>
    </row>
    <row r="120" customFormat="false" ht="17.15" hidden="false" customHeight="false" outlineLevel="0" collapsed="false">
      <c r="A120" s="1" t="s">
        <v>693</v>
      </c>
    </row>
    <row r="121" customFormat="false" ht="17.15" hidden="false" customHeight="false" outlineLevel="0" collapsed="false">
      <c r="A121" s="5" t="s">
        <v>694</v>
      </c>
      <c r="B121" s="0" t="s">
        <v>52</v>
      </c>
      <c r="D121" s="28" t="n">
        <f aca="false">(Q!$E$29+Q!$E$30-(1-ext_sh)*Thesis!$D$98)/Seg!$D$53</f>
        <v>0.0334674312393194</v>
      </c>
    </row>
    <row r="122" customFormat="false" ht="17.15" hidden="false" customHeight="false" outlineLevel="0" collapsed="false">
      <c r="A122" s="0" t="s">
        <v>498</v>
      </c>
      <c r="B122" s="0" t="s">
        <v>73</v>
      </c>
      <c r="C122" s="38" t="n">
        <f aca="false">Q!$D$29</f>
        <v>14.285</v>
      </c>
      <c r="D122" s="38" t="n">
        <f aca="false">Q!$E$29</f>
        <v>15.503</v>
      </c>
      <c r="E122" s="38" t="n">
        <f aca="false">Q!$P$29</f>
        <v>8.78</v>
      </c>
      <c r="F122" s="38" t="n">
        <f aca="false">(PL!$D$121*Seg!$F$53+(1-ext_sh)*Thesis!$F$98)*Seg!$F$54</f>
        <v>9.51361751569285</v>
      </c>
      <c r="G122" s="38" t="n">
        <f aca="false">PL!$E$122+PL!$F$122</f>
        <v>18.2936175156929</v>
      </c>
      <c r="H122" s="38" t="n">
        <f aca="false">(PL!$D$121*Seg!$H$53+(1-ext_sh)*Thesis!$H$98)*Seg!$H$54</f>
        <v>22.7653661801943</v>
      </c>
      <c r="I122" s="38" t="n">
        <f aca="false">(PL!$D$121*Seg!$I$53+(1-ext_sh)*Thesis!$I$98)*Seg!$I$54</f>
        <v>28.4281317305062</v>
      </c>
      <c r="J122" s="38" t="n">
        <f aca="false">(PL!$D$121*Seg!$J$53+(1-ext_sh)*Thesis!$J$98)*Seg!$J$54</f>
        <v>34.1182922009732</v>
      </c>
      <c r="K122" s="38" t="n">
        <f aca="false">(PL!$D$121*Seg!$K$53+(1-ext_sh)*Thesis!$K$98)*Seg!$K$54</f>
        <v>39.7237727987046</v>
      </c>
      <c r="L122" s="38" t="n">
        <f aca="false">(PL!$D$121*Seg!$L$53+(1-ext_sh)*Thesis!$L$98)*Seg!$L$54</f>
        <v>45.1313127180263</v>
      </c>
      <c r="M122" s="38" t="n">
        <f aca="false">(PL!$D$121*Seg!$M$53+(1-ext_sh)*Thesis!$M$98)*Seg!$M$54</f>
        <v>50.743940615442</v>
      </c>
      <c r="N122" s="38" t="n">
        <f aca="false">Q!$N$29</f>
        <v>7.272</v>
      </c>
      <c r="O122" s="38" t="n">
        <f aca="false">Q!$O$29</f>
        <v>8.231</v>
      </c>
    </row>
    <row r="123" customFormat="false" ht="17.15" hidden="false" customHeight="false" outlineLevel="0" collapsed="false">
      <c r="A123" s="0" t="s">
        <v>500</v>
      </c>
      <c r="B123" s="0" t="s">
        <v>73</v>
      </c>
      <c r="C123" s="38" t="n">
        <f aca="false">Q!$D$30</f>
        <v>4.462</v>
      </c>
      <c r="D123" s="38" t="n">
        <f aca="false">Q!$E$30</f>
        <v>4.907</v>
      </c>
      <c r="E123" s="38" t="n">
        <f aca="false">Q!$P$30</f>
        <v>2.57</v>
      </c>
      <c r="F123" s="38" t="n">
        <f aca="false">(PL!$D$121*Seg!$F$53+(1-ext_sh)*Thesis!$F$98)*(1-Seg!$F$54)</f>
        <v>3.7353230631574</v>
      </c>
      <c r="G123" s="38" t="n">
        <f aca="false">PL!$E$123+PL!$F$123</f>
        <v>6.3053230631574</v>
      </c>
      <c r="H123" s="38" t="n">
        <f aca="false">(PL!$D$121*Seg!$H$53+(1-ext_sh)*Thesis!$H$98)*(1-Seg!$H$54)</f>
        <v>8.72254636724805</v>
      </c>
      <c r="I123" s="38" t="n">
        <f aca="false">(PL!$D$121*Seg!$I$53+(1-ext_sh)*Thesis!$I$98)*(1-Seg!$I$54)</f>
        <v>10.8922340713019</v>
      </c>
      <c r="J123" s="38" t="n">
        <f aca="false">(PL!$D$121*Seg!$J$53+(1-ext_sh)*Thesis!$J$98)*(1-Seg!$J$54)</f>
        <v>13.0724181345791</v>
      </c>
      <c r="K123" s="38" t="n">
        <f aca="false">(PL!$D$121*Seg!$K$53+(1-ext_sh)*Thesis!$K$98)*(1-Seg!$K$54)</f>
        <v>15.2201571183236</v>
      </c>
      <c r="L123" s="38" t="n">
        <f aca="false">(PL!$D$121*Seg!$L$53+(1-ext_sh)*Thesis!$L$98)*(1-Seg!$L$54)</f>
        <v>17.2920551631732</v>
      </c>
      <c r="M123" s="38" t="n">
        <f aca="false">(PL!$D$121*Seg!$M$53+(1-ext_sh)*Thesis!$M$98)*(1-Seg!$M$54)</f>
        <v>19.4425326336348</v>
      </c>
      <c r="N123" s="38" t="n">
        <f aca="false">Q!$N$30</f>
        <v>2.316</v>
      </c>
      <c r="O123" s="38" t="n">
        <f aca="false">Q!$O$30</f>
        <v>2.591</v>
      </c>
    </row>
    <row r="124" customFormat="false" ht="17.15" hidden="false" customHeight="false" outlineLevel="0" collapsed="false">
      <c r="A124" s="0" t="s">
        <v>501</v>
      </c>
      <c r="B124" s="0" t="s">
        <v>73</v>
      </c>
      <c r="C124" s="38" t="n">
        <f aca="false">Thesis!$C$110</f>
        <v>13.32</v>
      </c>
      <c r="D124" s="38" t="n">
        <f aca="false">Thesis!$D$110</f>
        <v>21.45</v>
      </c>
      <c r="E124" s="38" t="n">
        <f aca="false">Thesis!$E$110</f>
        <v>15.353</v>
      </c>
      <c r="F124" s="38" t="n">
        <f aca="false">Thesis!$F$110</f>
        <v>17.3614451462707</v>
      </c>
      <c r="G124" s="38" t="n">
        <f aca="false">Thesis!$G$110</f>
        <v>32.7144451462707</v>
      </c>
      <c r="H124" s="38" t="n">
        <f aca="false">Thesis!$H$110</f>
        <v>56.1966092719415</v>
      </c>
      <c r="I124" s="38" t="n">
        <f aca="false">Thesis!$I$110</f>
        <v>82.9744039068297</v>
      </c>
      <c r="J124" s="38" t="n">
        <f aca="false">Thesis!$J$110</f>
        <v>109.943252237669</v>
      </c>
      <c r="K124" s="38" t="n">
        <f aca="false">Thesis!$K$110</f>
        <v>136.406703436571</v>
      </c>
      <c r="L124" s="38" t="n">
        <f aca="false">Thesis!$L$110</f>
        <v>161.485870454155</v>
      </c>
      <c r="M124" s="38" t="n">
        <f aca="false">Thesis!$M$110</f>
        <v>187.389846618199</v>
      </c>
      <c r="N124" s="38" t="n">
        <f aca="false">Thesis!$N$110</f>
        <v>9.234</v>
      </c>
      <c r="O124" s="38" t="n">
        <f aca="false">Thesis!$O$110</f>
        <v>12.216</v>
      </c>
    </row>
    <row r="125" customFormat="false" ht="17.15" hidden="false" customHeight="false" outlineLevel="0" collapsed="false">
      <c r="A125" s="5" t="s">
        <v>695</v>
      </c>
      <c r="B125" s="0" t="s">
        <v>73</v>
      </c>
      <c r="C125" s="38" t="n">
        <f aca="false">PL!$C$122+PL!$C$123+PL!$C$124</f>
        <v>32.067</v>
      </c>
      <c r="D125" s="38" t="n">
        <f aca="false">PL!$D$122+PL!$D$123+PL!$D$124</f>
        <v>41.86</v>
      </c>
      <c r="E125" s="38" t="n">
        <f aca="false">PL!$E$122+PL!$E$123+PL!$E$124</f>
        <v>26.703</v>
      </c>
      <c r="F125" s="38" t="n">
        <f aca="false">PL!$F$122+PL!$F$123+PL!$F$124</f>
        <v>30.6103857251209</v>
      </c>
      <c r="G125" s="38" t="n">
        <f aca="false">PL!$G$122+PL!$G$123+PL!$G$124</f>
        <v>57.3133857251209</v>
      </c>
      <c r="H125" s="38" t="n">
        <f aca="false">PL!$H$122+PL!$H$123+PL!$H$124</f>
        <v>87.6845218193838</v>
      </c>
      <c r="I125" s="38" t="n">
        <f aca="false">PL!$I$122+PL!$I$123+PL!$I$124</f>
        <v>122.294769708638</v>
      </c>
      <c r="J125" s="38" t="n">
        <f aca="false">PL!$J$122+PL!$J$123+PL!$J$124</f>
        <v>157.133962573221</v>
      </c>
      <c r="K125" s="38" t="n">
        <f aca="false">PL!$K$122+PL!$K$123+PL!$K$124</f>
        <v>191.350633353599</v>
      </c>
      <c r="L125" s="38" t="n">
        <f aca="false">PL!$L$122+PL!$L$123+PL!$L$124</f>
        <v>223.909238335354</v>
      </c>
      <c r="M125" s="38" t="n">
        <f aca="false">PL!$M$122+PL!$M$123+PL!$M$124</f>
        <v>257.576319867276</v>
      </c>
      <c r="N125" s="38" t="n">
        <f aca="false">PL!$N$122+PL!$N$123+PL!$N$124</f>
        <v>18.822</v>
      </c>
      <c r="O125" s="38" t="n">
        <f aca="false">PL!$O$122+PL!$O$123+PL!$O$124</f>
        <v>23.038</v>
      </c>
    </row>
    <row r="126" customFormat="false" ht="17.15" hidden="false" customHeight="false" outlineLevel="0" collapsed="false">
      <c r="A126" s="0" t="s">
        <v>696</v>
      </c>
      <c r="B126" s="0" t="s">
        <v>73</v>
      </c>
      <c r="C126" s="38" t="n">
        <f aca="false">PL!$C$99+PL!$C$104</f>
        <v>28.107</v>
      </c>
      <c r="D126" s="38" t="n">
        <f aca="false">PL!$D$99+PL!$D$104</f>
        <v>34.3175</v>
      </c>
      <c r="E126" s="38" t="n">
        <f aca="false">PL!$E$99+PL!$E$104</f>
        <v>18.526</v>
      </c>
      <c r="F126" s="38" t="n">
        <f aca="false">PL!$F$99+PL!$F$104</f>
        <v>24.0766690913691</v>
      </c>
      <c r="G126" s="38" t="n">
        <f aca="false">PL!$G$99+PL!$G$104</f>
        <v>42.6026690913691</v>
      </c>
      <c r="H126" s="38" t="n">
        <f aca="false">PL!$H$99+PL!$H$104</f>
        <v>51.1466809294702</v>
      </c>
      <c r="I126" s="38" t="n">
        <f aca="false">PL!$I$99+PL!$I$104</f>
        <v>59.6899187926205</v>
      </c>
      <c r="J126" s="38" t="n">
        <f aca="false">PL!$J$99+PL!$J$104</f>
        <v>67.6595395244221</v>
      </c>
      <c r="K126" s="38" t="n">
        <f aca="false">PL!$K$99+PL!$K$104</f>
        <v>74.4254934768643</v>
      </c>
      <c r="L126" s="38" t="n">
        <f aca="false">PL!$L$99+PL!$L$104</f>
        <v>81.8680428245508</v>
      </c>
      <c r="M126" s="38" t="n">
        <f aca="false">PL!$M$99+PL!$M$104</f>
        <v>90.0548471070059</v>
      </c>
      <c r="N126" s="38" t="n">
        <f aca="false">PL!$N$99+PL!$N$104</f>
        <v>14.8075</v>
      </c>
      <c r="O126" s="38" t="n">
        <f aca="false">PL!$O$99+PL!$O$104</f>
        <v>19.51</v>
      </c>
    </row>
    <row r="127" customFormat="false" ht="17.15" hidden="false" customHeight="false" outlineLevel="0" collapsed="false">
      <c r="A127" s="0" t="s">
        <v>697</v>
      </c>
      <c r="B127" s="0" t="s">
        <v>73</v>
      </c>
      <c r="C127" s="38" t="n">
        <f aca="false">PL!$C$103+PL!$C$108+PL!$C$122+PL!$C$123-PL!$C$126</f>
        <v>19.399</v>
      </c>
      <c r="D127" s="38" t="n">
        <f aca="false">PL!$D$103+PL!$D$108+PL!$D$122+PL!$D$123-PL!$D$126</f>
        <v>20.4615</v>
      </c>
      <c r="E127" s="38" t="n">
        <f aca="false">PL!$E$103+PL!$E$108+PL!$E$122+PL!$E$123-PL!$E$126</f>
        <v>13.355</v>
      </c>
      <c r="F127" s="38" t="n">
        <f aca="false">PL!$F$103+PL!$F$108+PL!$F$122+PL!$F$123-PL!$F$126</f>
        <v>13.0895111975985</v>
      </c>
      <c r="G127" s="38" t="n">
        <f aca="false">PL!$G$103+PL!$G$108+PL!$G$122+PL!$G$123-PL!$G$126</f>
        <v>26.4445111975985</v>
      </c>
      <c r="H127" s="38" t="n">
        <f aca="false">PL!$H$103+PL!$H$108+PL!$H$122+PL!$H$123-PL!$H$126</f>
        <v>28.8977096937968</v>
      </c>
      <c r="I127" s="38" t="n">
        <f aca="false">PL!$I$103+PL!$I$108+PL!$I$122+PL!$I$123-PL!$I$126</f>
        <v>31.2062039064791</v>
      </c>
      <c r="J127" s="38" t="n">
        <f aca="false">PL!$J$103+PL!$J$108+PL!$J$122+PL!$J$123-PL!$J$126</f>
        <v>33.5064572496913</v>
      </c>
      <c r="K127" s="38" t="n">
        <f aca="false">PL!$K$103+PL!$K$108+PL!$K$122+PL!$K$123-PL!$K$126</f>
        <v>35.6591461575899</v>
      </c>
      <c r="L127" s="38" t="n">
        <f aca="false">PL!$L$103+PL!$L$108+PL!$L$122+PL!$L$123-PL!$L$126</f>
        <v>36.4141007090604</v>
      </c>
      <c r="M127" s="38" t="n">
        <f aca="false">PL!$M$103+PL!$M$108+PL!$M$122+PL!$M$123-PL!$M$126</f>
        <v>37.359984207839</v>
      </c>
      <c r="N127" s="38" t="n">
        <f aca="false">PL!$N$103+PL!$N$108+PL!$N$122+PL!$N$123-PL!$N$126</f>
        <v>10.6495</v>
      </c>
      <c r="O127" s="38" t="n">
        <f aca="false">PL!$O$103+PL!$O$108+PL!$O$122+PL!$O$123-PL!$O$126</f>
        <v>9.81200000000001</v>
      </c>
    </row>
    <row r="128" customFormat="false" ht="17.15" hidden="false" customHeight="false" outlineLevel="0" collapsed="false">
      <c r="A128" s="0" t="s">
        <v>698</v>
      </c>
      <c r="B128" s="0" t="s">
        <v>73</v>
      </c>
      <c r="C128" s="38" t="n">
        <f aca="false">PL!$C$110+PL!$C$124-ext_sh*Thesis!$C$98</f>
        <v>51.3470500115664</v>
      </c>
      <c r="D128" s="38" t="n">
        <f aca="false">PL!$D$110+PL!$D$124-ext_sh*Thesis!$D$98</f>
        <v>60.2799375433739</v>
      </c>
      <c r="E128" s="38" t="n">
        <f aca="false">PL!$E$110+PL!$E$124-ext_sh*Thesis!$E$98</f>
        <v>39.5095167090767</v>
      </c>
      <c r="F128" s="38" t="n">
        <f aca="false">PL!$F$110+PL!$F$124-ext_sh*Thesis!$F$98</f>
        <v>41.606724953129</v>
      </c>
      <c r="G128" s="38" t="n">
        <f aca="false">PL!$G$110+PL!$G$124-ext_sh*Thesis!$G$98</f>
        <v>81.1162416622057</v>
      </c>
      <c r="H128" s="38" t="n">
        <f aca="false">PL!$H$110+PL!$H$124-ext_sh*Thesis!$H$98</f>
        <v>95.7616595325849</v>
      </c>
      <c r="I128" s="38" t="n">
        <f aca="false">PL!$I$110+PL!$I$124-ext_sh*Thesis!$I$98</f>
        <v>111.513312079935</v>
      </c>
      <c r="J128" s="38" t="n">
        <f aca="false">PL!$J$110+PL!$J$124-ext_sh*Thesis!$J$98</f>
        <v>125.145150463955</v>
      </c>
      <c r="K128" s="38" t="n">
        <f aca="false">PL!$K$110+PL!$K$124-ext_sh*Thesis!$K$98</f>
        <v>135.156762501071</v>
      </c>
      <c r="L128" s="38" t="n">
        <f aca="false">PL!$L$110+PL!$L$124-ext_sh*Thesis!$L$98</f>
        <v>145.969303501157</v>
      </c>
      <c r="M128" s="38" t="n">
        <f aca="false">PL!$M$110+PL!$M$124-ext_sh*Thesis!$M$98</f>
        <v>157.646847781249</v>
      </c>
      <c r="N128" s="38" t="n">
        <f aca="false">PL!$N$110+PL!$N$124-ext_sh*Thesis!$N$98</f>
        <v>28.5693781401809</v>
      </c>
      <c r="O128" s="38" t="n">
        <f aca="false">PL!$O$110+PL!$O$124-ext_sh*Thesis!$O$98</f>
        <v>31.7105594031931</v>
      </c>
    </row>
    <row r="129" customFormat="false" ht="17.15" hidden="false" customHeight="false" outlineLevel="0" collapsed="false">
      <c r="A129" s="0" t="s">
        <v>699</v>
      </c>
      <c r="B129" s="0" t="s">
        <v>73</v>
      </c>
      <c r="C129" s="38" t="n">
        <f aca="false">Thesis!$C$101</f>
        <v>1.80694998843362</v>
      </c>
      <c r="D129" s="38" t="n">
        <f aca="false">Thesis!$D$101</f>
        <v>6.77606245662607</v>
      </c>
      <c r="E129" s="38" t="n">
        <f aca="false">Thesis!$E$101</f>
        <v>6.62548329092326</v>
      </c>
      <c r="F129" s="38" t="n">
        <f aca="false">Thesis!$F$101</f>
        <v>11.7200577158706</v>
      </c>
      <c r="G129" s="38" t="n">
        <f aca="false">Thesis!$G$101</f>
        <v>18.3455410067939</v>
      </c>
      <c r="H129" s="38" t="n">
        <f aca="false">Thesis!$H$101</f>
        <v>47.5171727060453</v>
      </c>
      <c r="I129" s="38" t="n">
        <f aca="false">Thesis!$I$101</f>
        <v>80.5539692643667</v>
      </c>
      <c r="J129" s="38" t="n">
        <f aca="false">Thesis!$J$101</f>
        <v>113.759316834883</v>
      </c>
      <c r="K129" s="38" t="n">
        <f aca="false">Thesis!$K$101</f>
        <v>147.020848076132</v>
      </c>
      <c r="L129" s="38" t="n">
        <f aca="false">Thesis!$L$101</f>
        <v>180.307917349531</v>
      </c>
      <c r="M129" s="38" t="n">
        <f aca="false">Thesis!$M$101</f>
        <v>213.608737871012</v>
      </c>
      <c r="N129" s="38" t="n">
        <f aca="false">Thesis!$N$101</f>
        <v>2.37162185981912</v>
      </c>
      <c r="O129" s="38" t="n">
        <f aca="false">Thesis!$O$101</f>
        <v>4.40444059680694</v>
      </c>
    </row>
    <row r="130" customFormat="false" ht="17.15" hidden="false" customHeight="false" outlineLevel="0" collapsed="false">
      <c r="A130" s="0" t="s">
        <v>700</v>
      </c>
      <c r="B130" s="0" t="s">
        <v>73</v>
      </c>
      <c r="C130" s="38" t="n">
        <f aca="false">PL!$C$113+PL!$C$125</f>
        <v>100.66</v>
      </c>
      <c r="D130" s="38" t="n">
        <f aca="false">PL!$D$113+PL!$D$125</f>
        <v>121.835</v>
      </c>
      <c r="E130" s="38" t="n">
        <f aca="false">PL!$E$113+PL!$E$125</f>
        <v>78.016</v>
      </c>
      <c r="F130" s="38" t="n">
        <f aca="false">PL!$F$113+PL!$F$125</f>
        <v>90.4929629579672</v>
      </c>
      <c r="G130" s="38" t="n">
        <f aca="false">PL!$G$113+PL!$G$125</f>
        <v>168.508962957967</v>
      </c>
      <c r="H130" s="38" t="n">
        <f aca="false">PL!$H$113+PL!$H$125</f>
        <v>223.323222861897</v>
      </c>
      <c r="I130" s="38" t="n">
        <f aca="false">PL!$I$113+PL!$I$125</f>
        <v>282.963404043402</v>
      </c>
      <c r="J130" s="38" t="n">
        <f aca="false">PL!$J$113+PL!$J$125</f>
        <v>340.070464072952</v>
      </c>
      <c r="K130" s="38" t="n">
        <f aca="false">PL!$K$113+PL!$K$125</f>
        <v>392.262250211657</v>
      </c>
      <c r="L130" s="38" t="n">
        <f aca="false">PL!$L$113+PL!$L$125</f>
        <v>444.559364384299</v>
      </c>
      <c r="M130" s="38" t="n">
        <f aca="false">PL!$M$113+PL!$M$125</f>
        <v>498.670416967106</v>
      </c>
      <c r="N130" s="38" t="n">
        <f aca="false">PL!$N$113+PL!$N$125</f>
        <v>56.398</v>
      </c>
      <c r="O130" s="38" t="n">
        <f aca="false">PL!$O$113+PL!$O$125</f>
        <v>65.437</v>
      </c>
    </row>
    <row r="131" customFormat="false" ht="17.15" hidden="false" customHeight="false" outlineLevel="0" collapsed="false">
      <c r="A131" s="1" t="s">
        <v>701</v>
      </c>
    </row>
    <row r="132" customFormat="false" ht="15" hidden="false" customHeight="false" outlineLevel="0" collapsed="false">
      <c r="A132" s="5" t="s">
        <v>504</v>
      </c>
      <c r="B132" s="0" t="s">
        <v>73</v>
      </c>
      <c r="C132" s="38" t="n">
        <f aca="false">Q!$D$34</f>
        <v>2.406</v>
      </c>
      <c r="D132" s="38" t="n">
        <f aca="false">Q!$E$34</f>
        <v>2.274</v>
      </c>
      <c r="E132" s="38" t="n">
        <f aca="false">Q!$P$34</f>
        <v>2.114</v>
      </c>
      <c r="F132" s="38" t="n">
        <f aca="false">CF!$F$68</f>
        <v>3.24888964316061</v>
      </c>
      <c r="G132" s="38" t="n">
        <f aca="false">PL!$E$132+PL!$F$132</f>
        <v>5.36288964316061</v>
      </c>
      <c r="H132" s="38" t="n">
        <f aca="false">CF!$H$68</f>
        <v>7.42354178632123</v>
      </c>
      <c r="I132" s="38" t="n">
        <f aca="false">CF!$I$68</f>
        <v>7.51827597635917</v>
      </c>
      <c r="J132" s="38" t="n">
        <f aca="false">CF!$J$68</f>
        <v>7.76994062068418</v>
      </c>
      <c r="K132" s="38" t="n">
        <f aca="false">CF!$K$68</f>
        <v>7.76994062068418</v>
      </c>
      <c r="L132" s="38" t="n">
        <f aca="false">CF!$L$68</f>
        <v>7.76994062068418</v>
      </c>
      <c r="M132" s="38" t="n">
        <f aca="false">CF!$M$68</f>
        <v>7.76994062068418</v>
      </c>
      <c r="N132" s="38" t="n">
        <f aca="false">Q!$N$34</f>
        <v>1.057</v>
      </c>
      <c r="O132" s="38" t="n">
        <f aca="false">Q!$O$34</f>
        <v>1.217</v>
      </c>
    </row>
    <row r="133" customFormat="false" ht="15" hidden="false" customHeight="false" outlineLevel="0" collapsed="false">
      <c r="A133" s="5" t="s">
        <v>702</v>
      </c>
      <c r="B133" s="0" t="s">
        <v>73</v>
      </c>
      <c r="F133" s="38" t="n">
        <f aca="false">CF!$F$69</f>
        <v>2.59</v>
      </c>
      <c r="H133" s="38" t="n">
        <f aca="false">CF!$H$69</f>
        <v>4.00971603121774</v>
      </c>
      <c r="I133" s="38" t="n">
        <f aca="false">CF!$I$69</f>
        <v>2.10589651022864</v>
      </c>
      <c r="J133" s="38" t="n">
        <f aca="false">CF!$J$69</f>
        <v>2.10589651022864</v>
      </c>
      <c r="K133" s="38" t="n">
        <f aca="false">CF!$K$69</f>
        <v>3.77985822695893</v>
      </c>
      <c r="L133" s="38" t="n">
        <f aca="false">CF!$L$69</f>
        <v>7.24081936505971</v>
      </c>
      <c r="M133" s="38" t="n">
        <f aca="false">CF!$M$69</f>
        <v>11.205150593419</v>
      </c>
    </row>
    <row r="134" customFormat="false" ht="17.15" hidden="false" customHeight="false" outlineLevel="0" collapsed="false">
      <c r="A134" s="5" t="s">
        <v>703</v>
      </c>
      <c r="B134" s="0" t="s">
        <v>73</v>
      </c>
      <c r="C134" s="38" t="n">
        <f aca="false">Q!$D$39</f>
        <v>2.427</v>
      </c>
      <c r="D134" s="38" t="n">
        <f aca="false">Q!$E$39</f>
        <v>19.61</v>
      </c>
      <c r="E134" s="38" t="n">
        <f aca="false">Q!$P$39</f>
        <v>71.492</v>
      </c>
      <c r="F134" s="41" t="n">
        <v>0</v>
      </c>
      <c r="G134" s="38" t="n">
        <f aca="false">PL!$E$134+PL!$F$134</f>
        <v>71.492</v>
      </c>
      <c r="H134" s="41" t="n">
        <v>0</v>
      </c>
      <c r="I134" s="41" t="n">
        <v>0</v>
      </c>
      <c r="J134" s="41" t="n">
        <v>0</v>
      </c>
      <c r="K134" s="41" t="n">
        <v>0</v>
      </c>
      <c r="L134" s="41" t="n">
        <v>0</v>
      </c>
      <c r="M134" s="41" t="n">
        <v>0</v>
      </c>
      <c r="N134" s="38" t="n">
        <f aca="false">Q!$N$39</f>
        <v>6.017</v>
      </c>
      <c r="O134" s="38" t="n">
        <f aca="false">Q!$O$39</f>
        <v>13.593</v>
      </c>
      <c r="P134" s="5" t="s">
        <v>704</v>
      </c>
    </row>
    <row r="135" customFormat="false" ht="15" hidden="false" customHeight="false" outlineLevel="0" collapsed="false">
      <c r="A135" s="5" t="s">
        <v>507</v>
      </c>
      <c r="B135" s="0" t="s">
        <v>73</v>
      </c>
      <c r="C135" s="38" t="n">
        <f aca="false">Q!$D$36</f>
        <v>68.614</v>
      </c>
      <c r="D135" s="38" t="n">
        <f aca="false">Q!$E$36</f>
        <v>97.311</v>
      </c>
      <c r="E135" s="38" t="n">
        <f aca="false">Q!$P$36</f>
        <v>120.691</v>
      </c>
      <c r="F135" s="38" t="n">
        <f aca="false">PL!$F$113-PL!$F$132+PL!$F$133+PL!$F$134</f>
        <v>59.2236875896856</v>
      </c>
      <c r="G135" s="38" t="n">
        <f aca="false">PL!$E$135+PL!$F$135</f>
        <v>179.914687589686</v>
      </c>
      <c r="H135" s="38" t="n">
        <f aca="false">PL!$H$113-PL!$H$132+PL!$H$133+PL!$H$134</f>
        <v>132.22487528741</v>
      </c>
      <c r="I135" s="38" t="n">
        <f aca="false">PL!$I$113-PL!$I$132+PL!$I$133+PL!$I$134</f>
        <v>155.256254868633</v>
      </c>
      <c r="J135" s="38" t="n">
        <f aca="false">PL!$J$113-PL!$J$132+PL!$J$133+PL!$J$134</f>
        <v>177.272457389275</v>
      </c>
      <c r="K135" s="38" t="n">
        <f aca="false">PL!$K$113-PL!$K$132+PL!$K$133+PL!$K$134</f>
        <v>196.921534464333</v>
      </c>
      <c r="L135" s="38" t="n">
        <f aca="false">PL!$L$113-PL!$L$132+PL!$L$133+PL!$L$134</f>
        <v>220.12100479332</v>
      </c>
      <c r="M135" s="38" t="n">
        <f aca="false">PL!$M$113-PL!$M$132+PL!$M$133+PL!$M$134</f>
        <v>244.529307072564</v>
      </c>
      <c r="N135" s="38" t="n">
        <f aca="false">Q!$N$36</f>
        <v>42.536</v>
      </c>
      <c r="O135" s="38" t="n">
        <f aca="false">Q!$O$36</f>
        <v>54.775</v>
      </c>
    </row>
    <row r="136" customFormat="false" ht="15" hidden="false" customHeight="false" outlineLevel="0" collapsed="false">
      <c r="A136" s="5" t="s">
        <v>508</v>
      </c>
      <c r="B136" s="0" t="s">
        <v>73</v>
      </c>
      <c r="C136" s="38" t="n">
        <f aca="false">Q!$D$37</f>
        <v>9.265</v>
      </c>
      <c r="D136" s="38" t="n">
        <f aca="false">Q!$E$37</f>
        <v>19.087</v>
      </c>
      <c r="E136" s="38" t="n">
        <f aca="false">Q!$P$37</f>
        <v>27.759</v>
      </c>
      <c r="F136" s="38" t="n">
        <f aca="false">PL!$F$135*tax</f>
        <v>10.2803157750071</v>
      </c>
      <c r="G136" s="38" t="n">
        <f aca="false">PL!$E$136+PL!$F$136</f>
        <v>38.0393157750071</v>
      </c>
      <c r="H136" s="38" t="n">
        <f aca="false">PL!$H$135*tax</f>
        <v>22.9521923842892</v>
      </c>
      <c r="I136" s="38" t="n">
        <f aca="false">PL!$I$135*tax</f>
        <v>26.9500835063251</v>
      </c>
      <c r="J136" s="38" t="n">
        <f aca="false">PL!$J$135*tax</f>
        <v>30.7717555988633</v>
      </c>
      <c r="K136" s="38" t="n">
        <f aca="false">PL!$K$135*tax</f>
        <v>34.1825313414772</v>
      </c>
      <c r="L136" s="38" t="n">
        <f aca="false">PL!$L$135*tax</f>
        <v>38.209600416393</v>
      </c>
      <c r="M136" s="38" t="n">
        <f aca="false">PL!$M$135*tax</f>
        <v>42.4465040131586</v>
      </c>
      <c r="N136" s="38" t="n">
        <f aca="false">Q!$N$37</f>
        <v>7.231</v>
      </c>
      <c r="O136" s="38" t="n">
        <f aca="false">Q!$O$37</f>
        <v>11.856</v>
      </c>
    </row>
    <row r="137" customFormat="false" ht="15" hidden="false" customHeight="false" outlineLevel="0" collapsed="false">
      <c r="A137" s="3" t="s">
        <v>509</v>
      </c>
      <c r="B137" s="8" t="s">
        <v>73</v>
      </c>
      <c r="C137" s="38" t="n">
        <f aca="false">Q!$D$38</f>
        <v>59.248</v>
      </c>
      <c r="D137" s="38" t="n">
        <f aca="false">Q!$E$38</f>
        <v>77.67</v>
      </c>
      <c r="E137" s="38" t="n">
        <f aca="false">Q!$P$38</f>
        <v>92.902</v>
      </c>
      <c r="F137" s="38" t="n">
        <f aca="false">PL!$F$135-PL!$F$136</f>
        <v>48.9433718146785</v>
      </c>
      <c r="G137" s="38" t="n">
        <f aca="false">PL!$E$137+PL!$F$137</f>
        <v>141.845371814679</v>
      </c>
      <c r="H137" s="38" t="n">
        <f aca="false">PL!$H$135-PL!$H$136</f>
        <v>109.272682903121</v>
      </c>
      <c r="I137" s="38" t="n">
        <f aca="false">PL!$I$135-PL!$I$136</f>
        <v>128.306171362308</v>
      </c>
      <c r="J137" s="38" t="n">
        <f aca="false">PL!$J$135-PL!$J$136</f>
        <v>146.500701790412</v>
      </c>
      <c r="K137" s="38" t="n">
        <f aca="false">PL!$K$135-PL!$K$136</f>
        <v>162.739003122855</v>
      </c>
      <c r="L137" s="38" t="n">
        <f aca="false">PL!$L$135-PL!$L$136</f>
        <v>181.911404376927</v>
      </c>
      <c r="M137" s="38" t="n">
        <f aca="false">PL!$M$135-PL!$M$136</f>
        <v>202.082803059406</v>
      </c>
      <c r="N137" s="38" t="n">
        <f aca="false">Q!$N$38</f>
        <v>35.291</v>
      </c>
      <c r="O137" s="38" t="n">
        <f aca="false">Q!$O$38</f>
        <v>42.379</v>
      </c>
    </row>
    <row r="138" customFormat="false" ht="17.15" hidden="false" customHeight="false" outlineLevel="0" collapsed="false">
      <c r="A138" s="5" t="s">
        <v>512</v>
      </c>
      <c r="B138" s="5" t="s">
        <v>33</v>
      </c>
      <c r="C138" s="22" t="n">
        <f aca="false">Q!$D$41</f>
        <v>10.721</v>
      </c>
      <c r="D138" s="22" t="n">
        <f aca="false">Q!$E$41</f>
        <v>10.827</v>
      </c>
      <c r="E138" s="22" t="n">
        <f aca="false">(Q!$L$41+Q!$M$41)/2</f>
        <v>10.8885</v>
      </c>
      <c r="F138" s="22" t="n">
        <f aca="false">PL!$G$138</f>
        <v>10.924806</v>
      </c>
      <c r="G138" s="22" t="n">
        <f aca="false">Q!$M$41*(1+sh_g*0.25)</f>
        <v>10.924806</v>
      </c>
      <c r="H138" s="22" t="n">
        <f aca="false">PL!$G$138*(1+sh_g)</f>
        <v>11.012204448</v>
      </c>
      <c r="I138" s="22" t="n">
        <f aca="false">PL!$H$138*(1+sh_g)</f>
        <v>11.100302083584</v>
      </c>
      <c r="J138" s="22" t="n">
        <f aca="false">PL!$I$138*(1+sh_g)</f>
        <v>11.1891045002527</v>
      </c>
      <c r="K138" s="22" t="n">
        <f aca="false">PL!$J$138*(1+sh_g)</f>
        <v>11.2786173362547</v>
      </c>
      <c r="L138" s="22" t="n">
        <f aca="false">PL!$K$138*(1+sh_g)</f>
        <v>11.3688462749447</v>
      </c>
      <c r="M138" s="22" t="n">
        <f aca="false">PL!$L$138*(1+sh_g)</f>
        <v>11.4597970451443</v>
      </c>
      <c r="P138" s="5" t="s">
        <v>705</v>
      </c>
    </row>
    <row r="139" customFormat="false" ht="17.15" hidden="false" customHeight="false" outlineLevel="0" collapsed="false">
      <c r="A139" s="42" t="s">
        <v>706</v>
      </c>
      <c r="B139" s="13" t="s">
        <v>27</v>
      </c>
      <c r="C139" s="43" t="n">
        <f aca="false">PL!$C$137/PL!$C$138</f>
        <v>5.52635015390355</v>
      </c>
      <c r="D139" s="43" t="n">
        <f aca="false">PL!$D$137/PL!$D$138</f>
        <v>7.1737323358271</v>
      </c>
      <c r="E139" s="43" t="n">
        <f aca="false">PL!$E$137/PL!$E$138</f>
        <v>8.53212104513937</v>
      </c>
      <c r="F139" s="13"/>
      <c r="G139" s="43" t="n">
        <f aca="false">PL!$G$137/PL!$G$138</f>
        <v>12.9837886196495</v>
      </c>
      <c r="H139" s="43" t="n">
        <f aca="false">PL!$H$137/PL!$H$138</f>
        <v>9.92287088558062</v>
      </c>
      <c r="I139" s="43" t="n">
        <f aca="false">PL!$I$137/PL!$I$138</f>
        <v>11.5587999674403</v>
      </c>
      <c r="J139" s="43" t="n">
        <f aca="false">PL!$J$137/PL!$J$138</f>
        <v>13.0931569892035</v>
      </c>
      <c r="K139" s="43" t="n">
        <f aca="false">PL!$K$137/PL!$K$138</f>
        <v>14.4289852444711</v>
      </c>
      <c r="L139" s="43" t="n">
        <f aca="false">PL!$L$137/PL!$L$138</f>
        <v>16.0008676322621</v>
      </c>
      <c r="M139" s="43" t="n">
        <f aca="false">PL!$M$137/PL!$M$138</f>
        <v>17.6340647450673</v>
      </c>
      <c r="N139" s="13"/>
      <c r="O139" s="13"/>
    </row>
    <row r="140" customFormat="false" ht="17.15" hidden="false" customHeight="false" outlineLevel="0" collapsed="false">
      <c r="A140" s="0" t="s">
        <v>707</v>
      </c>
      <c r="B140" s="0" t="s">
        <v>27</v>
      </c>
      <c r="C140" s="30" t="n">
        <f aca="false">(PL!$C$137-PL!$C$134*(1-tax))/PL!$C$138</f>
        <v>5.33926775917445</v>
      </c>
      <c r="D140" s="30" t="n">
        <f aca="false">(PL!$D$137-PL!$D$134*(1-tax))/PL!$D$138</f>
        <v>5.67691812755503</v>
      </c>
      <c r="E140" s="30" t="n">
        <f aca="false">(PL!$E$137-PL!$E$134*(1-tax))/PL!$E$138</f>
        <v>3.10602057006846</v>
      </c>
      <c r="G140" s="30" t="n">
        <f aca="false">(PL!$G$137-PL!$G$134*(1-tax))/PL!$G$138</f>
        <v>7.57572050175252</v>
      </c>
      <c r="H140" s="30" t="n">
        <f aca="false">(PL!$H$137-PL!$H$134*(1-tax))/PL!$H$138</f>
        <v>9.92287088558062</v>
      </c>
      <c r="I140" s="30" t="n">
        <f aca="false">(PL!$I$137-PL!$I$134*(1-tax))/PL!$I$138</f>
        <v>11.5587999674403</v>
      </c>
      <c r="J140" s="30" t="n">
        <f aca="false">(PL!$J$137-PL!$J$134*(1-tax))/PL!$J$138</f>
        <v>13.0931569892035</v>
      </c>
      <c r="K140" s="30" t="n">
        <f aca="false">(PL!$K$137-PL!$K$134*(1-tax))/PL!$K$138</f>
        <v>14.4289852444711</v>
      </c>
      <c r="L140" s="30" t="n">
        <f aca="false">(PL!$L$137-PL!$L$134*(1-tax))/PL!$L$138</f>
        <v>16.0008676322621</v>
      </c>
      <c r="M140" s="30" t="n">
        <f aca="false">(PL!$M$137-PL!$M$134*(1-tax))/PL!$M$138</f>
        <v>17.6340647450673</v>
      </c>
      <c r="P140" s="5" t="s">
        <v>708</v>
      </c>
    </row>
    <row r="141" customFormat="false" ht="17.15" hidden="false" customHeight="false" outlineLevel="0" collapsed="false">
      <c r="A141" s="0" t="s">
        <v>709</v>
      </c>
      <c r="B141" s="0" t="s">
        <v>52</v>
      </c>
      <c r="H141" s="12" t="n">
        <f aca="false">PL!$H$139/PL!$G$139-1</f>
        <v>-0.23574919645846</v>
      </c>
      <c r="I141" s="12" t="n">
        <f aca="false">PL!$I$139/PL!$H$139-1</f>
        <v>0.164864493423664</v>
      </c>
      <c r="J141" s="12" t="n">
        <f aca="false">PL!$J$139/PL!$I$139-1</f>
        <v>0.132743626162345</v>
      </c>
      <c r="K141" s="12" t="n">
        <f aca="false">PL!$K$139/PL!$J$139-1</f>
        <v>0.102024917013454</v>
      </c>
      <c r="L141" s="12" t="n">
        <f aca="false">PL!$L$139/PL!$K$139-1</f>
        <v>0.108939219297719</v>
      </c>
      <c r="M141" s="12" t="n">
        <f aca="false">PL!$M$139/PL!$L$139-1</f>
        <v>0.102069284637555</v>
      </c>
    </row>
    <row r="144" customFormat="false" ht="19.4" hidden="false" customHeight="false" outlineLevel="0" collapsed="false">
      <c r="A144" s="31" t="s">
        <v>713</v>
      </c>
    </row>
    <row r="145" customFormat="false" ht="17.15" hidden="false" customHeight="false" outlineLevel="0" collapsed="false">
      <c r="A145" s="6" t="s">
        <v>16</v>
      </c>
      <c r="B145" s="6" t="s">
        <v>17</v>
      </c>
      <c r="C145" s="20" t="s">
        <v>457</v>
      </c>
      <c r="D145" s="20" t="s">
        <v>458</v>
      </c>
      <c r="E145" s="20" t="s">
        <v>540</v>
      </c>
      <c r="F145" s="20" t="s">
        <v>541</v>
      </c>
      <c r="G145" s="20" t="s">
        <v>542</v>
      </c>
      <c r="H145" s="20" t="s">
        <v>543</v>
      </c>
      <c r="I145" s="20" t="s">
        <v>544</v>
      </c>
      <c r="J145" s="20" t="s">
        <v>545</v>
      </c>
      <c r="K145" s="20" t="s">
        <v>546</v>
      </c>
      <c r="L145" s="20" t="s">
        <v>547</v>
      </c>
      <c r="M145" s="20" t="s">
        <v>548</v>
      </c>
      <c r="N145" s="20" t="s">
        <v>549</v>
      </c>
      <c r="O145" s="20" t="s">
        <v>550</v>
      </c>
      <c r="P145" s="6" t="s">
        <v>23</v>
      </c>
      <c r="R145" s="20" t="n">
        <v>2023</v>
      </c>
      <c r="S145" s="20" t="n">
        <v>2024</v>
      </c>
      <c r="T145" s="20" t="n">
        <v>2025</v>
      </c>
      <c r="U145" s="20" t="n">
        <v>2026</v>
      </c>
      <c r="V145" s="20" t="n">
        <v>2027</v>
      </c>
      <c r="W145" s="20" t="n">
        <v>2028</v>
      </c>
      <c r="X145" s="20" t="n">
        <v>2029</v>
      </c>
      <c r="Y145" s="20" t="n">
        <v>2030</v>
      </c>
      <c r="Z145" s="20" t="n">
        <v>2031</v>
      </c>
      <c r="AA145" s="20" t="n">
        <v>2032</v>
      </c>
    </row>
    <row r="146" customFormat="false" ht="17.15" hidden="false" customHeight="false" outlineLevel="0" collapsed="false">
      <c r="A146" s="1" t="s">
        <v>669</v>
      </c>
    </row>
    <row r="147" customFormat="false" ht="15" hidden="false" customHeight="false" outlineLevel="0" collapsed="false">
      <c r="A147" s="0" t="s">
        <v>479</v>
      </c>
      <c r="B147" s="0" t="s">
        <v>73</v>
      </c>
      <c r="C147" s="38" t="n">
        <f aca="false">Seg!$C$75</f>
        <v>247.029</v>
      </c>
      <c r="D147" s="38" t="n">
        <f aca="false">Seg!$D$75</f>
        <v>269.287</v>
      </c>
      <c r="E147" s="38" t="n">
        <f aca="false">Seg!$E$75</f>
        <v>134.686</v>
      </c>
      <c r="F147" s="38" t="n">
        <f aca="false">Seg!$F$75</f>
        <v>160.728085930082</v>
      </c>
      <c r="G147" s="38" t="n">
        <f aca="false">Seg!$G$75</f>
        <v>295.414085930082</v>
      </c>
      <c r="H147" s="38" t="n">
        <f aca="false">Seg!$H$75</f>
        <v>320.828163943375</v>
      </c>
      <c r="I147" s="38" t="n">
        <f aca="false">Seg!$I$75</f>
        <v>344.575578072228</v>
      </c>
      <c r="J147" s="38" t="n">
        <f aca="false">Seg!$J$75</f>
        <v>365.942555779681</v>
      </c>
      <c r="K147" s="38" t="n">
        <f aca="false">Seg!$K$75</f>
        <v>384.239683568665</v>
      </c>
      <c r="L147" s="38" t="n">
        <f aca="false">Seg!$L$75</f>
        <v>403.451667747098</v>
      </c>
      <c r="M147" s="38" t="n">
        <f aca="false">Seg!$M$75</f>
        <v>423.624251134453</v>
      </c>
      <c r="N147" s="38" t="n">
        <f aca="false">Seg!$N$75</f>
        <v>118.892</v>
      </c>
      <c r="O147" s="38" t="n">
        <f aca="false">Seg!$O$75</f>
        <v>150.395</v>
      </c>
    </row>
    <row r="148" customFormat="false" ht="15" hidden="false" customHeight="false" outlineLevel="0" collapsed="false">
      <c r="A148" s="0" t="s">
        <v>480</v>
      </c>
      <c r="B148" s="0" t="s">
        <v>73</v>
      </c>
      <c r="C148" s="38" t="n">
        <f aca="false">Seg!$C$77</f>
        <v>21.215</v>
      </c>
      <c r="D148" s="38" t="n">
        <f aca="false">Seg!$D$77</f>
        <v>22.561</v>
      </c>
      <c r="E148" s="38" t="n">
        <f aca="false">Seg!$E$77</f>
        <v>11.579</v>
      </c>
      <c r="F148" s="38" t="n">
        <f aca="false">Seg!$F$77</f>
        <v>12.0952613121125</v>
      </c>
      <c r="G148" s="38" t="n">
        <f aca="false">Seg!$G$77</f>
        <v>23.6742613121125</v>
      </c>
      <c r="H148" s="38" t="n">
        <f aca="false">Seg!$H$77</f>
        <v>24.8803243963206</v>
      </c>
      <c r="I148" s="38" t="n">
        <f aca="false">Seg!$I$77</f>
        <v>25.9741308664154</v>
      </c>
      <c r="J148" s="38" t="n">
        <f aca="false">Seg!$J$77</f>
        <v>26.9346894124267</v>
      </c>
      <c r="K148" s="38" t="n">
        <f aca="false">Seg!$K$77</f>
        <v>27.7427300947995</v>
      </c>
      <c r="L148" s="38" t="n">
        <f aca="false">Seg!$L$77</f>
        <v>28.5750119976435</v>
      </c>
      <c r="M148" s="38" t="n">
        <f aca="false">Seg!$M$77</f>
        <v>29.4322623575728</v>
      </c>
      <c r="N148" s="38" t="n">
        <f aca="false">Seg!$N$77</f>
        <v>11.128</v>
      </c>
      <c r="O148" s="38" t="n">
        <f aca="false">Seg!$O$77</f>
        <v>11.433</v>
      </c>
    </row>
    <row r="149" customFormat="false" ht="15" hidden="false" customHeight="false" outlineLevel="0" collapsed="false">
      <c r="A149" s="0" t="s">
        <v>481</v>
      </c>
      <c r="B149" s="0" t="s">
        <v>73</v>
      </c>
      <c r="C149" s="38" t="n">
        <f aca="false">Seg!$C$79</f>
        <v>156.146</v>
      </c>
      <c r="D149" s="38" t="n">
        <f aca="false">Seg!$D$79</f>
        <v>172.162</v>
      </c>
      <c r="E149" s="38" t="n">
        <f aca="false">Seg!$E$79</f>
        <v>88.358</v>
      </c>
      <c r="F149" s="38" t="n">
        <f aca="false">Seg!$F$79</f>
        <v>103.62028337149</v>
      </c>
      <c r="G149" s="38" t="n">
        <f aca="false">Seg!$G$79</f>
        <v>191.97828337149</v>
      </c>
      <c r="H149" s="38" t="n">
        <f aca="false">Seg!$H$79</f>
        <v>212.128608444755</v>
      </c>
      <c r="I149" s="38" t="n">
        <f aca="false">Seg!$I$79</f>
        <v>231.92183134134</v>
      </c>
      <c r="J149" s="38" t="n">
        <f aca="false">Seg!$J$79</f>
        <v>250.859136487863</v>
      </c>
      <c r="K149" s="38" t="n">
        <f aca="false">Seg!$K$79</f>
        <v>268.419276042014</v>
      </c>
      <c r="L149" s="38" t="n">
        <f aca="false">Seg!$L$79</f>
        <v>287.208625364954</v>
      </c>
      <c r="M149" s="38" t="n">
        <f aca="false">Seg!$M$79</f>
        <v>307.313229140501</v>
      </c>
      <c r="N149" s="38" t="n">
        <f aca="false">Seg!$N$79</f>
        <v>76.86</v>
      </c>
      <c r="O149" s="38" t="n">
        <f aca="false">Seg!$O$79</f>
        <v>95.302</v>
      </c>
    </row>
    <row r="150" customFormat="false" ht="15" hidden="false" customHeight="false" outlineLevel="0" collapsed="false">
      <c r="A150" s="0" t="s">
        <v>482</v>
      </c>
      <c r="B150" s="0" t="s">
        <v>73</v>
      </c>
      <c r="C150" s="38" t="n">
        <f aca="false">Seg!$C$81</f>
        <v>56.214</v>
      </c>
      <c r="D150" s="38" t="n">
        <f aca="false">Seg!$D$81</f>
        <v>68.635</v>
      </c>
      <c r="E150" s="38" t="n">
        <f aca="false">Seg!$E$81</f>
        <v>37.052</v>
      </c>
      <c r="F150" s="38" t="n">
        <f aca="false">Seg!$F$81</f>
        <v>48.1533381827382</v>
      </c>
      <c r="G150" s="38" t="n">
        <f aca="false">Seg!$G$81</f>
        <v>85.2053381827382</v>
      </c>
      <c r="H150" s="38" t="n">
        <f aca="false">Seg!$H$81</f>
        <v>102.29336185894</v>
      </c>
      <c r="I150" s="38" t="n">
        <f aca="false">Seg!$I$81</f>
        <v>119.379837585241</v>
      </c>
      <c r="J150" s="38" t="n">
        <f aca="false">Seg!$J$81</f>
        <v>135.319079048844</v>
      </c>
      <c r="K150" s="38" t="n">
        <f aca="false">Seg!$K$81</f>
        <v>148.850986953729</v>
      </c>
      <c r="L150" s="38" t="n">
        <f aca="false">Seg!$L$81</f>
        <v>163.736085649102</v>
      </c>
      <c r="M150" s="38" t="n">
        <f aca="false">Seg!$M$81</f>
        <v>180.109694214012</v>
      </c>
      <c r="N150" s="38" t="n">
        <f aca="false">Seg!$N$81</f>
        <v>29.615</v>
      </c>
      <c r="O150" s="38" t="n">
        <f aca="false">Seg!$O$81</f>
        <v>39.02</v>
      </c>
    </row>
    <row r="151" customFormat="false" ht="15" hidden="false" customHeight="false" outlineLevel="0" collapsed="false">
      <c r="A151" s="0" t="s">
        <v>483</v>
      </c>
      <c r="B151" s="0" t="s">
        <v>73</v>
      </c>
      <c r="C151" s="38" t="n">
        <f aca="false">Seg!$C$83</f>
        <v>44.374</v>
      </c>
      <c r="D151" s="38" t="n">
        <f aca="false">Seg!$D$83</f>
        <v>49.619</v>
      </c>
      <c r="E151" s="38" t="n">
        <f aca="false">Seg!$E$83</f>
        <v>27.157</v>
      </c>
      <c r="F151" s="38" t="n">
        <f aca="false">Seg!$F$83</f>
        <v>28.9776360923374</v>
      </c>
      <c r="G151" s="38" t="n">
        <f aca="false">Seg!$G$83</f>
        <v>56.1346360923374</v>
      </c>
      <c r="H151" s="38" t="n">
        <f aca="false">Seg!$H$83</f>
        <v>62.4937078946075</v>
      </c>
      <c r="I151" s="38" t="n">
        <f aca="false">Seg!$I$83</f>
        <v>68.6715233062498</v>
      </c>
      <c r="J151" s="38" t="n">
        <f aca="false">Seg!$J$83</f>
        <v>74.4692882949818</v>
      </c>
      <c r="K151" s="38" t="n">
        <f aca="false">Seg!$K$83</f>
        <v>79.6821384756306</v>
      </c>
      <c r="L151" s="38" t="n">
        <f aca="false">Seg!$L$83</f>
        <v>85.2598881689247</v>
      </c>
      <c r="M151" s="38" t="n">
        <f aca="false">Seg!$M$83</f>
        <v>91.2280803407494</v>
      </c>
      <c r="N151" s="38" t="n">
        <f aca="false">Seg!$N$83</f>
        <v>23.923</v>
      </c>
      <c r="O151" s="38" t="n">
        <f aca="false">Seg!$O$83</f>
        <v>25.696</v>
      </c>
    </row>
    <row r="152" customFormat="false" ht="15" hidden="false" customHeight="false" outlineLevel="0" collapsed="false">
      <c r="A152" s="0" t="s">
        <v>484</v>
      </c>
      <c r="B152" s="0" t="s">
        <v>73</v>
      </c>
      <c r="C152" s="38" t="n">
        <f aca="false">Seg!$C$85</f>
        <v>5.425</v>
      </c>
      <c r="D152" s="38" t="n">
        <f aca="false">Seg!$D$85</f>
        <v>5.935</v>
      </c>
      <c r="E152" s="38" t="n">
        <f aca="false">Seg!$E$85</f>
        <v>3.474</v>
      </c>
      <c r="F152" s="38" t="n">
        <f aca="false">Seg!$F$85</f>
        <v>3.36182431966931</v>
      </c>
      <c r="G152" s="38" t="n">
        <f aca="false">Seg!$G$85</f>
        <v>6.83582431966931</v>
      </c>
      <c r="H152" s="38" t="n">
        <f aca="false">Seg!$H$85</f>
        <v>7.31157108370141</v>
      </c>
      <c r="I152" s="38" t="n">
        <f aca="false">Seg!$I$85</f>
        <v>7.77266852639815</v>
      </c>
      <c r="J152" s="38" t="n">
        <f aca="false">Seg!$J$85</f>
        <v>8.2120733019884</v>
      </c>
      <c r="K152" s="38" t="n">
        <f aca="false">Seg!$K$85</f>
        <v>8.62267696708783</v>
      </c>
      <c r="L152" s="38" t="n">
        <f aca="false">Seg!$L$85</f>
        <v>9.05381081544222</v>
      </c>
      <c r="M152" s="38" t="n">
        <f aca="false">Seg!$M$85</f>
        <v>9.50650135621433</v>
      </c>
      <c r="N152" s="38" t="n">
        <f aca="false">Seg!$N$85</f>
        <v>2.811</v>
      </c>
      <c r="O152" s="38" t="n">
        <f aca="false">Seg!$O$85</f>
        <v>3.124</v>
      </c>
    </row>
    <row r="153" customFormat="false" ht="17.15" hidden="false" customHeight="false" outlineLevel="0" collapsed="false">
      <c r="A153" s="0" t="s">
        <v>670</v>
      </c>
      <c r="B153" s="0" t="s">
        <v>73</v>
      </c>
      <c r="C153" s="38" t="n">
        <f aca="false">Seg!$C$96</f>
        <v>107.556</v>
      </c>
      <c r="D153" s="38" t="n">
        <f aca="false">Seg!$D$96</f>
        <v>128.725</v>
      </c>
      <c r="E153" s="38" t="n">
        <f aca="false">Seg!$E$96</f>
        <v>79.819</v>
      </c>
      <c r="F153" s="38" t="n">
        <f aca="false">Seg!$F$96</f>
        <v>92.7324277269991</v>
      </c>
      <c r="G153" s="38" t="n">
        <f aca="false">Seg!$G$96</f>
        <v>172.551427726999</v>
      </c>
      <c r="H153" s="38" t="n">
        <f aca="false">Seg!$H$96</f>
        <v>234.315850966005</v>
      </c>
      <c r="I153" s="38" t="n">
        <f aca="false">Seg!$I$96</f>
        <v>298.448143470312</v>
      </c>
      <c r="J153" s="38" t="n">
        <f aca="false">Seg!$J$96</f>
        <v>358.729046847807</v>
      </c>
      <c r="K153" s="38" t="n">
        <f aca="false">Seg!$K$96</f>
        <v>412.222329112395</v>
      </c>
      <c r="L153" s="38" t="n">
        <f aca="false">Seg!$L$96</f>
        <v>467.251736380559</v>
      </c>
      <c r="M153" s="38" t="n">
        <f aca="false">Seg!$M$96</f>
        <v>523.927610132494</v>
      </c>
      <c r="N153" s="38" t="n">
        <f aca="false">Seg!$N$96</f>
        <v>60.14</v>
      </c>
      <c r="O153" s="38" t="n">
        <f aca="false">Seg!$O$96</f>
        <v>68.585</v>
      </c>
    </row>
    <row r="154" customFormat="false" ht="15" hidden="false" customHeight="false" outlineLevel="0" collapsed="false">
      <c r="A154" s="1" t="s">
        <v>472</v>
      </c>
      <c r="B154" s="8" t="s">
        <v>73</v>
      </c>
      <c r="C154" s="38" t="n">
        <f aca="false">Seg!$C$89</f>
        <v>387.497</v>
      </c>
      <c r="D154" s="38" t="n">
        <f aca="false">Seg!$D$89</f>
        <v>426.305</v>
      </c>
      <c r="E154" s="38" t="n">
        <f aca="false">Seg!$E$89</f>
        <v>220.32</v>
      </c>
      <c r="F154" s="38" t="n">
        <f aca="false">Seg!$F$89</f>
        <v>256.304015003807</v>
      </c>
      <c r="G154" s="38" t="n">
        <f aca="false">Seg!$G$89</f>
        <v>476.624015003807</v>
      </c>
      <c r="H154" s="38" t="n">
        <f aca="false">Seg!$H$89</f>
        <v>527.734391091543</v>
      </c>
      <c r="I154" s="38" t="n">
        <f aca="false">Seg!$I$89</f>
        <v>577.157693029577</v>
      </c>
      <c r="J154" s="38" t="n">
        <f aca="false">Seg!$J$89</f>
        <v>623.024923663827</v>
      </c>
      <c r="K154" s="38" t="n">
        <f aca="false">Seg!$K$89</f>
        <v>663.382568393781</v>
      </c>
      <c r="L154" s="38" t="n">
        <f aca="false">Seg!$L$89</f>
        <v>706.564873010432</v>
      </c>
      <c r="M154" s="38" t="n">
        <f aca="false">Seg!$M$89</f>
        <v>752.784687406019</v>
      </c>
      <c r="N154" s="38" t="n">
        <f aca="false">Seg!$N$89</f>
        <v>192.955</v>
      </c>
      <c r="O154" s="38" t="n">
        <f aca="false">Seg!$O$89</f>
        <v>233.35</v>
      </c>
    </row>
    <row r="155" customFormat="false" ht="15" hidden="false" customHeight="false" outlineLevel="0" collapsed="false">
      <c r="A155" s="1" t="s">
        <v>475</v>
      </c>
      <c r="B155" s="8" t="s">
        <v>73</v>
      </c>
      <c r="C155" s="38" t="n">
        <f aca="false">Seg!$C$90</f>
        <v>142.906</v>
      </c>
      <c r="D155" s="38" t="n">
        <f aca="false">Seg!$D$90</f>
        <v>161.894</v>
      </c>
      <c r="E155" s="38" t="n">
        <f aca="false">Seg!$E$90</f>
        <v>81.986</v>
      </c>
      <c r="F155" s="38" t="n">
        <f aca="false">Seg!$F$90</f>
        <v>100.632414204623</v>
      </c>
      <c r="G155" s="38" t="n">
        <f aca="false">Seg!$G$90</f>
        <v>182.618414204623</v>
      </c>
      <c r="H155" s="38" t="n">
        <f aca="false">Seg!$H$90</f>
        <v>202.201346530158</v>
      </c>
      <c r="I155" s="38" t="n">
        <f aca="false">Seg!$I$90</f>
        <v>221.137876668296</v>
      </c>
      <c r="J155" s="38" t="n">
        <f aca="false">Seg!$J$90</f>
        <v>238.711898661958</v>
      </c>
      <c r="K155" s="38" t="n">
        <f aca="false">Seg!$K$90</f>
        <v>254.174923708144</v>
      </c>
      <c r="L155" s="38" t="n">
        <f aca="false">Seg!$L$90</f>
        <v>270.720216732733</v>
      </c>
      <c r="M155" s="38" t="n">
        <f aca="false">Seg!$M$90</f>
        <v>288.429331137484</v>
      </c>
      <c r="N155" s="38" t="n">
        <f aca="false">Seg!$N$90</f>
        <v>70.274</v>
      </c>
      <c r="O155" s="38" t="n">
        <f aca="false">Seg!$O$90</f>
        <v>91.62</v>
      </c>
    </row>
    <row r="156" customFormat="false" ht="15" hidden="false" customHeight="false" outlineLevel="0" collapsed="false">
      <c r="A156" s="1" t="s">
        <v>476</v>
      </c>
      <c r="B156" s="8" t="s">
        <v>73</v>
      </c>
      <c r="C156" s="38" t="n">
        <f aca="false">Seg!$C$96</f>
        <v>107.556</v>
      </c>
      <c r="D156" s="38" t="n">
        <f aca="false">Seg!$D$96</f>
        <v>128.725</v>
      </c>
      <c r="E156" s="38" t="n">
        <f aca="false">Seg!$E$96</f>
        <v>79.819</v>
      </c>
      <c r="F156" s="38" t="n">
        <f aca="false">Seg!$F$96</f>
        <v>92.7324277269991</v>
      </c>
      <c r="G156" s="38" t="n">
        <f aca="false">Seg!$G$96</f>
        <v>172.551427726999</v>
      </c>
      <c r="H156" s="38" t="n">
        <f aca="false">Seg!$H$96</f>
        <v>234.315850966005</v>
      </c>
      <c r="I156" s="38" t="n">
        <f aca="false">Seg!$I$96</f>
        <v>298.448143470312</v>
      </c>
      <c r="J156" s="38" t="n">
        <f aca="false">Seg!$J$96</f>
        <v>358.729046847807</v>
      </c>
      <c r="K156" s="38" t="n">
        <f aca="false">Seg!$K$96</f>
        <v>412.222329112395</v>
      </c>
      <c r="L156" s="38" t="n">
        <f aca="false">Seg!$L$96</f>
        <v>467.251736380559</v>
      </c>
      <c r="M156" s="38" t="n">
        <f aca="false">Seg!$M$96</f>
        <v>523.927610132494</v>
      </c>
      <c r="N156" s="38" t="n">
        <f aca="false">Seg!$N$96</f>
        <v>60.14</v>
      </c>
      <c r="O156" s="38" t="n">
        <f aca="false">Seg!$O$96</f>
        <v>68.585</v>
      </c>
    </row>
    <row r="157" customFormat="false" ht="17.15" hidden="false" customHeight="false" outlineLevel="0" collapsed="false">
      <c r="A157" s="0" t="s">
        <v>644</v>
      </c>
      <c r="B157" s="0" t="s">
        <v>73</v>
      </c>
      <c r="C157" s="38" t="n">
        <f aca="false">Seg!$C$94</f>
        <v>2.32100535697364</v>
      </c>
      <c r="D157" s="38" t="n">
        <f aca="false">Seg!$D$94</f>
        <v>8.70377008865116</v>
      </c>
      <c r="E157" s="38" t="n">
        <f aca="false">Seg!$E$94</f>
        <v>8.51035297557002</v>
      </c>
      <c r="F157" s="38" t="n">
        <f aca="false">Seg!$F$94</f>
        <v>14.1374173083338</v>
      </c>
      <c r="G157" s="38" t="n">
        <f aca="false">Seg!$G$94</f>
        <v>22.6477702839038</v>
      </c>
      <c r="H157" s="38" t="n">
        <f aca="false">Seg!$H$94</f>
        <v>53.4222901978634</v>
      </c>
      <c r="I157" s="38" t="n">
        <f aca="false">Seg!$I$94</f>
        <v>87.7997462553011</v>
      </c>
      <c r="J157" s="38" t="n">
        <f aca="false">Seg!$J$94</f>
        <v>122.330137401312</v>
      </c>
      <c r="K157" s="38" t="n">
        <f aca="false">Seg!$K$94</f>
        <v>156.911506910181</v>
      </c>
      <c r="L157" s="38" t="n">
        <f aca="false">Seg!$L$94</f>
        <v>191.516048402167</v>
      </c>
      <c r="M157" s="38" t="n">
        <f aca="false">Seg!$M$94</f>
        <v>226.133067115831</v>
      </c>
      <c r="N157" s="38" t="n">
        <f aca="false">Seg!$N$94</f>
        <v>3.04631953102791</v>
      </c>
      <c r="O157" s="38" t="n">
        <f aca="false">Seg!$O$94</f>
        <v>5.65745055762326</v>
      </c>
    </row>
    <row r="158" customFormat="false" ht="17.15" hidden="false" customHeight="false" outlineLevel="0" collapsed="false">
      <c r="A158" s="0" t="s">
        <v>646</v>
      </c>
      <c r="B158" s="0" t="s">
        <v>73</v>
      </c>
      <c r="C158" s="38" t="n">
        <f aca="false">Seg!$C$95</f>
        <v>105.234994643026</v>
      </c>
      <c r="D158" s="38" t="n">
        <f aca="false">Seg!$D$95</f>
        <v>120.021229911349</v>
      </c>
      <c r="E158" s="38" t="n">
        <f aca="false">Seg!$E$95</f>
        <v>71.30864702443</v>
      </c>
      <c r="F158" s="38" t="n">
        <f aca="false">Seg!$F$95</f>
        <v>78.5950104186653</v>
      </c>
      <c r="G158" s="38" t="n">
        <f aca="false">Seg!$G$95</f>
        <v>149.903657443095</v>
      </c>
      <c r="H158" s="38" t="n">
        <f aca="false">Seg!$H$95</f>
        <v>180.893560768142</v>
      </c>
      <c r="I158" s="38" t="n">
        <f aca="false">Seg!$I$95</f>
        <v>210.64839721501</v>
      </c>
      <c r="J158" s="38" t="n">
        <f aca="false">Seg!$J$95</f>
        <v>236.398909446495</v>
      </c>
      <c r="K158" s="38" t="n">
        <f aca="false">Seg!$K$95</f>
        <v>255.310822202215</v>
      </c>
      <c r="L158" s="38" t="n">
        <f aca="false">Seg!$L$95</f>
        <v>275.735687978392</v>
      </c>
      <c r="M158" s="38" t="n">
        <f aca="false">Seg!$M$95</f>
        <v>297.794543016663</v>
      </c>
      <c r="N158" s="38" t="n">
        <f aca="false">Seg!$N$95</f>
        <v>57.0936804689721</v>
      </c>
      <c r="O158" s="38" t="n">
        <f aca="false">Seg!$O$95</f>
        <v>62.9275494423768</v>
      </c>
    </row>
    <row r="159" customFormat="false" ht="15" hidden="false" customHeight="false" outlineLevel="0" collapsed="false">
      <c r="A159" s="3" t="s">
        <v>477</v>
      </c>
      <c r="B159" s="8" t="s">
        <v>73</v>
      </c>
      <c r="C159" s="38" t="n">
        <f aca="false">Seg!$C$97</f>
        <v>637.959</v>
      </c>
      <c r="D159" s="38" t="n">
        <f aca="false">Seg!$D$97</f>
        <v>716.924</v>
      </c>
      <c r="E159" s="38" t="n">
        <f aca="false">Seg!$E$97</f>
        <v>382.125</v>
      </c>
      <c r="F159" s="38" t="n">
        <f aca="false">Seg!$F$97</f>
        <v>449.668856935429</v>
      </c>
      <c r="G159" s="38" t="n">
        <f aca="false">Seg!$G$97</f>
        <v>831.793856935429</v>
      </c>
      <c r="H159" s="38" t="n">
        <f aca="false">Seg!$H$97</f>
        <v>964.251588587706</v>
      </c>
      <c r="I159" s="38" t="n">
        <f aca="false">Seg!$I$97</f>
        <v>1096.74371316818</v>
      </c>
      <c r="J159" s="38" t="n">
        <f aca="false">Seg!$J$97</f>
        <v>1220.46586917359</v>
      </c>
      <c r="K159" s="38" t="n">
        <f aca="false">Seg!$K$97</f>
        <v>1329.77982121432</v>
      </c>
      <c r="L159" s="38" t="n">
        <f aca="false">Seg!$L$97</f>
        <v>1444.53682612372</v>
      </c>
      <c r="M159" s="38" t="n">
        <f aca="false">Seg!$M$97</f>
        <v>1565.141628676</v>
      </c>
      <c r="N159" s="38" t="n">
        <f aca="false">Seg!$N$97</f>
        <v>323.369</v>
      </c>
      <c r="O159" s="38" t="n">
        <f aca="false">Seg!$O$97</f>
        <v>393.555</v>
      </c>
    </row>
    <row r="160" customFormat="false" ht="17.15" hidden="false" customHeight="false" outlineLevel="0" collapsed="false">
      <c r="A160" s="24" t="s">
        <v>660</v>
      </c>
      <c r="B160" s="25" t="s">
        <v>73</v>
      </c>
      <c r="C160" s="39" t="n">
        <f aca="false">PL!$C$147+PL!$C$148+PL!$C$149+PL!$C$150+PL!$C$151+PL!$C$152-(PL!$C$154+PL!$C$155)</f>
        <v>0</v>
      </c>
      <c r="D160" s="39" t="n">
        <f aca="false">PL!$D$147+PL!$D$148+PL!$D$149+PL!$D$150+PL!$D$151+PL!$D$152-(PL!$D$154+PL!$D$155)</f>
        <v>0</v>
      </c>
      <c r="E160" s="39" t="n">
        <f aca="false">PL!$E$147+PL!$E$148+PL!$E$149+PL!$E$150+PL!$E$151+PL!$E$152-(PL!$E$154+PL!$E$155)</f>
        <v>0</v>
      </c>
      <c r="F160" s="39" t="n">
        <f aca="false">PL!$F$147+PL!$F$148+PL!$F$149+PL!$F$150+PL!$F$151+PL!$F$152-(PL!$F$154+PL!$F$155)</f>
        <v>0</v>
      </c>
      <c r="G160" s="39" t="n">
        <f aca="false">PL!$G$147+PL!$G$148+PL!$G$149+PL!$G$150+PL!$G$151+PL!$G$152-(PL!$G$154+PL!$G$155)</f>
        <v>0</v>
      </c>
      <c r="H160" s="39" t="n">
        <f aca="false">PL!$H$147+PL!$H$148+PL!$H$149+PL!$H$150+PL!$H$151+PL!$H$152-(PL!$H$154+PL!$H$155)</f>
        <v>0</v>
      </c>
      <c r="I160" s="39" t="n">
        <f aca="false">PL!$I$147+PL!$I$148+PL!$I$149+PL!$I$150+PL!$I$151+PL!$I$152-(PL!$I$154+PL!$I$155)</f>
        <v>0</v>
      </c>
      <c r="J160" s="39" t="n">
        <f aca="false">PL!$J$147+PL!$J$148+PL!$J$149+PL!$J$150+PL!$J$151+PL!$J$152-(PL!$J$154+PL!$J$155)</f>
        <v>0</v>
      </c>
      <c r="K160" s="39" t="n">
        <f aca="false">PL!$K$147+PL!$K$148+PL!$K$149+PL!$K$150+PL!$K$151+PL!$K$152-(PL!$K$154+PL!$K$155)</f>
        <v>0</v>
      </c>
      <c r="L160" s="39" t="n">
        <f aca="false">PL!$L$147+PL!$L$148+PL!$L$149+PL!$L$150+PL!$L$151+PL!$L$152-(PL!$L$154+PL!$L$155)</f>
        <v>0</v>
      </c>
      <c r="M160" s="39" t="n">
        <f aca="false">PL!$M$147+PL!$M$148+PL!$M$149+PL!$M$150+PL!$M$151+PL!$M$152-(PL!$M$154+PL!$M$155)</f>
        <v>0</v>
      </c>
      <c r="N160" s="39" t="n">
        <f aca="false">PL!$N$147+PL!$N$148+PL!$N$149+PL!$N$150+PL!$N$151+PL!$N$152-(PL!$N$154+PL!$N$155)</f>
        <v>0</v>
      </c>
      <c r="O160" s="39" t="n">
        <f aca="false">PL!$O$147+PL!$O$148+PL!$O$149+PL!$O$150+PL!$O$151+PL!$O$152-(PL!$O$154+PL!$O$155)</f>
        <v>0</v>
      </c>
    </row>
    <row r="161" customFormat="false" ht="17.15" hidden="false" customHeight="false" outlineLevel="0" collapsed="false">
      <c r="A161" s="24" t="s">
        <v>661</v>
      </c>
      <c r="B161" s="25" t="s">
        <v>73</v>
      </c>
      <c r="C161" s="39" t="n">
        <f aca="false">PL!$C$157+PL!$C$158-PL!$C$156</f>
        <v>0</v>
      </c>
      <c r="D161" s="39" t="n">
        <f aca="false">PL!$D$157+PL!$D$158-PL!$D$156</f>
        <v>0</v>
      </c>
      <c r="E161" s="39" t="n">
        <f aca="false">PL!$E$157+PL!$E$158-PL!$E$156</f>
        <v>0</v>
      </c>
      <c r="F161" s="39" t="n">
        <f aca="false">PL!$F$157+PL!$F$158-PL!$F$156</f>
        <v>0</v>
      </c>
      <c r="G161" s="39" t="n">
        <f aca="false">PL!$G$157+PL!$G$158-PL!$G$156</f>
        <v>0</v>
      </c>
      <c r="H161" s="39" t="n">
        <f aca="false">PL!$H$157+PL!$H$158-PL!$H$156</f>
        <v>0</v>
      </c>
      <c r="I161" s="39" t="n">
        <f aca="false">PL!$I$157+PL!$I$158-PL!$I$156</f>
        <v>0</v>
      </c>
      <c r="J161" s="39" t="n">
        <f aca="false">PL!$J$157+PL!$J$158-PL!$J$156</f>
        <v>0</v>
      </c>
      <c r="K161" s="39" t="n">
        <f aca="false">PL!$K$157+PL!$K$158-PL!$K$156</f>
        <v>0</v>
      </c>
      <c r="L161" s="39" t="n">
        <f aca="false">PL!$L$157+PL!$L$158-PL!$L$156</f>
        <v>0</v>
      </c>
      <c r="M161" s="39" t="n">
        <f aca="false">PL!$M$157+PL!$M$158-PL!$M$156</f>
        <v>0</v>
      </c>
      <c r="N161" s="39" t="n">
        <f aca="false">PL!$N$157+PL!$N$158-PL!$N$156</f>
        <v>0</v>
      </c>
      <c r="O161" s="39" t="n">
        <f aca="false">PL!$O$157+PL!$O$158-PL!$O$156</f>
        <v>0</v>
      </c>
    </row>
    <row r="162" customFormat="false" ht="17.15" hidden="false" customHeight="false" outlineLevel="0" collapsed="false">
      <c r="A162" s="24" t="s">
        <v>714</v>
      </c>
      <c r="B162" s="25" t="s">
        <v>73</v>
      </c>
      <c r="C162" s="39" t="n">
        <f aca="false">PL!$C$147+PL!$C$148+PL!$C$149+PL!$C$150+PL!$C$151+PL!$C$152+PL!$C$153-PL!$C$159</f>
        <v>0</v>
      </c>
      <c r="D162" s="39" t="n">
        <f aca="false">PL!$D$147+PL!$D$148+PL!$D$149+PL!$D$150+PL!$D$151+PL!$D$152+PL!$D$153-PL!$D$159</f>
        <v>0</v>
      </c>
      <c r="E162" s="39" t="n">
        <f aca="false">PL!$E$147+PL!$E$148+PL!$E$149+PL!$E$150+PL!$E$151+PL!$E$152+PL!$E$153-PL!$E$159</f>
        <v>0</v>
      </c>
      <c r="F162" s="39" t="n">
        <f aca="false">PL!$F$147+PL!$F$148+PL!$F$149+PL!$F$150+PL!$F$151+PL!$F$152+PL!$F$153-PL!$F$159</f>
        <v>0</v>
      </c>
      <c r="G162" s="39" t="n">
        <f aca="false">PL!$G$147+PL!$G$148+PL!$G$149+PL!$G$150+PL!$G$151+PL!$G$152+PL!$G$153-PL!$G$159</f>
        <v>0</v>
      </c>
      <c r="H162" s="39" t="n">
        <f aca="false">PL!$H$147+PL!$H$148+PL!$H$149+PL!$H$150+PL!$H$151+PL!$H$152+PL!$H$153-PL!$H$159</f>
        <v>0</v>
      </c>
      <c r="I162" s="39" t="n">
        <f aca="false">PL!$I$147+PL!$I$148+PL!$I$149+PL!$I$150+PL!$I$151+PL!$I$152+PL!$I$153-PL!$I$159</f>
        <v>0</v>
      </c>
      <c r="J162" s="39" t="n">
        <f aca="false">PL!$J$147+PL!$J$148+PL!$J$149+PL!$J$150+PL!$J$151+PL!$J$152+PL!$J$153-PL!$J$159</f>
        <v>0</v>
      </c>
      <c r="K162" s="39" t="n">
        <f aca="false">PL!$K$147+PL!$K$148+PL!$K$149+PL!$K$150+PL!$K$151+PL!$K$152+PL!$K$153-PL!$K$159</f>
        <v>0</v>
      </c>
      <c r="L162" s="39" t="n">
        <f aca="false">PL!$L$147+PL!$L$148+PL!$L$149+PL!$L$150+PL!$L$151+PL!$L$152+PL!$L$153-PL!$L$159</f>
        <v>0</v>
      </c>
      <c r="M162" s="39" t="n">
        <f aca="false">PL!$M$147+PL!$M$148+PL!$M$149+PL!$M$150+PL!$M$151+PL!$M$152+PL!$M$153-PL!$M$159</f>
        <v>0</v>
      </c>
      <c r="N162" s="39" t="n">
        <f aca="false">PL!$N$147+PL!$N$148+PL!$N$149+PL!$N$150+PL!$N$151+PL!$N$152+PL!$N$153-PL!$N$159</f>
        <v>0</v>
      </c>
      <c r="O162" s="39" t="n">
        <f aca="false">PL!$O$147+PL!$O$148+PL!$O$149+PL!$O$150+PL!$O$151+PL!$O$152+PL!$O$153-PL!$O$159</f>
        <v>0</v>
      </c>
    </row>
    <row r="163" customFormat="false" ht="17.15" hidden="false" customHeight="false" outlineLevel="0" collapsed="false">
      <c r="A163" s="24" t="s">
        <v>662</v>
      </c>
      <c r="B163" s="25" t="s">
        <v>73</v>
      </c>
      <c r="C163" s="39" t="n">
        <f aca="false">PL!$C$154+PL!$C$155+PL!$C$156-PL!$C$159</f>
        <v>0</v>
      </c>
      <c r="D163" s="39" t="n">
        <f aca="false">PL!$D$154+PL!$D$155+PL!$D$156-PL!$D$159</f>
        <v>0</v>
      </c>
      <c r="E163" s="39" t="n">
        <f aca="false">PL!$E$154+PL!$E$155+PL!$E$156-PL!$E$159</f>
        <v>0</v>
      </c>
      <c r="F163" s="39" t="n">
        <f aca="false">PL!$F$154+PL!$F$155+PL!$F$156-PL!$F$159</f>
        <v>0</v>
      </c>
      <c r="G163" s="39" t="n">
        <f aca="false">PL!$G$154+PL!$G$155+PL!$G$156-PL!$G$159</f>
        <v>0</v>
      </c>
      <c r="H163" s="39" t="n">
        <f aca="false">PL!$H$154+PL!$H$155+PL!$H$156-PL!$H$159</f>
        <v>0</v>
      </c>
      <c r="I163" s="39" t="n">
        <f aca="false">PL!$I$154+PL!$I$155+PL!$I$156-PL!$I$159</f>
        <v>0</v>
      </c>
      <c r="J163" s="39" t="n">
        <f aca="false">PL!$J$154+PL!$J$155+PL!$J$156-PL!$J$159</f>
        <v>0</v>
      </c>
      <c r="K163" s="39" t="n">
        <f aca="false">PL!$K$154+PL!$K$155+PL!$K$156-PL!$K$159</f>
        <v>0</v>
      </c>
      <c r="L163" s="39" t="n">
        <f aca="false">PL!$L$154+PL!$L$155+PL!$L$156-PL!$L$159</f>
        <v>0</v>
      </c>
      <c r="M163" s="39" t="n">
        <f aca="false">PL!$M$154+PL!$M$155+PL!$M$156-PL!$M$159</f>
        <v>0</v>
      </c>
      <c r="N163" s="39" t="n">
        <f aca="false">PL!$N$154+PL!$N$155+PL!$N$156-PL!$N$159</f>
        <v>0</v>
      </c>
      <c r="O163" s="39" t="n">
        <f aca="false">PL!$O$154+PL!$O$155+PL!$O$156-PL!$O$159</f>
        <v>0</v>
      </c>
    </row>
    <row r="164" customFormat="false" ht="17.15" hidden="false" customHeight="false" outlineLevel="0" collapsed="false">
      <c r="A164" s="1" t="s">
        <v>672</v>
      </c>
    </row>
    <row r="165" customFormat="false" ht="17.15" hidden="false" customHeight="false" outlineLevel="0" collapsed="false">
      <c r="A165" s="0" t="s">
        <v>673</v>
      </c>
      <c r="B165" s="0" t="s">
        <v>73</v>
      </c>
      <c r="C165" s="38" t="n">
        <f aca="false">Seg!$C$91*m_ad</f>
        <v>20.5341564414228</v>
      </c>
      <c r="D165" s="38" t="n">
        <f aca="false">Seg!$D$91*m_ad</f>
        <v>24.8720617299587</v>
      </c>
      <c r="E165" s="38" t="n">
        <f aca="false">Seg!$E$91*m_ad</f>
        <v>13.5017112462207</v>
      </c>
      <c r="F165" s="38" t="n">
        <f aca="false">Seg!$F$91*m_ad</f>
        <v>17.2886442824599</v>
      </c>
      <c r="G165" s="38" t="n">
        <f aca="false">Seg!$G$91*m_ad</f>
        <v>30.8011958765886</v>
      </c>
      <c r="H165" s="38" t="n">
        <f aca="false">Seg!$H$91*m_ad</f>
        <v>36.978409366026</v>
      </c>
      <c r="I165" s="38" t="n">
        <f aca="false">Seg!$I$91*m_ad</f>
        <v>43.155063281273</v>
      </c>
      <c r="J165" s="38" t="n">
        <f aca="false">Seg!$J$91*m_ad</f>
        <v>48.9169991988532</v>
      </c>
      <c r="K165" s="38" t="n">
        <f aca="false">Seg!$K$91*m_ad</f>
        <v>53.8086991187386</v>
      </c>
      <c r="L165" s="38" t="n">
        <f aca="false">Seg!$L$91*m_ad</f>
        <v>59.1895690306124</v>
      </c>
      <c r="M165" s="38" t="n">
        <f aca="false">Seg!$M$91*m_ad</f>
        <v>65.1085259336737</v>
      </c>
      <c r="N165" s="38" t="n">
        <f aca="false">Seg!$N$91*m_ad</f>
        <v>10.8543555706248</v>
      </c>
      <c r="O165" s="38" t="n">
        <f aca="false">Seg!$O$91*m_ad</f>
        <v>14.0094731821399</v>
      </c>
    </row>
    <row r="166" customFormat="false" ht="17.15" hidden="false" customHeight="false" outlineLevel="0" collapsed="false">
      <c r="A166" s="0" t="s">
        <v>674</v>
      </c>
      <c r="B166" s="0" t="s">
        <v>73</v>
      </c>
      <c r="C166" s="38" t="n">
        <f aca="false">Seg!$C$89-Seg!$C$91</f>
        <v>346.428687117154</v>
      </c>
      <c r="D166" s="38" t="n">
        <f aca="false">Seg!$D$89-Seg!$D$91</f>
        <v>376.560876540083</v>
      </c>
      <c r="E166" s="38" t="n">
        <f aca="false">Seg!$E$89-Seg!$E$91</f>
        <v>193.316577507559</v>
      </c>
      <c r="F166" s="38" t="n">
        <f aca="false">Seg!$F$89-Seg!$F$91</f>
        <v>221.726726438887</v>
      </c>
      <c r="G166" s="38" t="n">
        <f aca="false">Seg!$G$89-Seg!$G$91</f>
        <v>415.02162325063</v>
      </c>
      <c r="H166" s="38" t="n">
        <f aca="false">Seg!$H$89-Seg!$H$91</f>
        <v>453.777572359491</v>
      </c>
      <c r="I166" s="38" t="n">
        <f aca="false">Seg!$I$89-Seg!$I$91</f>
        <v>490.847566467031</v>
      </c>
      <c r="J166" s="38" t="n">
        <f aca="false">Seg!$J$89-Seg!$J$91</f>
        <v>525.190925266121</v>
      </c>
      <c r="K166" s="38" t="n">
        <f aca="false">Seg!$K$89-Seg!$K$91</f>
        <v>555.765170156304</v>
      </c>
      <c r="L166" s="38" t="n">
        <f aca="false">Seg!$L$89-Seg!$L$91</f>
        <v>588.185734949207</v>
      </c>
      <c r="M166" s="38" t="n">
        <f aca="false">Seg!$M$89-Seg!$M$91</f>
        <v>622.567635538672</v>
      </c>
      <c r="N166" s="38" t="n">
        <f aca="false">Seg!$N$89-Seg!$N$91</f>
        <v>171.24628885875</v>
      </c>
      <c r="O166" s="38" t="n">
        <f aca="false">Seg!$O$89-Seg!$O$91</f>
        <v>205.33105363572</v>
      </c>
    </row>
    <row r="167" customFormat="false" ht="17.15" hidden="false" customHeight="false" outlineLevel="0" collapsed="false">
      <c r="A167" s="0" t="s">
        <v>675</v>
      </c>
      <c r="B167" s="0" t="s">
        <v>73</v>
      </c>
      <c r="C167" s="38" t="n">
        <f aca="false">Thesis!$C$162*Seg!$C$88</f>
        <v>0.123617442257179</v>
      </c>
      <c r="D167" s="38" t="n">
        <f aca="false">Thesis!$D$162*Seg!$D$88</f>
        <v>0.874366899302609</v>
      </c>
      <c r="E167" s="38" t="n">
        <f aca="false">Thesis!$E$162*Seg!$E$88</f>
        <v>1.29318830502574</v>
      </c>
      <c r="F167" s="38" t="n">
        <f aca="false">Thesis!$F$162*Seg!$F$88</f>
        <v>1.51802024162534</v>
      </c>
      <c r="G167" s="38" t="n">
        <f aca="false">Thesis!$G$162*Seg!$G$88</f>
        <v>2.81130189308167</v>
      </c>
      <c r="H167" s="38" t="n">
        <f aca="false">Thesis!$H$162*Seg!$H$88</f>
        <v>7.38966789318209</v>
      </c>
      <c r="I167" s="38" t="n">
        <f aca="false">Thesis!$I$162*Seg!$I$88</f>
        <v>12.8987443661473</v>
      </c>
      <c r="J167" s="38" t="n">
        <f aca="false">Thesis!$J$162*Seg!$J$88</f>
        <v>18.5570025453645</v>
      </c>
      <c r="K167" s="38" t="n">
        <f aca="false">Thesis!$K$162*Seg!$K$88</f>
        <v>24.3158972773405</v>
      </c>
      <c r="L167" s="38" t="n">
        <f aca="false">Thesis!$L$162*Seg!$L$88</f>
        <v>29.7827375558674</v>
      </c>
      <c r="M167" s="38" t="n">
        <f aca="false">Thesis!$M$162*Seg!$M$88</f>
        <v>35.3532344973194</v>
      </c>
      <c r="N167" s="38" t="n">
        <f aca="false">Thesis!$N$162*Seg!$N$88</f>
        <v>0.389180508437431</v>
      </c>
      <c r="O167" s="38" t="n">
        <f aca="false">Thesis!$O$162*Seg!$O$88</f>
        <v>0.485052120082802</v>
      </c>
    </row>
    <row r="168" customFormat="false" ht="17.15" hidden="false" customHeight="false" outlineLevel="0" collapsed="false">
      <c r="A168" s="0" t="s">
        <v>676</v>
      </c>
      <c r="B168" s="0" t="s">
        <v>52</v>
      </c>
      <c r="C168" s="28" t="n">
        <f aca="false">(PL!$C$169-PL!$C$165+PL!$C$167)/PL!$C$166</f>
        <v>0.0131526665379575</v>
      </c>
      <c r="D168" s="28" t="n">
        <f aca="false">(PL!$D$169-PL!$D$165+PL!$D$167)/PL!$D$166</f>
        <v>0.0149280116962589</v>
      </c>
      <c r="E168" s="28" t="n">
        <f aca="false">(PL!$E$169-PL!$E$165+PL!$E$167)/PL!$E$166</f>
        <v>0.0268030663774938</v>
      </c>
      <c r="F168" s="28" t="n">
        <f aca="false">PL!$O$168+(PL!$E$168-PL!$N$168)</f>
        <v>0.0232379346966962</v>
      </c>
      <c r="G168" s="28" t="n">
        <f aca="false">(PL!$G$169-PL!$G$165+PL!$G$167)/PL!$G$166</f>
        <v>0.0248738876928168</v>
      </c>
      <c r="H168" s="28" t="n">
        <f aca="false">PL!$G$168+step_na</f>
        <v>0.0278738876928168</v>
      </c>
      <c r="I168" s="28" t="n">
        <f aca="false">PL!$H$168+step_na</f>
        <v>0.0308738876928168</v>
      </c>
      <c r="J168" s="28" t="n">
        <f aca="false">PL!$I$168+step_na</f>
        <v>0.0338738876928168</v>
      </c>
      <c r="K168" s="28" t="n">
        <f aca="false">PL!$J$168+step_na</f>
        <v>0.0368738876928168</v>
      </c>
      <c r="L168" s="28" t="n">
        <f aca="false">PL!$K$168</f>
        <v>0.0368738876928168</v>
      </c>
      <c r="M168" s="28" t="n">
        <f aca="false">PL!$L$168</f>
        <v>0.0368738876928168</v>
      </c>
      <c r="N168" s="28" t="n">
        <f aca="false">(PL!$N$169-PL!$N$165+PL!$N$167)/PL!$N$166</f>
        <v>0.0168927744775755</v>
      </c>
      <c r="O168" s="28" t="n">
        <f aca="false">(PL!$O$169-PL!$O$165+PL!$O$167)/PL!$O$166</f>
        <v>0.0133276427967779</v>
      </c>
      <c r="P168" s="8" t="s">
        <v>677</v>
      </c>
    </row>
    <row r="169" customFormat="false" ht="17.15" hidden="false" customHeight="false" outlineLevel="0" collapsed="false">
      <c r="A169" s="1" t="s">
        <v>678</v>
      </c>
      <c r="B169" s="8" t="s">
        <v>73</v>
      </c>
      <c r="C169" s="38" t="n">
        <f aca="false">Q!$D$22</f>
        <v>24.967</v>
      </c>
      <c r="D169" s="38" t="n">
        <f aca="false">Q!$E$22</f>
        <v>29.619</v>
      </c>
      <c r="E169" s="38" t="n">
        <f aca="false">Q!$P$22</f>
        <v>17.39</v>
      </c>
      <c r="F169" s="38" t="n">
        <f aca="false">PL!$F$165+PL!$F$166*PL!$F$168-PL!$F$167</f>
        <v>20.9230952303336</v>
      </c>
      <c r="G169" s="38" t="n">
        <f aca="false">PL!$E$169+PL!$F$169</f>
        <v>38.3130952303336</v>
      </c>
      <c r="H169" s="38" t="n">
        <f aca="false">PL!$H$165+PL!$H$166*PL!$H$168-PL!$H$167</f>
        <v>42.2372865623114</v>
      </c>
      <c r="I169" s="38" t="n">
        <f aca="false">PL!$I$165+PL!$I$166*PL!$I$168-PL!$I$167</f>
        <v>45.4106915565213</v>
      </c>
      <c r="J169" s="38" t="n">
        <f aca="false">PL!$J$165+PL!$J$166*PL!$J$168-PL!$J$167</f>
        <v>48.1502550732398</v>
      </c>
      <c r="K169" s="38" t="n">
        <f aca="false">PL!$K$165+PL!$K$166*PL!$K$168-PL!$K$167</f>
        <v>49.9860243093208</v>
      </c>
      <c r="L169" s="38" t="n">
        <f aca="false">PL!$L$165+PL!$L$166*PL!$L$168-PL!$L$167</f>
        <v>51.095526207779</v>
      </c>
      <c r="M169" s="38" t="n">
        <f aca="false">PL!$M$165+PL!$M$166*PL!$M$168-PL!$M$167</f>
        <v>52.7117805103898</v>
      </c>
      <c r="N169" s="38" t="n">
        <f aca="false">Q!$N$22</f>
        <v>13.358</v>
      </c>
      <c r="O169" s="38" t="n">
        <f aca="false">Q!$O$22</f>
        <v>16.261</v>
      </c>
    </row>
    <row r="170" customFormat="false" ht="17.15" hidden="false" customHeight="false" outlineLevel="0" collapsed="false">
      <c r="A170" s="0" t="s">
        <v>679</v>
      </c>
      <c r="B170" s="0" t="s">
        <v>73</v>
      </c>
      <c r="C170" s="38" t="n">
        <f aca="false">Seg!$C$92*m_ad</f>
        <v>7.57284355857716</v>
      </c>
      <c r="D170" s="38" t="n">
        <f aca="false">Seg!$D$92*m_ad</f>
        <v>9.44543827004127</v>
      </c>
      <c r="E170" s="38" t="n">
        <f aca="false">Seg!$E$92*m_ad</f>
        <v>5.02428875377928</v>
      </c>
      <c r="F170" s="38" t="n">
        <f aca="false">Seg!$F$92*m_ad</f>
        <v>6.78802480890925</v>
      </c>
      <c r="G170" s="38" t="n">
        <f aca="false">Seg!$G$92*m_ad</f>
        <v>11.8014732147805</v>
      </c>
      <c r="H170" s="38" t="n">
        <f aca="false">Seg!$H$92*m_ad</f>
        <v>14.1682715634442</v>
      </c>
      <c r="I170" s="38" t="n">
        <f aca="false">Seg!$I$92*m_ad</f>
        <v>16.5348555113474</v>
      </c>
      <c r="J170" s="38" t="n">
        <f aca="false">Seg!$J$92*m_ad</f>
        <v>18.7425403255689</v>
      </c>
      <c r="K170" s="38" t="n">
        <f aca="false">Seg!$K$92*m_ad</f>
        <v>20.6167943581258</v>
      </c>
      <c r="L170" s="38" t="n">
        <f aca="false">Seg!$L$92*m_ad</f>
        <v>22.6784737939383</v>
      </c>
      <c r="M170" s="38" t="n">
        <f aca="false">Seg!$M$92*m_ad</f>
        <v>24.9463211733322</v>
      </c>
      <c r="N170" s="38" t="n">
        <f aca="false">Seg!$N$92*m_ad</f>
        <v>3.95314442937518</v>
      </c>
      <c r="O170" s="38" t="n">
        <f aca="false">Seg!$O$92*m_ad</f>
        <v>5.50052681786011</v>
      </c>
    </row>
    <row r="171" customFormat="false" ht="17.15" hidden="false" customHeight="false" outlineLevel="0" collapsed="false">
      <c r="A171" s="0" t="s">
        <v>680</v>
      </c>
      <c r="B171" s="0" t="s">
        <v>73</v>
      </c>
      <c r="C171" s="38" t="n">
        <f aca="false">Seg!$C$90-Seg!$C$92</f>
        <v>127.760312882846</v>
      </c>
      <c r="D171" s="38" t="n">
        <f aca="false">Seg!$D$90-Seg!$D$92</f>
        <v>143.003123459917</v>
      </c>
      <c r="E171" s="38" t="n">
        <f aca="false">Seg!$E$90-Seg!$E$92</f>
        <v>71.9374224924414</v>
      </c>
      <c r="F171" s="38" t="n">
        <f aca="false">Seg!$F$90-Seg!$F$92</f>
        <v>87.0563645868046</v>
      </c>
      <c r="G171" s="38" t="n">
        <f aca="false">Seg!$G$90-Seg!$G$92</f>
        <v>159.015467775062</v>
      </c>
      <c r="H171" s="38" t="n">
        <f aca="false">Seg!$H$90-Seg!$H$92</f>
        <v>173.864803403269</v>
      </c>
      <c r="I171" s="38" t="n">
        <f aca="false">Seg!$I$90-Seg!$I$92</f>
        <v>188.068165645601</v>
      </c>
      <c r="J171" s="38" t="n">
        <f aca="false">Seg!$J$90-Seg!$J$92</f>
        <v>201.22681801082</v>
      </c>
      <c r="K171" s="38" t="n">
        <f aca="false">Seg!$K$90-Seg!$K$92</f>
        <v>212.941334991893</v>
      </c>
      <c r="L171" s="38" t="n">
        <f aca="false">Seg!$L$90-Seg!$L$92</f>
        <v>225.363269144856</v>
      </c>
      <c r="M171" s="38" t="n">
        <f aca="false">Seg!$M$90-Seg!$M$92</f>
        <v>238.536688790819</v>
      </c>
      <c r="N171" s="38" t="n">
        <f aca="false">Seg!$N$90-Seg!$N$92</f>
        <v>62.3677111412496</v>
      </c>
      <c r="O171" s="38" t="n">
        <f aca="false">Seg!$O$90-Seg!$O$92</f>
        <v>80.6189463642798</v>
      </c>
    </row>
    <row r="172" customFormat="false" ht="17.15" hidden="false" customHeight="false" outlineLevel="0" collapsed="false">
      <c r="A172" s="0" t="s">
        <v>681</v>
      </c>
      <c r="B172" s="0" t="s">
        <v>73</v>
      </c>
      <c r="C172" s="38" t="n">
        <f aca="false">Thesis!$C$162*(1-Seg!$C$88)</f>
        <v>0.0455891896019953</v>
      </c>
      <c r="D172" s="38" t="n">
        <f aca="false">Thesis!$D$162*(1-Seg!$D$88)</f>
        <v>0.332050421167231</v>
      </c>
      <c r="E172" s="38" t="n">
        <f aca="false">Thesis!$E$162*(1-Seg!$E$88)</f>
        <v>0.481224293644882</v>
      </c>
      <c r="F172" s="38" t="n">
        <f aca="false">Thesis!$F$162*(1-Seg!$F$88)</f>
        <v>0.596018918096053</v>
      </c>
      <c r="G172" s="38" t="n">
        <f aca="false">Thesis!$G$162*(1-Seg!$G$88)</f>
        <v>1.07714986531035</v>
      </c>
      <c r="H172" s="38" t="n">
        <f aca="false">Thesis!$H$162*(1-Seg!$H$88)</f>
        <v>2.83135005721638</v>
      </c>
      <c r="I172" s="38" t="n">
        <f aca="false">Thesis!$I$162*(1-Seg!$I$88)</f>
        <v>4.9421518161602</v>
      </c>
      <c r="J172" s="38" t="n">
        <f aca="false">Thesis!$J$162*(1-Seg!$J$88)</f>
        <v>7.11011252170866</v>
      </c>
      <c r="K172" s="38" t="n">
        <f aca="false">Thesis!$K$162*(1-Seg!$K$88)</f>
        <v>9.31663210615807</v>
      </c>
      <c r="L172" s="38" t="n">
        <f aca="false">Thesis!$L$162*(1-Seg!$L$88)</f>
        <v>11.411251074039</v>
      </c>
      <c r="M172" s="38" t="n">
        <f aca="false">Thesis!$M$162*(1-Seg!$M$88)</f>
        <v>13.5455860755423</v>
      </c>
      <c r="N172" s="38" t="n">
        <f aca="false">Thesis!$N$162*(1-Seg!$N$88)</f>
        <v>0.141739115596548</v>
      </c>
      <c r="O172" s="38" t="n">
        <f aca="false">Thesis!$O$162*(1-Seg!$O$88)</f>
        <v>0.190445576353059</v>
      </c>
    </row>
    <row r="173" customFormat="false" ht="17.15" hidden="false" customHeight="false" outlineLevel="0" collapsed="false">
      <c r="A173" s="0" t="s">
        <v>682</v>
      </c>
      <c r="B173" s="0" t="s">
        <v>52</v>
      </c>
      <c r="C173" s="28" t="n">
        <f aca="false">(PL!$C$174-PL!$C$170+PL!$C$172)/PL!$C$171</f>
        <v>-0.0292364215826579</v>
      </c>
      <c r="D173" s="28" t="n">
        <f aca="false">(PL!$D$174-PL!$D$170+PL!$D$172)/PL!$D$171</f>
        <v>-0.0305125352740778</v>
      </c>
      <c r="E173" s="28" t="n">
        <f aca="false">(PL!$E$174-PL!$E$170+PL!$E$172)/PL!$E$171</f>
        <v>-0.019490056934994</v>
      </c>
      <c r="F173" s="28" t="n">
        <f aca="false">PL!$O$173+(PL!$E$173-PL!$N$173)</f>
        <v>-0.0367332293992226</v>
      </c>
      <c r="G173" s="28" t="n">
        <f aca="false">(PL!$G$174-PL!$G$170+PL!$G$172)/PL!$G$171</f>
        <v>-0.0288599526442178</v>
      </c>
      <c r="H173" s="28" t="n">
        <f aca="false">PL!$G$173+step_in</f>
        <v>-0.0288599526442178</v>
      </c>
      <c r="I173" s="28" t="n">
        <f aca="false">PL!$H$173+step_in</f>
        <v>-0.0288599526442178</v>
      </c>
      <c r="J173" s="28" t="n">
        <f aca="false">PL!$I$173+step_in</f>
        <v>-0.0288599526442178</v>
      </c>
      <c r="K173" s="28" t="n">
        <f aca="false">PL!$J$173+step_in</f>
        <v>-0.0288599526442178</v>
      </c>
      <c r="L173" s="28" t="n">
        <f aca="false">PL!$K$173</f>
        <v>-0.0288599526442178</v>
      </c>
      <c r="M173" s="28" t="n">
        <f aca="false">PL!$L$173</f>
        <v>-0.0288599526442178</v>
      </c>
      <c r="N173" s="28" t="n">
        <f aca="false">(PL!$N$174-PL!$N$170+PL!$N$172)/PL!$N$171</f>
        <v>-0.02085061789158</v>
      </c>
      <c r="O173" s="28" t="n">
        <f aca="false">(PL!$O$174-PL!$O$170+PL!$O$172)/PL!$O$171</f>
        <v>-0.0380937903558086</v>
      </c>
      <c r="P173" s="8" t="s">
        <v>677</v>
      </c>
    </row>
    <row r="174" customFormat="false" ht="17.15" hidden="false" customHeight="false" outlineLevel="0" collapsed="false">
      <c r="A174" s="1" t="s">
        <v>683</v>
      </c>
      <c r="B174" s="8" t="s">
        <v>73</v>
      </c>
      <c r="C174" s="38" t="n">
        <f aca="false">Q!$D$23</f>
        <v>3.792</v>
      </c>
      <c r="D174" s="38" t="n">
        <f aca="false">Q!$E$23</f>
        <v>4.75</v>
      </c>
      <c r="E174" s="38" t="n">
        <f aca="false">Q!$P$23</f>
        <v>3.141</v>
      </c>
      <c r="F174" s="38" t="n">
        <f aca="false">PL!$F$170+PL!$F$171*PL!$F$173-PL!$F$172</f>
        <v>2.99414447978375</v>
      </c>
      <c r="G174" s="38" t="n">
        <f aca="false">PL!$E$174+PL!$F$174</f>
        <v>6.13514447978375</v>
      </c>
      <c r="H174" s="38" t="n">
        <f aca="false">PL!$H$170+PL!$H$171*PL!$H$173-PL!$H$172</f>
        <v>6.31919151351322</v>
      </c>
      <c r="I174" s="38" t="n">
        <f aca="false">PL!$I$170+PL!$I$171*PL!$I$173-PL!$I$172</f>
        <v>6.16506534077027</v>
      </c>
      <c r="J174" s="38" t="n">
        <f aca="false">PL!$J$170+PL!$J$171*PL!$J$173-PL!$J$172</f>
        <v>5.8250313653213</v>
      </c>
      <c r="K174" s="38" t="n">
        <f aca="false">PL!$K$170+PL!$K$171*PL!$K$173-PL!$K$172</f>
        <v>5.15468540810514</v>
      </c>
      <c r="L174" s="38" t="n">
        <f aca="false">PL!$L$170+PL!$L$171*PL!$L$173-PL!$L$172</f>
        <v>4.76324944463266</v>
      </c>
      <c r="M174" s="38" t="n">
        <f aca="false">PL!$M$170+PL!$M$171*PL!$M$173-PL!$M$172</f>
        <v>4.51657755537829</v>
      </c>
      <c r="N174" s="38" t="n">
        <f aca="false">Q!$N$23</f>
        <v>2.511</v>
      </c>
      <c r="O174" s="38" t="n">
        <f aca="false">Q!$O$23</f>
        <v>2.239</v>
      </c>
    </row>
    <row r="175" customFormat="false" ht="17.15" hidden="false" customHeight="false" outlineLevel="0" collapsed="false">
      <c r="A175" s="0" t="s">
        <v>684</v>
      </c>
      <c r="B175" s="0" t="s">
        <v>73</v>
      </c>
      <c r="C175" s="38" t="n">
        <f aca="false">Thesis!$C$159</f>
        <v>1.64417882953695</v>
      </c>
      <c r="D175" s="38" t="n">
        <f aca="false">Thesis!$D$159</f>
        <v>3.8781008067718</v>
      </c>
      <c r="E175" s="38" t="n">
        <f aca="false">Thesis!$E$159</f>
        <v>1.41270258088753</v>
      </c>
      <c r="F175" s="38" t="n">
        <f aca="false">Thesis!$F$159</f>
        <v>5.68126066944818</v>
      </c>
      <c r="G175" s="38" t="n">
        <f aca="false">Thesis!$G$159</f>
        <v>7.09396325033571</v>
      </c>
      <c r="H175" s="38" t="n">
        <f aca="false">Thesis!$H$159</f>
        <v>12.5382183962694</v>
      </c>
      <c r="I175" s="38" t="n">
        <f aca="false">Thesis!$I$159</f>
        <v>16.4361615260712</v>
      </c>
      <c r="J175" s="38" t="n">
        <f aca="false">Thesis!$J$159</f>
        <v>19.6616771330194</v>
      </c>
      <c r="K175" s="38" t="n">
        <f aca="false">Thesis!$K$159</f>
        <v>22.3813893761866</v>
      </c>
      <c r="L175" s="38" t="n">
        <f aca="false">Thesis!$L$159</f>
        <v>26.740093882541</v>
      </c>
      <c r="M175" s="38" t="n">
        <f aca="false">Thesis!$M$159</f>
        <v>30.5377848243843</v>
      </c>
      <c r="N175" s="38" t="n">
        <f aca="false">Thesis!$N$159</f>
        <v>0.92264103489199</v>
      </c>
      <c r="O175" s="38" t="n">
        <f aca="false">Thesis!$O$159</f>
        <v>2.95545977187981</v>
      </c>
    </row>
    <row r="176" customFormat="false" ht="17.15" hidden="false" customHeight="false" outlineLevel="0" collapsed="false">
      <c r="A176" s="0" t="s">
        <v>604</v>
      </c>
      <c r="B176" s="0" t="s">
        <v>73</v>
      </c>
      <c r="C176" s="38" t="n">
        <f aca="false">Thesis!$C$164</f>
        <v>38.1898211704631</v>
      </c>
      <c r="D176" s="38" t="n">
        <f aca="false">Thesis!$D$164</f>
        <v>41.7278991932282</v>
      </c>
      <c r="E176" s="38" t="n">
        <f aca="false">Thesis!$E$164</f>
        <v>29.3692974191125</v>
      </c>
      <c r="F176" s="38" t="n">
        <f aca="false">Thesis!$F$164</f>
        <v>29.458060516894</v>
      </c>
      <c r="G176" s="38" t="n">
        <f aca="false">Thesis!$G$164</f>
        <v>58.8273579360065</v>
      </c>
      <c r="H176" s="38" t="n">
        <f aca="false">Thesis!$H$164</f>
        <v>67.8004040185081</v>
      </c>
      <c r="I176" s="38" t="n">
        <f aca="false">Thesis!$I$164</f>
        <v>78.9527630302702</v>
      </c>
      <c r="J176" s="38" t="n">
        <f aca="false">Thesis!$J$164</f>
        <v>88.6042681781841</v>
      </c>
      <c r="K176" s="38" t="n">
        <f aca="false">Thesis!$K$164</f>
        <v>95.6926096324389</v>
      </c>
      <c r="L176" s="38" t="n">
        <f aca="false">Thesis!$L$164</f>
        <v>103.348018403034</v>
      </c>
      <c r="M176" s="38" t="n">
        <f aca="false">Thesis!$M$164</f>
        <v>111.615859875277</v>
      </c>
      <c r="N176" s="38" t="n">
        <f aca="false">Thesis!$N$164</f>
        <v>20.784358965108</v>
      </c>
      <c r="O176" s="38" t="n">
        <f aca="false">Thesis!$O$164</f>
        <v>20.9435402281202</v>
      </c>
    </row>
    <row r="177" customFormat="false" ht="17.15" hidden="false" customHeight="false" outlineLevel="0" collapsed="false">
      <c r="A177" s="1" t="s">
        <v>685</v>
      </c>
      <c r="B177" s="8" t="s">
        <v>73</v>
      </c>
      <c r="C177" s="38" t="n">
        <f aca="false">Q!$D$24</f>
        <v>39.834</v>
      </c>
      <c r="D177" s="38" t="n">
        <f aca="false">Q!$E$24</f>
        <v>45.606</v>
      </c>
      <c r="E177" s="38" t="n">
        <f aca="false">Q!$P$24</f>
        <v>30.782</v>
      </c>
      <c r="F177" s="38" t="n">
        <f aca="false">PL!$F$175+PL!$F$176</f>
        <v>35.1393211863422</v>
      </c>
      <c r="G177" s="38" t="n">
        <f aca="false">PL!$G$175+PL!$G$176</f>
        <v>65.9213211863422</v>
      </c>
      <c r="H177" s="38" t="n">
        <f aca="false">PL!$H$175+PL!$H$176</f>
        <v>80.3386224147775</v>
      </c>
      <c r="I177" s="38" t="n">
        <f aca="false">PL!$I$175+PL!$I$176</f>
        <v>95.3889245563414</v>
      </c>
      <c r="J177" s="38" t="n">
        <f aca="false">PL!$J$175+PL!$J$176</f>
        <v>108.265945311203</v>
      </c>
      <c r="K177" s="38" t="n">
        <f aca="false">PL!$K$175+PL!$K$176</f>
        <v>118.073999008625</v>
      </c>
      <c r="L177" s="38" t="n">
        <f aca="false">PL!$L$175+PL!$L$176</f>
        <v>130.088112285575</v>
      </c>
      <c r="M177" s="38" t="n">
        <f aca="false">PL!$M$175+PL!$M$176</f>
        <v>142.153644699661</v>
      </c>
      <c r="N177" s="38" t="n">
        <f aca="false">Q!$N$24</f>
        <v>21.707</v>
      </c>
      <c r="O177" s="38" t="n">
        <f aca="false">Q!$O$24</f>
        <v>23.899</v>
      </c>
    </row>
    <row r="178" customFormat="false" ht="17.15" hidden="false" customHeight="false" outlineLevel="0" collapsed="false">
      <c r="A178" s="5" t="s">
        <v>686</v>
      </c>
      <c r="B178" s="0" t="s">
        <v>73</v>
      </c>
      <c r="C178" s="38" t="n">
        <f aca="false">Q!$D$26</f>
        <v>0</v>
      </c>
      <c r="D178" s="38" t="n">
        <f aca="false">Q!$E$26</f>
        <v>0</v>
      </c>
      <c r="E178" s="38" t="n">
        <f aca="false">Q!$P$26</f>
        <v>0</v>
      </c>
      <c r="F178" s="41" t="n">
        <v>0</v>
      </c>
      <c r="G178" s="38" t="n">
        <f aca="false">PL!$E$178+PL!$F$178</f>
        <v>0</v>
      </c>
      <c r="H178" s="41" t="n">
        <v>0</v>
      </c>
      <c r="I178" s="41" t="n">
        <v>0</v>
      </c>
      <c r="J178" s="41" t="n">
        <v>0</v>
      </c>
      <c r="K178" s="41" t="n">
        <v>0</v>
      </c>
      <c r="L178" s="41" t="n">
        <v>0</v>
      </c>
      <c r="M178" s="41" t="n">
        <v>0</v>
      </c>
      <c r="N178" s="38" t="n">
        <f aca="false">Q!$N$26</f>
        <v>0</v>
      </c>
      <c r="O178" s="38" t="n">
        <f aca="false">Q!$O$26</f>
        <v>0</v>
      </c>
    </row>
    <row r="179" customFormat="false" ht="15" hidden="false" customHeight="false" outlineLevel="0" collapsed="false">
      <c r="A179" s="3" t="s">
        <v>494</v>
      </c>
      <c r="B179" s="8" t="s">
        <v>73</v>
      </c>
      <c r="C179" s="38" t="n">
        <f aca="false">Q!$D$25</f>
        <v>68.593</v>
      </c>
      <c r="D179" s="38" t="n">
        <f aca="false">Q!$E$25</f>
        <v>79.975</v>
      </c>
      <c r="E179" s="38" t="n">
        <f aca="false">Q!$P$25</f>
        <v>51.313</v>
      </c>
      <c r="F179" s="38" t="n">
        <f aca="false">PL!$F$169+PL!$F$174+PL!$F$177+PL!$F$178</f>
        <v>59.0565608964595</v>
      </c>
      <c r="G179" s="38" t="n">
        <f aca="false">PL!$G$169+PL!$G$174+PL!$G$177+PL!$G$178</f>
        <v>110.36956089646</v>
      </c>
      <c r="H179" s="38" t="n">
        <f aca="false">PL!$H$169+PL!$H$174+PL!$H$177+PL!$H$178</f>
        <v>128.895100490602</v>
      </c>
      <c r="I179" s="38" t="n">
        <f aca="false">PL!$I$169+PL!$I$174+PL!$I$177+PL!$I$178</f>
        <v>146.964681453633</v>
      </c>
      <c r="J179" s="38" t="n">
        <f aca="false">PL!$J$169+PL!$J$174+PL!$J$177+PL!$J$178</f>
        <v>162.241231749765</v>
      </c>
      <c r="K179" s="38" t="n">
        <f aca="false">PL!$K$169+PL!$K$174+PL!$K$177+PL!$K$178</f>
        <v>173.214708726051</v>
      </c>
      <c r="L179" s="38" t="n">
        <f aca="false">PL!$L$169+PL!$L$174+PL!$L$177+PL!$L$178</f>
        <v>185.946887937987</v>
      </c>
      <c r="M179" s="38" t="n">
        <f aca="false">PL!$M$169+PL!$M$174+PL!$M$177+PL!$M$178</f>
        <v>199.382002765429</v>
      </c>
      <c r="N179" s="38" t="n">
        <f aca="false">Q!$N$25</f>
        <v>37.576</v>
      </c>
      <c r="O179" s="38" t="n">
        <f aca="false">Q!$O$25</f>
        <v>42.399</v>
      </c>
    </row>
    <row r="180" customFormat="false" ht="17.15" hidden="false" customHeight="false" outlineLevel="0" collapsed="false">
      <c r="A180" s="24" t="s">
        <v>715</v>
      </c>
      <c r="B180" s="25" t="s">
        <v>73</v>
      </c>
      <c r="C180" s="39" t="n">
        <f aca="false">PL!$C$169+PL!$C$174+PL!$C$177+PL!$C$178-PL!$C$179</f>
        <v>0</v>
      </c>
      <c r="D180" s="39" t="n">
        <f aca="false">PL!$D$169+PL!$D$174+PL!$D$177+PL!$D$178-PL!$D$179</f>
        <v>0</v>
      </c>
      <c r="E180" s="39" t="n">
        <f aca="false">PL!$E$169+PL!$E$174+PL!$E$177+PL!$E$178-PL!$E$179</f>
        <v>0</v>
      </c>
      <c r="F180" s="39" t="n">
        <f aca="false">PL!$F$169+PL!$F$174+PL!$F$177+PL!$F$178-PL!$F$179</f>
        <v>0</v>
      </c>
      <c r="G180" s="39" t="n">
        <f aca="false">PL!$G$169+PL!$G$174+PL!$G$177+PL!$G$178-PL!$G$179</f>
        <v>0</v>
      </c>
      <c r="H180" s="39" t="n">
        <f aca="false">PL!$H$169+PL!$H$174+PL!$H$177+PL!$H$178-PL!$H$179</f>
        <v>0</v>
      </c>
      <c r="I180" s="39" t="n">
        <f aca="false">PL!$I$169+PL!$I$174+PL!$I$177+PL!$I$178-PL!$I$179</f>
        <v>0</v>
      </c>
      <c r="J180" s="39" t="n">
        <f aca="false">PL!$J$169+PL!$J$174+PL!$J$177+PL!$J$178-PL!$J$179</f>
        <v>0</v>
      </c>
      <c r="K180" s="39" t="n">
        <f aca="false">PL!$K$169+PL!$K$174+PL!$K$177+PL!$K$178-PL!$K$179</f>
        <v>0</v>
      </c>
      <c r="L180" s="39" t="n">
        <f aca="false">PL!$L$169+PL!$L$174+PL!$L$177+PL!$L$178-PL!$L$179</f>
        <v>0</v>
      </c>
      <c r="M180" s="39" t="n">
        <f aca="false">PL!$M$169+PL!$M$174+PL!$M$177+PL!$M$178-PL!$M$179</f>
        <v>0</v>
      </c>
      <c r="N180" s="39" t="n">
        <f aca="false">PL!$N$169+PL!$N$174+PL!$N$177+PL!$N$178-PL!$N$179</f>
        <v>0</v>
      </c>
      <c r="O180" s="39" t="n">
        <f aca="false">PL!$O$169+PL!$O$174+PL!$O$177+PL!$O$178-PL!$O$179</f>
        <v>0</v>
      </c>
    </row>
    <row r="181" customFormat="false" ht="17.15" hidden="false" customHeight="false" outlineLevel="0" collapsed="false">
      <c r="A181" s="0" t="s">
        <v>688</v>
      </c>
      <c r="B181" s="0" t="s">
        <v>52</v>
      </c>
      <c r="C181" s="12" t="n">
        <f aca="false">PL!$C$169/PL!$C$154</f>
        <v>0.0644314665661928</v>
      </c>
      <c r="D181" s="12" t="n">
        <f aca="false">PL!$D$169/PL!$D$154</f>
        <v>0.0694784250712518</v>
      </c>
      <c r="E181" s="12" t="n">
        <f aca="false">PL!$E$169/PL!$E$154</f>
        <v>0.0789306463326071</v>
      </c>
      <c r="F181" s="12" t="n">
        <f aca="false">PL!$F$169/PL!$F$154</f>
        <v>0.0816338957078875</v>
      </c>
      <c r="G181" s="12" t="n">
        <f aca="false">PL!$G$169/PL!$G$154</f>
        <v>0.080384315570057</v>
      </c>
      <c r="H181" s="12" t="n">
        <f aca="false">PL!$H$169/PL!$H$154</f>
        <v>0.080035122355679</v>
      </c>
      <c r="I181" s="12" t="n">
        <f aca="false">PL!$I$169/PL!$I$154</f>
        <v>0.0786798687862144</v>
      </c>
      <c r="J181" s="12" t="n">
        <f aca="false">PL!$J$169/PL!$J$154</f>
        <v>0.0772846370095153</v>
      </c>
      <c r="K181" s="12" t="n">
        <f aca="false">PL!$K$169/PL!$K$154</f>
        <v>0.0753502227686655</v>
      </c>
      <c r="L181" s="12" t="n">
        <f aca="false">PL!$L$169/PL!$L$154</f>
        <v>0.0723154067793922</v>
      </c>
      <c r="M181" s="12" t="n">
        <f aca="false">PL!$M$169/PL!$M$154</f>
        <v>0.070022386735876</v>
      </c>
      <c r="N181" s="12" t="n">
        <f aca="false">PL!$N$169/PL!$N$154</f>
        <v>0.069228576611127</v>
      </c>
      <c r="O181" s="12" t="n">
        <f aca="false">PL!$O$169/PL!$O$154</f>
        <v>0.069685022498393</v>
      </c>
    </row>
    <row r="182" customFormat="false" ht="17.15" hidden="false" customHeight="false" outlineLevel="0" collapsed="false">
      <c r="A182" s="0" t="s">
        <v>689</v>
      </c>
      <c r="B182" s="0" t="s">
        <v>52</v>
      </c>
      <c r="C182" s="12" t="n">
        <f aca="false">PL!$C$174/PL!$C$155</f>
        <v>0.026534925055631</v>
      </c>
      <c r="D182" s="12" t="n">
        <f aca="false">PL!$D$174/PL!$D$155</f>
        <v>0.0293401855535103</v>
      </c>
      <c r="E182" s="12" t="n">
        <f aca="false">PL!$E$174/PL!$E$155</f>
        <v>0.03831141902276</v>
      </c>
      <c r="F182" s="12" t="n">
        <f aca="false">PL!$F$174/PL!$F$155</f>
        <v>0.0297532808235678</v>
      </c>
      <c r="G182" s="12" t="n">
        <f aca="false">PL!$G$174/PL!$G$155</f>
        <v>0.0335954317997163</v>
      </c>
      <c r="H182" s="12" t="n">
        <f aca="false">PL!$H$174/PL!$H$155</f>
        <v>0.0312519754292078</v>
      </c>
      <c r="I182" s="12" t="n">
        <f aca="false">PL!$I$174/PL!$I$155</f>
        <v>0.0278788303191397</v>
      </c>
      <c r="J182" s="12" t="n">
        <f aca="false">PL!$J$174/PL!$J$155</f>
        <v>0.0244019313573061</v>
      </c>
      <c r="K182" s="12" t="n">
        <f aca="false">PL!$K$174/PL!$K$155</f>
        <v>0.020280070641524</v>
      </c>
      <c r="L182" s="12" t="n">
        <f aca="false">PL!$L$174/PL!$L$155</f>
        <v>0.0175947312030086</v>
      </c>
      <c r="M182" s="12" t="n">
        <f aca="false">PL!$M$174/PL!$M$155</f>
        <v>0.0156592172424565</v>
      </c>
      <c r="N182" s="12" t="n">
        <f aca="false">PL!$N$174/PL!$N$155</f>
        <v>0.0357315650169337</v>
      </c>
      <c r="O182" s="12" t="n">
        <f aca="false">PL!$O$174/PL!$O$155</f>
        <v>0.0244378956559703</v>
      </c>
    </row>
    <row r="183" customFormat="false" ht="17.15" hidden="false" customHeight="false" outlineLevel="0" collapsed="false">
      <c r="A183" s="13" t="s">
        <v>690</v>
      </c>
      <c r="B183" s="13" t="s">
        <v>52</v>
      </c>
      <c r="C183" s="16" t="n">
        <f aca="false">PL!$C$177/PL!$C$156</f>
        <v>0.370355907620217</v>
      </c>
      <c r="D183" s="16" t="n">
        <f aca="false">PL!$D$177/PL!$D$156</f>
        <v>0.35429015342785</v>
      </c>
      <c r="E183" s="16" t="n">
        <f aca="false">PL!$E$177/PL!$E$156</f>
        <v>0.385647527531039</v>
      </c>
      <c r="F183" s="16" t="n">
        <f aca="false">PL!$F$177/PL!$F$156</f>
        <v>0.378932397734599</v>
      </c>
      <c r="G183" s="16" t="n">
        <f aca="false">PL!$G$177/PL!$G$156</f>
        <v>0.382038688724379</v>
      </c>
      <c r="H183" s="16" t="n">
        <f aca="false">PL!$H$177/PL!$H$156</f>
        <v>0.342864650784693</v>
      </c>
      <c r="I183" s="16" t="n">
        <f aca="false">PL!$I$177/PL!$I$156</f>
        <v>0.319616411237051</v>
      </c>
      <c r="J183" s="16" t="n">
        <f aca="false">PL!$J$177/PL!$J$156</f>
        <v>0.301804234317094</v>
      </c>
      <c r="K183" s="16" t="n">
        <f aca="false">PL!$K$177/PL!$K$156</f>
        <v>0.286432807419396</v>
      </c>
      <c r="L183" s="16" t="n">
        <f aca="false">PL!$L$177/PL!$L$156</f>
        <v>0.278411190706894</v>
      </c>
      <c r="M183" s="16" t="n">
        <f aca="false">PL!$M$177/PL!$M$156</f>
        <v>0.271323064389968</v>
      </c>
      <c r="N183" s="16" t="n">
        <f aca="false">PL!$N$177/PL!$N$156</f>
        <v>0.360941137346192</v>
      </c>
      <c r="O183" s="16" t="n">
        <f aca="false">PL!$O$177/PL!$O$156</f>
        <v>0.348458117664212</v>
      </c>
    </row>
    <row r="184" customFormat="false" ht="17.15" hidden="false" customHeight="false" outlineLevel="0" collapsed="false">
      <c r="A184" s="0" t="s">
        <v>691</v>
      </c>
      <c r="B184" s="0" t="s">
        <v>52</v>
      </c>
      <c r="C184" s="12" t="n">
        <f aca="false">PL!$C$175/PL!$C$157</f>
        <v>0.708390794789371</v>
      </c>
      <c r="D184" s="12" t="n">
        <f aca="false">PL!$D$175/PL!$D$157</f>
        <v>0.445565630441968</v>
      </c>
      <c r="E184" s="12" t="n">
        <f aca="false">PL!$E$175/PL!$E$157</f>
        <v>0.165998118402711</v>
      </c>
      <c r="F184" s="12" t="n">
        <f aca="false">PL!$F$175/PL!$F$157</f>
        <v>0.401859869136011</v>
      </c>
      <c r="G184" s="12" t="n">
        <f aca="false">PL!$G$175/PL!$G$157</f>
        <v>0.313230095563868</v>
      </c>
      <c r="H184" s="12" t="n">
        <f aca="false">PL!$H$175/PL!$H$157</f>
        <v>0.23470012891306</v>
      </c>
      <c r="I184" s="12" t="n">
        <f aca="false">PL!$I$175/PL!$I$157</f>
        <v>0.187200558396588</v>
      </c>
      <c r="J184" s="12" t="n">
        <f aca="false">PL!$J$175/PL!$J$157</f>
        <v>0.160726355342167</v>
      </c>
      <c r="K184" s="12" t="n">
        <f aca="false">PL!$K$175/PL!$K$157</f>
        <v>0.142637017621647</v>
      </c>
      <c r="L184" s="12" t="n">
        <f aca="false">PL!$L$175/PL!$L$157</f>
        <v>0.139623254059572</v>
      </c>
      <c r="M184" s="12" t="n">
        <f aca="false">PL!$M$175/PL!$M$157</f>
        <v>0.135043429136094</v>
      </c>
      <c r="N184" s="12" t="n">
        <f aca="false">PL!$N$175/PL!$N$157</f>
        <v>0.302870734830849</v>
      </c>
      <c r="O184" s="12" t="n">
        <f aca="false">PL!$O$175/PL!$O$157</f>
        <v>0.52240134346334</v>
      </c>
    </row>
    <row r="185" customFormat="false" ht="15" hidden="false" customHeight="false" outlineLevel="0" collapsed="false">
      <c r="A185" s="5" t="s">
        <v>692</v>
      </c>
      <c r="B185" s="0" t="s">
        <v>52</v>
      </c>
      <c r="C185" s="12" t="n">
        <f aca="false">PL!$C$179/PL!$C$159</f>
        <v>0.107519448742004</v>
      </c>
      <c r="D185" s="12" t="n">
        <f aca="false">PL!$D$179/PL!$D$159</f>
        <v>0.111552967957552</v>
      </c>
      <c r="E185" s="12" t="n">
        <f aca="false">PL!$E$179/PL!$E$159</f>
        <v>0.13428328426562</v>
      </c>
      <c r="F185" s="12" t="n">
        <f aca="false">PL!$F$179/PL!$F$159</f>
        <v>0.131333446792247</v>
      </c>
      <c r="G185" s="12" t="n">
        <f aca="false">PL!$G$179/PL!$G$159</f>
        <v>0.132688598234054</v>
      </c>
      <c r="H185" s="12" t="n">
        <f aca="false">PL!$H$179/PL!$H$159</f>
        <v>0.133673723762684</v>
      </c>
      <c r="I185" s="12" t="n">
        <f aca="false">PL!$I$179/PL!$I$159</f>
        <v>0.134000933571886</v>
      </c>
      <c r="J185" s="12" t="n">
        <f aca="false">PL!$J$179/PL!$J$159</f>
        <v>0.132933854069694</v>
      </c>
      <c r="K185" s="12" t="n">
        <f aca="false">PL!$K$179/PL!$K$159</f>
        <v>0.130258187079329</v>
      </c>
      <c r="L185" s="12" t="n">
        <f aca="false">PL!$L$179/PL!$L$159</f>
        <v>0.128724228122974</v>
      </c>
      <c r="M185" s="12" t="n">
        <f aca="false">PL!$M$179/PL!$M$159</f>
        <v>0.127389112341285</v>
      </c>
      <c r="N185" s="12" t="n">
        <f aca="false">PL!$N$179/PL!$N$159</f>
        <v>0.116201614873411</v>
      </c>
      <c r="O185" s="12" t="n">
        <f aca="false">PL!$O$179/PL!$O$159</f>
        <v>0.107733353660861</v>
      </c>
    </row>
    <row r="186" customFormat="false" ht="17.15" hidden="false" customHeight="false" outlineLevel="0" collapsed="false">
      <c r="A186" s="1" t="s">
        <v>693</v>
      </c>
    </row>
    <row r="187" customFormat="false" ht="17.15" hidden="false" customHeight="false" outlineLevel="0" collapsed="false">
      <c r="A187" s="5" t="s">
        <v>694</v>
      </c>
      <c r="B187" s="0" t="s">
        <v>52</v>
      </c>
      <c r="D187" s="28" t="n">
        <f aca="false">(Q!$E$29+Q!$E$30-(1-ext_sh)*Thesis!$D$155)/Seg!$D$87</f>
        <v>0.0334674312393194</v>
      </c>
    </row>
    <row r="188" customFormat="false" ht="17.15" hidden="false" customHeight="false" outlineLevel="0" collapsed="false">
      <c r="A188" s="0" t="s">
        <v>498</v>
      </c>
      <c r="B188" s="0" t="s">
        <v>73</v>
      </c>
      <c r="C188" s="38" t="n">
        <f aca="false">Q!$D$29</f>
        <v>14.285</v>
      </c>
      <c r="D188" s="38" t="n">
        <f aca="false">Q!$E$29</f>
        <v>15.503</v>
      </c>
      <c r="E188" s="38" t="n">
        <f aca="false">Q!$P$29</f>
        <v>8.78</v>
      </c>
      <c r="F188" s="38" t="n">
        <f aca="false">(PL!$D$187*Seg!$F$87+(1-ext_sh)*Thesis!$F$155)*Seg!$F$88</f>
        <v>9.51361751569285</v>
      </c>
      <c r="G188" s="38" t="n">
        <f aca="false">PL!$E$188+PL!$F$188</f>
        <v>18.2936175156929</v>
      </c>
      <c r="H188" s="38" t="n">
        <f aca="false">(PL!$D$187*Seg!$H$87+(1-ext_sh)*Thesis!$H$155)*Seg!$H$88</f>
        <v>22.7653661801943</v>
      </c>
      <c r="I188" s="38" t="n">
        <f aca="false">(PL!$D$187*Seg!$I$87+(1-ext_sh)*Thesis!$I$155)*Seg!$I$88</f>
        <v>28.4281317305062</v>
      </c>
      <c r="J188" s="38" t="n">
        <f aca="false">(PL!$D$187*Seg!$J$87+(1-ext_sh)*Thesis!$J$155)*Seg!$J$88</f>
        <v>34.1182922009732</v>
      </c>
      <c r="K188" s="38" t="n">
        <f aca="false">(PL!$D$187*Seg!$K$87+(1-ext_sh)*Thesis!$K$155)*Seg!$K$88</f>
        <v>39.7237727987046</v>
      </c>
      <c r="L188" s="38" t="n">
        <f aca="false">(PL!$D$187*Seg!$L$87+(1-ext_sh)*Thesis!$L$155)*Seg!$L$88</f>
        <v>45.1313127180263</v>
      </c>
      <c r="M188" s="38" t="n">
        <f aca="false">(PL!$D$187*Seg!$M$87+(1-ext_sh)*Thesis!$M$155)*Seg!$M$88</f>
        <v>50.743940615442</v>
      </c>
      <c r="N188" s="38" t="n">
        <f aca="false">Q!$N$29</f>
        <v>7.272</v>
      </c>
      <c r="O188" s="38" t="n">
        <f aca="false">Q!$O$29</f>
        <v>8.231</v>
      </c>
    </row>
    <row r="189" customFormat="false" ht="17.15" hidden="false" customHeight="false" outlineLevel="0" collapsed="false">
      <c r="A189" s="0" t="s">
        <v>500</v>
      </c>
      <c r="B189" s="0" t="s">
        <v>73</v>
      </c>
      <c r="C189" s="38" t="n">
        <f aca="false">Q!$D$30</f>
        <v>4.462</v>
      </c>
      <c r="D189" s="38" t="n">
        <f aca="false">Q!$E$30</f>
        <v>4.907</v>
      </c>
      <c r="E189" s="38" t="n">
        <f aca="false">Q!$P$30</f>
        <v>2.57</v>
      </c>
      <c r="F189" s="38" t="n">
        <f aca="false">(PL!$D$187*Seg!$F$87+(1-ext_sh)*Thesis!$F$155)*(1-Seg!$F$88)</f>
        <v>3.7353230631574</v>
      </c>
      <c r="G189" s="38" t="n">
        <f aca="false">PL!$E$189+PL!$F$189</f>
        <v>6.3053230631574</v>
      </c>
      <c r="H189" s="38" t="n">
        <f aca="false">(PL!$D$187*Seg!$H$87+(1-ext_sh)*Thesis!$H$155)*(1-Seg!$H$88)</f>
        <v>8.72254636724805</v>
      </c>
      <c r="I189" s="38" t="n">
        <f aca="false">(PL!$D$187*Seg!$I$87+(1-ext_sh)*Thesis!$I$155)*(1-Seg!$I$88)</f>
        <v>10.8922340713019</v>
      </c>
      <c r="J189" s="38" t="n">
        <f aca="false">(PL!$D$187*Seg!$J$87+(1-ext_sh)*Thesis!$J$155)*(1-Seg!$J$88)</f>
        <v>13.0724181345791</v>
      </c>
      <c r="K189" s="38" t="n">
        <f aca="false">(PL!$D$187*Seg!$K$87+(1-ext_sh)*Thesis!$K$155)*(1-Seg!$K$88)</f>
        <v>15.2201571183236</v>
      </c>
      <c r="L189" s="38" t="n">
        <f aca="false">(PL!$D$187*Seg!$L$87+(1-ext_sh)*Thesis!$L$155)*(1-Seg!$L$88)</f>
        <v>17.2920551631732</v>
      </c>
      <c r="M189" s="38" t="n">
        <f aca="false">(PL!$D$187*Seg!$M$87+(1-ext_sh)*Thesis!$M$155)*(1-Seg!$M$88)</f>
        <v>19.4425326336348</v>
      </c>
      <c r="N189" s="38" t="n">
        <f aca="false">Q!$N$30</f>
        <v>2.316</v>
      </c>
      <c r="O189" s="38" t="n">
        <f aca="false">Q!$O$30</f>
        <v>2.591</v>
      </c>
    </row>
    <row r="190" customFormat="false" ht="17.15" hidden="false" customHeight="false" outlineLevel="0" collapsed="false">
      <c r="A190" s="0" t="s">
        <v>501</v>
      </c>
      <c r="B190" s="0" t="s">
        <v>73</v>
      </c>
      <c r="C190" s="38" t="n">
        <f aca="false">Thesis!$C$167</f>
        <v>13.32</v>
      </c>
      <c r="D190" s="38" t="n">
        <f aca="false">Thesis!$D$167</f>
        <v>21.45</v>
      </c>
      <c r="E190" s="38" t="n">
        <f aca="false">Thesis!$E$167</f>
        <v>15.353</v>
      </c>
      <c r="F190" s="38" t="n">
        <f aca="false">Thesis!$F$167</f>
        <v>17.3614451462707</v>
      </c>
      <c r="G190" s="38" t="n">
        <f aca="false">Thesis!$G$167</f>
        <v>32.7144451462707</v>
      </c>
      <c r="H190" s="38" t="n">
        <f aca="false">Thesis!$H$167</f>
        <v>56.1966092719415</v>
      </c>
      <c r="I190" s="38" t="n">
        <f aca="false">Thesis!$I$167</f>
        <v>82.9744039068297</v>
      </c>
      <c r="J190" s="38" t="n">
        <f aca="false">Thesis!$J$167</f>
        <v>109.943252237669</v>
      </c>
      <c r="K190" s="38" t="n">
        <f aca="false">Thesis!$K$167</f>
        <v>136.406703436571</v>
      </c>
      <c r="L190" s="38" t="n">
        <f aca="false">Thesis!$L$167</f>
        <v>161.485870454155</v>
      </c>
      <c r="M190" s="38" t="n">
        <f aca="false">Thesis!$M$167</f>
        <v>187.389846618199</v>
      </c>
      <c r="N190" s="38" t="n">
        <f aca="false">Thesis!$N$167</f>
        <v>9.234</v>
      </c>
      <c r="O190" s="38" t="n">
        <f aca="false">Thesis!$O$167</f>
        <v>12.216</v>
      </c>
    </row>
    <row r="191" customFormat="false" ht="17.15" hidden="false" customHeight="false" outlineLevel="0" collapsed="false">
      <c r="A191" s="5" t="s">
        <v>695</v>
      </c>
      <c r="B191" s="0" t="s">
        <v>73</v>
      </c>
      <c r="C191" s="38" t="n">
        <f aca="false">PL!$C$188+PL!$C$189+PL!$C$190</f>
        <v>32.067</v>
      </c>
      <c r="D191" s="38" t="n">
        <f aca="false">PL!$D$188+PL!$D$189+PL!$D$190</f>
        <v>41.86</v>
      </c>
      <c r="E191" s="38" t="n">
        <f aca="false">PL!$E$188+PL!$E$189+PL!$E$190</f>
        <v>26.703</v>
      </c>
      <c r="F191" s="38" t="n">
        <f aca="false">PL!$F$188+PL!$F$189+PL!$F$190</f>
        <v>30.6103857251209</v>
      </c>
      <c r="G191" s="38" t="n">
        <f aca="false">PL!$G$188+PL!$G$189+PL!$G$190</f>
        <v>57.3133857251209</v>
      </c>
      <c r="H191" s="38" t="n">
        <f aca="false">PL!$H$188+PL!$H$189+PL!$H$190</f>
        <v>87.6845218193838</v>
      </c>
      <c r="I191" s="38" t="n">
        <f aca="false">PL!$I$188+PL!$I$189+PL!$I$190</f>
        <v>122.294769708638</v>
      </c>
      <c r="J191" s="38" t="n">
        <f aca="false">PL!$J$188+PL!$J$189+PL!$J$190</f>
        <v>157.133962573221</v>
      </c>
      <c r="K191" s="38" t="n">
        <f aca="false">PL!$K$188+PL!$K$189+PL!$K$190</f>
        <v>191.350633353599</v>
      </c>
      <c r="L191" s="38" t="n">
        <f aca="false">PL!$L$188+PL!$L$189+PL!$L$190</f>
        <v>223.909238335354</v>
      </c>
      <c r="M191" s="38" t="n">
        <f aca="false">PL!$M$188+PL!$M$189+PL!$M$190</f>
        <v>257.576319867276</v>
      </c>
      <c r="N191" s="38" t="n">
        <f aca="false">PL!$N$188+PL!$N$189+PL!$N$190</f>
        <v>18.822</v>
      </c>
      <c r="O191" s="38" t="n">
        <f aca="false">PL!$O$188+PL!$O$189+PL!$O$190</f>
        <v>23.038</v>
      </c>
    </row>
    <row r="192" customFormat="false" ht="17.15" hidden="false" customHeight="false" outlineLevel="0" collapsed="false">
      <c r="A192" s="0" t="s">
        <v>696</v>
      </c>
      <c r="B192" s="0" t="s">
        <v>73</v>
      </c>
      <c r="C192" s="38" t="n">
        <f aca="false">PL!$C$165+PL!$C$170</f>
        <v>28.107</v>
      </c>
      <c r="D192" s="38" t="n">
        <f aca="false">PL!$D$165+PL!$D$170</f>
        <v>34.3175</v>
      </c>
      <c r="E192" s="38" t="n">
        <f aca="false">PL!$E$165+PL!$E$170</f>
        <v>18.526</v>
      </c>
      <c r="F192" s="38" t="n">
        <f aca="false">PL!$F$165+PL!$F$170</f>
        <v>24.0766690913691</v>
      </c>
      <c r="G192" s="38" t="n">
        <f aca="false">PL!$G$165+PL!$G$170</f>
        <v>42.6026690913691</v>
      </c>
      <c r="H192" s="38" t="n">
        <f aca="false">PL!$H$165+PL!$H$170</f>
        <v>51.1466809294702</v>
      </c>
      <c r="I192" s="38" t="n">
        <f aca="false">PL!$I$165+PL!$I$170</f>
        <v>59.6899187926205</v>
      </c>
      <c r="J192" s="38" t="n">
        <f aca="false">PL!$J$165+PL!$J$170</f>
        <v>67.6595395244221</v>
      </c>
      <c r="K192" s="38" t="n">
        <f aca="false">PL!$K$165+PL!$K$170</f>
        <v>74.4254934768643</v>
      </c>
      <c r="L192" s="38" t="n">
        <f aca="false">PL!$L$165+PL!$L$170</f>
        <v>81.8680428245508</v>
      </c>
      <c r="M192" s="38" t="n">
        <f aca="false">PL!$M$165+PL!$M$170</f>
        <v>90.0548471070059</v>
      </c>
      <c r="N192" s="38" t="n">
        <f aca="false">PL!$N$165+PL!$N$170</f>
        <v>14.8075</v>
      </c>
      <c r="O192" s="38" t="n">
        <f aca="false">PL!$O$165+PL!$O$170</f>
        <v>19.51</v>
      </c>
    </row>
    <row r="193" customFormat="false" ht="17.15" hidden="false" customHeight="false" outlineLevel="0" collapsed="false">
      <c r="A193" s="0" t="s">
        <v>697</v>
      </c>
      <c r="B193" s="0" t="s">
        <v>73</v>
      </c>
      <c r="C193" s="38" t="n">
        <f aca="false">PL!$C$169+PL!$C$174+PL!$C$188+PL!$C$189-PL!$C$192</f>
        <v>19.399</v>
      </c>
      <c r="D193" s="38" t="n">
        <f aca="false">PL!$D$169+PL!$D$174+PL!$D$188+PL!$D$189-PL!$D$192</f>
        <v>20.4615</v>
      </c>
      <c r="E193" s="38" t="n">
        <f aca="false">PL!$E$169+PL!$E$174+PL!$E$188+PL!$E$189-PL!$E$192</f>
        <v>13.355</v>
      </c>
      <c r="F193" s="38" t="n">
        <f aca="false">PL!$F$169+PL!$F$174+PL!$F$188+PL!$F$189-PL!$F$192</f>
        <v>13.0895111975985</v>
      </c>
      <c r="G193" s="38" t="n">
        <f aca="false">PL!$G$169+PL!$G$174+PL!$G$188+PL!$G$189-PL!$G$192</f>
        <v>26.4445111975985</v>
      </c>
      <c r="H193" s="38" t="n">
        <f aca="false">PL!$H$169+PL!$H$174+PL!$H$188+PL!$H$189-PL!$H$192</f>
        <v>28.8977096937968</v>
      </c>
      <c r="I193" s="38" t="n">
        <f aca="false">PL!$I$169+PL!$I$174+PL!$I$188+PL!$I$189-PL!$I$192</f>
        <v>31.2062039064791</v>
      </c>
      <c r="J193" s="38" t="n">
        <f aca="false">PL!$J$169+PL!$J$174+PL!$J$188+PL!$J$189-PL!$J$192</f>
        <v>33.5064572496913</v>
      </c>
      <c r="K193" s="38" t="n">
        <f aca="false">PL!$K$169+PL!$K$174+PL!$K$188+PL!$K$189-PL!$K$192</f>
        <v>35.6591461575899</v>
      </c>
      <c r="L193" s="38" t="n">
        <f aca="false">PL!$L$169+PL!$L$174+PL!$L$188+PL!$L$189-PL!$L$192</f>
        <v>36.4141007090604</v>
      </c>
      <c r="M193" s="38" t="n">
        <f aca="false">PL!$M$169+PL!$M$174+PL!$M$188+PL!$M$189-PL!$M$192</f>
        <v>37.359984207839</v>
      </c>
      <c r="N193" s="38" t="n">
        <f aca="false">PL!$N$169+PL!$N$174+PL!$N$188+PL!$N$189-PL!$N$192</f>
        <v>10.6495</v>
      </c>
      <c r="O193" s="38" t="n">
        <f aca="false">PL!$O$169+PL!$O$174+PL!$O$188+PL!$O$189-PL!$O$192</f>
        <v>9.81200000000001</v>
      </c>
    </row>
    <row r="194" customFormat="false" ht="17.15" hidden="false" customHeight="false" outlineLevel="0" collapsed="false">
      <c r="A194" s="0" t="s">
        <v>698</v>
      </c>
      <c r="B194" s="0" t="s">
        <v>73</v>
      </c>
      <c r="C194" s="38" t="n">
        <f aca="false">PL!$C$176+PL!$C$190-ext_sh*Thesis!$C$155</f>
        <v>51.3470500115664</v>
      </c>
      <c r="D194" s="38" t="n">
        <f aca="false">PL!$D$176+PL!$D$190-ext_sh*Thesis!$D$155</f>
        <v>60.2799375433739</v>
      </c>
      <c r="E194" s="38" t="n">
        <f aca="false">PL!$E$176+PL!$E$190-ext_sh*Thesis!$E$155</f>
        <v>39.5095167090767</v>
      </c>
      <c r="F194" s="38" t="n">
        <f aca="false">PL!$F$176+PL!$F$190-ext_sh*Thesis!$F$155</f>
        <v>41.606724953129</v>
      </c>
      <c r="G194" s="38" t="n">
        <f aca="false">PL!$G$176+PL!$G$190-ext_sh*Thesis!$G$155</f>
        <v>81.1162416622057</v>
      </c>
      <c r="H194" s="38" t="n">
        <f aca="false">PL!$H$176+PL!$H$190-ext_sh*Thesis!$H$155</f>
        <v>95.7616595325849</v>
      </c>
      <c r="I194" s="38" t="n">
        <f aca="false">PL!$I$176+PL!$I$190-ext_sh*Thesis!$I$155</f>
        <v>111.513312079935</v>
      </c>
      <c r="J194" s="38" t="n">
        <f aca="false">PL!$J$176+PL!$J$190-ext_sh*Thesis!$J$155</f>
        <v>125.145150463955</v>
      </c>
      <c r="K194" s="38" t="n">
        <f aca="false">PL!$K$176+PL!$K$190-ext_sh*Thesis!$K$155</f>
        <v>135.156762501071</v>
      </c>
      <c r="L194" s="38" t="n">
        <f aca="false">PL!$L$176+PL!$L$190-ext_sh*Thesis!$L$155</f>
        <v>145.969303501157</v>
      </c>
      <c r="M194" s="38" t="n">
        <f aca="false">PL!$M$176+PL!$M$190-ext_sh*Thesis!$M$155</f>
        <v>157.646847781249</v>
      </c>
      <c r="N194" s="38" t="n">
        <f aca="false">PL!$N$176+PL!$N$190-ext_sh*Thesis!$N$155</f>
        <v>28.5693781401809</v>
      </c>
      <c r="O194" s="38" t="n">
        <f aca="false">PL!$O$176+PL!$O$190-ext_sh*Thesis!$O$155</f>
        <v>31.7105594031931</v>
      </c>
    </row>
    <row r="195" customFormat="false" ht="17.15" hidden="false" customHeight="false" outlineLevel="0" collapsed="false">
      <c r="A195" s="0" t="s">
        <v>699</v>
      </c>
      <c r="B195" s="0" t="s">
        <v>73</v>
      </c>
      <c r="C195" s="38" t="n">
        <f aca="false">Thesis!$C$158</f>
        <v>1.80694998843362</v>
      </c>
      <c r="D195" s="38" t="n">
        <f aca="false">Thesis!$D$158</f>
        <v>6.77606245662607</v>
      </c>
      <c r="E195" s="38" t="n">
        <f aca="false">Thesis!$E$158</f>
        <v>6.62548329092326</v>
      </c>
      <c r="F195" s="38" t="n">
        <f aca="false">Thesis!$F$158</f>
        <v>10.8940413794839</v>
      </c>
      <c r="G195" s="38" t="n">
        <f aca="false">Thesis!$G$158</f>
        <v>17.5195246704072</v>
      </c>
      <c r="H195" s="38" t="n">
        <f aca="false">Thesis!$H$158</f>
        <v>40.7735721541341</v>
      </c>
      <c r="I195" s="38" t="n">
        <f aca="false">Thesis!$I$158</f>
        <v>66.8500163832358</v>
      </c>
      <c r="J195" s="38" t="n">
        <f aca="false">Thesis!$J$158</f>
        <v>93.0640470849174</v>
      </c>
      <c r="K195" s="38" t="n">
        <f aca="false">Thesis!$K$158</f>
        <v>119.323939944126</v>
      </c>
      <c r="L195" s="38" t="n">
        <f aca="false">Thesis!$L$158</f>
        <v>145.604679238573</v>
      </c>
      <c r="M195" s="38" t="n">
        <f aca="false">Thesis!$M$158</f>
        <v>171.896643536611</v>
      </c>
      <c r="N195" s="38" t="n">
        <f aca="false">Thesis!$N$158</f>
        <v>2.37162185981912</v>
      </c>
      <c r="O195" s="38" t="n">
        <f aca="false">Thesis!$O$158</f>
        <v>4.40444059680694</v>
      </c>
    </row>
    <row r="196" customFormat="false" ht="17.15" hidden="false" customHeight="false" outlineLevel="0" collapsed="false">
      <c r="A196" s="0" t="s">
        <v>700</v>
      </c>
      <c r="B196" s="0" t="s">
        <v>73</v>
      </c>
      <c r="C196" s="38" t="n">
        <f aca="false">PL!$C$179+PL!$C$191</f>
        <v>100.66</v>
      </c>
      <c r="D196" s="38" t="n">
        <f aca="false">PL!$D$179+PL!$D$191</f>
        <v>121.835</v>
      </c>
      <c r="E196" s="38" t="n">
        <f aca="false">PL!$E$179+PL!$E$191</f>
        <v>78.016</v>
      </c>
      <c r="F196" s="38" t="n">
        <f aca="false">PL!$F$179+PL!$F$191</f>
        <v>89.6669466215805</v>
      </c>
      <c r="G196" s="38" t="n">
        <f aca="false">PL!$G$179+PL!$G$191</f>
        <v>167.68294662158</v>
      </c>
      <c r="H196" s="38" t="n">
        <f aca="false">PL!$H$179+PL!$H$191</f>
        <v>216.579622309986</v>
      </c>
      <c r="I196" s="38" t="n">
        <f aca="false">PL!$I$179+PL!$I$191</f>
        <v>269.259451162271</v>
      </c>
      <c r="J196" s="38" t="n">
        <f aca="false">PL!$J$179+PL!$J$191</f>
        <v>319.375194322985</v>
      </c>
      <c r="K196" s="38" t="n">
        <f aca="false">PL!$K$179+PL!$K$191</f>
        <v>364.565342079651</v>
      </c>
      <c r="L196" s="38" t="n">
        <f aca="false">PL!$L$179+PL!$L$191</f>
        <v>409.856126273341</v>
      </c>
      <c r="M196" s="38" t="n">
        <f aca="false">PL!$M$179+PL!$M$191</f>
        <v>456.958322632705</v>
      </c>
      <c r="N196" s="38" t="n">
        <f aca="false">PL!$N$179+PL!$N$191</f>
        <v>56.398</v>
      </c>
      <c r="O196" s="38" t="n">
        <f aca="false">PL!$O$179+PL!$O$191</f>
        <v>65.437</v>
      </c>
    </row>
    <row r="197" customFormat="false" ht="17.15" hidden="false" customHeight="false" outlineLevel="0" collapsed="false">
      <c r="A197" s="1" t="s">
        <v>701</v>
      </c>
    </row>
    <row r="198" customFormat="false" ht="15" hidden="false" customHeight="false" outlineLevel="0" collapsed="false">
      <c r="A198" s="5" t="s">
        <v>504</v>
      </c>
      <c r="B198" s="0" t="s">
        <v>73</v>
      </c>
      <c r="C198" s="38" t="n">
        <f aca="false">Q!$D$34</f>
        <v>2.406</v>
      </c>
      <c r="D198" s="38" t="n">
        <f aca="false">Q!$E$34</f>
        <v>2.274</v>
      </c>
      <c r="E198" s="38" t="n">
        <f aca="false">Q!$P$34</f>
        <v>2.114</v>
      </c>
      <c r="F198" s="38" t="n">
        <f aca="false">CF!$F$98</f>
        <v>3.24888964316061</v>
      </c>
      <c r="G198" s="38" t="n">
        <f aca="false">PL!$E$198+PL!$F$198</f>
        <v>5.36288964316061</v>
      </c>
      <c r="H198" s="38" t="n">
        <f aca="false">CF!$H$98</f>
        <v>7.42354178632123</v>
      </c>
      <c r="I198" s="38" t="n">
        <f aca="false">CF!$I$98</f>
        <v>7.93350291307667</v>
      </c>
      <c r="J198" s="38" t="n">
        <f aca="false">CF!$J$98</f>
        <v>8.95576692016377</v>
      </c>
      <c r="K198" s="38" t="n">
        <f aca="false">CF!$K$98</f>
        <v>8.95576692016377</v>
      </c>
      <c r="L198" s="38" t="n">
        <f aca="false">CF!$L$98</f>
        <v>8.95576692016377</v>
      </c>
      <c r="M198" s="38" t="n">
        <f aca="false">CF!$M$98</f>
        <v>8.95576692016377</v>
      </c>
      <c r="N198" s="38" t="n">
        <f aca="false">Q!$N$34</f>
        <v>1.057</v>
      </c>
      <c r="O198" s="38" t="n">
        <f aca="false">Q!$O$34</f>
        <v>1.217</v>
      </c>
    </row>
    <row r="199" customFormat="false" ht="15" hidden="false" customHeight="false" outlineLevel="0" collapsed="false">
      <c r="A199" s="5" t="s">
        <v>702</v>
      </c>
      <c r="B199" s="0" t="s">
        <v>73</v>
      </c>
      <c r="F199" s="38" t="n">
        <f aca="false">CF!$F$99</f>
        <v>2.59</v>
      </c>
      <c r="H199" s="38" t="n">
        <f aca="false">CF!$H$99</f>
        <v>3.97968175674031</v>
      </c>
      <c r="I199" s="38" t="n">
        <f aca="false">CF!$I$99</f>
        <v>2.10589651022864</v>
      </c>
      <c r="J199" s="38" t="n">
        <f aca="false">CF!$J$99</f>
        <v>2.10589651022864</v>
      </c>
      <c r="K199" s="38" t="n">
        <f aca="false">CF!$K$99</f>
        <v>2.9860952409183</v>
      </c>
      <c r="L199" s="38" t="n">
        <f aca="false">CF!$L$99</f>
        <v>5.37108266863553</v>
      </c>
      <c r="M199" s="38" t="n">
        <f aca="false">CF!$M$99</f>
        <v>7.96723599091899</v>
      </c>
    </row>
    <row r="200" customFormat="false" ht="17.15" hidden="false" customHeight="false" outlineLevel="0" collapsed="false">
      <c r="A200" s="5" t="s">
        <v>703</v>
      </c>
      <c r="B200" s="0" t="s">
        <v>73</v>
      </c>
      <c r="C200" s="38" t="n">
        <f aca="false">Q!$D$39</f>
        <v>2.427</v>
      </c>
      <c r="D200" s="38" t="n">
        <f aca="false">Q!$E$39</f>
        <v>19.61</v>
      </c>
      <c r="E200" s="38" t="n">
        <f aca="false">Q!$P$39</f>
        <v>71.492</v>
      </c>
      <c r="F200" s="41" t="n">
        <v>0</v>
      </c>
      <c r="G200" s="38" t="n">
        <f aca="false">PL!$E$200+PL!$F$200</f>
        <v>71.492</v>
      </c>
      <c r="H200" s="41" t="n">
        <v>0</v>
      </c>
      <c r="I200" s="41" t="n">
        <v>0</v>
      </c>
      <c r="J200" s="41" t="n">
        <v>0</v>
      </c>
      <c r="K200" s="41" t="n">
        <v>0</v>
      </c>
      <c r="L200" s="41" t="n">
        <v>0</v>
      </c>
      <c r="M200" s="41" t="n">
        <v>0</v>
      </c>
      <c r="N200" s="38" t="n">
        <f aca="false">Q!$N$39</f>
        <v>6.017</v>
      </c>
      <c r="O200" s="38" t="n">
        <f aca="false">Q!$O$39</f>
        <v>13.593</v>
      </c>
      <c r="P200" s="5" t="s">
        <v>704</v>
      </c>
    </row>
    <row r="201" customFormat="false" ht="15" hidden="false" customHeight="false" outlineLevel="0" collapsed="false">
      <c r="A201" s="5" t="s">
        <v>507</v>
      </c>
      <c r="B201" s="0" t="s">
        <v>73</v>
      </c>
      <c r="C201" s="38" t="n">
        <f aca="false">Q!$D$36</f>
        <v>68.614</v>
      </c>
      <c r="D201" s="38" t="n">
        <f aca="false">Q!$E$36</f>
        <v>97.311</v>
      </c>
      <c r="E201" s="38" t="n">
        <f aca="false">Q!$P$36</f>
        <v>120.691</v>
      </c>
      <c r="F201" s="38" t="n">
        <f aca="false">PL!$F$179-PL!$F$198+PL!$F$199+PL!$F$200</f>
        <v>58.3976712532989</v>
      </c>
      <c r="G201" s="38" t="n">
        <f aca="false">PL!$E$201+PL!$F$201</f>
        <v>179.088671253299</v>
      </c>
      <c r="H201" s="38" t="n">
        <f aca="false">PL!$H$179-PL!$H$198+PL!$H$199+PL!$H$200</f>
        <v>125.451240461021</v>
      </c>
      <c r="I201" s="38" t="n">
        <f aca="false">PL!$I$179-PL!$I$198+PL!$I$199+PL!$I$200</f>
        <v>141.137075050785</v>
      </c>
      <c r="J201" s="38" t="n">
        <f aca="false">PL!$J$179-PL!$J$198+PL!$J$199+PL!$J$200</f>
        <v>155.391361339829</v>
      </c>
      <c r="K201" s="38" t="n">
        <f aca="false">PL!$K$179-PL!$K$198+PL!$K$199+PL!$K$200</f>
        <v>167.245037046806</v>
      </c>
      <c r="L201" s="38" t="n">
        <f aca="false">PL!$L$179-PL!$L$198+PL!$L$199+PL!$L$200</f>
        <v>182.362203686458</v>
      </c>
      <c r="M201" s="38" t="n">
        <f aca="false">PL!$M$179-PL!$M$198+PL!$M$199+PL!$M$200</f>
        <v>198.393471836184</v>
      </c>
      <c r="N201" s="38" t="n">
        <f aca="false">Q!$N$36</f>
        <v>42.536</v>
      </c>
      <c r="O201" s="38" t="n">
        <f aca="false">Q!$O$36</f>
        <v>54.775</v>
      </c>
    </row>
    <row r="202" customFormat="false" ht="15" hidden="false" customHeight="false" outlineLevel="0" collapsed="false">
      <c r="A202" s="5" t="s">
        <v>508</v>
      </c>
      <c r="B202" s="0" t="s">
        <v>73</v>
      </c>
      <c r="C202" s="38" t="n">
        <f aca="false">Q!$D$37</f>
        <v>9.265</v>
      </c>
      <c r="D202" s="38" t="n">
        <f aca="false">Q!$E$37</f>
        <v>19.087</v>
      </c>
      <c r="E202" s="38" t="n">
        <f aca="false">Q!$P$37</f>
        <v>27.759</v>
      </c>
      <c r="F202" s="38" t="n">
        <f aca="false">PL!$F$201*tax</f>
        <v>10.1369321202742</v>
      </c>
      <c r="G202" s="38" t="n">
        <f aca="false">PL!$E$202+PL!$F$202</f>
        <v>37.8959321202742</v>
      </c>
      <c r="H202" s="38" t="n">
        <f aca="false">PL!$H$201*tax</f>
        <v>21.7763941894468</v>
      </c>
      <c r="I202" s="38" t="n">
        <f aca="false">PL!$I$201*tax</f>
        <v>24.4992123613667</v>
      </c>
      <c r="J202" s="38" t="n">
        <f aca="false">PL!$J$201*tax</f>
        <v>26.9735358991711</v>
      </c>
      <c r="K202" s="38" t="n">
        <f aca="false">PL!$K$201*tax</f>
        <v>29.0311505854857</v>
      </c>
      <c r="L202" s="38" t="n">
        <f aca="false">PL!$L$201*tax</f>
        <v>31.655256800481</v>
      </c>
      <c r="M202" s="38" t="n">
        <f aca="false">PL!$M$201*tax</f>
        <v>34.4380368933859</v>
      </c>
      <c r="N202" s="38" t="n">
        <f aca="false">Q!$N$37</f>
        <v>7.231</v>
      </c>
      <c r="O202" s="38" t="n">
        <f aca="false">Q!$O$37</f>
        <v>11.856</v>
      </c>
    </row>
    <row r="203" customFormat="false" ht="15" hidden="false" customHeight="false" outlineLevel="0" collapsed="false">
      <c r="A203" s="3" t="s">
        <v>509</v>
      </c>
      <c r="B203" s="8" t="s">
        <v>73</v>
      </c>
      <c r="C203" s="38" t="n">
        <f aca="false">Q!$D$38</f>
        <v>59.248</v>
      </c>
      <c r="D203" s="38" t="n">
        <f aca="false">Q!$E$38</f>
        <v>77.67</v>
      </c>
      <c r="E203" s="38" t="n">
        <f aca="false">Q!$P$38</f>
        <v>92.902</v>
      </c>
      <c r="F203" s="38" t="n">
        <f aca="false">PL!$F$201-PL!$F$202</f>
        <v>48.2607391330247</v>
      </c>
      <c r="G203" s="38" t="n">
        <f aca="false">PL!$E$203+PL!$F$203</f>
        <v>141.162739133025</v>
      </c>
      <c r="H203" s="38" t="n">
        <f aca="false">PL!$H$201-PL!$H$202</f>
        <v>103.674846271574</v>
      </c>
      <c r="I203" s="38" t="n">
        <f aca="false">PL!$I$201-PL!$I$202</f>
        <v>116.637862689418</v>
      </c>
      <c r="J203" s="38" t="n">
        <f aca="false">PL!$J$201-PL!$J$202</f>
        <v>128.417825440658</v>
      </c>
      <c r="K203" s="38" t="n">
        <f aca="false">PL!$K$201-PL!$K$202</f>
        <v>138.21388646132</v>
      </c>
      <c r="L203" s="38" t="n">
        <f aca="false">PL!$L$201-PL!$L$202</f>
        <v>150.706946885977</v>
      </c>
      <c r="M203" s="38" t="n">
        <f aca="false">PL!$M$201-PL!$M$202</f>
        <v>163.955434942798</v>
      </c>
      <c r="N203" s="38" t="n">
        <f aca="false">Q!$N$38</f>
        <v>35.291</v>
      </c>
      <c r="O203" s="38" t="n">
        <f aca="false">Q!$O$38</f>
        <v>42.379</v>
      </c>
    </row>
    <row r="204" customFormat="false" ht="17.15" hidden="false" customHeight="false" outlineLevel="0" collapsed="false">
      <c r="A204" s="5" t="s">
        <v>512</v>
      </c>
      <c r="B204" s="5" t="s">
        <v>33</v>
      </c>
      <c r="C204" s="22" t="n">
        <f aca="false">Q!$D$41</f>
        <v>10.721</v>
      </c>
      <c r="D204" s="22" t="n">
        <f aca="false">Q!$E$41</f>
        <v>10.827</v>
      </c>
      <c r="E204" s="22" t="n">
        <f aca="false">(Q!$L$41+Q!$M$41)/2</f>
        <v>10.8885</v>
      </c>
      <c r="F204" s="22" t="n">
        <f aca="false">PL!$G$204</f>
        <v>10.924806</v>
      </c>
      <c r="G204" s="22" t="n">
        <f aca="false">Q!$M$41*(1+sh_g*0.25)</f>
        <v>10.924806</v>
      </c>
      <c r="H204" s="22" t="n">
        <f aca="false">PL!$G$204*(1+sh_g)</f>
        <v>11.012204448</v>
      </c>
      <c r="I204" s="22" t="n">
        <f aca="false">PL!$H$204*(1+sh_g)</f>
        <v>11.100302083584</v>
      </c>
      <c r="J204" s="22" t="n">
        <f aca="false">PL!$I$204*(1+sh_g)</f>
        <v>11.1891045002527</v>
      </c>
      <c r="K204" s="22" t="n">
        <f aca="false">PL!$J$204*(1+sh_g)</f>
        <v>11.2786173362547</v>
      </c>
      <c r="L204" s="22" t="n">
        <f aca="false">PL!$K$204*(1+sh_g)</f>
        <v>11.3688462749447</v>
      </c>
      <c r="M204" s="22" t="n">
        <f aca="false">PL!$L$204*(1+sh_g)</f>
        <v>11.4597970451443</v>
      </c>
      <c r="P204" s="5" t="s">
        <v>705</v>
      </c>
    </row>
    <row r="205" customFormat="false" ht="17.15" hidden="false" customHeight="false" outlineLevel="0" collapsed="false">
      <c r="A205" s="42" t="s">
        <v>706</v>
      </c>
      <c r="B205" s="13" t="s">
        <v>27</v>
      </c>
      <c r="C205" s="43" t="n">
        <f aca="false">PL!$C$203/PL!$C$204</f>
        <v>5.52635015390355</v>
      </c>
      <c r="D205" s="43" t="n">
        <f aca="false">PL!$D$203/PL!$D$204</f>
        <v>7.1737323358271</v>
      </c>
      <c r="E205" s="43" t="n">
        <f aca="false">PL!$E$203/PL!$E$204</f>
        <v>8.53212104513937</v>
      </c>
      <c r="F205" s="13"/>
      <c r="G205" s="43" t="n">
        <f aca="false">PL!$G$203/PL!$G$204</f>
        <v>12.9213039694274</v>
      </c>
      <c r="H205" s="43" t="n">
        <f aca="false">PL!$H$203/PL!$H$204</f>
        <v>9.41454063635764</v>
      </c>
      <c r="I205" s="43" t="n">
        <f aca="false">PL!$I$203/PL!$I$204</f>
        <v>10.5076295952262</v>
      </c>
      <c r="J205" s="43" t="n">
        <f aca="false">PL!$J$203/PL!$J$204</f>
        <v>11.4770422814228</v>
      </c>
      <c r="K205" s="43" t="n">
        <f aca="false">PL!$K$203/PL!$K$204</f>
        <v>12.2545062342914</v>
      </c>
      <c r="L205" s="43" t="n">
        <f aca="false">PL!$L$203/PL!$L$204</f>
        <v>13.2561337572233</v>
      </c>
      <c r="M205" s="43" t="n">
        <f aca="false">PL!$M$203/PL!$M$204</f>
        <v>14.3070103507871</v>
      </c>
      <c r="N205" s="13"/>
      <c r="O205" s="13"/>
    </row>
    <row r="206" customFormat="false" ht="17.15" hidden="false" customHeight="false" outlineLevel="0" collapsed="false">
      <c r="A206" s="0" t="s">
        <v>707</v>
      </c>
      <c r="B206" s="0" t="s">
        <v>27</v>
      </c>
      <c r="C206" s="30" t="n">
        <f aca="false">(PL!$C$203-PL!$C$200*(1-tax))/PL!$C$204</f>
        <v>5.33926775917445</v>
      </c>
      <c r="D206" s="30" t="n">
        <f aca="false">(PL!$D$203-PL!$D$200*(1-tax))/PL!$D$204</f>
        <v>5.67691812755503</v>
      </c>
      <c r="E206" s="30" t="n">
        <f aca="false">(PL!$E$203-PL!$E$200*(1-tax))/PL!$E$204</f>
        <v>3.10602057006846</v>
      </c>
      <c r="G206" s="30" t="n">
        <f aca="false">(PL!$G$203-PL!$G$200*(1-tax))/PL!$G$204</f>
        <v>7.51323585153046</v>
      </c>
      <c r="H206" s="30" t="n">
        <f aca="false">(PL!$H$203-PL!$H$200*(1-tax))/PL!$H$204</f>
        <v>9.41454063635764</v>
      </c>
      <c r="I206" s="30" t="n">
        <f aca="false">(PL!$I$203-PL!$I$200*(1-tax))/PL!$I$204</f>
        <v>10.5076295952262</v>
      </c>
      <c r="J206" s="30" t="n">
        <f aca="false">(PL!$J$203-PL!$J$200*(1-tax))/PL!$J$204</f>
        <v>11.4770422814228</v>
      </c>
      <c r="K206" s="30" t="n">
        <f aca="false">(PL!$K$203-PL!$K$200*(1-tax))/PL!$K$204</f>
        <v>12.2545062342914</v>
      </c>
      <c r="L206" s="30" t="n">
        <f aca="false">(PL!$L$203-PL!$L$200*(1-tax))/PL!$L$204</f>
        <v>13.2561337572233</v>
      </c>
      <c r="M206" s="30" t="n">
        <f aca="false">(PL!$M$203-PL!$M$200*(1-tax))/PL!$M$204</f>
        <v>14.3070103507871</v>
      </c>
      <c r="P206" s="5" t="s">
        <v>708</v>
      </c>
    </row>
    <row r="207" customFormat="false" ht="17.15" hidden="false" customHeight="false" outlineLevel="0" collapsed="false">
      <c r="A207" s="0" t="s">
        <v>709</v>
      </c>
      <c r="B207" s="0" t="s">
        <v>52</v>
      </c>
      <c r="H207" s="12" t="n">
        <f aca="false">PL!$H$205/PL!$G$205-1</f>
        <v>-0.271393919790681</v>
      </c>
      <c r="I207" s="12" t="n">
        <f aca="false">PL!$I$205/PL!$H$205-1</f>
        <v>0.11610645713793</v>
      </c>
      <c r="J207" s="12" t="n">
        <f aca="false">PL!$J$205/PL!$I$205-1</f>
        <v>0.0922579804903911</v>
      </c>
      <c r="K207" s="12" t="n">
        <f aca="false">PL!$K$205/PL!$J$205-1</f>
        <v>0.0677407936474195</v>
      </c>
      <c r="L207" s="12" t="n">
        <f aca="false">PL!$L$205/PL!$K$205-1</f>
        <v>0.0817354452135402</v>
      </c>
      <c r="M207" s="12" t="n">
        <f aca="false">PL!$M$205/PL!$L$205-1</f>
        <v>0.0792747427575651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15" min="3" style="0" width="11"/>
    <col collapsed="false" customWidth="true" hidden="false" outlineLevel="0" max="16" min="16" style="0" width="60"/>
  </cols>
  <sheetData>
    <row r="1" customFormat="false" ht="17.15" hidden="false" customHeight="false" outlineLevel="0" collapsed="false">
      <c r="A1" s="0" t="s">
        <v>716</v>
      </c>
    </row>
    <row r="4" customFormat="false" ht="15" hidden="false" customHeight="false" outlineLevel="0" collapsed="false">
      <c r="A4" s="3" t="s">
        <v>717</v>
      </c>
    </row>
    <row r="5" customFormat="false" ht="17.15" hidden="false" customHeight="false" outlineLevel="0" collapsed="false">
      <c r="A5" s="6" t="s">
        <v>16</v>
      </c>
      <c r="B5" s="20" t="s">
        <v>718</v>
      </c>
      <c r="C5" s="20" t="s">
        <v>719</v>
      </c>
      <c r="D5" s="20" t="s">
        <v>720</v>
      </c>
      <c r="E5" s="6" t="s">
        <v>721</v>
      </c>
      <c r="F5" s="6" t="s">
        <v>23</v>
      </c>
    </row>
    <row r="6" customFormat="false" ht="17.15" hidden="false" customHeight="false" outlineLevel="0" collapsed="false">
      <c r="A6" s="14" t="s">
        <v>722</v>
      </c>
      <c r="B6" s="44" t="n">
        <f aca="false">CF!$G$40</f>
        <v>194.303407425881</v>
      </c>
      <c r="C6" s="44" t="n">
        <f aca="false">CF!$G$70</f>
        <v>9.81640432587554</v>
      </c>
      <c r="D6" s="44" t="n">
        <f aca="false">CF!$G$100</f>
        <v>-53.3099198032599</v>
      </c>
      <c r="E6" s="44" t="n">
        <f aca="false">w_A*B6+w_B*C6+w_C*D6</f>
        <v>40.1565740685931</v>
      </c>
      <c r="F6" s="13" t="s">
        <v>723</v>
      </c>
    </row>
    <row r="7" customFormat="false" ht="17.15" hidden="false" customHeight="false" outlineLevel="0" collapsed="false">
      <c r="A7" s="0" t="s">
        <v>724</v>
      </c>
      <c r="B7" s="45" t="n">
        <f aca="false">CF!$G$41</f>
        <v>0</v>
      </c>
      <c r="C7" s="45" t="n">
        <f aca="false">CF!$G$71</f>
        <v>5.47233545597079</v>
      </c>
      <c r="D7" s="45" t="n">
        <f aca="false">CF!$G$101</f>
        <v>24.2057683071491</v>
      </c>
    </row>
    <row r="8" customFormat="false" ht="17.15" hidden="false" customHeight="false" outlineLevel="0" collapsed="false">
      <c r="A8" s="5" t="s">
        <v>725</v>
      </c>
      <c r="B8" s="0" t="str">
        <f aca="false">IF(B7&gt;0,"需要舉債","不需要（現金足以支應）")</f>
        <v>不需要（現金足以支應）</v>
      </c>
      <c r="C8" s="0" t="str">
        <f aca="false">IF(C7&gt;0,"需要舉債","不需要（現金足以支應）")</f>
        <v>需要舉債</v>
      </c>
      <c r="D8" s="0" t="str">
        <f aca="false">IF(D7&gt;0,"需要舉債","不需要（現金足以支應）")</f>
        <v>需要舉債</v>
      </c>
      <c r="F8" s="5" t="s">
        <v>726</v>
      </c>
    </row>
    <row r="9" customFormat="false" ht="17.15" hidden="false" customHeight="false" outlineLevel="0" collapsed="false">
      <c r="A9" s="5" t="s">
        <v>727</v>
      </c>
      <c r="B9" s="5" t="s">
        <v>728</v>
      </c>
      <c r="C9" s="5" t="s">
        <v>728</v>
      </c>
      <c r="D9" s="5" t="s">
        <v>728</v>
      </c>
    </row>
    <row r="10" customFormat="false" ht="17.15" hidden="false" customHeight="false" outlineLevel="0" collapsed="false">
      <c r="A10" s="0" t="s">
        <v>729</v>
      </c>
      <c r="B10" s="45" t="n">
        <f aca="false">CF!$I$29</f>
        <v>30.9169363385503</v>
      </c>
      <c r="C10" s="45" t="n">
        <f aca="false">CF!$I$59</f>
        <v>-3.97574477606648</v>
      </c>
      <c r="D10" s="45" t="n">
        <f aca="false">CF!$I$89</f>
        <v>-16.1495103805229</v>
      </c>
    </row>
    <row r="14" customFormat="false" ht="19.4" hidden="false" customHeight="false" outlineLevel="0" collapsed="false">
      <c r="A14" s="31" t="s">
        <v>730</v>
      </c>
    </row>
    <row r="15" customFormat="false" ht="17.15" hidden="false" customHeight="false" outlineLevel="0" collapsed="false">
      <c r="A15" s="6" t="s">
        <v>16</v>
      </c>
      <c r="B15" s="6" t="s">
        <v>17</v>
      </c>
      <c r="C15" s="20" t="s">
        <v>457</v>
      </c>
      <c r="D15" s="20" t="s">
        <v>458</v>
      </c>
      <c r="E15" s="20" t="s">
        <v>540</v>
      </c>
      <c r="F15" s="20" t="s">
        <v>541</v>
      </c>
      <c r="G15" s="20" t="s">
        <v>542</v>
      </c>
      <c r="H15" s="20" t="s">
        <v>543</v>
      </c>
      <c r="I15" s="20" t="s">
        <v>544</v>
      </c>
      <c r="J15" s="20" t="s">
        <v>545</v>
      </c>
      <c r="K15" s="20" t="s">
        <v>546</v>
      </c>
      <c r="L15" s="20" t="s">
        <v>547</v>
      </c>
      <c r="M15" s="20" t="s">
        <v>548</v>
      </c>
      <c r="N15" s="20" t="s">
        <v>549</v>
      </c>
      <c r="O15" s="20" t="s">
        <v>550</v>
      </c>
      <c r="P15" s="6" t="s">
        <v>23</v>
      </c>
      <c r="R15" s="20" t="n">
        <v>2023</v>
      </c>
      <c r="S15" s="20" t="n">
        <v>2024</v>
      </c>
      <c r="T15" s="20" t="n">
        <v>2025</v>
      </c>
      <c r="U15" s="20" t="n">
        <v>2026</v>
      </c>
      <c r="V15" s="20" t="n">
        <v>2027</v>
      </c>
      <c r="W15" s="20" t="n">
        <v>2028</v>
      </c>
      <c r="X15" s="20" t="n">
        <v>2029</v>
      </c>
      <c r="Y15" s="20" t="n">
        <v>2030</v>
      </c>
      <c r="Z15" s="20" t="n">
        <v>2031</v>
      </c>
      <c r="AA15" s="20" t="n">
        <v>2032</v>
      </c>
    </row>
    <row r="16" customFormat="false" ht="15" hidden="false" customHeight="false" outlineLevel="0" collapsed="false">
      <c r="A16" s="5" t="s">
        <v>509</v>
      </c>
      <c r="B16" s="0" t="s">
        <v>73</v>
      </c>
      <c r="C16" s="38" t="n">
        <f aca="false">PL!$C$71</f>
        <v>59.248</v>
      </c>
      <c r="D16" s="38" t="n">
        <f aca="false">PL!$D$71</f>
        <v>77.67</v>
      </c>
      <c r="E16" s="38" t="n">
        <f aca="false">PL!$E$71</f>
        <v>92.902</v>
      </c>
      <c r="F16" s="38" t="n">
        <f aca="false">PL!$F$71</f>
        <v>51.2347864989923</v>
      </c>
      <c r="G16" s="38" t="n">
        <f aca="false">PL!$G$71</f>
        <v>144.136786498992</v>
      </c>
      <c r="H16" s="38" t="n">
        <f aca="false">PL!$H$71</f>
        <v>127.675227697787</v>
      </c>
      <c r="I16" s="38" t="n">
        <f aca="false">PL!$I$71</f>
        <v>165.923234260384</v>
      </c>
      <c r="J16" s="38" t="n">
        <f aca="false">PL!$J$71</f>
        <v>204.1591209523</v>
      </c>
      <c r="K16" s="38" t="n">
        <f aca="false">PL!$K$71</f>
        <v>241.153271705763</v>
      </c>
      <c r="L16" s="38" t="n">
        <f aca="false">PL!$L$71</f>
        <v>281.874792397161</v>
      </c>
      <c r="M16" s="38" t="n">
        <f aca="false">PL!$M$71</f>
        <v>324.410160879885</v>
      </c>
    </row>
    <row r="17" customFormat="false" ht="17.15" hidden="false" customHeight="false" outlineLevel="0" collapsed="false">
      <c r="A17" s="5" t="s">
        <v>731</v>
      </c>
      <c r="B17" s="0" t="s">
        <v>73</v>
      </c>
      <c r="C17" s="38" t="n">
        <f aca="false">PL!$C$59</f>
        <v>32.067</v>
      </c>
      <c r="D17" s="38" t="n">
        <f aca="false">PL!$D$59</f>
        <v>41.86</v>
      </c>
      <c r="E17" s="38" t="n">
        <f aca="false">PL!$E$59</f>
        <v>26.703</v>
      </c>
      <c r="F17" s="38" t="n">
        <f aca="false">PL!$F$59</f>
        <v>30.6103857251209</v>
      </c>
      <c r="G17" s="38" t="n">
        <f aca="false">PL!$G$59</f>
        <v>57.3133857251209</v>
      </c>
      <c r="H17" s="38" t="n">
        <f aca="false">PL!$H$59</f>
        <v>88.0472240036338</v>
      </c>
      <c r="I17" s="38" t="n">
        <f aca="false">PL!$I$59</f>
        <v>123.410374122513</v>
      </c>
      <c r="J17" s="38" t="n">
        <f aca="false">PL!$J$59</f>
        <v>159.029967077846</v>
      </c>
      <c r="K17" s="38" t="n">
        <f aca="false">PL!$K$59</f>
        <v>194.027037948974</v>
      </c>
      <c r="L17" s="38" t="n">
        <f aca="false">PL!$L$59</f>
        <v>227.366043021479</v>
      </c>
      <c r="M17" s="38" t="n">
        <f aca="false">PL!$M$59</f>
        <v>261.813524644151</v>
      </c>
    </row>
    <row r="18" customFormat="false" ht="15" hidden="false" customHeight="false" outlineLevel="0" collapsed="false">
      <c r="A18" s="5" t="s">
        <v>732</v>
      </c>
      <c r="B18" s="0" t="s">
        <v>73</v>
      </c>
      <c r="C18" s="38" t="n">
        <f aca="false">Q!$D$48</f>
        <v>22.011</v>
      </c>
      <c r="D18" s="38" t="n">
        <f aca="false">Q!$E$48</f>
        <v>19.467</v>
      </c>
      <c r="E18" s="38" t="n">
        <f aca="false">Q!$P$48</f>
        <v>10.07</v>
      </c>
      <c r="F18" s="38" t="n">
        <f aca="false">sbc_r*Seg!$F$29</f>
        <v>11.2869691411456</v>
      </c>
      <c r="G18" s="38" t="n">
        <f aca="false">CF!$E$18+CF!$F$18</f>
        <v>21.3569691411456</v>
      </c>
      <c r="H18" s="38" t="n">
        <f aca="false">sbc_r*Seg!$H$29</f>
        <v>24.74788445192</v>
      </c>
      <c r="I18" s="38" t="n">
        <f aca="false">sbc_r*Seg!$I$29</f>
        <v>28.8091600658898</v>
      </c>
      <c r="J18" s="38" t="n">
        <f aca="false">sbc_r*Seg!$J$29</f>
        <v>32.6554595728128</v>
      </c>
      <c r="K18" s="38" t="n">
        <f aca="false">sbc_r*Seg!$K$29</f>
        <v>36.1441332341223</v>
      </c>
      <c r="L18" s="38" t="n">
        <f aca="false">sbc_r*Seg!$L$29</f>
        <v>39.7688497026112</v>
      </c>
      <c r="M18" s="38" t="n">
        <f aca="false">sbc_r*Seg!$M$29</f>
        <v>43.5394497490565</v>
      </c>
    </row>
    <row r="19" customFormat="false" ht="17.15" hidden="false" customHeight="false" outlineLevel="0" collapsed="false">
      <c r="A19" s="5" t="s">
        <v>733</v>
      </c>
      <c r="B19" s="0" t="s">
        <v>73</v>
      </c>
      <c r="C19" s="38" t="n">
        <f aca="false">Q!$D$44-CF!$C$16-CF!$C$17-CF!$C$18</f>
        <v>2.551</v>
      </c>
      <c r="D19" s="38" t="n">
        <f aca="false">Q!$E$44-CF!$D$16-CF!$D$17-CF!$D$18</f>
        <v>0.51700000000001</v>
      </c>
      <c r="E19" s="38" t="n">
        <f aca="false">Q!$P$44-CF!$E$16-CF!$E$17-CF!$E$18</f>
        <v>-58.256</v>
      </c>
      <c r="F19" s="38" t="n">
        <f aca="false">wc_2h26+oth_r*Seg!$F$29</f>
        <v>7.3796355231992</v>
      </c>
      <c r="G19" s="38" t="n">
        <f aca="false">CF!$E$19+CF!$F$19</f>
        <v>-50.8763644768008</v>
      </c>
      <c r="H19" s="38" t="n">
        <f aca="false">oth_r*Seg!$H$29</f>
        <v>11.9116331865761</v>
      </c>
      <c r="I19" s="38" t="n">
        <f aca="false">oth_r*Seg!$I$29</f>
        <v>13.8664033196426</v>
      </c>
      <c r="J19" s="38" t="n">
        <f aca="false">oth_r*Seg!$J$29</f>
        <v>15.7177013140706</v>
      </c>
      <c r="K19" s="38" t="n">
        <f aca="false">oth_r*Seg!$K$29</f>
        <v>17.3968671046626</v>
      </c>
      <c r="L19" s="38" t="n">
        <f aca="false">oth_r*Seg!$L$29</f>
        <v>19.1415129171911</v>
      </c>
      <c r="M19" s="38" t="n">
        <f aca="false">oth_r*Seg!$M$29</f>
        <v>20.9563753040671</v>
      </c>
      <c r="P19" s="8" t="s">
        <v>734</v>
      </c>
    </row>
    <row r="20" customFormat="false" ht="15" hidden="false" customHeight="false" outlineLevel="0" collapsed="false">
      <c r="A20" s="3" t="s">
        <v>515</v>
      </c>
      <c r="B20" s="8" t="s">
        <v>73</v>
      </c>
      <c r="C20" s="38" t="n">
        <f aca="false">Q!$D$44</f>
        <v>115.877</v>
      </c>
      <c r="D20" s="38" t="n">
        <f aca="false">Q!$E$44</f>
        <v>139.514</v>
      </c>
      <c r="E20" s="38" t="n">
        <f aca="false">Q!$P$44</f>
        <v>71.419</v>
      </c>
      <c r="F20" s="38" t="n">
        <f aca="false">CF!$F$16+CF!$F$17+CF!$F$18+CF!$F$19</f>
        <v>100.511776888458</v>
      </c>
      <c r="G20" s="38" t="n">
        <f aca="false">CF!$E$20+CF!$F$20</f>
        <v>171.930776888458</v>
      </c>
      <c r="H20" s="38" t="n">
        <f aca="false">CF!$H$16+CF!$H$17+CF!$H$18+CF!$H$19</f>
        <v>252.381969339917</v>
      </c>
      <c r="I20" s="38" t="n">
        <f aca="false">CF!$I$16+CF!$I$17+CF!$I$18+CF!$I$19</f>
        <v>332.009171768429</v>
      </c>
      <c r="J20" s="38" t="n">
        <f aca="false">CF!$J$16+CF!$J$17+CF!$J$18+CF!$J$19</f>
        <v>411.562248917029</v>
      </c>
      <c r="K20" s="38" t="n">
        <f aca="false">CF!$K$16+CF!$K$17+CF!$K$18+CF!$K$19</f>
        <v>488.721309993522</v>
      </c>
      <c r="L20" s="38" t="n">
        <f aca="false">CF!$L$16+CF!$L$17+CF!$L$18+CF!$L$19</f>
        <v>568.151198038442</v>
      </c>
      <c r="M20" s="38" t="n">
        <f aca="false">CF!$M$16+CF!$M$17+CF!$M$18+CF!$M$19</f>
        <v>650.71951057716</v>
      </c>
    </row>
    <row r="21" customFormat="false" ht="17.15" hidden="false" customHeight="false" outlineLevel="0" collapsed="false">
      <c r="A21" s="5" t="s">
        <v>735</v>
      </c>
      <c r="B21" s="0" t="s">
        <v>73</v>
      </c>
      <c r="C21" s="38" t="n">
        <f aca="false">Thesis!$C$34</f>
        <v>25.2781053077374</v>
      </c>
      <c r="D21" s="38" t="n">
        <f aca="false">Thesis!$D$34</f>
        <v>69.5686316310026</v>
      </c>
      <c r="E21" s="38" t="n">
        <f aca="false">Thesis!$E$34</f>
        <v>64.1899206485108</v>
      </c>
      <c r="F21" s="38" t="n">
        <f aca="false">Thesis!$F$34</f>
        <v>98.862028245</v>
      </c>
      <c r="G21" s="38" t="n">
        <f aca="false">Thesis!$G$34</f>
        <v>163.051948893511</v>
      </c>
      <c r="H21" s="38" t="n">
        <f aca="false">Thesis!$H$34</f>
        <v>203.9641486225</v>
      </c>
      <c r="I21" s="38" t="n">
        <f aca="false">Thesis!$I$34</f>
        <v>210.204240755</v>
      </c>
      <c r="J21" s="38" t="n">
        <f aca="false">Thesis!$J$34</f>
        <v>215.441008955</v>
      </c>
      <c r="K21" s="38" t="n">
        <f aca="false">Thesis!$K$34</f>
        <v>220.677777155</v>
      </c>
      <c r="L21" s="38" t="n">
        <f aca="false">Thesis!$L$34</f>
        <v>257.335154555</v>
      </c>
      <c r="M21" s="38" t="n">
        <f aca="false">Thesis!$M$34</f>
        <v>319.5872365325</v>
      </c>
    </row>
    <row r="22" customFormat="false" ht="17.15" hidden="false" customHeight="false" outlineLevel="0" collapsed="false">
      <c r="A22" s="5" t="s">
        <v>736</v>
      </c>
      <c r="B22" s="0" t="s">
        <v>73</v>
      </c>
      <c r="C22" s="38" t="n">
        <f aca="false">cx_awso*Seg!$C$27</f>
        <v>21.0469989286053</v>
      </c>
      <c r="D22" s="38" t="n">
        <f aca="false">cx_awso*Seg!$D$27</f>
        <v>24.0042459822698</v>
      </c>
      <c r="E22" s="38" t="n">
        <f aca="false">cx_awso*Seg!$E$27</f>
        <v>14.261729404886</v>
      </c>
      <c r="F22" s="38" t="n">
        <f aca="false">cx_awso*Seg!$F$27</f>
        <v>15.7190020837331</v>
      </c>
      <c r="G22" s="38" t="n">
        <f aca="false">CF!$E$22+CF!$F$22</f>
        <v>29.9807314886191</v>
      </c>
      <c r="H22" s="38" t="n">
        <f aca="false">cx_awso*Seg!$H$27</f>
        <v>36.1787121536283</v>
      </c>
      <c r="I22" s="38" t="n">
        <f aca="false">cx_awso*Seg!$I$27</f>
        <v>42.1296794430021</v>
      </c>
      <c r="J22" s="38" t="n">
        <f aca="false">cx_awso*Seg!$J$27</f>
        <v>47.279781889299</v>
      </c>
      <c r="K22" s="38" t="n">
        <f aca="false">cx_awso*Seg!$K$27</f>
        <v>51.0621644404429</v>
      </c>
      <c r="L22" s="38" t="n">
        <f aca="false">cx_awso*Seg!$L$27</f>
        <v>55.1471375956783</v>
      </c>
      <c r="M22" s="38" t="n">
        <f aca="false">cx_awso*Seg!$M$27</f>
        <v>59.5589086033326</v>
      </c>
    </row>
    <row r="23" customFormat="false" ht="17.15" hidden="false" customHeight="false" outlineLevel="0" collapsed="false">
      <c r="A23" s="5" t="s">
        <v>737</v>
      </c>
      <c r="B23" s="0" t="s">
        <v>73</v>
      </c>
      <c r="C23" s="38" t="n">
        <f aca="false">Q!$D$46-CF!$C$21-CF!$C$22</f>
        <v>31.3328957636573</v>
      </c>
      <c r="D23" s="38" t="n">
        <f aca="false">Q!$E$46-CF!$D$21-CF!$D$22</f>
        <v>34.7471223867276</v>
      </c>
      <c r="E23" s="38" t="n">
        <f aca="false">Q!$P$46-CF!$E$21-CF!$E$22</f>
        <v>17.8583499466032</v>
      </c>
      <c r="F23" s="38" t="n">
        <f aca="false">cx_rt*Seg!$F$19</f>
        <v>21.0855744229195</v>
      </c>
      <c r="G23" s="38" t="n">
        <f aca="false">CF!$E$23+CF!$F$23</f>
        <v>38.9439243695228</v>
      </c>
      <c r="H23" s="38" t="n">
        <f aca="false">cx_rt*Seg!$H$19</f>
        <v>43.1200434029767</v>
      </c>
      <c r="I23" s="38" t="n">
        <f aca="false">cx_rt*Seg!$I$19</f>
        <v>47.1583152318763</v>
      </c>
      <c r="J23" s="38" t="n">
        <f aca="false">cx_rt*Seg!$J$19</f>
        <v>50.9060281137911</v>
      </c>
      <c r="K23" s="38" t="n">
        <f aca="false">cx_rt*Seg!$K$19</f>
        <v>54.2035645673053</v>
      </c>
      <c r="L23" s="38" t="n">
        <f aca="false">cx_rt*Seg!$L$19</f>
        <v>57.7318979121519</v>
      </c>
      <c r="M23" s="38" t="n">
        <f aca="false">cx_rt*Seg!$M$19</f>
        <v>61.5084196557756</v>
      </c>
    </row>
    <row r="24" customFormat="false" ht="15" hidden="false" customHeight="false" outlineLevel="0" collapsed="false">
      <c r="A24" s="3" t="s">
        <v>738</v>
      </c>
      <c r="B24" s="8" t="s">
        <v>73</v>
      </c>
      <c r="C24" s="38" t="n">
        <f aca="false">Q!$D$46</f>
        <v>77.658</v>
      </c>
      <c r="D24" s="38" t="n">
        <f aca="false">Q!$E$46</f>
        <v>128.32</v>
      </c>
      <c r="E24" s="38" t="n">
        <f aca="false">Q!$P$46</f>
        <v>96.31</v>
      </c>
      <c r="F24" s="38" t="n">
        <f aca="false">CF!$F$21+CF!$F$22+CF!$F$23</f>
        <v>135.666604751653</v>
      </c>
      <c r="G24" s="38" t="n">
        <f aca="false">CF!$E$24+CF!$F$24</f>
        <v>231.976604751653</v>
      </c>
      <c r="H24" s="38" t="n">
        <f aca="false">CF!$H$21+CF!$H$22+CF!$H$23</f>
        <v>283.262904179105</v>
      </c>
      <c r="I24" s="38" t="n">
        <f aca="false">CF!$I$21+CF!$I$22+CF!$I$23</f>
        <v>299.492235429878</v>
      </c>
      <c r="J24" s="38" t="n">
        <f aca="false">CF!$J$21+CF!$J$22+CF!$J$23</f>
        <v>313.62681895809</v>
      </c>
      <c r="K24" s="38" t="n">
        <f aca="false">CF!$K$21+CF!$K$22+CF!$K$23</f>
        <v>325.943506162748</v>
      </c>
      <c r="L24" s="38" t="n">
        <f aca="false">CF!$L$21+CF!$L$22+CF!$L$23</f>
        <v>370.21419006283</v>
      </c>
      <c r="M24" s="38" t="n">
        <f aca="false">CF!$M$21+CF!$M$22+CF!$M$23</f>
        <v>440.654564791608</v>
      </c>
    </row>
    <row r="25" customFormat="false" ht="17.15" hidden="false" customHeight="false" outlineLevel="0" collapsed="false">
      <c r="A25" s="5" t="s">
        <v>523</v>
      </c>
      <c r="B25" s="0" t="s">
        <v>73</v>
      </c>
      <c r="C25" s="38" t="n">
        <f aca="false">Q!$D$50</f>
        <v>2.043</v>
      </c>
      <c r="D25" s="38" t="n">
        <f aca="false">Q!$E$50</f>
        <v>1.557</v>
      </c>
      <c r="E25" s="38" t="n">
        <f aca="false">lease_pr/2</f>
        <v>0.8</v>
      </c>
      <c r="F25" s="38" t="n">
        <f aca="false">lease_pr/2</f>
        <v>0.8</v>
      </c>
      <c r="G25" s="38" t="n">
        <f aca="false">CF!$E$25+CF!$F$25</f>
        <v>1.6</v>
      </c>
      <c r="H25" s="38" t="n">
        <f aca="false">lease_pr</f>
        <v>1.6</v>
      </c>
      <c r="I25" s="38" t="n">
        <f aca="false">lease_pr</f>
        <v>1.6</v>
      </c>
      <c r="J25" s="38" t="n">
        <f aca="false">lease_pr</f>
        <v>1.6</v>
      </c>
      <c r="K25" s="38" t="n">
        <f aca="false">lease_pr</f>
        <v>1.6</v>
      </c>
      <c r="L25" s="38" t="n">
        <f aca="false">lease_pr</f>
        <v>1.6</v>
      </c>
      <c r="M25" s="38" t="n">
        <f aca="false">lease_pr</f>
        <v>1.6</v>
      </c>
      <c r="P25" s="8" t="s">
        <v>739</v>
      </c>
    </row>
    <row r="26" customFormat="false" ht="15" hidden="false" customHeight="false" outlineLevel="0" collapsed="false">
      <c r="A26" s="46" t="s">
        <v>740</v>
      </c>
      <c r="B26" s="13" t="s">
        <v>73</v>
      </c>
      <c r="C26" s="47" t="n">
        <f aca="false">CF!$C$20-CF!$C$24-CF!$C$25</f>
        <v>36.176</v>
      </c>
      <c r="D26" s="47" t="n">
        <f aca="false">CF!$D$20-CF!$D$24-CF!$D$25</f>
        <v>9.63700000000002</v>
      </c>
      <c r="E26" s="47" t="n">
        <f aca="false">CF!$E$20-CF!$E$24-CF!$E$25</f>
        <v>-25.691</v>
      </c>
      <c r="F26" s="47" t="n">
        <f aca="false">CF!$F$20-CF!$F$24-CF!$F$25</f>
        <v>-35.9548278631946</v>
      </c>
      <c r="G26" s="47" t="n">
        <f aca="false">CF!$G$20-CF!$G$24-CF!$G$25</f>
        <v>-61.6458278631946</v>
      </c>
      <c r="H26" s="47" t="n">
        <f aca="false">CF!$H$20-CF!$H$24-CF!$H$25</f>
        <v>-32.4809348391878</v>
      </c>
      <c r="I26" s="47" t="n">
        <f aca="false">CF!$I$20-CF!$I$24-CF!$I$25</f>
        <v>30.9169363385503</v>
      </c>
      <c r="J26" s="47" t="n">
        <f aca="false">CF!$J$20-CF!$J$24-CF!$J$25</f>
        <v>96.335429958939</v>
      </c>
      <c r="K26" s="47" t="n">
        <f aca="false">CF!$K$20-CF!$K$24-CF!$K$25</f>
        <v>161.177803830774</v>
      </c>
      <c r="L26" s="47" t="n">
        <f aca="false">CF!$L$20-CF!$L$24-CF!$L$25</f>
        <v>196.337007975612</v>
      </c>
      <c r="M26" s="47" t="n">
        <f aca="false">CF!$M$20-CF!$M$24-CF!$M$25</f>
        <v>208.464945785552</v>
      </c>
      <c r="N26" s="13"/>
      <c r="O26" s="13"/>
    </row>
    <row r="27" customFormat="false" ht="17.15" hidden="false" customHeight="false" outlineLevel="0" collapsed="false">
      <c r="A27" s="5" t="s">
        <v>741</v>
      </c>
      <c r="B27" s="0" t="s">
        <v>73</v>
      </c>
      <c r="C27" s="38" t="n">
        <f aca="false">dps*PL!$C$72</f>
        <v>0</v>
      </c>
      <c r="D27" s="38" t="n">
        <f aca="false">dps*PL!$D$72</f>
        <v>0</v>
      </c>
      <c r="E27" s="38" t="n">
        <f aca="false">dps*PL!$E$72</f>
        <v>0</v>
      </c>
      <c r="F27" s="38" t="n">
        <f aca="false">0</f>
        <v>0</v>
      </c>
      <c r="G27" s="38" t="n">
        <f aca="false">dps*PL!$G$72</f>
        <v>0</v>
      </c>
      <c r="H27" s="38" t="n">
        <f aca="false">dps*PL!$H$72</f>
        <v>0</v>
      </c>
      <c r="I27" s="38" t="n">
        <f aca="false">dps*PL!$I$72</f>
        <v>0</v>
      </c>
      <c r="J27" s="38" t="n">
        <f aca="false">dps*PL!$J$72</f>
        <v>0</v>
      </c>
      <c r="K27" s="38" t="n">
        <f aca="false">dps*PL!$K$72</f>
        <v>0</v>
      </c>
      <c r="L27" s="38" t="n">
        <f aca="false">dps*PL!$L$72</f>
        <v>0</v>
      </c>
      <c r="M27" s="38" t="n">
        <f aca="false">dps*PL!$M$72</f>
        <v>0</v>
      </c>
      <c r="P27" s="8" t="s">
        <v>742</v>
      </c>
    </row>
    <row r="28" customFormat="false" ht="17.15" hidden="false" customHeight="false" outlineLevel="0" collapsed="false">
      <c r="A28" s="5" t="s">
        <v>743</v>
      </c>
      <c r="B28" s="0" t="s">
        <v>73</v>
      </c>
      <c r="C28" s="38" t="n">
        <f aca="false">0</f>
        <v>0</v>
      </c>
      <c r="D28" s="38" t="n">
        <f aca="false">0</f>
        <v>0</v>
      </c>
      <c r="E28" s="38" t="n">
        <f aca="false">0</f>
        <v>0</v>
      </c>
      <c r="F28" s="38" t="n">
        <f aca="false">0</f>
        <v>0</v>
      </c>
      <c r="G28" s="38" t="n">
        <f aca="false">0</f>
        <v>0</v>
      </c>
      <c r="H28" s="38" t="n">
        <f aca="false">0</f>
        <v>0</v>
      </c>
      <c r="I28" s="38" t="n">
        <f aca="false">0</f>
        <v>0</v>
      </c>
      <c r="J28" s="38" t="n">
        <f aca="false">0</f>
        <v>0</v>
      </c>
      <c r="K28" s="38" t="n">
        <f aca="false">0</f>
        <v>0</v>
      </c>
      <c r="L28" s="38" t="n">
        <f aca="false">0</f>
        <v>0</v>
      </c>
      <c r="M28" s="38" t="n">
        <f aca="false">0</f>
        <v>0</v>
      </c>
      <c r="P28" s="8" t="s">
        <v>744</v>
      </c>
    </row>
    <row r="29" customFormat="false" ht="15" hidden="false" customHeight="false" outlineLevel="0" collapsed="false">
      <c r="A29" s="3" t="s">
        <v>745</v>
      </c>
      <c r="B29" s="8" t="s">
        <v>73</v>
      </c>
      <c r="C29" s="38" t="n">
        <f aca="false">CF!$C$26-CF!$C$27</f>
        <v>36.176</v>
      </c>
      <c r="D29" s="38" t="n">
        <f aca="false">CF!$D$26-CF!$D$27</f>
        <v>9.63700000000002</v>
      </c>
      <c r="E29" s="38" t="n">
        <f aca="false">CF!$E$26-CF!$E$27</f>
        <v>-25.691</v>
      </c>
      <c r="F29" s="38" t="n">
        <f aca="false">CF!$F$26-CF!$F$27</f>
        <v>-35.9548278631946</v>
      </c>
      <c r="G29" s="38" t="n">
        <f aca="false">CF!$G$26-CF!$G$27</f>
        <v>-61.6458278631946</v>
      </c>
      <c r="H29" s="38" t="n">
        <f aca="false">CF!$H$26-CF!$H$27</f>
        <v>-32.4809348391878</v>
      </c>
      <c r="I29" s="38" t="n">
        <f aca="false">CF!$I$26-CF!$I$27</f>
        <v>30.9169363385503</v>
      </c>
      <c r="J29" s="38" t="n">
        <f aca="false">CF!$J$26-CF!$J$27</f>
        <v>96.335429958939</v>
      </c>
      <c r="K29" s="38" t="n">
        <f aca="false">CF!$K$26-CF!$K$27</f>
        <v>161.177803830774</v>
      </c>
      <c r="L29" s="38" t="n">
        <f aca="false">CF!$L$26-CF!$L$27</f>
        <v>196.337007975612</v>
      </c>
      <c r="M29" s="38" t="n">
        <f aca="false">CF!$M$26-CF!$M$27</f>
        <v>208.464945785552</v>
      </c>
    </row>
    <row r="30" customFormat="false" ht="17.15" hidden="false" customHeight="false" outlineLevel="0" collapsed="false">
      <c r="A30" s="5" t="s">
        <v>746</v>
      </c>
      <c r="B30" s="0" t="s">
        <v>73</v>
      </c>
      <c r="E30" s="38" t="n">
        <f aca="false">Q!$P$53</f>
        <v>39.767</v>
      </c>
      <c r="F30" s="38" t="n">
        <f aca="false">inv_2h26</f>
        <v>21.3</v>
      </c>
      <c r="G30" s="38" t="n">
        <f aca="false">CF!$E$30+CF!$F$30</f>
        <v>61.067</v>
      </c>
      <c r="H30" s="41" t="n">
        <v>0</v>
      </c>
      <c r="I30" s="41" t="n">
        <v>0</v>
      </c>
      <c r="J30" s="41" t="n">
        <v>0</v>
      </c>
      <c r="K30" s="41" t="n">
        <v>0</v>
      </c>
      <c r="L30" s="41" t="n">
        <v>0</v>
      </c>
      <c r="M30" s="41" t="n">
        <v>0</v>
      </c>
    </row>
    <row r="31" customFormat="false" ht="17.15" hidden="false" customHeight="false" outlineLevel="0" collapsed="false">
      <c r="A31" s="5" t="s">
        <v>747</v>
      </c>
      <c r="B31" s="0" t="s">
        <v>73</v>
      </c>
      <c r="F31" s="38" t="n">
        <f aca="false">iss_2h26</f>
        <v>29.25</v>
      </c>
      <c r="G31" s="38" t="n">
        <f aca="false">CF!$F$31</f>
        <v>29.25</v>
      </c>
      <c r="H31" s="41" t="n">
        <v>0</v>
      </c>
      <c r="I31" s="41" t="n">
        <v>0</v>
      </c>
      <c r="J31" s="41" t="n">
        <v>0</v>
      </c>
      <c r="K31" s="41" t="n">
        <v>0</v>
      </c>
      <c r="L31" s="41" t="n">
        <v>0</v>
      </c>
      <c r="M31" s="41" t="n">
        <v>0</v>
      </c>
    </row>
    <row r="32" customFormat="false" ht="17.15" hidden="false" customHeight="false" outlineLevel="0" collapsed="false">
      <c r="A32" s="5" t="s">
        <v>748</v>
      </c>
      <c r="B32" s="0" t="s">
        <v>73</v>
      </c>
      <c r="F32" s="38" t="n">
        <f aca="false">cash_q2</f>
        <v>122.988</v>
      </c>
      <c r="G32" s="38" t="n">
        <f aca="false">cash_q2</f>
        <v>122.988</v>
      </c>
      <c r="H32" s="38" t="n">
        <f aca="false">CF!$G$35</f>
        <v>94.9831721368054</v>
      </c>
      <c r="I32" s="38" t="n">
        <f aca="false">CF!$H$35</f>
        <v>62.5022372976176</v>
      </c>
      <c r="J32" s="38" t="n">
        <f aca="false">CF!$I$35</f>
        <v>93.4191736361679</v>
      </c>
      <c r="K32" s="38" t="n">
        <f aca="false">CF!$J$35</f>
        <v>189.754603595107</v>
      </c>
      <c r="L32" s="38" t="n">
        <f aca="false">CF!$K$35</f>
        <v>350.932407425881</v>
      </c>
      <c r="M32" s="38" t="n">
        <f aca="false">CF!$L$35</f>
        <v>547.269415401493</v>
      </c>
    </row>
    <row r="33" customFormat="false" ht="15" hidden="false" customHeight="false" outlineLevel="0" collapsed="false">
      <c r="A33" s="5" t="s">
        <v>749</v>
      </c>
      <c r="B33" s="0" t="s">
        <v>73</v>
      </c>
      <c r="F33" s="38" t="n">
        <f aca="false">CF!$F$32+CF!$F$29-CF!$F$28-CF!$F$30+CF!$F$31</f>
        <v>94.9831721368054</v>
      </c>
      <c r="H33" s="38" t="n">
        <f aca="false">CF!$H$32+CF!$H$29-CF!$H$28-CF!$H$30+CF!$H$31</f>
        <v>62.5022372976176</v>
      </c>
      <c r="I33" s="38" t="n">
        <f aca="false">CF!$I$32+CF!$I$29-CF!$I$28-CF!$I$30+CF!$I$31</f>
        <v>93.4191736361679</v>
      </c>
      <c r="J33" s="38" t="n">
        <f aca="false">CF!$J$32+CF!$J$29-CF!$J$28-CF!$J$30+CF!$J$31</f>
        <v>189.754603595107</v>
      </c>
      <c r="K33" s="38" t="n">
        <f aca="false">CF!$K$32+CF!$K$29-CF!$K$28-CF!$K$30+CF!$K$31</f>
        <v>350.932407425881</v>
      </c>
      <c r="L33" s="38" t="n">
        <f aca="false">CF!$L$32+CF!$L$29-CF!$L$28-CF!$L$30+CF!$L$31</f>
        <v>547.269415401493</v>
      </c>
      <c r="M33" s="38" t="n">
        <f aca="false">CF!$M$32+CF!$M$29-CF!$M$28-CF!$M$30+CF!$M$31</f>
        <v>755.734361187045</v>
      </c>
    </row>
    <row r="34" customFormat="false" ht="17.15" hidden="false" customHeight="false" outlineLevel="0" collapsed="false">
      <c r="A34" s="5" t="s">
        <v>750</v>
      </c>
      <c r="B34" s="0" t="s">
        <v>73</v>
      </c>
      <c r="F34" s="38" t="n">
        <f aca="false">MAX(0,min_cash-CF!$F$33)</f>
        <v>0</v>
      </c>
      <c r="G34" s="38" t="n">
        <f aca="false">CF!$F$34</f>
        <v>0</v>
      </c>
      <c r="H34" s="38" t="n">
        <f aca="false">MAX(0,min_cash-CF!$H$33)</f>
        <v>0</v>
      </c>
      <c r="I34" s="38" t="n">
        <f aca="false">MAX(0,min_cash-CF!$I$33)</f>
        <v>0</v>
      </c>
      <c r="J34" s="38" t="n">
        <f aca="false">MAX(0,min_cash-CF!$J$33)</f>
        <v>0</v>
      </c>
      <c r="K34" s="38" t="n">
        <f aca="false">MAX(0,min_cash-CF!$K$33)</f>
        <v>0</v>
      </c>
      <c r="L34" s="38" t="n">
        <f aca="false">MAX(0,min_cash-CF!$L$33)</f>
        <v>0</v>
      </c>
      <c r="M34" s="38" t="n">
        <f aca="false">MAX(0,min_cash-CF!$M$33)</f>
        <v>0</v>
      </c>
      <c r="P34" s="5" t="s">
        <v>751</v>
      </c>
    </row>
    <row r="35" customFormat="false" ht="15" hidden="false" customHeight="false" outlineLevel="0" collapsed="false">
      <c r="A35" s="5" t="s">
        <v>752</v>
      </c>
      <c r="B35" s="0" t="s">
        <v>73</v>
      </c>
      <c r="D35" s="38" t="n">
        <f aca="false">Q!$E$61</f>
        <v>123.029</v>
      </c>
      <c r="E35" s="38" t="n">
        <f aca="false">Q!$M$61</f>
        <v>122.988</v>
      </c>
      <c r="F35" s="38" t="n">
        <f aca="false">CF!$F$33+CF!$F$34</f>
        <v>94.9831721368054</v>
      </c>
      <c r="G35" s="38" t="n">
        <f aca="false">CF!$F$35</f>
        <v>94.9831721368054</v>
      </c>
      <c r="H35" s="38" t="n">
        <f aca="false">CF!$H$33+CF!$H$34</f>
        <v>62.5022372976176</v>
      </c>
      <c r="I35" s="38" t="n">
        <f aca="false">CF!$I$33+CF!$I$34</f>
        <v>93.4191736361679</v>
      </c>
      <c r="J35" s="38" t="n">
        <f aca="false">CF!$J$33+CF!$J$34</f>
        <v>189.754603595107</v>
      </c>
      <c r="K35" s="38" t="n">
        <f aca="false">CF!$K$33+CF!$K$34</f>
        <v>350.932407425881</v>
      </c>
      <c r="L35" s="38" t="n">
        <f aca="false">CF!$L$33+CF!$L$34</f>
        <v>547.269415401493</v>
      </c>
      <c r="M35" s="38" t="n">
        <f aca="false">CF!$M$33+CF!$M$34</f>
        <v>755.734361187045</v>
      </c>
    </row>
    <row r="36" customFormat="false" ht="15" hidden="false" customHeight="false" outlineLevel="0" collapsed="false">
      <c r="A36" s="5" t="s">
        <v>753</v>
      </c>
      <c r="B36" s="0" t="s">
        <v>73</v>
      </c>
      <c r="D36" s="38" t="n">
        <f aca="false">Q!$E$62</f>
        <v>68.836</v>
      </c>
      <c r="E36" s="38" t="n">
        <f aca="false">Q!$M$62</f>
        <v>132.995</v>
      </c>
      <c r="F36" s="38" t="n">
        <f aca="false">debt_q2+CF!$F$31+CF!$F$34</f>
        <v>162.245</v>
      </c>
      <c r="G36" s="38" t="n">
        <f aca="false">CF!$F$36</f>
        <v>162.245</v>
      </c>
      <c r="H36" s="38" t="n">
        <f aca="false">CF!$G$36+CF!$H$34</f>
        <v>162.245</v>
      </c>
      <c r="I36" s="38" t="n">
        <f aca="false">CF!$H$36+CF!$I$34</f>
        <v>162.245</v>
      </c>
      <c r="J36" s="38" t="n">
        <f aca="false">CF!$I$36+CF!$J$34</f>
        <v>162.245</v>
      </c>
      <c r="K36" s="38" t="n">
        <f aca="false">CF!$J$36+CF!$K$34</f>
        <v>162.245</v>
      </c>
      <c r="L36" s="38" t="n">
        <f aca="false">CF!$K$36+CF!$L$34</f>
        <v>162.245</v>
      </c>
      <c r="M36" s="38" t="n">
        <f aca="false">CF!$L$36+CF!$M$34</f>
        <v>162.245</v>
      </c>
    </row>
    <row r="37" customFormat="false" ht="15" hidden="false" customHeight="false" outlineLevel="0" collapsed="false">
      <c r="A37" s="5" t="s">
        <v>754</v>
      </c>
      <c r="B37" s="0" t="s">
        <v>73</v>
      </c>
      <c r="D37" s="38" t="n">
        <f aca="false">CF!$D$36-CF!$D$35</f>
        <v>-54.193</v>
      </c>
      <c r="E37" s="38" t="n">
        <f aca="false">CF!$E$36-CF!$E$35</f>
        <v>10.007</v>
      </c>
      <c r="F37" s="38" t="n">
        <f aca="false">CF!$F$36-CF!$F$35</f>
        <v>67.2618278631946</v>
      </c>
      <c r="G37" s="38" t="n">
        <f aca="false">CF!$G$36-CF!$G$35</f>
        <v>67.2618278631946</v>
      </c>
      <c r="H37" s="38" t="n">
        <f aca="false">CF!$H$36-CF!$H$35</f>
        <v>99.7427627023824</v>
      </c>
      <c r="I37" s="38" t="n">
        <f aca="false">CF!$I$36-CF!$I$35</f>
        <v>68.8258263638321</v>
      </c>
      <c r="J37" s="38" t="n">
        <f aca="false">CF!$J$36-CF!$J$35</f>
        <v>-27.5096035951069</v>
      </c>
      <c r="K37" s="38" t="n">
        <f aca="false">CF!$K$36-CF!$K$35</f>
        <v>-188.687407425881</v>
      </c>
      <c r="L37" s="38" t="n">
        <f aca="false">CF!$L$36-CF!$L$35</f>
        <v>-385.024415401493</v>
      </c>
      <c r="M37" s="38" t="n">
        <f aca="false">CF!$M$36-CF!$M$35</f>
        <v>-593.489361187045</v>
      </c>
    </row>
    <row r="38" customFormat="false" ht="17.15" hidden="false" customHeight="false" outlineLevel="0" collapsed="false">
      <c r="A38" s="5" t="s">
        <v>755</v>
      </c>
      <c r="B38" s="0" t="s">
        <v>73</v>
      </c>
      <c r="F38" s="38" t="n">
        <f aca="false">debt_q2*kd_book*0.5+iss_2h26*kd_new*0.25</f>
        <v>3.24888964316061</v>
      </c>
      <c r="H38" s="38" t="n">
        <f aca="false">debt_q2*kd_book+(CF!$G$36-debt_q2)*kd_new</f>
        <v>7.42354178632123</v>
      </c>
      <c r="I38" s="38" t="n">
        <f aca="false">debt_q2*kd_book+(CF!$H$36-debt_q2)*kd_new</f>
        <v>7.42354178632123</v>
      </c>
      <c r="J38" s="38" t="n">
        <f aca="false">debt_q2*kd_book+(CF!$I$36-debt_q2)*kd_new</f>
        <v>7.42354178632123</v>
      </c>
      <c r="K38" s="38" t="n">
        <f aca="false">debt_q2*kd_book+(CF!$J$36-debt_q2)*kd_new</f>
        <v>7.42354178632123</v>
      </c>
      <c r="L38" s="38" t="n">
        <f aca="false">debt_q2*kd_book+(CF!$K$36-debt_q2)*kd_new</f>
        <v>7.42354178632123</v>
      </c>
      <c r="M38" s="38" t="n">
        <f aca="false">debt_q2*kd_book+(CF!$L$36-debt_q2)*kd_new</f>
        <v>7.42354178632123</v>
      </c>
    </row>
    <row r="39" customFormat="false" ht="17.15" hidden="false" customHeight="false" outlineLevel="0" collapsed="false">
      <c r="A39" s="5" t="s">
        <v>756</v>
      </c>
      <c r="B39" s="0" t="s">
        <v>73</v>
      </c>
      <c r="F39" s="38" t="n">
        <f aca="false">cash_q2*y_cash*0.5</f>
        <v>2.59</v>
      </c>
      <c r="H39" s="38" t="n">
        <f aca="false">CF!$G$35*y_cash</f>
        <v>4.00049461466689</v>
      </c>
      <c r="I39" s="38" t="n">
        <f aca="false">CF!$H$35*y_cash</f>
        <v>2.63246486813071</v>
      </c>
      <c r="J39" s="38" t="n">
        <f aca="false">CF!$I$35*y_cash</f>
        <v>3.93462223497699</v>
      </c>
      <c r="K39" s="38" t="n">
        <f aca="false">CF!$J$35*y_cash</f>
        <v>7.99207115021509</v>
      </c>
      <c r="L39" s="38" t="n">
        <f aca="false">CF!$K$35*y_cash</f>
        <v>14.780546642486</v>
      </c>
      <c r="M39" s="38" t="n">
        <f aca="false">CF!$L$35*y_cash</f>
        <v>23.0498550409775</v>
      </c>
    </row>
    <row r="40" customFormat="false" ht="17.15" hidden="false" customHeight="false" outlineLevel="0" collapsed="false">
      <c r="A40" s="46" t="s">
        <v>757</v>
      </c>
      <c r="B40" s="13" t="s">
        <v>73</v>
      </c>
      <c r="C40" s="13"/>
      <c r="D40" s="13"/>
      <c r="E40" s="13"/>
      <c r="F40" s="13"/>
      <c r="G40" s="47" t="n">
        <f aca="false">SUM(CF!$G$29:$K$29)</f>
        <v>194.303407425881</v>
      </c>
      <c r="H40" s="13"/>
      <c r="I40" s="13"/>
      <c r="J40" s="13"/>
      <c r="K40" s="13"/>
      <c r="L40" s="13"/>
      <c r="M40" s="13"/>
      <c r="N40" s="13"/>
      <c r="O40" s="13"/>
    </row>
    <row r="41" customFormat="false" ht="17.15" hidden="false" customHeight="false" outlineLevel="0" collapsed="false">
      <c r="A41" s="0" t="s">
        <v>724</v>
      </c>
      <c r="B41" s="0" t="s">
        <v>73</v>
      </c>
      <c r="G41" s="38" t="n">
        <f aca="false">SUM(CF!$G$34:$K$34)</f>
        <v>0</v>
      </c>
    </row>
    <row r="44" customFormat="false" ht="19.4" hidden="false" customHeight="false" outlineLevel="0" collapsed="false">
      <c r="A44" s="31" t="s">
        <v>758</v>
      </c>
    </row>
    <row r="45" customFormat="false" ht="17.15" hidden="false" customHeight="false" outlineLevel="0" collapsed="false">
      <c r="A45" s="6" t="s">
        <v>16</v>
      </c>
      <c r="B45" s="6" t="s">
        <v>17</v>
      </c>
      <c r="C45" s="20" t="s">
        <v>457</v>
      </c>
      <c r="D45" s="20" t="s">
        <v>458</v>
      </c>
      <c r="E45" s="20" t="s">
        <v>540</v>
      </c>
      <c r="F45" s="20" t="s">
        <v>541</v>
      </c>
      <c r="G45" s="20" t="s">
        <v>542</v>
      </c>
      <c r="H45" s="20" t="s">
        <v>543</v>
      </c>
      <c r="I45" s="20" t="s">
        <v>544</v>
      </c>
      <c r="J45" s="20" t="s">
        <v>545</v>
      </c>
      <c r="K45" s="20" t="s">
        <v>546</v>
      </c>
      <c r="L45" s="20" t="s">
        <v>547</v>
      </c>
      <c r="M45" s="20" t="s">
        <v>548</v>
      </c>
      <c r="N45" s="20" t="s">
        <v>549</v>
      </c>
      <c r="O45" s="20" t="s">
        <v>550</v>
      </c>
      <c r="P45" s="6" t="s">
        <v>23</v>
      </c>
      <c r="R45" s="20" t="n">
        <v>2023</v>
      </c>
      <c r="S45" s="20" t="n">
        <v>2024</v>
      </c>
      <c r="T45" s="20" t="n">
        <v>2025</v>
      </c>
      <c r="U45" s="20" t="n">
        <v>2026</v>
      </c>
      <c r="V45" s="20" t="n">
        <v>2027</v>
      </c>
      <c r="W45" s="20" t="n">
        <v>2028</v>
      </c>
      <c r="X45" s="20" t="n">
        <v>2029</v>
      </c>
      <c r="Y45" s="20" t="n">
        <v>2030</v>
      </c>
      <c r="Z45" s="20" t="n">
        <v>2031</v>
      </c>
      <c r="AA45" s="20" t="n">
        <v>2032</v>
      </c>
    </row>
    <row r="46" customFormat="false" ht="15" hidden="false" customHeight="false" outlineLevel="0" collapsed="false">
      <c r="A46" s="5" t="s">
        <v>509</v>
      </c>
      <c r="B46" s="0" t="s">
        <v>73</v>
      </c>
      <c r="C46" s="38" t="n">
        <f aca="false">PL!$C$137</f>
        <v>59.248</v>
      </c>
      <c r="D46" s="38" t="n">
        <f aca="false">PL!$D$137</f>
        <v>77.67</v>
      </c>
      <c r="E46" s="38" t="n">
        <f aca="false">PL!$E$137</f>
        <v>92.902</v>
      </c>
      <c r="F46" s="38" t="n">
        <f aca="false">PL!$F$137</f>
        <v>48.9433718146785</v>
      </c>
      <c r="G46" s="38" t="n">
        <f aca="false">PL!$G$137</f>
        <v>141.845371814679</v>
      </c>
      <c r="H46" s="38" t="n">
        <f aca="false">PL!$H$137</f>
        <v>109.272682903121</v>
      </c>
      <c r="I46" s="38" t="n">
        <f aca="false">PL!$I$137</f>
        <v>128.306171362308</v>
      </c>
      <c r="J46" s="38" t="n">
        <f aca="false">PL!$J$137</f>
        <v>146.500701790412</v>
      </c>
      <c r="K46" s="38" t="n">
        <f aca="false">PL!$K$137</f>
        <v>162.739003122855</v>
      </c>
      <c r="L46" s="38" t="n">
        <f aca="false">PL!$L$137</f>
        <v>181.911404376927</v>
      </c>
      <c r="M46" s="38" t="n">
        <f aca="false">PL!$M$137</f>
        <v>202.082803059406</v>
      </c>
    </row>
    <row r="47" customFormat="false" ht="17.15" hidden="false" customHeight="false" outlineLevel="0" collapsed="false">
      <c r="A47" s="5" t="s">
        <v>731</v>
      </c>
      <c r="B47" s="0" t="s">
        <v>73</v>
      </c>
      <c r="C47" s="38" t="n">
        <f aca="false">PL!$C$125</f>
        <v>32.067</v>
      </c>
      <c r="D47" s="38" t="n">
        <f aca="false">PL!$D$125</f>
        <v>41.86</v>
      </c>
      <c r="E47" s="38" t="n">
        <f aca="false">PL!$E$125</f>
        <v>26.703</v>
      </c>
      <c r="F47" s="38" t="n">
        <f aca="false">PL!$F$125</f>
        <v>30.6103857251209</v>
      </c>
      <c r="G47" s="38" t="n">
        <f aca="false">PL!$G$125</f>
        <v>57.3133857251209</v>
      </c>
      <c r="H47" s="38" t="n">
        <f aca="false">PL!$H$125</f>
        <v>87.6845218193838</v>
      </c>
      <c r="I47" s="38" t="n">
        <f aca="false">PL!$I$125</f>
        <v>122.294769708638</v>
      </c>
      <c r="J47" s="38" t="n">
        <f aca="false">PL!$J$125</f>
        <v>157.133962573221</v>
      </c>
      <c r="K47" s="38" t="n">
        <f aca="false">PL!$K$125</f>
        <v>191.350633353599</v>
      </c>
      <c r="L47" s="38" t="n">
        <f aca="false">PL!$L$125</f>
        <v>223.909238335354</v>
      </c>
      <c r="M47" s="38" t="n">
        <f aca="false">PL!$M$125</f>
        <v>257.576319867276</v>
      </c>
    </row>
    <row r="48" customFormat="false" ht="15" hidden="false" customHeight="false" outlineLevel="0" collapsed="false">
      <c r="A48" s="5" t="s">
        <v>732</v>
      </c>
      <c r="B48" s="0" t="s">
        <v>73</v>
      </c>
      <c r="C48" s="38" t="n">
        <f aca="false">Q!$D$48</f>
        <v>22.011</v>
      </c>
      <c r="D48" s="38" t="n">
        <f aca="false">Q!$E$48</f>
        <v>19.467</v>
      </c>
      <c r="E48" s="38" t="n">
        <f aca="false">Q!$P$48</f>
        <v>10.07</v>
      </c>
      <c r="F48" s="38" t="n">
        <f aca="false">sbc_r*Seg!$F$63</f>
        <v>11.2170714500462</v>
      </c>
      <c r="G48" s="38" t="n">
        <f aca="false">CF!$E$48+CF!$F$48</f>
        <v>21.2870714500462</v>
      </c>
      <c r="H48" s="38" t="n">
        <f aca="false">sbc_r*Seg!$H$63</f>
        <v>24.1772394325528</v>
      </c>
      <c r="I48" s="38" t="n">
        <f aca="false">sbc_r*Seg!$I$63</f>
        <v>27.6495284422397</v>
      </c>
      <c r="J48" s="38" t="n">
        <f aca="false">sbc_r*Seg!$J$63</f>
        <v>30.9042211184633</v>
      </c>
      <c r="K48" s="38" t="n">
        <f aca="false">sbc_r*Seg!$K$63</f>
        <v>33.8004145402678</v>
      </c>
      <c r="L48" s="38" t="n">
        <f aca="false">sbc_r*Seg!$L$63</f>
        <v>36.8322537652494</v>
      </c>
      <c r="M48" s="38" t="n">
        <f aca="false">sbc_r*Seg!$M$63</f>
        <v>40.0097627968013</v>
      </c>
    </row>
    <row r="49" customFormat="false" ht="17.15" hidden="false" customHeight="false" outlineLevel="0" collapsed="false">
      <c r="A49" s="5" t="s">
        <v>733</v>
      </c>
      <c r="B49" s="0" t="s">
        <v>73</v>
      </c>
      <c r="C49" s="38" t="n">
        <f aca="false">Q!$D$44-CF!$C$46-CF!$C$47-CF!$C$48</f>
        <v>2.551</v>
      </c>
      <c r="D49" s="38" t="n">
        <f aca="false">Q!$E$44-CF!$D$46-CF!$D$47-CF!$D$48</f>
        <v>0.51700000000001</v>
      </c>
      <c r="E49" s="38" t="n">
        <f aca="false">Q!$P$44-CF!$E$46-CF!$E$47-CF!$E$48</f>
        <v>-58.256</v>
      </c>
      <c r="F49" s="38" t="n">
        <f aca="false">wc_2h26+oth_r*Seg!$F$63</f>
        <v>7.34599241893378</v>
      </c>
      <c r="G49" s="38" t="n">
        <f aca="false">CF!$E$49+CF!$F$49</f>
        <v>-50.9100075810662</v>
      </c>
      <c r="H49" s="38" t="n">
        <f aca="false">oth_r*Seg!$H$63</f>
        <v>11.6369707537667</v>
      </c>
      <c r="I49" s="38" t="n">
        <f aca="false">oth_r*Seg!$I$63</f>
        <v>13.3082502961262</v>
      </c>
      <c r="J49" s="38" t="n">
        <f aca="false">oth_r*Seg!$J$63</f>
        <v>14.8747965344332</v>
      </c>
      <c r="K49" s="38" t="n">
        <f aca="false">oth_r*Seg!$K$63</f>
        <v>16.2687901804328</v>
      </c>
      <c r="L49" s="38" t="n">
        <f aca="false">oth_r*Seg!$L$63</f>
        <v>17.7280727627002</v>
      </c>
      <c r="M49" s="38" t="n">
        <f aca="false">oth_r*Seg!$M$63</f>
        <v>19.2574690270319</v>
      </c>
      <c r="P49" s="8" t="s">
        <v>734</v>
      </c>
    </row>
    <row r="50" customFormat="false" ht="15" hidden="false" customHeight="false" outlineLevel="0" collapsed="false">
      <c r="A50" s="3" t="s">
        <v>515</v>
      </c>
      <c r="B50" s="8" t="s">
        <v>73</v>
      </c>
      <c r="C50" s="38" t="n">
        <f aca="false">Q!$D$44</f>
        <v>115.877</v>
      </c>
      <c r="D50" s="38" t="n">
        <f aca="false">Q!$E$44</f>
        <v>139.514</v>
      </c>
      <c r="E50" s="38" t="n">
        <f aca="false">Q!$P$44</f>
        <v>71.419</v>
      </c>
      <c r="F50" s="38" t="n">
        <f aca="false">CF!$F$46+CF!$F$47+CF!$F$48+CF!$F$49</f>
        <v>98.1168214087795</v>
      </c>
      <c r="G50" s="38" t="n">
        <f aca="false">CF!$E$50+CF!$F$50</f>
        <v>169.535821408779</v>
      </c>
      <c r="H50" s="38" t="n">
        <f aca="false">CF!$H$46+CF!$H$47+CF!$H$48+CF!$H$49</f>
        <v>232.771414908824</v>
      </c>
      <c r="I50" s="38" t="n">
        <f aca="false">CF!$I$46+CF!$I$47+CF!$I$48+CF!$I$49</f>
        <v>291.558719809312</v>
      </c>
      <c r="J50" s="38" t="n">
        <f aca="false">CF!$J$46+CF!$J$47+CF!$J$48+CF!$J$49</f>
        <v>349.413682016529</v>
      </c>
      <c r="K50" s="38" t="n">
        <f aca="false">CF!$K$46+CF!$K$47+CF!$K$48+CF!$K$49</f>
        <v>404.158841197156</v>
      </c>
      <c r="L50" s="38" t="n">
        <f aca="false">CF!$L$46+CF!$L$47+CF!$L$48+CF!$L$49</f>
        <v>460.380969240231</v>
      </c>
      <c r="M50" s="38" t="n">
        <f aca="false">CF!$M$46+CF!$M$47+CF!$M$48+CF!$M$49</f>
        <v>518.926354750515</v>
      </c>
    </row>
    <row r="51" customFormat="false" ht="17.15" hidden="false" customHeight="false" outlineLevel="0" collapsed="false">
      <c r="A51" s="5" t="s">
        <v>735</v>
      </c>
      <c r="B51" s="0" t="s">
        <v>73</v>
      </c>
      <c r="C51" s="38" t="n">
        <f aca="false">Thesis!$C$91</f>
        <v>25.2781053077374</v>
      </c>
      <c r="D51" s="38" t="n">
        <f aca="false">Thesis!$D$91</f>
        <v>69.5686316310026</v>
      </c>
      <c r="E51" s="38" t="n">
        <f aca="false">Thesis!$E$91</f>
        <v>64.1899206485108</v>
      </c>
      <c r="F51" s="38" t="n">
        <f aca="false">Thesis!$F$91</f>
        <v>96.2481299895</v>
      </c>
      <c r="G51" s="38" t="n">
        <f aca="false">Thesis!$G$91</f>
        <v>160.438050638011</v>
      </c>
      <c r="H51" s="38" t="n">
        <f aca="false">Thesis!$H$91</f>
        <v>198.57136494475</v>
      </c>
      <c r="I51" s="38" t="n">
        <f aca="false">Thesis!$I$91</f>
        <v>204.6464699105</v>
      </c>
      <c r="J51" s="38" t="n">
        <f aca="false">Thesis!$J$91</f>
        <v>209.8832381105</v>
      </c>
      <c r="K51" s="38" t="n">
        <f aca="false">Thesis!$K$91</f>
        <v>215.1200063105</v>
      </c>
      <c r="L51" s="38" t="n">
        <f aca="false">Thesis!$L$91</f>
        <v>251.7773837105</v>
      </c>
      <c r="M51" s="38" t="n">
        <f aca="false">Thesis!$M$91</f>
        <v>311.87584476575</v>
      </c>
    </row>
    <row r="52" customFormat="false" ht="17.15" hidden="false" customHeight="false" outlineLevel="0" collapsed="false">
      <c r="A52" s="5" t="s">
        <v>736</v>
      </c>
      <c r="B52" s="0" t="s">
        <v>73</v>
      </c>
      <c r="C52" s="38" t="n">
        <f aca="false">cx_awso*Seg!$C$61</f>
        <v>21.0469989286053</v>
      </c>
      <c r="D52" s="38" t="n">
        <f aca="false">cx_awso*Seg!$D$61</f>
        <v>24.0042459822698</v>
      </c>
      <c r="E52" s="38" t="n">
        <f aca="false">cx_awso*Seg!$E$61</f>
        <v>14.261729404886</v>
      </c>
      <c r="F52" s="38" t="n">
        <f aca="false">cx_awso*Seg!$F$61</f>
        <v>15.7190020837331</v>
      </c>
      <c r="G52" s="38" t="n">
        <f aca="false">CF!$E$52+CF!$F$52</f>
        <v>29.9807314886191</v>
      </c>
      <c r="H52" s="38" t="n">
        <f aca="false">cx_awso*Seg!$H$61</f>
        <v>36.1787121536283</v>
      </c>
      <c r="I52" s="38" t="n">
        <f aca="false">cx_awso*Seg!$I$61</f>
        <v>42.1296794430021</v>
      </c>
      <c r="J52" s="38" t="n">
        <f aca="false">cx_awso*Seg!$J$61</f>
        <v>47.279781889299</v>
      </c>
      <c r="K52" s="38" t="n">
        <f aca="false">cx_awso*Seg!$K$61</f>
        <v>51.0621644404429</v>
      </c>
      <c r="L52" s="38" t="n">
        <f aca="false">cx_awso*Seg!$L$61</f>
        <v>55.1471375956783</v>
      </c>
      <c r="M52" s="38" t="n">
        <f aca="false">cx_awso*Seg!$M$61</f>
        <v>59.5589086033326</v>
      </c>
    </row>
    <row r="53" customFormat="false" ht="17.15" hidden="false" customHeight="false" outlineLevel="0" collapsed="false">
      <c r="A53" s="5" t="s">
        <v>737</v>
      </c>
      <c r="B53" s="0" t="s">
        <v>73</v>
      </c>
      <c r="C53" s="38" t="n">
        <f aca="false">Q!$D$46-CF!$C$51-CF!$C$52</f>
        <v>31.3328957636573</v>
      </c>
      <c r="D53" s="38" t="n">
        <f aca="false">Q!$E$46-CF!$D$51-CF!$D$52</f>
        <v>34.7471223867276</v>
      </c>
      <c r="E53" s="38" t="n">
        <f aca="false">Q!$P$46-CF!$E$51-CF!$E$52</f>
        <v>17.8583499466032</v>
      </c>
      <c r="F53" s="38" t="n">
        <f aca="false">cx_rt*Seg!$F$53</f>
        <v>21.0855744229195</v>
      </c>
      <c r="G53" s="38" t="n">
        <f aca="false">CF!$E$53+CF!$F$53</f>
        <v>38.9439243695228</v>
      </c>
      <c r="H53" s="38" t="n">
        <f aca="false">cx_rt*Seg!$H$53</f>
        <v>43.1200434029767</v>
      </c>
      <c r="I53" s="38" t="n">
        <f aca="false">cx_rt*Seg!$I$53</f>
        <v>47.1583152318763</v>
      </c>
      <c r="J53" s="38" t="n">
        <f aca="false">cx_rt*Seg!$J$53</f>
        <v>50.9060281137911</v>
      </c>
      <c r="K53" s="38" t="n">
        <f aca="false">cx_rt*Seg!$K$53</f>
        <v>54.2035645673053</v>
      </c>
      <c r="L53" s="38" t="n">
        <f aca="false">cx_rt*Seg!$L$53</f>
        <v>57.7318979121519</v>
      </c>
      <c r="M53" s="38" t="n">
        <f aca="false">cx_rt*Seg!$M$53</f>
        <v>61.5084196557756</v>
      </c>
    </row>
    <row r="54" customFormat="false" ht="15" hidden="false" customHeight="false" outlineLevel="0" collapsed="false">
      <c r="A54" s="3" t="s">
        <v>738</v>
      </c>
      <c r="B54" s="8" t="s">
        <v>73</v>
      </c>
      <c r="C54" s="38" t="n">
        <f aca="false">Q!$D$46</f>
        <v>77.658</v>
      </c>
      <c r="D54" s="38" t="n">
        <f aca="false">Q!$E$46</f>
        <v>128.32</v>
      </c>
      <c r="E54" s="38" t="n">
        <f aca="false">Q!$P$46</f>
        <v>96.31</v>
      </c>
      <c r="F54" s="38" t="n">
        <f aca="false">CF!$F$51+CF!$F$52+CF!$F$53</f>
        <v>133.052706496153</v>
      </c>
      <c r="G54" s="38" t="n">
        <f aca="false">CF!$E$54+CF!$F$54</f>
        <v>229.362706496153</v>
      </c>
      <c r="H54" s="38" t="n">
        <f aca="false">CF!$H$51+CF!$H$52+CF!$H$53</f>
        <v>277.870120501355</v>
      </c>
      <c r="I54" s="38" t="n">
        <f aca="false">CF!$I$51+CF!$I$52+CF!$I$53</f>
        <v>293.934464585378</v>
      </c>
      <c r="J54" s="38" t="n">
        <f aca="false">CF!$J$51+CF!$J$52+CF!$J$53</f>
        <v>308.06904811359</v>
      </c>
      <c r="K54" s="38" t="n">
        <f aca="false">CF!$K$51+CF!$K$52+CF!$K$53</f>
        <v>320.385735318248</v>
      </c>
      <c r="L54" s="38" t="n">
        <f aca="false">CF!$L$51+CF!$L$52+CF!$L$53</f>
        <v>364.65641921833</v>
      </c>
      <c r="M54" s="38" t="n">
        <f aca="false">CF!$M$51+CF!$M$52+CF!$M$53</f>
        <v>432.943173024858</v>
      </c>
    </row>
    <row r="55" customFormat="false" ht="17.15" hidden="false" customHeight="false" outlineLevel="0" collapsed="false">
      <c r="A55" s="5" t="s">
        <v>523</v>
      </c>
      <c r="B55" s="0" t="s">
        <v>73</v>
      </c>
      <c r="C55" s="38" t="n">
        <f aca="false">Q!$D$50</f>
        <v>2.043</v>
      </c>
      <c r="D55" s="38" t="n">
        <f aca="false">Q!$E$50</f>
        <v>1.557</v>
      </c>
      <c r="E55" s="38" t="n">
        <f aca="false">lease_pr/2</f>
        <v>0.8</v>
      </c>
      <c r="F55" s="38" t="n">
        <f aca="false">lease_pr/2</f>
        <v>0.8</v>
      </c>
      <c r="G55" s="38" t="n">
        <f aca="false">CF!$E$55+CF!$F$55</f>
        <v>1.6</v>
      </c>
      <c r="H55" s="38" t="n">
        <f aca="false">lease_pr</f>
        <v>1.6</v>
      </c>
      <c r="I55" s="38" t="n">
        <f aca="false">lease_pr</f>
        <v>1.6</v>
      </c>
      <c r="J55" s="38" t="n">
        <f aca="false">lease_pr</f>
        <v>1.6</v>
      </c>
      <c r="K55" s="38" t="n">
        <f aca="false">lease_pr</f>
        <v>1.6</v>
      </c>
      <c r="L55" s="38" t="n">
        <f aca="false">lease_pr</f>
        <v>1.6</v>
      </c>
      <c r="M55" s="38" t="n">
        <f aca="false">lease_pr</f>
        <v>1.6</v>
      </c>
      <c r="P55" s="8" t="s">
        <v>739</v>
      </c>
    </row>
    <row r="56" customFormat="false" ht="15" hidden="false" customHeight="false" outlineLevel="0" collapsed="false">
      <c r="A56" s="46" t="s">
        <v>740</v>
      </c>
      <c r="B56" s="13" t="s">
        <v>73</v>
      </c>
      <c r="C56" s="47" t="n">
        <f aca="false">CF!$C$50-CF!$C$54-CF!$C$55</f>
        <v>36.176</v>
      </c>
      <c r="D56" s="47" t="n">
        <f aca="false">CF!$D$50-CF!$D$54-CF!$D$55</f>
        <v>9.63700000000002</v>
      </c>
      <c r="E56" s="47" t="n">
        <f aca="false">CF!$E$50-CF!$E$54-CF!$E$55</f>
        <v>-25.691</v>
      </c>
      <c r="F56" s="47" t="n">
        <f aca="false">CF!$F$50-CF!$F$54-CF!$F$55</f>
        <v>-35.7358850873731</v>
      </c>
      <c r="G56" s="47" t="n">
        <f aca="false">CF!$G$50-CF!$G$54-CF!$G$55</f>
        <v>-61.4268850873731</v>
      </c>
      <c r="H56" s="47" t="n">
        <f aca="false">CF!$H$50-CF!$H$54-CF!$H$55</f>
        <v>-46.6987055925312</v>
      </c>
      <c r="I56" s="47" t="n">
        <f aca="false">CF!$I$50-CF!$I$54-CF!$I$55</f>
        <v>-3.97574477606648</v>
      </c>
      <c r="J56" s="47" t="n">
        <f aca="false">CF!$J$50-CF!$J$54-CF!$J$55</f>
        <v>39.7446339029391</v>
      </c>
      <c r="K56" s="47" t="n">
        <f aca="false">CF!$K$50-CF!$K$54-CF!$K$55</f>
        <v>82.1731058789073</v>
      </c>
      <c r="L56" s="47" t="n">
        <f aca="false">CF!$L$50-CF!$L$54-CF!$L$55</f>
        <v>94.1245500219009</v>
      </c>
      <c r="M56" s="47" t="n">
        <f aca="false">CF!$M$50-CF!$M$54-CF!$M$55</f>
        <v>84.3831817256571</v>
      </c>
      <c r="N56" s="13"/>
      <c r="O56" s="13"/>
    </row>
    <row r="57" customFormat="false" ht="17.15" hidden="false" customHeight="false" outlineLevel="0" collapsed="false">
      <c r="A57" s="5" t="s">
        <v>741</v>
      </c>
      <c r="B57" s="0" t="s">
        <v>73</v>
      </c>
      <c r="C57" s="38" t="n">
        <f aca="false">dps*PL!$C$138</f>
        <v>0</v>
      </c>
      <c r="D57" s="38" t="n">
        <f aca="false">dps*PL!$D$138</f>
        <v>0</v>
      </c>
      <c r="E57" s="38" t="n">
        <f aca="false">dps*PL!$E$138</f>
        <v>0</v>
      </c>
      <c r="F57" s="38" t="n">
        <f aca="false">0</f>
        <v>0</v>
      </c>
      <c r="G57" s="38" t="n">
        <f aca="false">dps*PL!$G$138</f>
        <v>0</v>
      </c>
      <c r="H57" s="38" t="n">
        <f aca="false">dps*PL!$H$138</f>
        <v>0</v>
      </c>
      <c r="I57" s="38" t="n">
        <f aca="false">dps*PL!$I$138</f>
        <v>0</v>
      </c>
      <c r="J57" s="38" t="n">
        <f aca="false">dps*PL!$J$138</f>
        <v>0</v>
      </c>
      <c r="K57" s="38" t="n">
        <f aca="false">dps*PL!$K$138</f>
        <v>0</v>
      </c>
      <c r="L57" s="38" t="n">
        <f aca="false">dps*PL!$L$138</f>
        <v>0</v>
      </c>
      <c r="M57" s="38" t="n">
        <f aca="false">dps*PL!$M$138</f>
        <v>0</v>
      </c>
      <c r="P57" s="8" t="s">
        <v>742</v>
      </c>
    </row>
    <row r="58" customFormat="false" ht="17.15" hidden="false" customHeight="false" outlineLevel="0" collapsed="false">
      <c r="A58" s="5" t="s">
        <v>743</v>
      </c>
      <c r="B58" s="0" t="s">
        <v>73</v>
      </c>
      <c r="C58" s="38" t="n">
        <f aca="false">0</f>
        <v>0</v>
      </c>
      <c r="D58" s="38" t="n">
        <f aca="false">0</f>
        <v>0</v>
      </c>
      <c r="E58" s="38" t="n">
        <f aca="false">0</f>
        <v>0</v>
      </c>
      <c r="F58" s="38" t="n">
        <f aca="false">0</f>
        <v>0</v>
      </c>
      <c r="G58" s="38" t="n">
        <f aca="false">0</f>
        <v>0</v>
      </c>
      <c r="H58" s="38" t="n">
        <f aca="false">0</f>
        <v>0</v>
      </c>
      <c r="I58" s="38" t="n">
        <f aca="false">0</f>
        <v>0</v>
      </c>
      <c r="J58" s="38" t="n">
        <f aca="false">0</f>
        <v>0</v>
      </c>
      <c r="K58" s="38" t="n">
        <f aca="false">0</f>
        <v>0</v>
      </c>
      <c r="L58" s="38" t="n">
        <f aca="false">0</f>
        <v>0</v>
      </c>
      <c r="M58" s="38" t="n">
        <f aca="false">0</f>
        <v>0</v>
      </c>
      <c r="P58" s="8" t="s">
        <v>744</v>
      </c>
    </row>
    <row r="59" customFormat="false" ht="15" hidden="false" customHeight="false" outlineLevel="0" collapsed="false">
      <c r="A59" s="3" t="s">
        <v>745</v>
      </c>
      <c r="B59" s="8" t="s">
        <v>73</v>
      </c>
      <c r="C59" s="38" t="n">
        <f aca="false">CF!$C$56-CF!$C$57</f>
        <v>36.176</v>
      </c>
      <c r="D59" s="38" t="n">
        <f aca="false">CF!$D$56-CF!$D$57</f>
        <v>9.63700000000002</v>
      </c>
      <c r="E59" s="38" t="n">
        <f aca="false">CF!$E$56-CF!$E$57</f>
        <v>-25.691</v>
      </c>
      <c r="F59" s="38" t="n">
        <f aca="false">CF!$F$56-CF!$F$57</f>
        <v>-35.7358850873731</v>
      </c>
      <c r="G59" s="38" t="n">
        <f aca="false">CF!$G$56-CF!$G$57</f>
        <v>-61.4268850873731</v>
      </c>
      <c r="H59" s="38" t="n">
        <f aca="false">CF!$H$56-CF!$H$57</f>
        <v>-46.6987055925312</v>
      </c>
      <c r="I59" s="38" t="n">
        <f aca="false">CF!$I$56-CF!$I$57</f>
        <v>-3.97574477606648</v>
      </c>
      <c r="J59" s="38" t="n">
        <f aca="false">CF!$J$56-CF!$J$57</f>
        <v>39.7446339029391</v>
      </c>
      <c r="K59" s="38" t="n">
        <f aca="false">CF!$K$56-CF!$K$57</f>
        <v>82.1731058789073</v>
      </c>
      <c r="L59" s="38" t="n">
        <f aca="false">CF!$L$56-CF!$L$57</f>
        <v>94.1245500219009</v>
      </c>
      <c r="M59" s="38" t="n">
        <f aca="false">CF!$M$56-CF!$M$57</f>
        <v>84.3831817256571</v>
      </c>
    </row>
    <row r="60" customFormat="false" ht="17.15" hidden="false" customHeight="false" outlineLevel="0" collapsed="false">
      <c r="A60" s="5" t="s">
        <v>746</v>
      </c>
      <c r="B60" s="0" t="s">
        <v>73</v>
      </c>
      <c r="E60" s="38" t="n">
        <f aca="false">Q!$P$53</f>
        <v>39.767</v>
      </c>
      <c r="F60" s="38" t="n">
        <f aca="false">inv_2h26</f>
        <v>21.3</v>
      </c>
      <c r="G60" s="38" t="n">
        <f aca="false">CF!$E$60+CF!$F$60</f>
        <v>61.067</v>
      </c>
      <c r="H60" s="41" t="n">
        <v>0</v>
      </c>
      <c r="I60" s="41" t="n">
        <v>0</v>
      </c>
      <c r="J60" s="41" t="n">
        <v>0</v>
      </c>
      <c r="K60" s="41" t="n">
        <v>0</v>
      </c>
      <c r="L60" s="41" t="n">
        <v>0</v>
      </c>
      <c r="M60" s="41" t="n">
        <v>0</v>
      </c>
    </row>
    <row r="61" customFormat="false" ht="17.15" hidden="false" customHeight="false" outlineLevel="0" collapsed="false">
      <c r="A61" s="5" t="s">
        <v>747</v>
      </c>
      <c r="B61" s="0" t="s">
        <v>73</v>
      </c>
      <c r="F61" s="38" t="n">
        <f aca="false">iss_2h26</f>
        <v>29.25</v>
      </c>
      <c r="G61" s="38" t="n">
        <f aca="false">CF!$F$61</f>
        <v>29.25</v>
      </c>
      <c r="H61" s="41" t="n">
        <v>0</v>
      </c>
      <c r="I61" s="41" t="n">
        <v>0</v>
      </c>
      <c r="J61" s="41" t="n">
        <v>0</v>
      </c>
      <c r="K61" s="41" t="n">
        <v>0</v>
      </c>
      <c r="L61" s="41" t="n">
        <v>0</v>
      </c>
      <c r="M61" s="41" t="n">
        <v>0</v>
      </c>
    </row>
    <row r="62" customFormat="false" ht="17.15" hidden="false" customHeight="false" outlineLevel="0" collapsed="false">
      <c r="A62" s="5" t="s">
        <v>748</v>
      </c>
      <c r="B62" s="0" t="s">
        <v>73</v>
      </c>
      <c r="F62" s="38" t="n">
        <f aca="false">cash_q2</f>
        <v>122.988</v>
      </c>
      <c r="G62" s="38" t="n">
        <f aca="false">cash_q2</f>
        <v>122.988</v>
      </c>
      <c r="H62" s="38" t="n">
        <f aca="false">CF!$G$65</f>
        <v>95.2021149126269</v>
      </c>
      <c r="I62" s="38" t="n">
        <f aca="false">CF!$H$65</f>
        <v>50</v>
      </c>
      <c r="J62" s="38" t="n">
        <f aca="false">CF!$I$65</f>
        <v>50</v>
      </c>
      <c r="K62" s="38" t="n">
        <f aca="false">CF!$J$65</f>
        <v>89.7446339029391</v>
      </c>
      <c r="L62" s="38" t="n">
        <f aca="false">CF!$K$65</f>
        <v>171.917739781846</v>
      </c>
      <c r="M62" s="38" t="n">
        <f aca="false">CF!$L$65</f>
        <v>266.042289803747</v>
      </c>
    </row>
    <row r="63" customFormat="false" ht="15" hidden="false" customHeight="false" outlineLevel="0" collapsed="false">
      <c r="A63" s="5" t="s">
        <v>749</v>
      </c>
      <c r="B63" s="0" t="s">
        <v>73</v>
      </c>
      <c r="F63" s="38" t="n">
        <f aca="false">CF!$F$62+CF!$F$59-CF!$F$58-CF!$F$60+CF!$F$61</f>
        <v>95.2021149126269</v>
      </c>
      <c r="H63" s="38" t="n">
        <f aca="false">CF!$H$62+CF!$H$59-CF!$H$58-CF!$H$60+CF!$H$61</f>
        <v>48.5034093200957</v>
      </c>
      <c r="I63" s="38" t="n">
        <f aca="false">CF!$I$62+CF!$I$59-CF!$I$58-CF!$I$60+CF!$I$61</f>
        <v>46.0242552239335</v>
      </c>
      <c r="J63" s="38" t="n">
        <f aca="false">CF!$J$62+CF!$J$59-CF!$J$58-CF!$J$60+CF!$J$61</f>
        <v>89.7446339029391</v>
      </c>
      <c r="K63" s="38" t="n">
        <f aca="false">CF!$K$62+CF!$K$59-CF!$K$58-CF!$K$60+CF!$K$61</f>
        <v>171.917739781846</v>
      </c>
      <c r="L63" s="38" t="n">
        <f aca="false">CF!$L$62+CF!$L$59-CF!$L$58-CF!$L$60+CF!$L$61</f>
        <v>266.042289803747</v>
      </c>
      <c r="M63" s="38" t="n">
        <f aca="false">CF!$M$62+CF!$M$59-CF!$M$58-CF!$M$60+CF!$M$61</f>
        <v>350.425471529404</v>
      </c>
    </row>
    <row r="64" customFormat="false" ht="17.15" hidden="false" customHeight="false" outlineLevel="0" collapsed="false">
      <c r="A64" s="5" t="s">
        <v>750</v>
      </c>
      <c r="B64" s="0" t="s">
        <v>73</v>
      </c>
      <c r="F64" s="38" t="n">
        <f aca="false">MAX(0,min_cash-CF!$F$63)</f>
        <v>0</v>
      </c>
      <c r="G64" s="38" t="n">
        <f aca="false">CF!$F$64</f>
        <v>0</v>
      </c>
      <c r="H64" s="38" t="n">
        <f aca="false">MAX(0,min_cash-CF!$H$63)</f>
        <v>1.49659067990431</v>
      </c>
      <c r="I64" s="38" t="n">
        <f aca="false">MAX(0,min_cash-CF!$I$63)</f>
        <v>3.97574477606648</v>
      </c>
      <c r="J64" s="38" t="n">
        <f aca="false">MAX(0,min_cash-CF!$J$63)</f>
        <v>0</v>
      </c>
      <c r="K64" s="38" t="n">
        <f aca="false">MAX(0,min_cash-CF!$K$63)</f>
        <v>0</v>
      </c>
      <c r="L64" s="38" t="n">
        <f aca="false">MAX(0,min_cash-CF!$L$63)</f>
        <v>0</v>
      </c>
      <c r="M64" s="38" t="n">
        <f aca="false">MAX(0,min_cash-CF!$M$63)</f>
        <v>0</v>
      </c>
      <c r="P64" s="5" t="s">
        <v>751</v>
      </c>
    </row>
    <row r="65" customFormat="false" ht="15" hidden="false" customHeight="false" outlineLevel="0" collapsed="false">
      <c r="A65" s="5" t="s">
        <v>752</v>
      </c>
      <c r="B65" s="0" t="s">
        <v>73</v>
      </c>
      <c r="D65" s="38" t="n">
        <f aca="false">Q!$E$61</f>
        <v>123.029</v>
      </c>
      <c r="E65" s="38" t="n">
        <f aca="false">Q!$M$61</f>
        <v>122.988</v>
      </c>
      <c r="F65" s="38" t="n">
        <f aca="false">CF!$F$63+CF!$F$64</f>
        <v>95.2021149126269</v>
      </c>
      <c r="G65" s="38" t="n">
        <f aca="false">CF!$F$65</f>
        <v>95.2021149126269</v>
      </c>
      <c r="H65" s="38" t="n">
        <f aca="false">CF!$H$63+CF!$H$64</f>
        <v>50</v>
      </c>
      <c r="I65" s="38" t="n">
        <f aca="false">CF!$I$63+CF!$I$64</f>
        <v>50</v>
      </c>
      <c r="J65" s="38" t="n">
        <f aca="false">CF!$J$63+CF!$J$64</f>
        <v>89.7446339029391</v>
      </c>
      <c r="K65" s="38" t="n">
        <f aca="false">CF!$K$63+CF!$K$64</f>
        <v>171.917739781846</v>
      </c>
      <c r="L65" s="38" t="n">
        <f aca="false">CF!$L$63+CF!$L$64</f>
        <v>266.042289803747</v>
      </c>
      <c r="M65" s="38" t="n">
        <f aca="false">CF!$M$63+CF!$M$64</f>
        <v>350.425471529404</v>
      </c>
    </row>
    <row r="66" customFormat="false" ht="15" hidden="false" customHeight="false" outlineLevel="0" collapsed="false">
      <c r="A66" s="5" t="s">
        <v>753</v>
      </c>
      <c r="B66" s="0" t="s">
        <v>73</v>
      </c>
      <c r="D66" s="38" t="n">
        <f aca="false">Q!$E$62</f>
        <v>68.836</v>
      </c>
      <c r="E66" s="38" t="n">
        <f aca="false">Q!$M$62</f>
        <v>132.995</v>
      </c>
      <c r="F66" s="38" t="n">
        <f aca="false">debt_q2+CF!$F$61+CF!$F$64</f>
        <v>162.245</v>
      </c>
      <c r="G66" s="38" t="n">
        <f aca="false">CF!$F$66</f>
        <v>162.245</v>
      </c>
      <c r="H66" s="38" t="n">
        <f aca="false">CF!$G$66+CF!$H$64</f>
        <v>163.741590679904</v>
      </c>
      <c r="I66" s="38" t="n">
        <f aca="false">CF!$H$66+CF!$I$64</f>
        <v>167.717335455971</v>
      </c>
      <c r="J66" s="38" t="n">
        <f aca="false">CF!$I$66+CF!$J$64</f>
        <v>167.717335455971</v>
      </c>
      <c r="K66" s="38" t="n">
        <f aca="false">CF!$J$66+CF!$K$64</f>
        <v>167.717335455971</v>
      </c>
      <c r="L66" s="38" t="n">
        <f aca="false">CF!$K$66+CF!$L$64</f>
        <v>167.717335455971</v>
      </c>
      <c r="M66" s="38" t="n">
        <f aca="false">CF!$L$66+CF!$M$64</f>
        <v>167.717335455971</v>
      </c>
    </row>
    <row r="67" customFormat="false" ht="15" hidden="false" customHeight="false" outlineLevel="0" collapsed="false">
      <c r="A67" s="5" t="s">
        <v>754</v>
      </c>
      <c r="B67" s="0" t="s">
        <v>73</v>
      </c>
      <c r="D67" s="38" t="n">
        <f aca="false">CF!$D$66-CF!$D$65</f>
        <v>-54.193</v>
      </c>
      <c r="E67" s="38" t="n">
        <f aca="false">CF!$E$66-CF!$E$65</f>
        <v>10.007</v>
      </c>
      <c r="F67" s="38" t="n">
        <f aca="false">CF!$F$66-CF!$F$65</f>
        <v>67.0428850873731</v>
      </c>
      <c r="G67" s="38" t="n">
        <f aca="false">CF!$G$66-CF!$G$65</f>
        <v>67.0428850873731</v>
      </c>
      <c r="H67" s="38" t="n">
        <f aca="false">CF!$H$66-CF!$H$65</f>
        <v>113.741590679904</v>
      </c>
      <c r="I67" s="38" t="n">
        <f aca="false">CF!$I$66-CF!$I$65</f>
        <v>117.717335455971</v>
      </c>
      <c r="J67" s="38" t="n">
        <f aca="false">CF!$J$66-CF!$J$65</f>
        <v>77.9727015530317</v>
      </c>
      <c r="K67" s="38" t="n">
        <f aca="false">CF!$K$66-CF!$K$65</f>
        <v>-4.20040432587558</v>
      </c>
      <c r="L67" s="38" t="n">
        <f aca="false">CF!$L$66-CF!$L$65</f>
        <v>-98.3249543477765</v>
      </c>
      <c r="M67" s="38" t="n">
        <f aca="false">CF!$M$66-CF!$M$65</f>
        <v>-182.708136073434</v>
      </c>
    </row>
    <row r="68" customFormat="false" ht="17.15" hidden="false" customHeight="false" outlineLevel="0" collapsed="false">
      <c r="A68" s="5" t="s">
        <v>755</v>
      </c>
      <c r="B68" s="0" t="s">
        <v>73</v>
      </c>
      <c r="F68" s="38" t="n">
        <f aca="false">debt_q2*kd_book*0.5+iss_2h26*kd_new*0.25</f>
        <v>3.24888964316061</v>
      </c>
      <c r="H68" s="38" t="n">
        <f aca="false">debt_q2*kd_book+(CF!$G$66-debt_q2)*kd_new</f>
        <v>7.42354178632123</v>
      </c>
      <c r="I68" s="38" t="n">
        <f aca="false">debt_q2*kd_book+(CF!$H$66-debt_q2)*kd_new</f>
        <v>7.51827597635917</v>
      </c>
      <c r="J68" s="38" t="n">
        <f aca="false">debt_q2*kd_book+(CF!$I$66-debt_q2)*kd_new</f>
        <v>7.76994062068418</v>
      </c>
      <c r="K68" s="38" t="n">
        <f aca="false">debt_q2*kd_book+(CF!$J$66-debt_q2)*kd_new</f>
        <v>7.76994062068418</v>
      </c>
      <c r="L68" s="38" t="n">
        <f aca="false">debt_q2*kd_book+(CF!$K$66-debt_q2)*kd_new</f>
        <v>7.76994062068418</v>
      </c>
      <c r="M68" s="38" t="n">
        <f aca="false">debt_q2*kd_book+(CF!$L$66-debt_q2)*kd_new</f>
        <v>7.76994062068418</v>
      </c>
    </row>
    <row r="69" customFormat="false" ht="17.15" hidden="false" customHeight="false" outlineLevel="0" collapsed="false">
      <c r="A69" s="5" t="s">
        <v>756</v>
      </c>
      <c r="B69" s="0" t="s">
        <v>73</v>
      </c>
      <c r="F69" s="38" t="n">
        <f aca="false">cash_q2*y_cash*0.5</f>
        <v>2.59</v>
      </c>
      <c r="H69" s="38" t="n">
        <f aca="false">CF!$G$65*y_cash</f>
        <v>4.00971603121774</v>
      </c>
      <c r="I69" s="38" t="n">
        <f aca="false">CF!$H$65*y_cash</f>
        <v>2.10589651022864</v>
      </c>
      <c r="J69" s="38" t="n">
        <f aca="false">CF!$I$65*y_cash</f>
        <v>2.10589651022864</v>
      </c>
      <c r="K69" s="38" t="n">
        <f aca="false">CF!$J$65*y_cash</f>
        <v>3.77985822695893</v>
      </c>
      <c r="L69" s="38" t="n">
        <f aca="false">CF!$K$65*y_cash</f>
        <v>7.24081936505971</v>
      </c>
      <c r="M69" s="38" t="n">
        <f aca="false">CF!$L$65*y_cash</f>
        <v>11.205150593419</v>
      </c>
    </row>
    <row r="70" customFormat="false" ht="17.15" hidden="false" customHeight="false" outlineLevel="0" collapsed="false">
      <c r="A70" s="46" t="s">
        <v>757</v>
      </c>
      <c r="B70" s="13" t="s">
        <v>73</v>
      </c>
      <c r="C70" s="13"/>
      <c r="D70" s="13"/>
      <c r="E70" s="13"/>
      <c r="F70" s="13"/>
      <c r="G70" s="47" t="n">
        <f aca="false">SUM(CF!$G$59:$K$59)</f>
        <v>9.81640432587554</v>
      </c>
      <c r="H70" s="13"/>
      <c r="I70" s="13"/>
      <c r="J70" s="13"/>
      <c r="K70" s="13"/>
      <c r="L70" s="13"/>
      <c r="M70" s="13"/>
      <c r="N70" s="13"/>
      <c r="O70" s="13"/>
    </row>
    <row r="71" customFormat="false" ht="17.15" hidden="false" customHeight="false" outlineLevel="0" collapsed="false">
      <c r="A71" s="0" t="s">
        <v>724</v>
      </c>
      <c r="B71" s="0" t="s">
        <v>73</v>
      </c>
      <c r="G71" s="38" t="n">
        <f aca="false">SUM(CF!$G$64:$K$64)</f>
        <v>5.47233545597079</v>
      </c>
    </row>
    <row r="74" customFormat="false" ht="19.4" hidden="false" customHeight="false" outlineLevel="0" collapsed="false">
      <c r="A74" s="31" t="s">
        <v>759</v>
      </c>
    </row>
    <row r="75" customFormat="false" ht="17.15" hidden="false" customHeight="false" outlineLevel="0" collapsed="false">
      <c r="A75" s="6" t="s">
        <v>16</v>
      </c>
      <c r="B75" s="6" t="s">
        <v>17</v>
      </c>
      <c r="C75" s="20" t="s">
        <v>457</v>
      </c>
      <c r="D75" s="20" t="s">
        <v>458</v>
      </c>
      <c r="E75" s="20" t="s">
        <v>540</v>
      </c>
      <c r="F75" s="20" t="s">
        <v>541</v>
      </c>
      <c r="G75" s="20" t="s">
        <v>542</v>
      </c>
      <c r="H75" s="20" t="s">
        <v>543</v>
      </c>
      <c r="I75" s="20" t="s">
        <v>544</v>
      </c>
      <c r="J75" s="20" t="s">
        <v>545</v>
      </c>
      <c r="K75" s="20" t="s">
        <v>546</v>
      </c>
      <c r="L75" s="20" t="s">
        <v>547</v>
      </c>
      <c r="M75" s="20" t="s">
        <v>548</v>
      </c>
      <c r="N75" s="20" t="s">
        <v>549</v>
      </c>
      <c r="O75" s="20" t="s">
        <v>550</v>
      </c>
      <c r="P75" s="6" t="s">
        <v>23</v>
      </c>
      <c r="R75" s="20" t="n">
        <v>2023</v>
      </c>
      <c r="S75" s="20" t="n">
        <v>2024</v>
      </c>
      <c r="T75" s="20" t="n">
        <v>2025</v>
      </c>
      <c r="U75" s="20" t="n">
        <v>2026</v>
      </c>
      <c r="V75" s="20" t="n">
        <v>2027</v>
      </c>
      <c r="W75" s="20" t="n">
        <v>2028</v>
      </c>
      <c r="X75" s="20" t="n">
        <v>2029</v>
      </c>
      <c r="Y75" s="20" t="n">
        <v>2030</v>
      </c>
      <c r="Z75" s="20" t="n">
        <v>2031</v>
      </c>
      <c r="AA75" s="20" t="n">
        <v>2032</v>
      </c>
    </row>
    <row r="76" customFormat="false" ht="15" hidden="false" customHeight="false" outlineLevel="0" collapsed="false">
      <c r="A76" s="5" t="s">
        <v>509</v>
      </c>
      <c r="B76" s="0" t="s">
        <v>73</v>
      </c>
      <c r="C76" s="38" t="n">
        <f aca="false">PL!$C$203</f>
        <v>59.248</v>
      </c>
      <c r="D76" s="38" t="n">
        <f aca="false">PL!$D$203</f>
        <v>77.67</v>
      </c>
      <c r="E76" s="38" t="n">
        <f aca="false">PL!$E$203</f>
        <v>92.902</v>
      </c>
      <c r="F76" s="38" t="n">
        <f aca="false">PL!$F$203</f>
        <v>48.2607391330247</v>
      </c>
      <c r="G76" s="38" t="n">
        <f aca="false">PL!$G$203</f>
        <v>141.162739133025</v>
      </c>
      <c r="H76" s="38" t="n">
        <f aca="false">PL!$H$203</f>
        <v>103.674846271574</v>
      </c>
      <c r="I76" s="38" t="n">
        <f aca="false">PL!$I$203</f>
        <v>116.637862689418</v>
      </c>
      <c r="J76" s="38" t="n">
        <f aca="false">PL!$J$203</f>
        <v>128.417825440658</v>
      </c>
      <c r="K76" s="38" t="n">
        <f aca="false">PL!$K$203</f>
        <v>138.21388646132</v>
      </c>
      <c r="L76" s="38" t="n">
        <f aca="false">PL!$L$203</f>
        <v>150.706946885977</v>
      </c>
      <c r="M76" s="38" t="n">
        <f aca="false">PL!$M$203</f>
        <v>163.955434942798</v>
      </c>
    </row>
    <row r="77" customFormat="false" ht="17.15" hidden="false" customHeight="false" outlineLevel="0" collapsed="false">
      <c r="A77" s="5" t="s">
        <v>731</v>
      </c>
      <c r="B77" s="0" t="s">
        <v>73</v>
      </c>
      <c r="C77" s="38" t="n">
        <f aca="false">PL!$C$191</f>
        <v>32.067</v>
      </c>
      <c r="D77" s="38" t="n">
        <f aca="false">PL!$D$191</f>
        <v>41.86</v>
      </c>
      <c r="E77" s="38" t="n">
        <f aca="false">PL!$E$191</f>
        <v>26.703</v>
      </c>
      <c r="F77" s="38" t="n">
        <f aca="false">PL!$F$191</f>
        <v>30.6103857251209</v>
      </c>
      <c r="G77" s="38" t="n">
        <f aca="false">PL!$G$191</f>
        <v>57.3133857251209</v>
      </c>
      <c r="H77" s="38" t="n">
        <f aca="false">PL!$H$191</f>
        <v>87.6845218193838</v>
      </c>
      <c r="I77" s="38" t="n">
        <f aca="false">PL!$I$191</f>
        <v>122.294769708638</v>
      </c>
      <c r="J77" s="38" t="n">
        <f aca="false">PL!$J$191</f>
        <v>157.133962573221</v>
      </c>
      <c r="K77" s="38" t="n">
        <f aca="false">PL!$K$191</f>
        <v>191.350633353599</v>
      </c>
      <c r="L77" s="38" t="n">
        <f aca="false">PL!$L$191</f>
        <v>223.909238335354</v>
      </c>
      <c r="M77" s="38" t="n">
        <f aca="false">PL!$M$191</f>
        <v>257.576319867276</v>
      </c>
    </row>
    <row r="78" customFormat="false" ht="15" hidden="false" customHeight="false" outlineLevel="0" collapsed="false">
      <c r="A78" s="5" t="s">
        <v>732</v>
      </c>
      <c r="B78" s="0" t="s">
        <v>73</v>
      </c>
      <c r="C78" s="38" t="n">
        <f aca="false">Q!$D$48</f>
        <v>22.011</v>
      </c>
      <c r="D78" s="38" t="n">
        <f aca="false">Q!$E$48</f>
        <v>19.467</v>
      </c>
      <c r="E78" s="38" t="n">
        <f aca="false">Q!$P$48</f>
        <v>10.07</v>
      </c>
      <c r="F78" s="38" t="n">
        <f aca="false">sbc_r*Seg!$F$97</f>
        <v>11.196504103304</v>
      </c>
      <c r="G78" s="38" t="n">
        <f aca="false">CF!$E$78+CF!$F$78</f>
        <v>21.266504103304</v>
      </c>
      <c r="H78" s="38" t="n">
        <f aca="false">sbc_r*Seg!$H$97</f>
        <v>24.0093275345283</v>
      </c>
      <c r="I78" s="38" t="n">
        <f aca="false">sbc_r*Seg!$I$97</f>
        <v>27.3083076476515</v>
      </c>
      <c r="J78" s="38" t="n">
        <f aca="false">sbc_r*Seg!$J$97</f>
        <v>30.3889204275201</v>
      </c>
      <c r="K78" s="38" t="n">
        <f aca="false">sbc_r*Seg!$K$97</f>
        <v>33.1107769530391</v>
      </c>
      <c r="L78" s="38" t="n">
        <f aca="false">sbc_r*Seg!$L$97</f>
        <v>35.968162463585</v>
      </c>
      <c r="M78" s="38" t="n">
        <f aca="false">sbc_r*Seg!$M$97</f>
        <v>38.9711548786203</v>
      </c>
    </row>
    <row r="79" customFormat="false" ht="17.15" hidden="false" customHeight="false" outlineLevel="0" collapsed="false">
      <c r="A79" s="5" t="s">
        <v>733</v>
      </c>
      <c r="B79" s="0" t="s">
        <v>73</v>
      </c>
      <c r="C79" s="38" t="n">
        <f aca="false">Q!$D$44-CF!$C$76-CF!$C$77-CF!$C$78</f>
        <v>2.551</v>
      </c>
      <c r="D79" s="38" t="n">
        <f aca="false">Q!$E$44-CF!$D$76-CF!$D$77-CF!$D$78</f>
        <v>0.51700000000001</v>
      </c>
      <c r="E79" s="38" t="n">
        <f aca="false">Q!$P$44-CF!$E$76-CF!$E$77-CF!$E$78</f>
        <v>-58.256</v>
      </c>
      <c r="F79" s="38" t="n">
        <f aca="false">wc_2h26+oth_r*Seg!$F$97</f>
        <v>7.33609295902278</v>
      </c>
      <c r="G79" s="38" t="n">
        <f aca="false">CF!$E$79+CF!$F$79</f>
        <v>-50.9199070409772</v>
      </c>
      <c r="H79" s="38" t="n">
        <f aca="false">oth_r*Seg!$H$97</f>
        <v>11.5561515249225</v>
      </c>
      <c r="I79" s="38" t="n">
        <f aca="false">oth_r*Seg!$I$97</f>
        <v>13.144014159148</v>
      </c>
      <c r="J79" s="38" t="n">
        <f aca="false">oth_r*Seg!$J$97</f>
        <v>14.6267723922795</v>
      </c>
      <c r="K79" s="38" t="n">
        <f aca="false">oth_r*Seg!$K$97</f>
        <v>15.93685433409</v>
      </c>
      <c r="L79" s="38" t="n">
        <f aca="false">oth_r*Seg!$L$97</f>
        <v>17.3121689853437</v>
      </c>
      <c r="M79" s="38" t="n">
        <f aca="false">oth_r*Seg!$M$97</f>
        <v>18.7575670426793</v>
      </c>
      <c r="P79" s="8" t="s">
        <v>734</v>
      </c>
    </row>
    <row r="80" customFormat="false" ht="15" hidden="false" customHeight="false" outlineLevel="0" collapsed="false">
      <c r="A80" s="3" t="s">
        <v>515</v>
      </c>
      <c r="B80" s="8" t="s">
        <v>73</v>
      </c>
      <c r="C80" s="38" t="n">
        <f aca="false">Q!$D$44</f>
        <v>115.877</v>
      </c>
      <c r="D80" s="38" t="n">
        <f aca="false">Q!$E$44</f>
        <v>139.514</v>
      </c>
      <c r="E80" s="38" t="n">
        <f aca="false">Q!$P$44</f>
        <v>71.419</v>
      </c>
      <c r="F80" s="38" t="n">
        <f aca="false">CF!$F$76+CF!$F$77+CF!$F$78+CF!$F$79</f>
        <v>97.4037219204725</v>
      </c>
      <c r="G80" s="38" t="n">
        <f aca="false">CF!$E$80+CF!$F$80</f>
        <v>168.822721920472</v>
      </c>
      <c r="H80" s="38" t="n">
        <f aca="false">CF!$H$76+CF!$H$77+CF!$H$78+CF!$H$79</f>
        <v>226.924847150409</v>
      </c>
      <c r="I80" s="38" t="n">
        <f aca="false">CF!$I$76+CF!$I$77+CF!$I$78+CF!$I$79</f>
        <v>279.384954204855</v>
      </c>
      <c r="J80" s="38" t="n">
        <f aca="false">CF!$J$76+CF!$J$77+CF!$J$78+CF!$J$79</f>
        <v>330.567480833679</v>
      </c>
      <c r="K80" s="38" t="n">
        <f aca="false">CF!$K$76+CF!$K$77+CF!$K$78+CF!$K$79</f>
        <v>378.612151102049</v>
      </c>
      <c r="L80" s="38" t="n">
        <f aca="false">CF!$L$76+CF!$L$77+CF!$L$78+CF!$L$79</f>
        <v>427.89651667026</v>
      </c>
      <c r="M80" s="38" t="n">
        <f aca="false">CF!$M$76+CF!$M$77+CF!$M$78+CF!$M$79</f>
        <v>479.260476731374</v>
      </c>
    </row>
    <row r="81" customFormat="false" ht="17.15" hidden="false" customHeight="false" outlineLevel="0" collapsed="false">
      <c r="A81" s="5" t="s">
        <v>735</v>
      </c>
      <c r="B81" s="0" t="s">
        <v>73</v>
      </c>
      <c r="C81" s="38" t="n">
        <f aca="false">Thesis!$C$148</f>
        <v>25.2781053077374</v>
      </c>
      <c r="D81" s="38" t="n">
        <f aca="false">Thesis!$D$148</f>
        <v>69.5686316310026</v>
      </c>
      <c r="E81" s="38" t="n">
        <f aca="false">Thesis!$E$148</f>
        <v>64.1899206485108</v>
      </c>
      <c r="F81" s="38" t="n">
        <f aca="false">Thesis!$F$148</f>
        <v>96.2481299895</v>
      </c>
      <c r="G81" s="38" t="n">
        <f aca="false">Thesis!$G$148</f>
        <v>160.438050638011</v>
      </c>
      <c r="H81" s="38" t="n">
        <f aca="false">Thesis!$H$148</f>
        <v>198.57136494475</v>
      </c>
      <c r="I81" s="38" t="n">
        <f aca="false">Thesis!$I$148</f>
        <v>204.6464699105</v>
      </c>
      <c r="J81" s="38" t="n">
        <f aca="false">Thesis!$J$148</f>
        <v>209.8832381105</v>
      </c>
      <c r="K81" s="38" t="n">
        <f aca="false">Thesis!$K$148</f>
        <v>215.1200063105</v>
      </c>
      <c r="L81" s="38" t="n">
        <f aca="false">Thesis!$L$148</f>
        <v>251.7773837105</v>
      </c>
      <c r="M81" s="38" t="n">
        <f aca="false">Thesis!$M$148</f>
        <v>311.87584476575</v>
      </c>
    </row>
    <row r="82" customFormat="false" ht="17.15" hidden="false" customHeight="false" outlineLevel="0" collapsed="false">
      <c r="A82" s="5" t="s">
        <v>736</v>
      </c>
      <c r="B82" s="0" t="s">
        <v>73</v>
      </c>
      <c r="C82" s="38" t="n">
        <f aca="false">cx_awso*Seg!$C$95</f>
        <v>21.0469989286053</v>
      </c>
      <c r="D82" s="38" t="n">
        <f aca="false">cx_awso*Seg!$D$95</f>
        <v>24.0042459822698</v>
      </c>
      <c r="E82" s="38" t="n">
        <f aca="false">cx_awso*Seg!$E$95</f>
        <v>14.261729404886</v>
      </c>
      <c r="F82" s="38" t="n">
        <f aca="false">cx_awso*Seg!$F$95</f>
        <v>15.7190020837331</v>
      </c>
      <c r="G82" s="38" t="n">
        <f aca="false">CF!$E$82+CF!$F$82</f>
        <v>29.9807314886191</v>
      </c>
      <c r="H82" s="38" t="n">
        <f aca="false">cx_awso*Seg!$H$95</f>
        <v>36.1787121536283</v>
      </c>
      <c r="I82" s="38" t="n">
        <f aca="false">cx_awso*Seg!$I$95</f>
        <v>42.1296794430021</v>
      </c>
      <c r="J82" s="38" t="n">
        <f aca="false">cx_awso*Seg!$J$95</f>
        <v>47.279781889299</v>
      </c>
      <c r="K82" s="38" t="n">
        <f aca="false">cx_awso*Seg!$K$95</f>
        <v>51.0621644404429</v>
      </c>
      <c r="L82" s="38" t="n">
        <f aca="false">cx_awso*Seg!$L$95</f>
        <v>55.1471375956783</v>
      </c>
      <c r="M82" s="38" t="n">
        <f aca="false">cx_awso*Seg!$M$95</f>
        <v>59.5589086033326</v>
      </c>
    </row>
    <row r="83" customFormat="false" ht="17.15" hidden="false" customHeight="false" outlineLevel="0" collapsed="false">
      <c r="A83" s="5" t="s">
        <v>737</v>
      </c>
      <c r="B83" s="0" t="s">
        <v>73</v>
      </c>
      <c r="C83" s="38" t="n">
        <f aca="false">Q!$D$46-CF!$C$81-CF!$C$82</f>
        <v>31.3328957636573</v>
      </c>
      <c r="D83" s="38" t="n">
        <f aca="false">Q!$E$46-CF!$D$81-CF!$D$82</f>
        <v>34.7471223867276</v>
      </c>
      <c r="E83" s="38" t="n">
        <f aca="false">Q!$P$46-CF!$E$81-CF!$E$82</f>
        <v>17.8583499466032</v>
      </c>
      <c r="F83" s="38" t="n">
        <f aca="false">cx_rt*Seg!$F$87</f>
        <v>21.0855744229195</v>
      </c>
      <c r="G83" s="38" t="n">
        <f aca="false">CF!$E$83+CF!$F$83</f>
        <v>38.9439243695228</v>
      </c>
      <c r="H83" s="38" t="n">
        <f aca="false">cx_rt*Seg!$H$87</f>
        <v>43.1200434029767</v>
      </c>
      <c r="I83" s="38" t="n">
        <f aca="false">cx_rt*Seg!$I$87</f>
        <v>47.1583152318763</v>
      </c>
      <c r="J83" s="38" t="n">
        <f aca="false">cx_rt*Seg!$J$87</f>
        <v>50.9060281137911</v>
      </c>
      <c r="K83" s="38" t="n">
        <f aca="false">cx_rt*Seg!$K$87</f>
        <v>54.2035645673053</v>
      </c>
      <c r="L83" s="38" t="n">
        <f aca="false">cx_rt*Seg!$L$87</f>
        <v>57.7318979121519</v>
      </c>
      <c r="M83" s="38" t="n">
        <f aca="false">cx_rt*Seg!$M$87</f>
        <v>61.5084196557756</v>
      </c>
    </row>
    <row r="84" customFormat="false" ht="15" hidden="false" customHeight="false" outlineLevel="0" collapsed="false">
      <c r="A84" s="3" t="s">
        <v>738</v>
      </c>
      <c r="B84" s="8" t="s">
        <v>73</v>
      </c>
      <c r="C84" s="38" t="n">
        <f aca="false">Q!$D$46</f>
        <v>77.658</v>
      </c>
      <c r="D84" s="38" t="n">
        <f aca="false">Q!$E$46</f>
        <v>128.32</v>
      </c>
      <c r="E84" s="38" t="n">
        <f aca="false">Q!$P$46</f>
        <v>96.31</v>
      </c>
      <c r="F84" s="38" t="n">
        <f aca="false">CF!$F$81+CF!$F$82+CF!$F$83</f>
        <v>133.052706496153</v>
      </c>
      <c r="G84" s="38" t="n">
        <f aca="false">CF!$E$84+CF!$F$84</f>
        <v>229.362706496153</v>
      </c>
      <c r="H84" s="38" t="n">
        <f aca="false">CF!$H$81+CF!$H$82+CF!$H$83</f>
        <v>277.870120501355</v>
      </c>
      <c r="I84" s="38" t="n">
        <f aca="false">CF!$I$81+CF!$I$82+CF!$I$83</f>
        <v>293.934464585378</v>
      </c>
      <c r="J84" s="38" t="n">
        <f aca="false">CF!$J$81+CF!$J$82+CF!$J$83</f>
        <v>308.06904811359</v>
      </c>
      <c r="K84" s="38" t="n">
        <f aca="false">CF!$K$81+CF!$K$82+CF!$K$83</f>
        <v>320.385735318248</v>
      </c>
      <c r="L84" s="38" t="n">
        <f aca="false">CF!$L$81+CF!$L$82+CF!$L$83</f>
        <v>364.65641921833</v>
      </c>
      <c r="M84" s="38" t="n">
        <f aca="false">CF!$M$81+CF!$M$82+CF!$M$83</f>
        <v>432.943173024858</v>
      </c>
    </row>
    <row r="85" customFormat="false" ht="17.15" hidden="false" customHeight="false" outlineLevel="0" collapsed="false">
      <c r="A85" s="5" t="s">
        <v>523</v>
      </c>
      <c r="B85" s="0" t="s">
        <v>73</v>
      </c>
      <c r="C85" s="38" t="n">
        <f aca="false">Q!$D$50</f>
        <v>2.043</v>
      </c>
      <c r="D85" s="38" t="n">
        <f aca="false">Q!$E$50</f>
        <v>1.557</v>
      </c>
      <c r="E85" s="38" t="n">
        <f aca="false">lease_pr/2</f>
        <v>0.8</v>
      </c>
      <c r="F85" s="38" t="n">
        <f aca="false">lease_pr/2</f>
        <v>0.8</v>
      </c>
      <c r="G85" s="38" t="n">
        <f aca="false">CF!$E$85+CF!$F$85</f>
        <v>1.6</v>
      </c>
      <c r="H85" s="38" t="n">
        <f aca="false">lease_pr</f>
        <v>1.6</v>
      </c>
      <c r="I85" s="38" t="n">
        <f aca="false">lease_pr</f>
        <v>1.6</v>
      </c>
      <c r="J85" s="38" t="n">
        <f aca="false">lease_pr</f>
        <v>1.6</v>
      </c>
      <c r="K85" s="38" t="n">
        <f aca="false">lease_pr</f>
        <v>1.6</v>
      </c>
      <c r="L85" s="38" t="n">
        <f aca="false">lease_pr</f>
        <v>1.6</v>
      </c>
      <c r="M85" s="38" t="n">
        <f aca="false">lease_pr</f>
        <v>1.6</v>
      </c>
      <c r="P85" s="8" t="s">
        <v>739</v>
      </c>
    </row>
    <row r="86" customFormat="false" ht="15" hidden="false" customHeight="false" outlineLevel="0" collapsed="false">
      <c r="A86" s="46" t="s">
        <v>740</v>
      </c>
      <c r="B86" s="13" t="s">
        <v>73</v>
      </c>
      <c r="C86" s="47" t="n">
        <f aca="false">CF!$C$80-CF!$C$84-CF!$C$85</f>
        <v>36.176</v>
      </c>
      <c r="D86" s="47" t="n">
        <f aca="false">CF!$D$80-CF!$D$84-CF!$D$85</f>
        <v>9.63700000000002</v>
      </c>
      <c r="E86" s="47" t="n">
        <f aca="false">CF!$E$80-CF!$E$84-CF!$E$85</f>
        <v>-25.691</v>
      </c>
      <c r="F86" s="47" t="n">
        <f aca="false">CF!$F$80-CF!$F$84-CF!$F$85</f>
        <v>-36.4489845756801</v>
      </c>
      <c r="G86" s="47" t="n">
        <f aca="false">CF!$G$80-CF!$G$84-CF!$G$85</f>
        <v>-62.1399845756801</v>
      </c>
      <c r="H86" s="47" t="n">
        <f aca="false">CF!$H$80-CF!$H$84-CF!$H$85</f>
        <v>-52.5452733509461</v>
      </c>
      <c r="I86" s="47" t="n">
        <f aca="false">CF!$I$80-CF!$I$84-CF!$I$85</f>
        <v>-16.1495103805229</v>
      </c>
      <c r="J86" s="47" t="n">
        <f aca="false">CF!$J$80-CF!$J$84-CF!$J$85</f>
        <v>20.8984327200888</v>
      </c>
      <c r="K86" s="47" t="n">
        <f aca="false">CF!$K$80-CF!$K$84-CF!$K$85</f>
        <v>56.6264157838005</v>
      </c>
      <c r="L86" s="47" t="n">
        <f aca="false">CF!$L$80-CF!$L$84-CF!$L$85</f>
        <v>61.6400974519302</v>
      </c>
      <c r="M86" s="47" t="n">
        <f aca="false">CF!$M$80-CF!$M$84-CF!$M$85</f>
        <v>44.717303706516</v>
      </c>
      <c r="N86" s="13"/>
      <c r="O86" s="13"/>
    </row>
    <row r="87" customFormat="false" ht="17.15" hidden="false" customHeight="false" outlineLevel="0" collapsed="false">
      <c r="A87" s="5" t="s">
        <v>741</v>
      </c>
      <c r="B87" s="0" t="s">
        <v>73</v>
      </c>
      <c r="C87" s="38" t="n">
        <f aca="false">dps*PL!$C$204</f>
        <v>0</v>
      </c>
      <c r="D87" s="38" t="n">
        <f aca="false">dps*PL!$D$204</f>
        <v>0</v>
      </c>
      <c r="E87" s="38" t="n">
        <f aca="false">dps*PL!$E$204</f>
        <v>0</v>
      </c>
      <c r="F87" s="38" t="n">
        <f aca="false">0</f>
        <v>0</v>
      </c>
      <c r="G87" s="38" t="n">
        <f aca="false">dps*PL!$G$204</f>
        <v>0</v>
      </c>
      <c r="H87" s="38" t="n">
        <f aca="false">dps*PL!$H$204</f>
        <v>0</v>
      </c>
      <c r="I87" s="38" t="n">
        <f aca="false">dps*PL!$I$204</f>
        <v>0</v>
      </c>
      <c r="J87" s="38" t="n">
        <f aca="false">dps*PL!$J$204</f>
        <v>0</v>
      </c>
      <c r="K87" s="38" t="n">
        <f aca="false">dps*PL!$K$204</f>
        <v>0</v>
      </c>
      <c r="L87" s="38" t="n">
        <f aca="false">dps*PL!$L$204</f>
        <v>0</v>
      </c>
      <c r="M87" s="38" t="n">
        <f aca="false">dps*PL!$M$204</f>
        <v>0</v>
      </c>
      <c r="P87" s="8" t="s">
        <v>742</v>
      </c>
    </row>
    <row r="88" customFormat="false" ht="17.15" hidden="false" customHeight="false" outlineLevel="0" collapsed="false">
      <c r="A88" s="5" t="s">
        <v>743</v>
      </c>
      <c r="B88" s="0" t="s">
        <v>73</v>
      </c>
      <c r="C88" s="38" t="n">
        <f aca="false">0</f>
        <v>0</v>
      </c>
      <c r="D88" s="38" t="n">
        <f aca="false">0</f>
        <v>0</v>
      </c>
      <c r="E88" s="38" t="n">
        <f aca="false">0</f>
        <v>0</v>
      </c>
      <c r="F88" s="38" t="n">
        <f aca="false">0</f>
        <v>0</v>
      </c>
      <c r="G88" s="38" t="n">
        <f aca="false">0</f>
        <v>0</v>
      </c>
      <c r="H88" s="38" t="n">
        <f aca="false">0</f>
        <v>0</v>
      </c>
      <c r="I88" s="38" t="n">
        <f aca="false">0</f>
        <v>0</v>
      </c>
      <c r="J88" s="38" t="n">
        <f aca="false">0</f>
        <v>0</v>
      </c>
      <c r="K88" s="38" t="n">
        <f aca="false">0</f>
        <v>0</v>
      </c>
      <c r="L88" s="38" t="n">
        <f aca="false">0</f>
        <v>0</v>
      </c>
      <c r="M88" s="38" t="n">
        <f aca="false">0</f>
        <v>0</v>
      </c>
      <c r="P88" s="8" t="s">
        <v>744</v>
      </c>
    </row>
    <row r="89" customFormat="false" ht="15" hidden="false" customHeight="false" outlineLevel="0" collapsed="false">
      <c r="A89" s="3" t="s">
        <v>745</v>
      </c>
      <c r="B89" s="8" t="s">
        <v>73</v>
      </c>
      <c r="C89" s="38" t="n">
        <f aca="false">CF!$C$86-CF!$C$87</f>
        <v>36.176</v>
      </c>
      <c r="D89" s="38" t="n">
        <f aca="false">CF!$D$86-CF!$D$87</f>
        <v>9.63700000000002</v>
      </c>
      <c r="E89" s="38" t="n">
        <f aca="false">CF!$E$86-CF!$E$87</f>
        <v>-25.691</v>
      </c>
      <c r="F89" s="38" t="n">
        <f aca="false">CF!$F$86-CF!$F$87</f>
        <v>-36.4489845756801</v>
      </c>
      <c r="G89" s="38" t="n">
        <f aca="false">CF!$G$86-CF!$G$87</f>
        <v>-62.1399845756801</v>
      </c>
      <c r="H89" s="38" t="n">
        <f aca="false">CF!$H$86-CF!$H$87</f>
        <v>-52.5452733509461</v>
      </c>
      <c r="I89" s="38" t="n">
        <f aca="false">CF!$I$86-CF!$I$87</f>
        <v>-16.1495103805229</v>
      </c>
      <c r="J89" s="38" t="n">
        <f aca="false">CF!$J$86-CF!$J$87</f>
        <v>20.8984327200888</v>
      </c>
      <c r="K89" s="38" t="n">
        <f aca="false">CF!$K$86-CF!$K$87</f>
        <v>56.6264157838005</v>
      </c>
      <c r="L89" s="38" t="n">
        <f aca="false">CF!$L$86-CF!$L$87</f>
        <v>61.6400974519302</v>
      </c>
      <c r="M89" s="38" t="n">
        <f aca="false">CF!$M$86-CF!$M$87</f>
        <v>44.717303706516</v>
      </c>
    </row>
    <row r="90" customFormat="false" ht="17.15" hidden="false" customHeight="false" outlineLevel="0" collapsed="false">
      <c r="A90" s="5" t="s">
        <v>746</v>
      </c>
      <c r="B90" s="0" t="s">
        <v>73</v>
      </c>
      <c r="E90" s="38" t="n">
        <f aca="false">Q!$P$53</f>
        <v>39.767</v>
      </c>
      <c r="F90" s="38" t="n">
        <f aca="false">inv_2h26</f>
        <v>21.3</v>
      </c>
      <c r="G90" s="38" t="n">
        <f aca="false">CF!$E$90+CF!$F$90</f>
        <v>61.067</v>
      </c>
      <c r="H90" s="41" t="n">
        <v>0</v>
      </c>
      <c r="I90" s="41" t="n">
        <v>0</v>
      </c>
      <c r="J90" s="41" t="n">
        <v>0</v>
      </c>
      <c r="K90" s="41" t="n">
        <v>0</v>
      </c>
      <c r="L90" s="41" t="n">
        <v>0</v>
      </c>
      <c r="M90" s="41" t="n">
        <v>0</v>
      </c>
    </row>
    <row r="91" customFormat="false" ht="17.15" hidden="false" customHeight="false" outlineLevel="0" collapsed="false">
      <c r="A91" s="5" t="s">
        <v>747</v>
      </c>
      <c r="B91" s="0" t="s">
        <v>73</v>
      </c>
      <c r="F91" s="38" t="n">
        <f aca="false">iss_2h26</f>
        <v>29.25</v>
      </c>
      <c r="G91" s="38" t="n">
        <f aca="false">CF!$F$91</f>
        <v>29.25</v>
      </c>
      <c r="H91" s="41" t="n">
        <v>0</v>
      </c>
      <c r="I91" s="41" t="n">
        <v>0</v>
      </c>
      <c r="J91" s="41" t="n">
        <v>0</v>
      </c>
      <c r="K91" s="41" t="n">
        <v>0</v>
      </c>
      <c r="L91" s="41" t="n">
        <v>0</v>
      </c>
      <c r="M91" s="41" t="n">
        <v>0</v>
      </c>
    </row>
    <row r="92" customFormat="false" ht="17.15" hidden="false" customHeight="false" outlineLevel="0" collapsed="false">
      <c r="A92" s="5" t="s">
        <v>748</v>
      </c>
      <c r="B92" s="0" t="s">
        <v>73</v>
      </c>
      <c r="F92" s="38" t="n">
        <f aca="false">cash_q2</f>
        <v>122.988</v>
      </c>
      <c r="G92" s="38" t="n">
        <f aca="false">cash_q2</f>
        <v>122.988</v>
      </c>
      <c r="H92" s="38" t="n">
        <f aca="false">CF!$G$95</f>
        <v>94.4890154243199</v>
      </c>
      <c r="I92" s="38" t="n">
        <f aca="false">CF!$H$95</f>
        <v>50</v>
      </c>
      <c r="J92" s="38" t="n">
        <f aca="false">CF!$I$95</f>
        <v>50</v>
      </c>
      <c r="K92" s="38" t="n">
        <f aca="false">CF!$J$95</f>
        <v>70.8984327200888</v>
      </c>
      <c r="L92" s="38" t="n">
        <f aca="false">CF!$K$95</f>
        <v>127.524848503889</v>
      </c>
      <c r="M92" s="38" t="n">
        <f aca="false">CF!$L$95</f>
        <v>189.16494595582</v>
      </c>
    </row>
    <row r="93" customFormat="false" ht="15" hidden="false" customHeight="false" outlineLevel="0" collapsed="false">
      <c r="A93" s="5" t="s">
        <v>749</v>
      </c>
      <c r="B93" s="0" t="s">
        <v>73</v>
      </c>
      <c r="F93" s="38" t="n">
        <f aca="false">CF!$F$92+CF!$F$89-CF!$F$88-CF!$F$90+CF!$F$91</f>
        <v>94.4890154243199</v>
      </c>
      <c r="H93" s="38" t="n">
        <f aca="false">CF!$H$92+CF!$H$89-CF!$H$88-CF!$H$90+CF!$H$91</f>
        <v>41.9437420733738</v>
      </c>
      <c r="I93" s="38" t="n">
        <f aca="false">CF!$I$92+CF!$I$89-CF!$I$88-CF!$I$90+CF!$I$91</f>
        <v>33.8504896194771</v>
      </c>
      <c r="J93" s="38" t="n">
        <f aca="false">CF!$J$92+CF!$J$89-CF!$J$88-CF!$J$90+CF!$J$91</f>
        <v>70.8984327200888</v>
      </c>
      <c r="K93" s="38" t="n">
        <f aca="false">CF!$K$92+CF!$K$89-CF!$K$88-CF!$K$90+CF!$K$91</f>
        <v>127.524848503889</v>
      </c>
      <c r="L93" s="38" t="n">
        <f aca="false">CF!$L$92+CF!$L$89-CF!$L$88-CF!$L$90+CF!$L$91</f>
        <v>189.16494595582</v>
      </c>
      <c r="M93" s="38" t="n">
        <f aca="false">CF!$M$92+CF!$M$89-CF!$M$88-CF!$M$90+CF!$M$91</f>
        <v>233.882249662336</v>
      </c>
    </row>
    <row r="94" customFormat="false" ht="17.15" hidden="false" customHeight="false" outlineLevel="0" collapsed="false">
      <c r="A94" s="5" t="s">
        <v>750</v>
      </c>
      <c r="B94" s="0" t="s">
        <v>73</v>
      </c>
      <c r="F94" s="38" t="n">
        <f aca="false">MAX(0,min_cash-CF!$F$93)</f>
        <v>0</v>
      </c>
      <c r="G94" s="38" t="n">
        <f aca="false">CF!$F$94</f>
        <v>0</v>
      </c>
      <c r="H94" s="38" t="n">
        <f aca="false">MAX(0,min_cash-CF!$H$93)</f>
        <v>8.0562579266262</v>
      </c>
      <c r="I94" s="38" t="n">
        <f aca="false">MAX(0,min_cash-CF!$I$93)</f>
        <v>16.1495103805229</v>
      </c>
      <c r="J94" s="38" t="n">
        <f aca="false">MAX(0,min_cash-CF!$J$93)</f>
        <v>0</v>
      </c>
      <c r="K94" s="38" t="n">
        <f aca="false">MAX(0,min_cash-CF!$K$93)</f>
        <v>0</v>
      </c>
      <c r="L94" s="38" t="n">
        <f aca="false">MAX(0,min_cash-CF!$L$93)</f>
        <v>0</v>
      </c>
      <c r="M94" s="38" t="n">
        <f aca="false">MAX(0,min_cash-CF!$M$93)</f>
        <v>0</v>
      </c>
      <c r="P94" s="5" t="s">
        <v>751</v>
      </c>
    </row>
    <row r="95" customFormat="false" ht="15" hidden="false" customHeight="false" outlineLevel="0" collapsed="false">
      <c r="A95" s="5" t="s">
        <v>752</v>
      </c>
      <c r="B95" s="0" t="s">
        <v>73</v>
      </c>
      <c r="D95" s="38" t="n">
        <f aca="false">Q!$E$61</f>
        <v>123.029</v>
      </c>
      <c r="E95" s="38" t="n">
        <f aca="false">Q!$M$61</f>
        <v>122.988</v>
      </c>
      <c r="F95" s="38" t="n">
        <f aca="false">CF!$F$93+CF!$F$94</f>
        <v>94.4890154243199</v>
      </c>
      <c r="G95" s="38" t="n">
        <f aca="false">CF!$F$95</f>
        <v>94.4890154243199</v>
      </c>
      <c r="H95" s="38" t="n">
        <f aca="false">CF!$H$93+CF!$H$94</f>
        <v>50</v>
      </c>
      <c r="I95" s="38" t="n">
        <f aca="false">CF!$I$93+CF!$I$94</f>
        <v>50</v>
      </c>
      <c r="J95" s="38" t="n">
        <f aca="false">CF!$J$93+CF!$J$94</f>
        <v>70.8984327200888</v>
      </c>
      <c r="K95" s="38" t="n">
        <f aca="false">CF!$K$93+CF!$K$94</f>
        <v>127.524848503889</v>
      </c>
      <c r="L95" s="38" t="n">
        <f aca="false">CF!$L$93+CF!$L$94</f>
        <v>189.16494595582</v>
      </c>
      <c r="M95" s="38" t="n">
        <f aca="false">CF!$M$93+CF!$M$94</f>
        <v>233.882249662336</v>
      </c>
    </row>
    <row r="96" customFormat="false" ht="15" hidden="false" customHeight="false" outlineLevel="0" collapsed="false">
      <c r="A96" s="5" t="s">
        <v>753</v>
      </c>
      <c r="B96" s="0" t="s">
        <v>73</v>
      </c>
      <c r="D96" s="38" t="n">
        <f aca="false">Q!$E$62</f>
        <v>68.836</v>
      </c>
      <c r="E96" s="38" t="n">
        <f aca="false">Q!$M$62</f>
        <v>132.995</v>
      </c>
      <c r="F96" s="38" t="n">
        <f aca="false">debt_q2+CF!$F$91+CF!$F$94</f>
        <v>162.245</v>
      </c>
      <c r="G96" s="38" t="n">
        <f aca="false">CF!$F$96</f>
        <v>162.245</v>
      </c>
      <c r="H96" s="38" t="n">
        <f aca="false">CF!$G$96+CF!$H$94</f>
        <v>170.301257926626</v>
      </c>
      <c r="I96" s="38" t="n">
        <f aca="false">CF!$H$96+CF!$I$94</f>
        <v>186.450768307149</v>
      </c>
      <c r="J96" s="38" t="n">
        <f aca="false">CF!$I$96+CF!$J$94</f>
        <v>186.450768307149</v>
      </c>
      <c r="K96" s="38" t="n">
        <f aca="false">CF!$J$96+CF!$K$94</f>
        <v>186.450768307149</v>
      </c>
      <c r="L96" s="38" t="n">
        <f aca="false">CF!$K$96+CF!$L$94</f>
        <v>186.450768307149</v>
      </c>
      <c r="M96" s="38" t="n">
        <f aca="false">CF!$L$96+CF!$M$94</f>
        <v>186.450768307149</v>
      </c>
    </row>
    <row r="97" customFormat="false" ht="15" hidden="false" customHeight="false" outlineLevel="0" collapsed="false">
      <c r="A97" s="5" t="s">
        <v>754</v>
      </c>
      <c r="B97" s="0" t="s">
        <v>73</v>
      </c>
      <c r="D97" s="38" t="n">
        <f aca="false">CF!$D$96-CF!$D$95</f>
        <v>-54.193</v>
      </c>
      <c r="E97" s="38" t="n">
        <f aca="false">CF!$E$96-CF!$E$95</f>
        <v>10.007</v>
      </c>
      <c r="F97" s="38" t="n">
        <f aca="false">CF!$F$96-CF!$F$95</f>
        <v>67.7559845756801</v>
      </c>
      <c r="G97" s="38" t="n">
        <f aca="false">CF!$G$96-CF!$G$95</f>
        <v>67.7559845756801</v>
      </c>
      <c r="H97" s="38" t="n">
        <f aca="false">CF!$H$96-CF!$H$95</f>
        <v>120.301257926626</v>
      </c>
      <c r="I97" s="38" t="n">
        <f aca="false">CF!$I$96-CF!$I$95</f>
        <v>136.450768307149</v>
      </c>
      <c r="J97" s="38" t="n">
        <f aca="false">CF!$J$96-CF!$J$95</f>
        <v>115.55233558706</v>
      </c>
      <c r="K97" s="38" t="n">
        <f aca="false">CF!$K$96-CF!$K$95</f>
        <v>58.9259198032598</v>
      </c>
      <c r="L97" s="38" t="n">
        <f aca="false">CF!$L$96-CF!$L$95</f>
        <v>-2.71417764867039</v>
      </c>
      <c r="M97" s="38" t="n">
        <f aca="false">CF!$M$96-CF!$M$95</f>
        <v>-47.4314813551864</v>
      </c>
    </row>
    <row r="98" customFormat="false" ht="17.15" hidden="false" customHeight="false" outlineLevel="0" collapsed="false">
      <c r="A98" s="5" t="s">
        <v>755</v>
      </c>
      <c r="B98" s="0" t="s">
        <v>73</v>
      </c>
      <c r="F98" s="38" t="n">
        <f aca="false">debt_q2*kd_book*0.5+iss_2h26*kd_new*0.25</f>
        <v>3.24888964316061</v>
      </c>
      <c r="H98" s="38" t="n">
        <f aca="false">debt_q2*kd_book+(CF!$G$96-debt_q2)*kd_new</f>
        <v>7.42354178632123</v>
      </c>
      <c r="I98" s="38" t="n">
        <f aca="false">debt_q2*kd_book+(CF!$H$96-debt_q2)*kd_new</f>
        <v>7.93350291307667</v>
      </c>
      <c r="J98" s="38" t="n">
        <f aca="false">debt_q2*kd_book+(CF!$I$96-debt_q2)*kd_new</f>
        <v>8.95576692016377</v>
      </c>
      <c r="K98" s="38" t="n">
        <f aca="false">debt_q2*kd_book+(CF!$J$96-debt_q2)*kd_new</f>
        <v>8.95576692016377</v>
      </c>
      <c r="L98" s="38" t="n">
        <f aca="false">debt_q2*kd_book+(CF!$K$96-debt_q2)*kd_new</f>
        <v>8.95576692016377</v>
      </c>
      <c r="M98" s="38" t="n">
        <f aca="false">debt_q2*kd_book+(CF!$L$96-debt_q2)*kd_new</f>
        <v>8.95576692016377</v>
      </c>
    </row>
    <row r="99" customFormat="false" ht="17.15" hidden="false" customHeight="false" outlineLevel="0" collapsed="false">
      <c r="A99" s="5" t="s">
        <v>756</v>
      </c>
      <c r="B99" s="0" t="s">
        <v>73</v>
      </c>
      <c r="F99" s="38" t="n">
        <f aca="false">cash_q2*y_cash*0.5</f>
        <v>2.59</v>
      </c>
      <c r="H99" s="38" t="n">
        <f aca="false">CF!$G$95*y_cash</f>
        <v>3.97968175674031</v>
      </c>
      <c r="I99" s="38" t="n">
        <f aca="false">CF!$H$95*y_cash</f>
        <v>2.10589651022864</v>
      </c>
      <c r="J99" s="38" t="n">
        <f aca="false">CF!$I$95*y_cash</f>
        <v>2.10589651022864</v>
      </c>
      <c r="K99" s="38" t="n">
        <f aca="false">CF!$J$95*y_cash</f>
        <v>2.9860952409183</v>
      </c>
      <c r="L99" s="38" t="n">
        <f aca="false">CF!$K$95*y_cash</f>
        <v>5.37108266863553</v>
      </c>
      <c r="M99" s="38" t="n">
        <f aca="false">CF!$L$95*y_cash</f>
        <v>7.96723599091899</v>
      </c>
    </row>
    <row r="100" customFormat="false" ht="17.15" hidden="false" customHeight="false" outlineLevel="0" collapsed="false">
      <c r="A100" s="46" t="s">
        <v>757</v>
      </c>
      <c r="B100" s="13" t="s">
        <v>73</v>
      </c>
      <c r="C100" s="13"/>
      <c r="D100" s="13"/>
      <c r="E100" s="13"/>
      <c r="F100" s="13"/>
      <c r="G100" s="47" t="n">
        <f aca="false">SUM(CF!$G$89:$K$89)</f>
        <v>-53.3099198032599</v>
      </c>
      <c r="H100" s="13"/>
      <c r="I100" s="13"/>
      <c r="J100" s="13"/>
      <c r="K100" s="13"/>
      <c r="L100" s="13"/>
      <c r="M100" s="13"/>
      <c r="N100" s="13"/>
      <c r="O100" s="13"/>
    </row>
    <row r="101" customFormat="false" ht="17.15" hidden="false" customHeight="false" outlineLevel="0" collapsed="false">
      <c r="A101" s="0" t="s">
        <v>724</v>
      </c>
      <c r="B101" s="0" t="s">
        <v>73</v>
      </c>
      <c r="G101" s="38" t="n">
        <f aca="false">SUM(CF!$G$94:$K$94)</f>
        <v>24.2057683071491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6"/>
    <col collapsed="false" customWidth="true" hidden="false" outlineLevel="0" max="5" min="5" style="0" width="70"/>
  </cols>
  <sheetData>
    <row r="1" customFormat="false" ht="17.15" hidden="false" customHeight="false" outlineLevel="0" collapsed="false">
      <c r="A1" s="0" t="s">
        <v>760</v>
      </c>
    </row>
    <row r="3" customFormat="false" ht="19.4" hidden="false" customHeight="false" outlineLevel="0" collapsed="false">
      <c r="A3" s="31" t="s">
        <v>761</v>
      </c>
    </row>
    <row r="4" customFormat="false" ht="17.15" hidden="false" customHeight="false" outlineLevel="0" collapsed="false">
      <c r="A4" s="6" t="s">
        <v>16</v>
      </c>
      <c r="B4" s="20" t="s">
        <v>718</v>
      </c>
      <c r="C4" s="20" t="s">
        <v>719</v>
      </c>
      <c r="D4" s="20" t="s">
        <v>720</v>
      </c>
      <c r="E4" s="6" t="s">
        <v>23</v>
      </c>
    </row>
    <row r="5" customFormat="false" ht="17.15" hidden="false" customHeight="false" outlineLevel="0" collapsed="false">
      <c r="A5" s="0" t="s">
        <v>762</v>
      </c>
      <c r="B5" s="38" t="n">
        <f aca="false">Val!$C$110</f>
        <v>163.594734640718</v>
      </c>
      <c r="C5" s="38" t="n">
        <f aca="false">Val!$C$152</f>
        <v>93.7319373662158</v>
      </c>
      <c r="D5" s="38" t="n">
        <f aca="false">Val!$C$194</f>
        <v>71.728234858627</v>
      </c>
      <c r="E5" s="8" t="s">
        <v>763</v>
      </c>
    </row>
    <row r="6" customFormat="false" ht="17.15" hidden="false" customHeight="false" outlineLevel="0" collapsed="false">
      <c r="A6" s="0" t="s">
        <v>764</v>
      </c>
      <c r="B6" s="38" t="n">
        <f aca="false">Val!$C$127</f>
        <v>299.773549262865</v>
      </c>
      <c r="C6" s="38" t="n">
        <f aca="false">Val!$C$169</f>
        <v>276.758058137828</v>
      </c>
      <c r="D6" s="38" t="n">
        <f aca="false">Val!$C$211</f>
        <v>269.655553527381</v>
      </c>
      <c r="E6" s="5" t="s">
        <v>765</v>
      </c>
    </row>
    <row r="7" customFormat="false" ht="17.15" hidden="false" customHeight="false" outlineLevel="0" collapsed="false">
      <c r="A7" s="5" t="s">
        <v>766</v>
      </c>
      <c r="B7" s="47" t="n">
        <f aca="false">Val!$C$128</f>
        <v>231.684141951792</v>
      </c>
      <c r="C7" s="47" t="n">
        <f aca="false">Val!$C$170</f>
        <v>185.244997752022</v>
      </c>
      <c r="D7" s="47" t="n">
        <f aca="false">Val!$C$212</f>
        <v>170.691894193004</v>
      </c>
    </row>
    <row r="8" customFormat="false" ht="17.15" hidden="false" customHeight="false" outlineLevel="0" collapsed="false">
      <c r="A8" s="5" t="s">
        <v>767</v>
      </c>
      <c r="B8" s="12" t="n">
        <f aca="false">Val!$C$105</f>
        <v>0.833068334870714</v>
      </c>
      <c r="C8" s="12" t="n">
        <f aca="false">Val!$C$147</f>
        <v>0.984087777039521</v>
      </c>
      <c r="D8" s="12" t="n">
        <f aca="false">Val!$C$189</f>
        <v>1.10839285041436</v>
      </c>
    </row>
    <row r="9" customFormat="false" ht="15" hidden="false" customHeight="false" outlineLevel="0" collapsed="false">
      <c r="A9" s="5" t="s">
        <v>768</v>
      </c>
      <c r="B9" s="35" t="n">
        <f aca="false">w_A</f>
        <v>0.25</v>
      </c>
      <c r="C9" s="35" t="n">
        <f aca="false">w_B</f>
        <v>0.5</v>
      </c>
      <c r="D9" s="35" t="n">
        <f aca="false">w_C</f>
        <v>0.25</v>
      </c>
    </row>
    <row r="10" customFormat="false" ht="17.15" hidden="false" customHeight="false" outlineLevel="0" collapsed="false">
      <c r="A10" s="0" t="s">
        <v>769</v>
      </c>
      <c r="B10" s="12" t="n">
        <f aca="false">PL!$I$51</f>
        <v>0.430204647026498</v>
      </c>
      <c r="C10" s="12" t="n">
        <f aca="false">PL!$I$117</f>
        <v>0.349486287974975</v>
      </c>
      <c r="D10" s="12" t="n">
        <f aca="false">PL!$I$183</f>
        <v>0.319616411237051</v>
      </c>
      <c r="E10" s="5" t="s">
        <v>770</v>
      </c>
    </row>
    <row r="11" customFormat="false" ht="17.15" hidden="false" customHeight="false" outlineLevel="0" collapsed="false">
      <c r="A11" s="0" t="s">
        <v>771</v>
      </c>
      <c r="B11" s="45" t="n">
        <f aca="false">CF!$I$29</f>
        <v>30.9169363385503</v>
      </c>
      <c r="C11" s="45" t="n">
        <f aca="false">CF!$I$59</f>
        <v>-3.97574477606648</v>
      </c>
      <c r="D11" s="45" t="n">
        <f aca="false">CF!$I$89</f>
        <v>-16.1495103805229</v>
      </c>
      <c r="E11" s="5" t="s">
        <v>772</v>
      </c>
    </row>
    <row r="12" customFormat="false" ht="17.15" hidden="false" customHeight="false" outlineLevel="0" collapsed="false">
      <c r="A12" s="0" t="s">
        <v>773</v>
      </c>
      <c r="B12" s="12" t="n">
        <f aca="false">Thesis!$I$55</f>
        <v>0.160907075308678</v>
      </c>
      <c r="C12" s="12" t="n">
        <f aca="false">Thesis!$I$112</f>
        <v>0.0656831488051666</v>
      </c>
      <c r="D12" s="12" t="n">
        <f aca="false">Thesis!$I$169</f>
        <v>0.0358186710480674</v>
      </c>
      <c r="E12" s="5" t="s">
        <v>774</v>
      </c>
    </row>
    <row r="13" customFormat="false" ht="15" hidden="false" customHeight="false" outlineLevel="0" collapsed="false">
      <c r="A13" s="0" t="s">
        <v>775</v>
      </c>
      <c r="B13" s="30" t="n">
        <f aca="false">PL!$I$73</f>
        <v>14.9476323266701</v>
      </c>
      <c r="C13" s="30" t="n">
        <f aca="false">PL!$I$139</f>
        <v>11.5587999674403</v>
      </c>
      <c r="D13" s="30" t="n">
        <f aca="false">PL!$I$205</f>
        <v>10.5076295952262</v>
      </c>
    </row>
    <row r="14" customFormat="false" ht="17.15" hidden="false" customHeight="false" outlineLevel="0" collapsed="false">
      <c r="A14" s="5" t="s">
        <v>776</v>
      </c>
      <c r="B14" s="45" t="n">
        <f aca="false">CF!$G$40</f>
        <v>194.303407425881</v>
      </c>
      <c r="C14" s="45" t="n">
        <f aca="false">CF!$G$70</f>
        <v>9.81640432587554</v>
      </c>
      <c r="D14" s="45" t="n">
        <f aca="false">CF!$G$100</f>
        <v>-53.3099198032599</v>
      </c>
      <c r="E14" s="8" t="s">
        <v>777</v>
      </c>
    </row>
    <row r="16" customFormat="false" ht="15" hidden="false" customHeight="false" outlineLevel="0" collapsed="false">
      <c r="A16" s="6" t="s">
        <v>16</v>
      </c>
      <c r="B16" s="6" t="s">
        <v>778</v>
      </c>
      <c r="E16" s="6" t="s">
        <v>23</v>
      </c>
    </row>
    <row r="17" customFormat="false" ht="17.15" hidden="false" customHeight="false" outlineLevel="0" collapsed="false">
      <c r="A17" s="0" t="s">
        <v>779</v>
      </c>
      <c r="B17" s="38" t="n">
        <f aca="false">w_A*B5+w_B*C5+w_C*D5</f>
        <v>105.696711057944</v>
      </c>
    </row>
    <row r="18" customFormat="false" ht="17.15" hidden="false" customHeight="false" outlineLevel="0" collapsed="false">
      <c r="A18" s="0" t="s">
        <v>780</v>
      </c>
      <c r="B18" s="38" t="n">
        <f aca="false">w_A*B6+w_B*C6+w_C*D6</f>
        <v>280.736304766476</v>
      </c>
      <c r="E18" s="5" t="s">
        <v>781</v>
      </c>
    </row>
    <row r="19" customFormat="false" ht="17.15" hidden="false" customHeight="false" outlineLevel="0" collapsed="false">
      <c r="A19" s="14" t="s">
        <v>782</v>
      </c>
      <c r="B19" s="47" t="n">
        <f aca="false">w_dcf*B17+(1-w_dcf)*B18</f>
        <v>193.21650791221</v>
      </c>
      <c r="E19" s="5" t="s">
        <v>783</v>
      </c>
    </row>
    <row r="20" customFormat="false" ht="17.15" hidden="false" customHeight="false" outlineLevel="0" collapsed="false">
      <c r="A20" s="5" t="s">
        <v>784</v>
      </c>
      <c r="B20" s="38" t="n">
        <f aca="false">px</f>
        <v>249.09</v>
      </c>
      <c r="E20" s="8" t="s">
        <v>785</v>
      </c>
    </row>
    <row r="21" customFormat="false" ht="15" hidden="false" customHeight="false" outlineLevel="0" collapsed="false">
      <c r="A21" s="14" t="s">
        <v>786</v>
      </c>
      <c r="B21" s="16" t="n">
        <f aca="false">B19/px-1</f>
        <v>-0.224310458419809</v>
      </c>
    </row>
    <row r="22" customFormat="false" ht="17.15" hidden="false" customHeight="false" outlineLevel="0" collapsed="false">
      <c r="A22" s="5" t="s">
        <v>787</v>
      </c>
      <c r="B22" s="12" t="n">
        <f aca="false">B18/px-1</f>
        <v>0.127047672594145</v>
      </c>
    </row>
    <row r="23" customFormat="false" ht="17.15" hidden="false" customHeight="false" outlineLevel="0" collapsed="false">
      <c r="A23" s="5" t="s">
        <v>788</v>
      </c>
      <c r="B23" s="48" t="str">
        <f aca="false">IF(B21&gt;=0.5,"大於 50%",IF(B21&gt;=0.25,"25%–50%",IF(B21&gt;=0,"0%–25%",IF(B21&gt;-0.25,"0%～−25%",IF(B21&gt;-0.5,"−25%～−50%","小於 −50%")))))</f>
        <v>0%～−25%</v>
      </c>
    </row>
    <row r="24" customFormat="false" ht="17.15" hidden="false" customHeight="false" outlineLevel="0" collapsed="false">
      <c r="A24" s="14" t="s">
        <v>789</v>
      </c>
      <c r="B24" s="49" t="str">
        <f aca="false">IF(B21&gt;=0.5,"強力買進",IF(B21&gt;=0.25,"買進",IF(B21&gt;-0.25,"中立",IF(B21&gt;-0.5,"放空","強力放空"))))</f>
        <v>中立</v>
      </c>
      <c r="E24" s="5" t="s">
        <v>790</v>
      </c>
    </row>
    <row r="25" customFormat="false" ht="17.15" hidden="false" customHeight="false" outlineLevel="0" collapsed="false">
      <c r="A25" s="5" t="s">
        <v>791</v>
      </c>
      <c r="B25" s="38" t="n">
        <f aca="false">cons_tp</f>
        <v>332.24</v>
      </c>
      <c r="E25" s="8" t="s">
        <v>792</v>
      </c>
    </row>
    <row r="26" customFormat="false" ht="15" hidden="false" customHeight="false" outlineLevel="0" collapsed="false">
      <c r="A26" s="5" t="s">
        <v>793</v>
      </c>
      <c r="B26" s="12" t="n">
        <f aca="false">B25/px-1</f>
        <v>0.333815086916376</v>
      </c>
    </row>
    <row r="27" customFormat="false" ht="17.15" hidden="false" customHeight="false" outlineLevel="0" collapsed="false">
      <c r="A27" s="5" t="s">
        <v>794</v>
      </c>
      <c r="B27" s="38" t="n">
        <f aca="false">D5</f>
        <v>71.728234858627</v>
      </c>
    </row>
    <row r="28" customFormat="false" ht="17.15" hidden="false" customHeight="false" outlineLevel="0" collapsed="false">
      <c r="A28" s="5" t="s">
        <v>795</v>
      </c>
      <c r="B28" s="48" t="str">
        <f aca="false">TEXT(D5,"#,##0")&amp;"～"&amp;TEXT(B5,"#,##0")</f>
        <v>72～164</v>
      </c>
      <c r="E28" s="8" t="s">
        <v>796</v>
      </c>
    </row>
    <row r="29" customFormat="false" ht="17.15" hidden="false" customHeight="false" outlineLevel="0" collapsed="false">
      <c r="A29" s="5" t="s">
        <v>797</v>
      </c>
      <c r="B29" s="45" t="n">
        <f aca="false">CF!E6</f>
        <v>40.1565740685931</v>
      </c>
    </row>
    <row r="30" customFormat="false" ht="17.15" hidden="false" customHeight="false" outlineLevel="0" collapsed="false">
      <c r="A30" s="0" t="s">
        <v>798</v>
      </c>
      <c r="B30" s="28" t="n">
        <f aca="false">wacc</f>
        <v>0.124882746650253</v>
      </c>
      <c r="C30" s="28" t="n">
        <f aca="false">ke</f>
        <v>0.128475</v>
      </c>
      <c r="D30" s="28" t="n">
        <f aca="false">tg</f>
        <v>0.03</v>
      </c>
    </row>
    <row r="31" customFormat="false" ht="17.15" hidden="false" customHeight="false" outlineLevel="0" collapsed="false">
      <c r="A31" s="5" t="s">
        <v>799</v>
      </c>
      <c r="B31" s="0" t="s">
        <v>800</v>
      </c>
    </row>
    <row r="34" customFormat="false" ht="17.15" hidden="false" customHeight="false" outlineLevel="0" collapsed="false">
      <c r="A34" s="3" t="s">
        <v>801</v>
      </c>
    </row>
    <row r="35" customFormat="false" ht="15" hidden="false" customHeight="false" outlineLevel="0" collapsed="false">
      <c r="A35" s="6" t="s">
        <v>802</v>
      </c>
      <c r="B35" s="6" t="s">
        <v>803</v>
      </c>
      <c r="C35" s="20" t="s">
        <v>804</v>
      </c>
      <c r="D35" s="6" t="s">
        <v>805</v>
      </c>
      <c r="E35" s="6" t="s">
        <v>22</v>
      </c>
      <c r="F35" s="6" t="s">
        <v>21</v>
      </c>
    </row>
    <row r="36" customFormat="false" ht="15" hidden="false" customHeight="false" outlineLevel="0" collapsed="false">
      <c r="A36" s="0" t="s">
        <v>806</v>
      </c>
      <c r="B36" s="0" t="s">
        <v>807</v>
      </c>
      <c r="C36" s="50" t="n">
        <v>17.72</v>
      </c>
      <c r="D36" s="5" t="s">
        <v>808</v>
      </c>
      <c r="E36" s="8" t="s">
        <v>809</v>
      </c>
      <c r="F36" s="8" t="s">
        <v>41</v>
      </c>
    </row>
    <row r="37" customFormat="false" ht="15" hidden="false" customHeight="false" outlineLevel="0" collapsed="false">
      <c r="A37" s="0" t="s">
        <v>810</v>
      </c>
      <c r="B37" s="0" t="s">
        <v>811</v>
      </c>
      <c r="C37" s="50" t="n">
        <v>25.33</v>
      </c>
      <c r="D37" s="5" t="s">
        <v>808</v>
      </c>
      <c r="E37" s="8" t="s">
        <v>809</v>
      </c>
      <c r="F37" s="8" t="s">
        <v>41</v>
      </c>
    </row>
    <row r="38" customFormat="false" ht="15" hidden="false" customHeight="false" outlineLevel="0" collapsed="false">
      <c r="A38" s="0" t="s">
        <v>812</v>
      </c>
      <c r="B38" s="0" t="s">
        <v>813</v>
      </c>
      <c r="C38" s="50" t="n">
        <v>8.77</v>
      </c>
      <c r="D38" s="5" t="s">
        <v>808</v>
      </c>
      <c r="E38" s="8" t="s">
        <v>809</v>
      </c>
      <c r="F38" s="8" t="s">
        <v>41</v>
      </c>
    </row>
    <row r="39" customFormat="false" ht="17.15" hidden="false" customHeight="false" outlineLevel="0" collapsed="false">
      <c r="A39" s="0" t="s">
        <v>814</v>
      </c>
      <c r="B39" s="0" t="s">
        <v>815</v>
      </c>
      <c r="C39" s="50" t="n">
        <v>10.79</v>
      </c>
      <c r="D39" s="5" t="s">
        <v>816</v>
      </c>
      <c r="E39" s="8" t="s">
        <v>817</v>
      </c>
      <c r="F39" s="8" t="s">
        <v>41</v>
      </c>
    </row>
    <row r="40" customFormat="false" ht="17.15" hidden="false" customHeight="false" outlineLevel="0" collapsed="false">
      <c r="A40" s="0" t="s">
        <v>818</v>
      </c>
      <c r="B40" s="0" t="s">
        <v>819</v>
      </c>
      <c r="C40" s="50" t="n">
        <v>6.91</v>
      </c>
      <c r="D40" s="5" t="s">
        <v>816</v>
      </c>
      <c r="E40" s="8" t="s">
        <v>817</v>
      </c>
      <c r="F40" s="8" t="s">
        <v>41</v>
      </c>
    </row>
    <row r="41" customFormat="false" ht="17.15" hidden="false" customHeight="false" outlineLevel="0" collapsed="false">
      <c r="A41" s="0" t="s">
        <v>820</v>
      </c>
      <c r="B41" s="0" t="s">
        <v>821</v>
      </c>
      <c r="C41" s="50" t="n">
        <v>6.53</v>
      </c>
      <c r="D41" s="5" t="s">
        <v>816</v>
      </c>
      <c r="E41" s="8" t="s">
        <v>817</v>
      </c>
      <c r="F41" s="8" t="s">
        <v>41</v>
      </c>
    </row>
    <row r="42" customFormat="false" ht="17.15" hidden="false" customHeight="false" outlineLevel="0" collapsed="false">
      <c r="A42" s="0" t="s">
        <v>822</v>
      </c>
      <c r="B42" s="0" t="s">
        <v>823</v>
      </c>
      <c r="C42" s="50" t="n">
        <v>11.38</v>
      </c>
      <c r="D42" s="5" t="s">
        <v>816</v>
      </c>
      <c r="E42" s="8" t="s">
        <v>817</v>
      </c>
      <c r="F42" s="8" t="s">
        <v>41</v>
      </c>
    </row>
    <row r="43" customFormat="false" ht="17.15" hidden="false" customHeight="false" outlineLevel="0" collapsed="false">
      <c r="A43" s="0" t="s">
        <v>824</v>
      </c>
      <c r="B43" s="0" t="s">
        <v>825</v>
      </c>
      <c r="C43" s="50" t="n">
        <v>13.63</v>
      </c>
      <c r="D43" s="5" t="s">
        <v>816</v>
      </c>
      <c r="E43" s="8" t="s">
        <v>817</v>
      </c>
      <c r="F43" s="8" t="s">
        <v>41</v>
      </c>
    </row>
    <row r="44" customFormat="false" ht="17.15" hidden="false" customHeight="false" outlineLevel="0" collapsed="false">
      <c r="A44" s="0" t="s">
        <v>826</v>
      </c>
      <c r="B44" s="0" t="s">
        <v>827</v>
      </c>
      <c r="C44" s="50" t="n">
        <v>7.43</v>
      </c>
      <c r="D44" s="5" t="s">
        <v>816</v>
      </c>
      <c r="E44" s="8" t="s">
        <v>817</v>
      </c>
      <c r="F44" s="8" t="s">
        <v>41</v>
      </c>
    </row>
    <row r="45" customFormat="false" ht="17.15" hidden="false" customHeight="false" outlineLevel="0" collapsed="false">
      <c r="A45" s="0" t="s">
        <v>828</v>
      </c>
      <c r="B45" s="0" t="s">
        <v>829</v>
      </c>
      <c r="C45" s="50" t="n">
        <v>9.49</v>
      </c>
      <c r="D45" s="5" t="s">
        <v>830</v>
      </c>
      <c r="E45" s="8" t="s">
        <v>831</v>
      </c>
      <c r="F45" s="8" t="s">
        <v>41</v>
      </c>
    </row>
    <row r="46" customFormat="false" ht="17.15" hidden="false" customHeight="false" outlineLevel="0" collapsed="false">
      <c r="A46" s="0" t="s">
        <v>832</v>
      </c>
      <c r="B46" s="0" t="s">
        <v>832</v>
      </c>
      <c r="C46" s="50" t="n">
        <v>12.51</v>
      </c>
      <c r="D46" s="5" t="s">
        <v>830</v>
      </c>
      <c r="E46" s="8" t="s">
        <v>831</v>
      </c>
      <c r="F46" s="8" t="s">
        <v>41</v>
      </c>
    </row>
    <row r="47" customFormat="false" ht="17.15" hidden="false" customHeight="false" outlineLevel="0" collapsed="false">
      <c r="A47" s="0" t="s">
        <v>833</v>
      </c>
      <c r="B47" s="0" t="s">
        <v>833</v>
      </c>
      <c r="C47" s="50" t="n">
        <v>15.13</v>
      </c>
      <c r="D47" s="5" t="s">
        <v>830</v>
      </c>
      <c r="E47" s="8" t="s">
        <v>831</v>
      </c>
      <c r="F47" s="8" t="s">
        <v>41</v>
      </c>
    </row>
    <row r="48" customFormat="false" ht="17.15" hidden="false" customHeight="false" outlineLevel="0" collapsed="false">
      <c r="A48" s="0" t="s">
        <v>834</v>
      </c>
      <c r="B48" s="0" t="s">
        <v>835</v>
      </c>
      <c r="C48" s="50" t="n">
        <v>10.81</v>
      </c>
      <c r="D48" s="5" t="s">
        <v>830</v>
      </c>
      <c r="E48" s="8" t="s">
        <v>831</v>
      </c>
      <c r="F48" s="8" t="s">
        <v>41</v>
      </c>
    </row>
    <row r="49" customFormat="false" ht="17.15" hidden="false" customHeight="false" outlineLevel="0" collapsed="false">
      <c r="A49" s="0" t="s">
        <v>836</v>
      </c>
      <c r="B49" s="0" t="s">
        <v>837</v>
      </c>
      <c r="C49" s="50" t="n">
        <v>20.63</v>
      </c>
      <c r="D49" s="5" t="s">
        <v>830</v>
      </c>
      <c r="E49" s="8" t="s">
        <v>831</v>
      </c>
      <c r="F49" s="8" t="s">
        <v>41</v>
      </c>
    </row>
    <row r="50" customFormat="false" ht="17.15" hidden="false" customHeight="false" outlineLevel="0" collapsed="false">
      <c r="A50" s="0" t="s">
        <v>838</v>
      </c>
      <c r="B50" s="0" t="s">
        <v>839</v>
      </c>
      <c r="C50" s="50" t="n">
        <v>9.7</v>
      </c>
      <c r="D50" s="5" t="s">
        <v>830</v>
      </c>
      <c r="E50" s="8" t="s">
        <v>831</v>
      </c>
      <c r="F50" s="8" t="s">
        <v>41</v>
      </c>
    </row>
    <row r="51" customFormat="false" ht="17.15" hidden="false" customHeight="false" outlineLevel="0" collapsed="false">
      <c r="A51" s="0" t="s">
        <v>840</v>
      </c>
      <c r="B51" s="0" t="s">
        <v>841</v>
      </c>
      <c r="C51" s="50" t="n">
        <v>21.2</v>
      </c>
      <c r="D51" s="5" t="s">
        <v>830</v>
      </c>
      <c r="E51" s="8" t="s">
        <v>831</v>
      </c>
      <c r="F51" s="8" t="s">
        <v>41</v>
      </c>
    </row>
    <row r="52" customFormat="false" ht="17.15" hidden="false" customHeight="false" outlineLevel="0" collapsed="false">
      <c r="A52" s="0" t="s">
        <v>842</v>
      </c>
      <c r="B52" s="0" t="s">
        <v>843</v>
      </c>
      <c r="C52" s="50" t="n">
        <v>24.49</v>
      </c>
      <c r="D52" s="5" t="s">
        <v>830</v>
      </c>
      <c r="E52" s="8" t="s">
        <v>831</v>
      </c>
      <c r="F52" s="8" t="s">
        <v>41</v>
      </c>
    </row>
    <row r="53" customFormat="false" ht="17.15" hidden="false" customHeight="false" outlineLevel="0" collapsed="false">
      <c r="A53" s="3" t="s">
        <v>844</v>
      </c>
      <c r="C53" s="30" t="n">
        <f aca="false">MEDIAN(C36:C38)</f>
        <v>17.72</v>
      </c>
      <c r="D53" s="8" t="s">
        <v>845</v>
      </c>
    </row>
    <row r="54" customFormat="false" ht="17.15" hidden="false" customHeight="false" outlineLevel="0" collapsed="false">
      <c r="A54" s="3" t="s">
        <v>846</v>
      </c>
      <c r="C54" s="30" t="n">
        <f aca="false">MEDIAN(C39:C44)</f>
        <v>9.11</v>
      </c>
      <c r="D54" s="8" t="s">
        <v>847</v>
      </c>
    </row>
    <row r="55" customFormat="false" ht="17.15" hidden="false" customHeight="false" outlineLevel="0" collapsed="false">
      <c r="A55" s="3" t="s">
        <v>848</v>
      </c>
      <c r="C55" s="30" t="n">
        <f aca="false">MEDIAN(C45:C52)</f>
        <v>13.82</v>
      </c>
      <c r="D55" s="8" t="s">
        <v>849</v>
      </c>
    </row>
    <row r="56" customFormat="false" ht="17.15" hidden="false" customHeight="false" outlineLevel="0" collapsed="false">
      <c r="A56" s="0" t="s">
        <v>850</v>
      </c>
    </row>
    <row r="90" customFormat="false" ht="19.4" hidden="false" customHeight="false" outlineLevel="0" collapsed="false">
      <c r="A90" s="31" t="s">
        <v>851</v>
      </c>
    </row>
    <row r="91" customFormat="false" ht="17.15" hidden="false" customHeight="false" outlineLevel="0" collapsed="false">
      <c r="A91" s="6" t="s">
        <v>16</v>
      </c>
      <c r="B91" s="6" t="s">
        <v>17</v>
      </c>
      <c r="C91" s="20" t="s">
        <v>457</v>
      </c>
      <c r="D91" s="20" t="s">
        <v>458</v>
      </c>
      <c r="E91" s="20" t="s">
        <v>540</v>
      </c>
      <c r="F91" s="20" t="s">
        <v>541</v>
      </c>
      <c r="G91" s="20" t="s">
        <v>542</v>
      </c>
      <c r="H91" s="20" t="s">
        <v>543</v>
      </c>
      <c r="I91" s="20" t="s">
        <v>544</v>
      </c>
      <c r="J91" s="20" t="s">
        <v>545</v>
      </c>
      <c r="K91" s="20" t="s">
        <v>546</v>
      </c>
      <c r="L91" s="20" t="s">
        <v>547</v>
      </c>
      <c r="M91" s="20" t="s">
        <v>548</v>
      </c>
      <c r="N91" s="20" t="s">
        <v>549</v>
      </c>
      <c r="O91" s="20" t="s">
        <v>550</v>
      </c>
      <c r="P91" s="6" t="s">
        <v>23</v>
      </c>
      <c r="R91" s="20" t="n">
        <v>2023</v>
      </c>
      <c r="S91" s="20" t="n">
        <v>2024</v>
      </c>
      <c r="T91" s="20" t="n">
        <v>2025</v>
      </c>
      <c r="U91" s="20" t="n">
        <v>2026</v>
      </c>
      <c r="V91" s="20" t="n">
        <v>2027</v>
      </c>
      <c r="W91" s="20" t="n">
        <v>2028</v>
      </c>
      <c r="X91" s="20" t="n">
        <v>2029</v>
      </c>
      <c r="Y91" s="20" t="n">
        <v>2030</v>
      </c>
      <c r="Z91" s="20" t="n">
        <v>2031</v>
      </c>
      <c r="AA91" s="20" t="n">
        <v>2032</v>
      </c>
    </row>
    <row r="92" customFormat="false" ht="17.15" hidden="false" customHeight="false" outlineLevel="0" collapsed="false">
      <c r="A92" s="1" t="s">
        <v>852</v>
      </c>
    </row>
    <row r="93" customFormat="false" ht="17.15" hidden="false" customHeight="false" outlineLevel="0" collapsed="false">
      <c r="A93" s="0" t="s">
        <v>853</v>
      </c>
      <c r="B93" s="0" t="s">
        <v>73</v>
      </c>
      <c r="H93" s="38" t="n">
        <f aca="false">PL!$H$47*(1-tax)</f>
        <v>130.504086846549</v>
      </c>
      <c r="I93" s="38" t="n">
        <f aca="false">PL!$I$47*(1-tax)</f>
        <v>169.882654359725</v>
      </c>
      <c r="J93" s="38" t="n">
        <f aca="false">PL!$J$47*(1-tax)</f>
        <v>207.042418054905</v>
      </c>
      <c r="K93" s="38" t="n">
        <f aca="false">PL!$K$47*(1-tax)</f>
        <v>240.683430242371</v>
      </c>
      <c r="L93" s="38" t="n">
        <f aca="false">PL!$L$47*(1-tax)</f>
        <v>275.794849746302</v>
      </c>
      <c r="M93" s="38" t="n">
        <f aca="false">PL!$M$47*(1-tax)</f>
        <v>311.496333814371</v>
      </c>
    </row>
    <row r="94" customFormat="false" ht="15" hidden="false" customHeight="false" outlineLevel="0" collapsed="false">
      <c r="A94" s="5" t="s">
        <v>854</v>
      </c>
      <c r="B94" s="0" t="s">
        <v>73</v>
      </c>
      <c r="H94" s="38" t="n">
        <f aca="false">PL!$H$59</f>
        <v>88.0472240036338</v>
      </c>
      <c r="I94" s="38" t="n">
        <f aca="false">PL!$I$59</f>
        <v>123.410374122513</v>
      </c>
      <c r="J94" s="38" t="n">
        <f aca="false">PL!$J$59</f>
        <v>159.029967077846</v>
      </c>
      <c r="K94" s="38" t="n">
        <f aca="false">PL!$K$59</f>
        <v>194.027037948974</v>
      </c>
      <c r="L94" s="38" t="n">
        <f aca="false">PL!$L$59</f>
        <v>227.366043021479</v>
      </c>
      <c r="M94" s="38" t="n">
        <f aca="false">PL!$M$59</f>
        <v>261.813524644151</v>
      </c>
    </row>
    <row r="95" customFormat="false" ht="15" hidden="false" customHeight="false" outlineLevel="0" collapsed="false">
      <c r="A95" s="5" t="s">
        <v>855</v>
      </c>
      <c r="B95" s="0" t="s">
        <v>73</v>
      </c>
      <c r="H95" s="38" t="n">
        <f aca="false">CF!$H$24</f>
        <v>283.262904179105</v>
      </c>
      <c r="I95" s="38" t="n">
        <f aca="false">CF!$I$24</f>
        <v>299.492235429878</v>
      </c>
      <c r="J95" s="38" t="n">
        <f aca="false">CF!$J$24</f>
        <v>313.62681895809</v>
      </c>
      <c r="K95" s="38" t="n">
        <f aca="false">CF!$K$24</f>
        <v>325.943506162748</v>
      </c>
      <c r="L95" s="38" t="n">
        <f aca="false">CF!$L$24</f>
        <v>370.21419006283</v>
      </c>
      <c r="M95" s="38" t="n">
        <f aca="false">CF!$M$24</f>
        <v>440.654564791608</v>
      </c>
    </row>
    <row r="96" customFormat="false" ht="15" hidden="false" customHeight="false" outlineLevel="0" collapsed="false">
      <c r="A96" s="5" t="s">
        <v>856</v>
      </c>
      <c r="B96" s="0" t="s">
        <v>73</v>
      </c>
      <c r="H96" s="38" t="n">
        <f aca="false">CF!$H$25</f>
        <v>1.6</v>
      </c>
      <c r="I96" s="38" t="n">
        <f aca="false">CF!$I$25</f>
        <v>1.6</v>
      </c>
      <c r="J96" s="38" t="n">
        <f aca="false">CF!$J$25</f>
        <v>1.6</v>
      </c>
      <c r="K96" s="38" t="n">
        <f aca="false">CF!$K$25</f>
        <v>1.6</v>
      </c>
      <c r="L96" s="38" t="n">
        <f aca="false">CF!$L$25</f>
        <v>1.6</v>
      </c>
      <c r="M96" s="38" t="n">
        <f aca="false">CF!$M$25</f>
        <v>1.6</v>
      </c>
    </row>
    <row r="97" customFormat="false" ht="15" hidden="false" customHeight="false" outlineLevel="0" collapsed="false">
      <c r="A97" s="5" t="s">
        <v>857</v>
      </c>
      <c r="B97" s="0" t="s">
        <v>73</v>
      </c>
      <c r="H97" s="38" t="n">
        <f aca="false">CF!$H$19</f>
        <v>11.9116331865761</v>
      </c>
      <c r="I97" s="38" t="n">
        <f aca="false">CF!$I$19</f>
        <v>13.8664033196426</v>
      </c>
      <c r="J97" s="38" t="n">
        <f aca="false">CF!$J$19</f>
        <v>15.7177013140706</v>
      </c>
      <c r="K97" s="38" t="n">
        <f aca="false">CF!$K$19</f>
        <v>17.3968671046626</v>
      </c>
      <c r="L97" s="38" t="n">
        <f aca="false">CF!$L$19</f>
        <v>19.1415129171911</v>
      </c>
      <c r="M97" s="38" t="n">
        <f aca="false">CF!$M$19</f>
        <v>20.9563753040671</v>
      </c>
    </row>
    <row r="98" customFormat="false" ht="17.15" hidden="false" customHeight="false" outlineLevel="0" collapsed="false">
      <c r="A98" s="1" t="s">
        <v>858</v>
      </c>
      <c r="B98" s="8" t="s">
        <v>73</v>
      </c>
      <c r="H98" s="38" t="n">
        <f aca="false">Val!$H$93+Val!$H$94-Val!$H$95-Val!$H$96+Val!$H$97</f>
        <v>-54.3999601423466</v>
      </c>
      <c r="I98" s="38" t="n">
        <f aca="false">Val!$I$93+Val!$I$94-Val!$I$95-Val!$I$96+Val!$I$97</f>
        <v>6.06719637200203</v>
      </c>
      <c r="J98" s="38" t="n">
        <f aca="false">Val!$J$93+Val!$J$94-Val!$J$95-Val!$J$96+Val!$J$97</f>
        <v>66.5632674887314</v>
      </c>
      <c r="K98" s="38" t="n">
        <f aca="false">Val!$K$93+Val!$K$94-Val!$K$95-Val!$K$96+Val!$K$97</f>
        <v>124.56382913326</v>
      </c>
      <c r="L98" s="38" t="n">
        <f aca="false">Val!$L$93+Val!$L$94-Val!$L$95-Val!$L$96+Val!$L$97</f>
        <v>150.488215622142</v>
      </c>
      <c r="M98" s="38" t="n">
        <f aca="false">Val!$M$93+Val!$M$94-Val!$M$95-Val!$M$96+Val!$M$97</f>
        <v>152.011668970981</v>
      </c>
    </row>
    <row r="99" customFormat="false" ht="15" hidden="false" customHeight="false" outlineLevel="0" collapsed="false">
      <c r="A99" s="5" t="s">
        <v>859</v>
      </c>
      <c r="B99" s="0" t="s">
        <v>57</v>
      </c>
      <c r="H99" s="51" t="n">
        <f aca="false">1/(1+wacc)^(2027-2026-0.5)</f>
        <v>0.942858177653364</v>
      </c>
      <c r="I99" s="51" t="n">
        <f aca="false">1/(1+wacc)^(2028-2026-0.5)</f>
        <v>0.838183517758688</v>
      </c>
      <c r="J99" s="51" t="n">
        <f aca="false">1/(1+wacc)^(2029-2026-0.5)</f>
        <v>0.745129677074952</v>
      </c>
      <c r="K99" s="51" t="n">
        <f aca="false">1/(1+wacc)^(2030-2026-0.5)</f>
        <v>0.662406530186232</v>
      </c>
      <c r="L99" s="51" t="n">
        <f aca="false">1/(1+wacc)^(2031-2026-0.5)</f>
        <v>0.588867179409399</v>
      </c>
      <c r="M99" s="51" t="n">
        <f aca="false">1/(1+wacc)^(2032-2026-0.5)</f>
        <v>0.52349205387225</v>
      </c>
    </row>
    <row r="100" customFormat="false" ht="15" hidden="false" customHeight="false" outlineLevel="0" collapsed="false">
      <c r="A100" s="5" t="s">
        <v>860</v>
      </c>
      <c r="B100" s="0" t="s">
        <v>73</v>
      </c>
      <c r="H100" s="38" t="n">
        <f aca="false">Val!$H$98*Val!$H$99</f>
        <v>-51.2914472842285</v>
      </c>
      <c r="I100" s="38" t="n">
        <f aca="false">Val!$I$98*Val!$I$99</f>
        <v>5.08542399801741</v>
      </c>
      <c r="J100" s="38" t="n">
        <f aca="false">Val!$J$98*Val!$J$99</f>
        <v>49.5982660089321</v>
      </c>
      <c r="K100" s="38" t="n">
        <f aca="false">Val!$K$98*Val!$K$99</f>
        <v>82.5118938428732</v>
      </c>
      <c r="L100" s="38" t="n">
        <f aca="false">Val!$L$98*Val!$L$99</f>
        <v>88.6175710677643</v>
      </c>
      <c r="M100" s="38" t="n">
        <f aca="false">Val!$M$98*Val!$M$99</f>
        <v>79.5769008021672</v>
      </c>
    </row>
    <row r="101" customFormat="false" ht="15" hidden="false" customHeight="false" outlineLevel="0" collapsed="false">
      <c r="A101" s="5" t="s">
        <v>861</v>
      </c>
      <c r="B101" s="0" t="s">
        <v>73</v>
      </c>
      <c r="C101" s="38" t="n">
        <f aca="false">SUM(Val!$H$100:$M$100)</f>
        <v>254.098608435526</v>
      </c>
    </row>
    <row r="102" customFormat="false" ht="17.15" hidden="false" customHeight="false" outlineLevel="0" collapsed="false">
      <c r="A102" s="5" t="s">
        <v>862</v>
      </c>
      <c r="B102" s="0" t="s">
        <v>73</v>
      </c>
      <c r="C102" s="38" t="n">
        <f aca="false">Val!$M$93*(1+tg)*(1-tg/ronic)/(wacc-tg)</f>
        <v>2569.13971252852</v>
      </c>
    </row>
    <row r="103" customFormat="false" ht="15" hidden="false" customHeight="false" outlineLevel="0" collapsed="false">
      <c r="A103" s="5" t="s">
        <v>863</v>
      </c>
      <c r="B103" s="0" t="s">
        <v>73</v>
      </c>
      <c r="C103" s="38" t="n">
        <f aca="false">Val!$C$102/(1+wacc)^6</f>
        <v>1268.07280367332</v>
      </c>
    </row>
    <row r="104" customFormat="false" ht="17.15" hidden="false" customHeight="false" outlineLevel="0" collapsed="false">
      <c r="A104" s="5" t="s">
        <v>864</v>
      </c>
      <c r="B104" s="0" t="s">
        <v>73</v>
      </c>
      <c r="C104" s="38" t="n">
        <f aca="false">Val!$C$101+Val!$C$103</f>
        <v>1522.17141210884</v>
      </c>
    </row>
    <row r="105" customFormat="false" ht="17.15" hidden="false" customHeight="false" outlineLevel="0" collapsed="false">
      <c r="A105" s="5" t="s">
        <v>865</v>
      </c>
      <c r="B105" s="0" t="s">
        <v>52</v>
      </c>
      <c r="C105" s="12" t="n">
        <f aca="false">Val!$C$103/Val!$C$104</f>
        <v>0.833068334870714</v>
      </c>
    </row>
    <row r="106" customFormat="false" ht="17.15" hidden="false" customHeight="false" outlineLevel="0" collapsed="false">
      <c r="A106" s="5" t="s">
        <v>866</v>
      </c>
      <c r="B106" s="0" t="s">
        <v>73</v>
      </c>
      <c r="C106" s="38" t="n">
        <f aca="false">CF!$G$37</f>
        <v>67.2618278631946</v>
      </c>
    </row>
    <row r="107" customFormat="false" ht="17.15" hidden="false" customHeight="false" outlineLevel="0" collapsed="false">
      <c r="A107" s="5" t="s">
        <v>867</v>
      </c>
      <c r="B107" s="0" t="s">
        <v>73</v>
      </c>
      <c r="C107" s="38" t="n">
        <f aca="false">(ant_val*ant_sh+oai_val*oai_sh)*(1-liq_disc)</f>
        <v>178.944</v>
      </c>
    </row>
    <row r="108" customFormat="false" ht="15" hidden="false" customHeight="false" outlineLevel="0" collapsed="false">
      <c r="A108" s="5" t="s">
        <v>868</v>
      </c>
      <c r="B108" s="0" t="s">
        <v>73</v>
      </c>
      <c r="C108" s="38" t="n">
        <f aca="false">Val!$C$104-Val!$C$106+Val!$C$107</f>
        <v>1633.85358424565</v>
      </c>
    </row>
    <row r="109" customFormat="false" ht="17.15" hidden="false" customHeight="false" outlineLevel="0" collapsed="false">
      <c r="A109" s="5" t="s">
        <v>869</v>
      </c>
      <c r="B109" s="0" t="s">
        <v>27</v>
      </c>
      <c r="C109" s="30" t="n">
        <f aca="false">Val!$C$108/sh_val</f>
        <v>148.123941371537</v>
      </c>
    </row>
    <row r="110" customFormat="false" ht="17.15" hidden="false" customHeight="false" outlineLevel="0" collapsed="false">
      <c r="A110" s="1" t="s">
        <v>870</v>
      </c>
      <c r="B110" s="8" t="s">
        <v>27</v>
      </c>
      <c r="C110" s="30" t="n">
        <f aca="false">Val!$C$109*(1+ke)^tp_yf</f>
        <v>163.594734640718</v>
      </c>
    </row>
    <row r="111" customFormat="false" ht="17.15" hidden="false" customHeight="false" outlineLevel="0" collapsed="false">
      <c r="A111" s="3" t="s">
        <v>871</v>
      </c>
    </row>
    <row r="112" customFormat="false" ht="17.15" hidden="false" customHeight="false" outlineLevel="0" collapsed="false">
      <c r="A112" s="5" t="s">
        <v>872</v>
      </c>
      <c r="B112" s="0" t="s">
        <v>73</v>
      </c>
      <c r="C112" s="38" t="n">
        <f aca="false">0.25*PL!$H$60+0.75*PL!$I$60</f>
        <v>57.5541093268329</v>
      </c>
    </row>
    <row r="113" customFormat="false" ht="15" hidden="false" customHeight="false" outlineLevel="0" collapsed="false">
      <c r="A113" s="5" t="s">
        <v>873</v>
      </c>
      <c r="B113" s="0" t="s">
        <v>57</v>
      </c>
      <c r="C113" s="30" t="n">
        <f aca="false">m_ads*m_x</f>
        <v>9.11</v>
      </c>
    </row>
    <row r="114" customFormat="false" ht="17.15" hidden="false" customHeight="false" outlineLevel="0" collapsed="false">
      <c r="A114" s="5" t="s">
        <v>874</v>
      </c>
      <c r="B114" s="0" t="s">
        <v>73</v>
      </c>
      <c r="C114" s="38" t="n">
        <f aca="false">Val!$C$112*Val!$C$113</f>
        <v>524.317935967448</v>
      </c>
    </row>
    <row r="115" customFormat="false" ht="17.15" hidden="false" customHeight="false" outlineLevel="0" collapsed="false">
      <c r="A115" s="5" t="s">
        <v>875</v>
      </c>
      <c r="B115" s="0" t="s">
        <v>73</v>
      </c>
      <c r="C115" s="38" t="n">
        <f aca="false">0.25*PL!$H$61+0.75*PL!$I$61</f>
        <v>30.531180626452</v>
      </c>
    </row>
    <row r="116" customFormat="false" ht="15" hidden="false" customHeight="false" outlineLevel="0" collapsed="false">
      <c r="A116" s="5" t="s">
        <v>876</v>
      </c>
      <c r="B116" s="0" t="s">
        <v>57</v>
      </c>
      <c r="C116" s="30" t="n">
        <f aca="false">m_retail*m_x</f>
        <v>17.72</v>
      </c>
    </row>
    <row r="117" customFormat="false" ht="17.15" hidden="false" customHeight="false" outlineLevel="0" collapsed="false">
      <c r="A117" s="5" t="s">
        <v>877</v>
      </c>
      <c r="B117" s="0" t="s">
        <v>73</v>
      </c>
      <c r="C117" s="38" t="n">
        <f aca="false">Val!$C$115*Val!$C$116</f>
        <v>541.012520700729</v>
      </c>
    </row>
    <row r="118" customFormat="false" ht="17.15" hidden="false" customHeight="false" outlineLevel="0" collapsed="false">
      <c r="A118" s="0" t="s">
        <v>878</v>
      </c>
      <c r="B118" s="0" t="s">
        <v>73</v>
      </c>
      <c r="C118" s="38" t="n">
        <f aca="false">0.25*PL!$H$62+0.75*PL!$I$62</f>
        <v>107.575398943098</v>
      </c>
    </row>
    <row r="119" customFormat="false" ht="17.15" hidden="false" customHeight="false" outlineLevel="0" collapsed="false">
      <c r="A119" s="0" t="s">
        <v>879</v>
      </c>
      <c r="B119" s="0" t="s">
        <v>57</v>
      </c>
      <c r="C119" s="30" t="n">
        <f aca="false">m_cloud*m_x</f>
        <v>13.82</v>
      </c>
    </row>
    <row r="120" customFormat="false" ht="17.15" hidden="false" customHeight="false" outlineLevel="0" collapsed="false">
      <c r="A120" s="0" t="s">
        <v>880</v>
      </c>
      <c r="B120" s="0" t="s">
        <v>73</v>
      </c>
      <c r="C120" s="38" t="n">
        <f aca="false">Val!$C$118*Val!$C$119</f>
        <v>1486.69201339361</v>
      </c>
    </row>
    <row r="121" customFormat="false" ht="17.15" hidden="false" customHeight="false" outlineLevel="0" collapsed="false">
      <c r="A121" s="0" t="s">
        <v>881</v>
      </c>
      <c r="B121" s="0" t="s">
        <v>73</v>
      </c>
      <c r="C121" s="38" t="n">
        <f aca="false">0.25*PL!$H$63+0.75*PL!$I$63</f>
        <v>112.562111650745</v>
      </c>
    </row>
    <row r="122" customFormat="false" ht="17.15" hidden="false" customHeight="false" outlineLevel="0" collapsed="false">
      <c r="A122" s="0" t="s">
        <v>882</v>
      </c>
      <c r="B122" s="0" t="s">
        <v>57</v>
      </c>
      <c r="C122" s="30" t="n">
        <f aca="false">m_ai</f>
        <v>6</v>
      </c>
    </row>
    <row r="123" customFormat="false" ht="17.15" hidden="false" customHeight="false" outlineLevel="0" collapsed="false">
      <c r="A123" s="0" t="s">
        <v>883</v>
      </c>
      <c r="B123" s="0" t="s">
        <v>73</v>
      </c>
      <c r="C123" s="38" t="n">
        <f aca="false">Val!$C$121*Val!$C$122</f>
        <v>675.372669904469</v>
      </c>
    </row>
    <row r="124" customFormat="false" ht="17.15" hidden="false" customHeight="false" outlineLevel="0" collapsed="false">
      <c r="A124" s="5" t="s">
        <v>884</v>
      </c>
      <c r="B124" s="0" t="s">
        <v>73</v>
      </c>
      <c r="C124" s="38" t="n">
        <f aca="false">Val!$C$114+Val!$C$117+Val!$C$120+Val!$C$123</f>
        <v>3227.39513996626</v>
      </c>
    </row>
    <row r="125" customFormat="false" ht="17.15" hidden="false" customHeight="false" outlineLevel="0" collapsed="false">
      <c r="A125" s="5" t="s">
        <v>885</v>
      </c>
      <c r="B125" s="0" t="s">
        <v>73</v>
      </c>
      <c r="C125" s="38" t="n">
        <f aca="false">CF!$H$37</f>
        <v>99.7427627023824</v>
      </c>
    </row>
    <row r="126" customFormat="false" ht="15" hidden="false" customHeight="false" outlineLevel="0" collapsed="false">
      <c r="A126" s="5" t="s">
        <v>886</v>
      </c>
      <c r="B126" s="0" t="s">
        <v>73</v>
      </c>
      <c r="C126" s="38" t="n">
        <f aca="false">Val!$C$124-Val!$C$125+Val!$C$107</f>
        <v>3306.59637726387</v>
      </c>
    </row>
    <row r="127" customFormat="false" ht="15" hidden="false" customHeight="false" outlineLevel="0" collapsed="false">
      <c r="A127" s="3" t="s">
        <v>887</v>
      </c>
      <c r="B127" s="8" t="s">
        <v>27</v>
      </c>
      <c r="C127" s="30" t="n">
        <f aca="false">Val!$C$126/sh_val</f>
        <v>299.773549262865</v>
      </c>
    </row>
    <row r="128" customFormat="false" ht="17.15" hidden="false" customHeight="false" outlineLevel="0" collapsed="false">
      <c r="A128" s="46" t="s">
        <v>888</v>
      </c>
      <c r="B128" s="13" t="s">
        <v>27</v>
      </c>
      <c r="C128" s="43" t="n">
        <f aca="false">w_dcf*Val!$C$110+(1-w_dcf)*Val!$C$127</f>
        <v>231.684141951792</v>
      </c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</row>
    <row r="129" customFormat="false" ht="17.15" hidden="false" customHeight="false" outlineLevel="0" collapsed="false">
      <c r="A129" s="5" t="s">
        <v>889</v>
      </c>
      <c r="B129" s="0" t="s">
        <v>27</v>
      </c>
      <c r="C129" s="30" t="n">
        <f aca="false">0.45*Val!$C$110+0.55*Val!$C$127</f>
        <v>238.493082682899</v>
      </c>
    </row>
    <row r="132" customFormat="false" ht="19.4" hidden="false" customHeight="false" outlineLevel="0" collapsed="false">
      <c r="A132" s="31" t="s">
        <v>890</v>
      </c>
    </row>
    <row r="133" customFormat="false" ht="17.15" hidden="false" customHeight="false" outlineLevel="0" collapsed="false">
      <c r="A133" s="6" t="s">
        <v>16</v>
      </c>
      <c r="B133" s="6" t="s">
        <v>17</v>
      </c>
      <c r="C133" s="20" t="s">
        <v>457</v>
      </c>
      <c r="D133" s="20" t="s">
        <v>458</v>
      </c>
      <c r="E133" s="20" t="s">
        <v>540</v>
      </c>
      <c r="F133" s="20" t="s">
        <v>541</v>
      </c>
      <c r="G133" s="20" t="s">
        <v>542</v>
      </c>
      <c r="H133" s="20" t="s">
        <v>543</v>
      </c>
      <c r="I133" s="20" t="s">
        <v>544</v>
      </c>
      <c r="J133" s="20" t="s">
        <v>545</v>
      </c>
      <c r="K133" s="20" t="s">
        <v>546</v>
      </c>
      <c r="L133" s="20" t="s">
        <v>547</v>
      </c>
      <c r="M133" s="20" t="s">
        <v>548</v>
      </c>
      <c r="N133" s="20" t="s">
        <v>549</v>
      </c>
      <c r="O133" s="20" t="s">
        <v>550</v>
      </c>
      <c r="P133" s="6" t="s">
        <v>23</v>
      </c>
      <c r="R133" s="20" t="n">
        <v>2023</v>
      </c>
      <c r="S133" s="20" t="n">
        <v>2024</v>
      </c>
      <c r="T133" s="20" t="n">
        <v>2025</v>
      </c>
      <c r="U133" s="20" t="n">
        <v>2026</v>
      </c>
      <c r="V133" s="20" t="n">
        <v>2027</v>
      </c>
      <c r="W133" s="20" t="n">
        <v>2028</v>
      </c>
      <c r="X133" s="20" t="n">
        <v>2029</v>
      </c>
      <c r="Y133" s="20" t="n">
        <v>2030</v>
      </c>
      <c r="Z133" s="20" t="n">
        <v>2031</v>
      </c>
      <c r="AA133" s="20" t="n">
        <v>2032</v>
      </c>
    </row>
    <row r="134" customFormat="false" ht="17.15" hidden="false" customHeight="false" outlineLevel="0" collapsed="false">
      <c r="A134" s="1" t="s">
        <v>852</v>
      </c>
    </row>
    <row r="135" customFormat="false" ht="17.15" hidden="false" customHeight="false" outlineLevel="0" collapsed="false">
      <c r="A135" s="0" t="s">
        <v>853</v>
      </c>
      <c r="B135" s="0" t="s">
        <v>73</v>
      </c>
      <c r="H135" s="38" t="n">
        <f aca="false">PL!$H$113*(1-tax)</f>
        <v>112.093921330558</v>
      </c>
      <c r="I135" s="38" t="n">
        <f aca="false">PL!$I$113*(1-tax)</f>
        <v>132.779045500917</v>
      </c>
      <c r="J135" s="38" t="n">
        <f aca="false">PL!$J$113*(1-tax)</f>
        <v>151.181555485193</v>
      </c>
      <c r="K135" s="38" t="n">
        <f aca="false">PL!$K$113*(1-tax)</f>
        <v>166.036468953087</v>
      </c>
      <c r="L135" s="38" t="n">
        <f aca="false">PL!$L$113*(1-tax)</f>
        <v>182.348678369869</v>
      </c>
      <c r="M135" s="38" t="n">
        <f aca="false">PL!$M$113*(1-tax)</f>
        <v>199.243892383632</v>
      </c>
    </row>
    <row r="136" customFormat="false" ht="15" hidden="false" customHeight="false" outlineLevel="0" collapsed="false">
      <c r="A136" s="5" t="s">
        <v>854</v>
      </c>
      <c r="B136" s="0" t="s">
        <v>73</v>
      </c>
      <c r="H136" s="38" t="n">
        <f aca="false">PL!$H$125</f>
        <v>87.6845218193838</v>
      </c>
      <c r="I136" s="38" t="n">
        <f aca="false">PL!$I$125</f>
        <v>122.294769708638</v>
      </c>
      <c r="J136" s="38" t="n">
        <f aca="false">PL!$J$125</f>
        <v>157.133962573221</v>
      </c>
      <c r="K136" s="38" t="n">
        <f aca="false">PL!$K$125</f>
        <v>191.350633353599</v>
      </c>
      <c r="L136" s="38" t="n">
        <f aca="false">PL!$L$125</f>
        <v>223.909238335354</v>
      </c>
      <c r="M136" s="38" t="n">
        <f aca="false">PL!$M$125</f>
        <v>257.576319867276</v>
      </c>
    </row>
    <row r="137" customFormat="false" ht="15" hidden="false" customHeight="false" outlineLevel="0" collapsed="false">
      <c r="A137" s="5" t="s">
        <v>855</v>
      </c>
      <c r="B137" s="0" t="s">
        <v>73</v>
      </c>
      <c r="H137" s="38" t="n">
        <f aca="false">CF!$H$54</f>
        <v>277.870120501355</v>
      </c>
      <c r="I137" s="38" t="n">
        <f aca="false">CF!$I$54</f>
        <v>293.934464585378</v>
      </c>
      <c r="J137" s="38" t="n">
        <f aca="false">CF!$J$54</f>
        <v>308.06904811359</v>
      </c>
      <c r="K137" s="38" t="n">
        <f aca="false">CF!$K$54</f>
        <v>320.385735318248</v>
      </c>
      <c r="L137" s="38" t="n">
        <f aca="false">CF!$L$54</f>
        <v>364.65641921833</v>
      </c>
      <c r="M137" s="38" t="n">
        <f aca="false">CF!$M$54</f>
        <v>432.943173024858</v>
      </c>
    </row>
    <row r="138" customFormat="false" ht="15" hidden="false" customHeight="false" outlineLevel="0" collapsed="false">
      <c r="A138" s="5" t="s">
        <v>856</v>
      </c>
      <c r="B138" s="0" t="s">
        <v>73</v>
      </c>
      <c r="H138" s="38" t="n">
        <f aca="false">CF!$H$55</f>
        <v>1.6</v>
      </c>
      <c r="I138" s="38" t="n">
        <f aca="false">CF!$I$55</f>
        <v>1.6</v>
      </c>
      <c r="J138" s="38" t="n">
        <f aca="false">CF!$J$55</f>
        <v>1.6</v>
      </c>
      <c r="K138" s="38" t="n">
        <f aca="false">CF!$K$55</f>
        <v>1.6</v>
      </c>
      <c r="L138" s="38" t="n">
        <f aca="false">CF!$L$55</f>
        <v>1.6</v>
      </c>
      <c r="M138" s="38" t="n">
        <f aca="false">CF!$M$55</f>
        <v>1.6</v>
      </c>
    </row>
    <row r="139" customFormat="false" ht="15" hidden="false" customHeight="false" outlineLevel="0" collapsed="false">
      <c r="A139" s="5" t="s">
        <v>857</v>
      </c>
      <c r="B139" s="0" t="s">
        <v>73</v>
      </c>
      <c r="H139" s="38" t="n">
        <f aca="false">CF!$H$49</f>
        <v>11.6369707537667</v>
      </c>
      <c r="I139" s="38" t="n">
        <f aca="false">CF!$I$49</f>
        <v>13.3082502961262</v>
      </c>
      <c r="J139" s="38" t="n">
        <f aca="false">CF!$J$49</f>
        <v>14.8747965344332</v>
      </c>
      <c r="K139" s="38" t="n">
        <f aca="false">CF!$K$49</f>
        <v>16.2687901804328</v>
      </c>
      <c r="L139" s="38" t="n">
        <f aca="false">CF!$L$49</f>
        <v>17.7280727627002</v>
      </c>
      <c r="M139" s="38" t="n">
        <f aca="false">CF!$M$49</f>
        <v>19.2574690270319</v>
      </c>
    </row>
    <row r="140" customFormat="false" ht="17.15" hidden="false" customHeight="false" outlineLevel="0" collapsed="false">
      <c r="A140" s="1" t="s">
        <v>858</v>
      </c>
      <c r="B140" s="8" t="s">
        <v>73</v>
      </c>
      <c r="H140" s="38" t="n">
        <f aca="false">Val!$H$135+Val!$H$136-Val!$H$137-Val!$H$138+Val!$H$139</f>
        <v>-68.0547065976468</v>
      </c>
      <c r="I140" s="38" t="n">
        <f aca="false">Val!$I$135+Val!$I$136-Val!$I$137-Val!$I$138+Val!$I$139</f>
        <v>-27.1523990796972</v>
      </c>
      <c r="J140" s="38" t="n">
        <f aca="false">Val!$J$135+Val!$J$136-Val!$J$137-Val!$J$138+Val!$J$139</f>
        <v>13.5212664792573</v>
      </c>
      <c r="K140" s="38" t="n">
        <f aca="false">Val!$K$135+Val!$K$136-Val!$K$137-Val!$K$138+Val!$K$139</f>
        <v>51.6701571688709</v>
      </c>
      <c r="L140" s="38" t="n">
        <f aca="false">Val!$L$135+Val!$L$136-Val!$L$137-Val!$L$138+Val!$L$139</f>
        <v>57.7295702495933</v>
      </c>
      <c r="M140" s="38" t="n">
        <f aca="false">Val!$M$135+Val!$M$136-Val!$M$137-Val!$M$138+Val!$M$139</f>
        <v>41.534508253082</v>
      </c>
    </row>
    <row r="141" customFormat="false" ht="15" hidden="false" customHeight="false" outlineLevel="0" collapsed="false">
      <c r="A141" s="5" t="s">
        <v>859</v>
      </c>
      <c r="B141" s="0" t="s">
        <v>57</v>
      </c>
      <c r="H141" s="51" t="n">
        <f aca="false">1/(1+wacc)^(2027-2026-0.5)</f>
        <v>0.942858177653364</v>
      </c>
      <c r="I141" s="51" t="n">
        <f aca="false">1/(1+wacc)^(2028-2026-0.5)</f>
        <v>0.838183517758688</v>
      </c>
      <c r="J141" s="51" t="n">
        <f aca="false">1/(1+wacc)^(2029-2026-0.5)</f>
        <v>0.745129677074952</v>
      </c>
      <c r="K141" s="51" t="n">
        <f aca="false">1/(1+wacc)^(2030-2026-0.5)</f>
        <v>0.662406530186232</v>
      </c>
      <c r="L141" s="51" t="n">
        <f aca="false">1/(1+wacc)^(2031-2026-0.5)</f>
        <v>0.588867179409399</v>
      </c>
      <c r="M141" s="51" t="n">
        <f aca="false">1/(1+wacc)^(2032-2026-0.5)</f>
        <v>0.52349205387225</v>
      </c>
    </row>
    <row r="142" customFormat="false" ht="15" hidden="false" customHeight="false" outlineLevel="0" collapsed="false">
      <c r="A142" s="5" t="s">
        <v>860</v>
      </c>
      <c r="B142" s="0" t="s">
        <v>73</v>
      </c>
      <c r="H142" s="38" t="n">
        <f aca="false">Val!$H$140*Val!$H$141</f>
        <v>-64.1659366433916</v>
      </c>
      <c r="I142" s="38" t="n">
        <f aca="false">Val!$I$140*Val!$I$141</f>
        <v>-22.7586933762084</v>
      </c>
      <c r="J142" s="38" t="n">
        <f aca="false">Val!$J$140*Val!$J$141</f>
        <v>10.0750969253334</v>
      </c>
      <c r="K142" s="38" t="n">
        <f aca="false">Val!$K$140*Val!$K$141</f>
        <v>34.226649524409</v>
      </c>
      <c r="L142" s="38" t="n">
        <f aca="false">Val!$L$140*Val!$L$141</f>
        <v>33.9950492013948</v>
      </c>
      <c r="M142" s="38" t="n">
        <f aca="false">Val!$M$140*Val!$M$141</f>
        <v>21.7429850319798</v>
      </c>
    </row>
    <row r="143" customFormat="false" ht="15" hidden="false" customHeight="false" outlineLevel="0" collapsed="false">
      <c r="A143" s="5" t="s">
        <v>861</v>
      </c>
      <c r="B143" s="0" t="s">
        <v>73</v>
      </c>
      <c r="C143" s="38" t="n">
        <f aca="false">SUM(Val!$H$142:$M$142)</f>
        <v>13.115150663517</v>
      </c>
    </row>
    <row r="144" customFormat="false" ht="17.15" hidden="false" customHeight="false" outlineLevel="0" collapsed="false">
      <c r="A144" s="5" t="s">
        <v>862</v>
      </c>
      <c r="B144" s="0" t="s">
        <v>73</v>
      </c>
      <c r="C144" s="38" t="n">
        <f aca="false">Val!$M$135*(1+tg)*(1-tg/ronic)/(wacc-tg)</f>
        <v>1643.3111431308</v>
      </c>
    </row>
    <row r="145" customFormat="false" ht="15" hidden="false" customHeight="false" outlineLevel="0" collapsed="false">
      <c r="A145" s="5" t="s">
        <v>863</v>
      </c>
      <c r="B145" s="0" t="s">
        <v>73</v>
      </c>
      <c r="C145" s="38" t="n">
        <f aca="false">Val!$C$144/(1+wacc)^6</f>
        <v>811.103482778908</v>
      </c>
    </row>
    <row r="146" customFormat="false" ht="17.15" hidden="false" customHeight="false" outlineLevel="0" collapsed="false">
      <c r="A146" s="5" t="s">
        <v>864</v>
      </c>
      <c r="B146" s="0" t="s">
        <v>73</v>
      </c>
      <c r="C146" s="38" t="n">
        <f aca="false">Val!$C$143+Val!$C$145</f>
        <v>824.218633442425</v>
      </c>
    </row>
    <row r="147" customFormat="false" ht="17.15" hidden="false" customHeight="false" outlineLevel="0" collapsed="false">
      <c r="A147" s="5" t="s">
        <v>865</v>
      </c>
      <c r="B147" s="0" t="s">
        <v>52</v>
      </c>
      <c r="C147" s="12" t="n">
        <f aca="false">Val!$C$145/Val!$C$146</f>
        <v>0.984087777039521</v>
      </c>
    </row>
    <row r="148" customFormat="false" ht="17.15" hidden="false" customHeight="false" outlineLevel="0" collapsed="false">
      <c r="A148" s="5" t="s">
        <v>866</v>
      </c>
      <c r="B148" s="0" t="s">
        <v>73</v>
      </c>
      <c r="C148" s="38" t="n">
        <f aca="false">CF!$G$67</f>
        <v>67.0428850873731</v>
      </c>
    </row>
    <row r="149" customFormat="false" ht="17.15" hidden="false" customHeight="false" outlineLevel="0" collapsed="false">
      <c r="A149" s="5" t="s">
        <v>867</v>
      </c>
      <c r="B149" s="0" t="s">
        <v>73</v>
      </c>
      <c r="C149" s="38" t="n">
        <f aca="false">(ant_val*ant_sh+oai_val*oai_sh)*(1-liq_disc)</f>
        <v>178.944</v>
      </c>
    </row>
    <row r="150" customFormat="false" ht="15" hidden="false" customHeight="false" outlineLevel="0" collapsed="false">
      <c r="A150" s="5" t="s">
        <v>868</v>
      </c>
      <c r="B150" s="0" t="s">
        <v>73</v>
      </c>
      <c r="C150" s="38" t="n">
        <f aca="false">Val!$C$146-Val!$C$148+Val!$C$149</f>
        <v>936.119748355051</v>
      </c>
    </row>
    <row r="151" customFormat="false" ht="17.15" hidden="false" customHeight="false" outlineLevel="0" collapsed="false">
      <c r="A151" s="5" t="s">
        <v>869</v>
      </c>
      <c r="B151" s="0" t="s">
        <v>27</v>
      </c>
      <c r="C151" s="30" t="n">
        <f aca="false">Val!$C$150/sh_val</f>
        <v>84.8679147624493</v>
      </c>
    </row>
    <row r="152" customFormat="false" ht="17.15" hidden="false" customHeight="false" outlineLevel="0" collapsed="false">
      <c r="A152" s="1" t="s">
        <v>870</v>
      </c>
      <c r="B152" s="8" t="s">
        <v>27</v>
      </c>
      <c r="C152" s="30" t="n">
        <f aca="false">Val!$C$151*(1+ke)^tp_yf</f>
        <v>93.7319373662158</v>
      </c>
    </row>
    <row r="153" customFormat="false" ht="17.15" hidden="false" customHeight="false" outlineLevel="0" collapsed="false">
      <c r="A153" s="3" t="s">
        <v>871</v>
      </c>
    </row>
    <row r="154" customFormat="false" ht="17.15" hidden="false" customHeight="false" outlineLevel="0" collapsed="false">
      <c r="A154" s="5" t="s">
        <v>872</v>
      </c>
      <c r="B154" s="0" t="s">
        <v>73</v>
      </c>
      <c r="C154" s="38" t="n">
        <f aca="false">0.25*PL!$H$126+0.75*PL!$I$126</f>
        <v>57.5541093268329</v>
      </c>
    </row>
    <row r="155" customFormat="false" ht="15" hidden="false" customHeight="false" outlineLevel="0" collapsed="false">
      <c r="A155" s="5" t="s">
        <v>873</v>
      </c>
      <c r="B155" s="0" t="s">
        <v>57</v>
      </c>
      <c r="C155" s="30" t="n">
        <f aca="false">m_ads*m_x</f>
        <v>9.11</v>
      </c>
    </row>
    <row r="156" customFormat="false" ht="17.15" hidden="false" customHeight="false" outlineLevel="0" collapsed="false">
      <c r="A156" s="5" t="s">
        <v>874</v>
      </c>
      <c r="B156" s="0" t="s">
        <v>73</v>
      </c>
      <c r="C156" s="38" t="n">
        <f aca="false">Val!$C$154*Val!$C$155</f>
        <v>524.317935967448</v>
      </c>
    </row>
    <row r="157" customFormat="false" ht="17.15" hidden="false" customHeight="false" outlineLevel="0" collapsed="false">
      <c r="A157" s="5" t="s">
        <v>875</v>
      </c>
      <c r="B157" s="0" t="s">
        <v>73</v>
      </c>
      <c r="C157" s="38" t="n">
        <f aca="false">0.25*PL!$H$127+0.75*PL!$I$127</f>
        <v>30.6290803533085</v>
      </c>
    </row>
    <row r="158" customFormat="false" ht="15" hidden="false" customHeight="false" outlineLevel="0" collapsed="false">
      <c r="A158" s="5" t="s">
        <v>876</v>
      </c>
      <c r="B158" s="0" t="s">
        <v>57</v>
      </c>
      <c r="C158" s="30" t="n">
        <f aca="false">m_retail*m_x</f>
        <v>17.72</v>
      </c>
    </row>
    <row r="159" customFormat="false" ht="17.15" hidden="false" customHeight="false" outlineLevel="0" collapsed="false">
      <c r="A159" s="5" t="s">
        <v>877</v>
      </c>
      <c r="B159" s="0" t="s">
        <v>73</v>
      </c>
      <c r="C159" s="38" t="n">
        <f aca="false">Val!$C$157*Val!$C$158</f>
        <v>542.747303860627</v>
      </c>
    </row>
    <row r="160" customFormat="false" ht="17.15" hidden="false" customHeight="false" outlineLevel="0" collapsed="false">
      <c r="A160" s="0" t="s">
        <v>878</v>
      </c>
      <c r="B160" s="0" t="s">
        <v>73</v>
      </c>
      <c r="C160" s="38" t="n">
        <f aca="false">0.25*PL!$H$128+0.75*PL!$I$128</f>
        <v>107.575398943098</v>
      </c>
    </row>
    <row r="161" customFormat="false" ht="17.15" hidden="false" customHeight="false" outlineLevel="0" collapsed="false">
      <c r="A161" s="0" t="s">
        <v>879</v>
      </c>
      <c r="B161" s="0" t="s">
        <v>57</v>
      </c>
      <c r="C161" s="30" t="n">
        <f aca="false">m_cloud*m_x</f>
        <v>13.82</v>
      </c>
    </row>
    <row r="162" customFormat="false" ht="17.15" hidden="false" customHeight="false" outlineLevel="0" collapsed="false">
      <c r="A162" s="0" t="s">
        <v>880</v>
      </c>
      <c r="B162" s="0" t="s">
        <v>73</v>
      </c>
      <c r="C162" s="38" t="n">
        <f aca="false">Val!$C$160*Val!$C$161</f>
        <v>1486.69201339361</v>
      </c>
    </row>
    <row r="163" customFormat="false" ht="17.15" hidden="false" customHeight="false" outlineLevel="0" collapsed="false">
      <c r="A163" s="0" t="s">
        <v>881</v>
      </c>
      <c r="B163" s="0" t="s">
        <v>73</v>
      </c>
      <c r="C163" s="38" t="n">
        <f aca="false">0.25*PL!$H$129+0.75*PL!$I$129</f>
        <v>72.2947701247864</v>
      </c>
    </row>
    <row r="164" customFormat="false" ht="17.15" hidden="false" customHeight="false" outlineLevel="0" collapsed="false">
      <c r="A164" s="0" t="s">
        <v>882</v>
      </c>
      <c r="B164" s="0" t="s">
        <v>57</v>
      </c>
      <c r="C164" s="30" t="n">
        <f aca="false">m_ai</f>
        <v>6</v>
      </c>
    </row>
    <row r="165" customFormat="false" ht="17.15" hidden="false" customHeight="false" outlineLevel="0" collapsed="false">
      <c r="A165" s="0" t="s">
        <v>883</v>
      </c>
      <c r="B165" s="0" t="s">
        <v>73</v>
      </c>
      <c r="C165" s="38" t="n">
        <f aca="false">Val!$C$163*Val!$C$164</f>
        <v>433.768620748718</v>
      </c>
    </row>
    <row r="166" customFormat="false" ht="17.15" hidden="false" customHeight="false" outlineLevel="0" collapsed="false">
      <c r="A166" s="5" t="s">
        <v>884</v>
      </c>
      <c r="B166" s="0" t="s">
        <v>73</v>
      </c>
      <c r="C166" s="38" t="n">
        <f aca="false">Val!$C$156+Val!$C$159+Val!$C$162+Val!$C$165</f>
        <v>2987.5258739704</v>
      </c>
    </row>
    <row r="167" customFormat="false" ht="17.15" hidden="false" customHeight="false" outlineLevel="0" collapsed="false">
      <c r="A167" s="5" t="s">
        <v>885</v>
      </c>
      <c r="B167" s="0" t="s">
        <v>73</v>
      </c>
      <c r="C167" s="38" t="n">
        <f aca="false">CF!$H$67</f>
        <v>113.741590679904</v>
      </c>
    </row>
    <row r="168" customFormat="false" ht="15" hidden="false" customHeight="false" outlineLevel="0" collapsed="false">
      <c r="A168" s="5" t="s">
        <v>886</v>
      </c>
      <c r="B168" s="0" t="s">
        <v>73</v>
      </c>
      <c r="C168" s="38" t="n">
        <f aca="false">Val!$C$166-Val!$C$167+Val!$C$149</f>
        <v>3052.7282832905</v>
      </c>
    </row>
    <row r="169" customFormat="false" ht="15" hidden="false" customHeight="false" outlineLevel="0" collapsed="false">
      <c r="A169" s="3" t="s">
        <v>887</v>
      </c>
      <c r="B169" s="8" t="s">
        <v>27</v>
      </c>
      <c r="C169" s="30" t="n">
        <f aca="false">Val!$C$168/sh_val</f>
        <v>276.758058137828</v>
      </c>
    </row>
    <row r="170" customFormat="false" ht="17.15" hidden="false" customHeight="false" outlineLevel="0" collapsed="false">
      <c r="A170" s="46" t="s">
        <v>888</v>
      </c>
      <c r="B170" s="13" t="s">
        <v>27</v>
      </c>
      <c r="C170" s="43" t="n">
        <f aca="false">w_dcf*Val!$C$152+(1-w_dcf)*Val!$C$169</f>
        <v>185.244997752022</v>
      </c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</row>
    <row r="171" customFormat="false" ht="17.15" hidden="false" customHeight="false" outlineLevel="0" collapsed="false">
      <c r="A171" s="5" t="s">
        <v>889</v>
      </c>
      <c r="B171" s="0" t="s">
        <v>27</v>
      </c>
      <c r="C171" s="30" t="n">
        <f aca="false">0.45*Val!$C$152+0.55*Val!$C$169</f>
        <v>194.396303790603</v>
      </c>
    </row>
    <row r="174" customFormat="false" ht="19.4" hidden="false" customHeight="false" outlineLevel="0" collapsed="false">
      <c r="A174" s="31" t="s">
        <v>891</v>
      </c>
    </row>
    <row r="175" customFormat="false" ht="17.15" hidden="false" customHeight="false" outlineLevel="0" collapsed="false">
      <c r="A175" s="6" t="s">
        <v>16</v>
      </c>
      <c r="B175" s="6" t="s">
        <v>17</v>
      </c>
      <c r="C175" s="20" t="s">
        <v>457</v>
      </c>
      <c r="D175" s="20" t="s">
        <v>458</v>
      </c>
      <c r="E175" s="20" t="s">
        <v>540</v>
      </c>
      <c r="F175" s="20" t="s">
        <v>541</v>
      </c>
      <c r="G175" s="20" t="s">
        <v>542</v>
      </c>
      <c r="H175" s="20" t="s">
        <v>543</v>
      </c>
      <c r="I175" s="20" t="s">
        <v>544</v>
      </c>
      <c r="J175" s="20" t="s">
        <v>545</v>
      </c>
      <c r="K175" s="20" t="s">
        <v>546</v>
      </c>
      <c r="L175" s="20" t="s">
        <v>547</v>
      </c>
      <c r="M175" s="20" t="s">
        <v>548</v>
      </c>
      <c r="N175" s="20" t="s">
        <v>549</v>
      </c>
      <c r="O175" s="20" t="s">
        <v>550</v>
      </c>
      <c r="P175" s="6" t="s">
        <v>23</v>
      </c>
      <c r="R175" s="20" t="n">
        <v>2023</v>
      </c>
      <c r="S175" s="20" t="n">
        <v>2024</v>
      </c>
      <c r="T175" s="20" t="n">
        <v>2025</v>
      </c>
      <c r="U175" s="20" t="n">
        <v>2026</v>
      </c>
      <c r="V175" s="20" t="n">
        <v>2027</v>
      </c>
      <c r="W175" s="20" t="n">
        <v>2028</v>
      </c>
      <c r="X175" s="20" t="n">
        <v>2029</v>
      </c>
      <c r="Y175" s="20" t="n">
        <v>2030</v>
      </c>
      <c r="Z175" s="20" t="n">
        <v>2031</v>
      </c>
      <c r="AA175" s="20" t="n">
        <v>2032</v>
      </c>
    </row>
    <row r="176" customFormat="false" ht="17.15" hidden="false" customHeight="false" outlineLevel="0" collapsed="false">
      <c r="A176" s="1" t="s">
        <v>852</v>
      </c>
    </row>
    <row r="177" customFormat="false" ht="17.15" hidden="false" customHeight="false" outlineLevel="0" collapsed="false">
      <c r="A177" s="0" t="s">
        <v>853</v>
      </c>
      <c r="B177" s="0" t="s">
        <v>73</v>
      </c>
      <c r="H177" s="38" t="n">
        <f aca="false">PL!$H$179*(1-tax)</f>
        <v>106.520905488171</v>
      </c>
      <c r="I177" s="38" t="n">
        <f aca="false">PL!$I$179*(1-tax)</f>
        <v>121.453886793494</v>
      </c>
      <c r="J177" s="38" t="n">
        <f aca="false">PL!$J$179*(1-tax)</f>
        <v>134.07866433807</v>
      </c>
      <c r="K177" s="38" t="n">
        <f aca="false">PL!$K$179*(1-tax)</f>
        <v>143.147315508041</v>
      </c>
      <c r="L177" s="38" t="n">
        <f aca="false">PL!$L$179*(1-tax)</f>
        <v>153.669385418618</v>
      </c>
      <c r="M177" s="38" t="n">
        <f aca="false">PL!$M$179*(1-tax)</f>
        <v>164.77237219864</v>
      </c>
    </row>
    <row r="178" customFormat="false" ht="15" hidden="false" customHeight="false" outlineLevel="0" collapsed="false">
      <c r="A178" s="5" t="s">
        <v>854</v>
      </c>
      <c r="B178" s="0" t="s">
        <v>73</v>
      </c>
      <c r="H178" s="38" t="n">
        <f aca="false">PL!$H$191</f>
        <v>87.6845218193838</v>
      </c>
      <c r="I178" s="38" t="n">
        <f aca="false">PL!$I$191</f>
        <v>122.294769708638</v>
      </c>
      <c r="J178" s="38" t="n">
        <f aca="false">PL!$J$191</f>
        <v>157.133962573221</v>
      </c>
      <c r="K178" s="38" t="n">
        <f aca="false">PL!$K$191</f>
        <v>191.350633353599</v>
      </c>
      <c r="L178" s="38" t="n">
        <f aca="false">PL!$L$191</f>
        <v>223.909238335354</v>
      </c>
      <c r="M178" s="38" t="n">
        <f aca="false">PL!$M$191</f>
        <v>257.576319867276</v>
      </c>
    </row>
    <row r="179" customFormat="false" ht="15" hidden="false" customHeight="false" outlineLevel="0" collapsed="false">
      <c r="A179" s="5" t="s">
        <v>855</v>
      </c>
      <c r="B179" s="0" t="s">
        <v>73</v>
      </c>
      <c r="H179" s="38" t="n">
        <f aca="false">CF!$H$84</f>
        <v>277.870120501355</v>
      </c>
      <c r="I179" s="38" t="n">
        <f aca="false">CF!$I$84</f>
        <v>293.934464585378</v>
      </c>
      <c r="J179" s="38" t="n">
        <f aca="false">CF!$J$84</f>
        <v>308.06904811359</v>
      </c>
      <c r="K179" s="38" t="n">
        <f aca="false">CF!$K$84</f>
        <v>320.385735318248</v>
      </c>
      <c r="L179" s="38" t="n">
        <f aca="false">CF!$L$84</f>
        <v>364.65641921833</v>
      </c>
      <c r="M179" s="38" t="n">
        <f aca="false">CF!$M$84</f>
        <v>432.943173024858</v>
      </c>
    </row>
    <row r="180" customFormat="false" ht="15" hidden="false" customHeight="false" outlineLevel="0" collapsed="false">
      <c r="A180" s="5" t="s">
        <v>856</v>
      </c>
      <c r="B180" s="0" t="s">
        <v>73</v>
      </c>
      <c r="H180" s="38" t="n">
        <f aca="false">CF!$H$85</f>
        <v>1.6</v>
      </c>
      <c r="I180" s="38" t="n">
        <f aca="false">CF!$I$85</f>
        <v>1.6</v>
      </c>
      <c r="J180" s="38" t="n">
        <f aca="false">CF!$J$85</f>
        <v>1.6</v>
      </c>
      <c r="K180" s="38" t="n">
        <f aca="false">CF!$K$85</f>
        <v>1.6</v>
      </c>
      <c r="L180" s="38" t="n">
        <f aca="false">CF!$L$85</f>
        <v>1.6</v>
      </c>
      <c r="M180" s="38" t="n">
        <f aca="false">CF!$M$85</f>
        <v>1.6</v>
      </c>
    </row>
    <row r="181" customFormat="false" ht="15" hidden="false" customHeight="false" outlineLevel="0" collapsed="false">
      <c r="A181" s="5" t="s">
        <v>857</v>
      </c>
      <c r="B181" s="0" t="s">
        <v>73</v>
      </c>
      <c r="H181" s="38" t="n">
        <f aca="false">CF!$H$79</f>
        <v>11.5561515249225</v>
      </c>
      <c r="I181" s="38" t="n">
        <f aca="false">CF!$I$79</f>
        <v>13.144014159148</v>
      </c>
      <c r="J181" s="38" t="n">
        <f aca="false">CF!$J$79</f>
        <v>14.6267723922795</v>
      </c>
      <c r="K181" s="38" t="n">
        <f aca="false">CF!$K$79</f>
        <v>15.93685433409</v>
      </c>
      <c r="L181" s="38" t="n">
        <f aca="false">CF!$L$79</f>
        <v>17.3121689853437</v>
      </c>
      <c r="M181" s="38" t="n">
        <f aca="false">CF!$M$79</f>
        <v>18.7575670426793</v>
      </c>
    </row>
    <row r="182" customFormat="false" ht="17.15" hidden="false" customHeight="false" outlineLevel="0" collapsed="false">
      <c r="A182" s="1" t="s">
        <v>858</v>
      </c>
      <c r="B182" s="8" t="s">
        <v>73</v>
      </c>
      <c r="H182" s="38" t="n">
        <f aca="false">Val!$H$177+Val!$H$178-Val!$H$179-Val!$H$180+Val!$H$181</f>
        <v>-73.7085416688774</v>
      </c>
      <c r="I182" s="38" t="n">
        <f aca="false">Val!$I$177+Val!$I$178-Val!$I$179-Val!$I$180+Val!$I$181</f>
        <v>-38.6417939240984</v>
      </c>
      <c r="J182" s="38" t="n">
        <f aca="false">Val!$J$177+Val!$J$178-Val!$J$179-Val!$J$180+Val!$J$181</f>
        <v>-3.82964881002013</v>
      </c>
      <c r="K182" s="38" t="n">
        <f aca="false">Val!$K$177+Val!$K$178-Val!$K$179-Val!$K$180+Val!$K$181</f>
        <v>28.4490678774821</v>
      </c>
      <c r="L182" s="38" t="n">
        <f aca="false">Val!$L$177+Val!$L$178-Val!$L$179-Val!$L$180+Val!$L$181</f>
        <v>28.6343735209861</v>
      </c>
      <c r="M182" s="38" t="n">
        <f aca="false">Val!$M$177+Val!$M$178-Val!$M$179-Val!$M$180+Val!$M$181</f>
        <v>6.56308608373724</v>
      </c>
    </row>
    <row r="183" customFormat="false" ht="15" hidden="false" customHeight="false" outlineLevel="0" collapsed="false">
      <c r="A183" s="5" t="s">
        <v>859</v>
      </c>
      <c r="B183" s="0" t="s">
        <v>57</v>
      </c>
      <c r="H183" s="51" t="n">
        <f aca="false">1/(1+wacc)^(2027-2026-0.5)</f>
        <v>0.942858177653364</v>
      </c>
      <c r="I183" s="51" t="n">
        <f aca="false">1/(1+wacc)^(2028-2026-0.5)</f>
        <v>0.838183517758688</v>
      </c>
      <c r="J183" s="51" t="n">
        <f aca="false">1/(1+wacc)^(2029-2026-0.5)</f>
        <v>0.745129677074952</v>
      </c>
      <c r="K183" s="51" t="n">
        <f aca="false">1/(1+wacc)^(2030-2026-0.5)</f>
        <v>0.662406530186232</v>
      </c>
      <c r="L183" s="51" t="n">
        <f aca="false">1/(1+wacc)^(2031-2026-0.5)</f>
        <v>0.588867179409399</v>
      </c>
      <c r="M183" s="51" t="n">
        <f aca="false">1/(1+wacc)^(2032-2026-0.5)</f>
        <v>0.52349205387225</v>
      </c>
    </row>
    <row r="184" customFormat="false" ht="15" hidden="false" customHeight="false" outlineLevel="0" collapsed="false">
      <c r="A184" s="5" t="s">
        <v>860</v>
      </c>
      <c r="B184" s="0" t="s">
        <v>73</v>
      </c>
      <c r="H184" s="38" t="n">
        <f aca="false">Val!$H$182*Val!$H$183</f>
        <v>-69.4967012754048</v>
      </c>
      <c r="I184" s="38" t="n">
        <f aca="false">Val!$I$182*Val!$I$183</f>
        <v>-32.3889147638071</v>
      </c>
      <c r="J184" s="38" t="n">
        <f aca="false">Val!$J$182*Val!$J$183</f>
        <v>-2.85358498112078</v>
      </c>
      <c r="K184" s="38" t="n">
        <f aca="false">Val!$K$182*Val!$K$183</f>
        <v>18.8448483397555</v>
      </c>
      <c r="L184" s="38" t="n">
        <f aca="false">Val!$L$182*Val!$L$183</f>
        <v>16.8618427694583</v>
      </c>
      <c r="M184" s="38" t="n">
        <f aca="false">Val!$M$182*Val!$M$183</f>
        <v>3.43572341371599</v>
      </c>
    </row>
    <row r="185" customFormat="false" ht="15" hidden="false" customHeight="false" outlineLevel="0" collapsed="false">
      <c r="A185" s="5" t="s">
        <v>861</v>
      </c>
      <c r="B185" s="0" t="s">
        <v>73</v>
      </c>
      <c r="C185" s="38" t="n">
        <f aca="false">SUM(Val!$H$184:$M$184)</f>
        <v>-65.5967864974029</v>
      </c>
    </row>
    <row r="186" customFormat="false" ht="17.15" hidden="false" customHeight="false" outlineLevel="0" collapsed="false">
      <c r="A186" s="5" t="s">
        <v>862</v>
      </c>
      <c r="B186" s="0" t="s">
        <v>73</v>
      </c>
      <c r="C186" s="38" t="n">
        <f aca="false">Val!$M$177*(1+tg)*(1-tg/ronic)/(wacc-tg)</f>
        <v>1358.99912451402</v>
      </c>
    </row>
    <row r="187" customFormat="false" ht="15" hidden="false" customHeight="false" outlineLevel="0" collapsed="false">
      <c r="A187" s="5" t="s">
        <v>863</v>
      </c>
      <c r="B187" s="0" t="s">
        <v>73</v>
      </c>
      <c r="C187" s="38" t="n">
        <f aca="false">Val!$C$186/(1+wacc)^6</f>
        <v>670.77310805959</v>
      </c>
    </row>
    <row r="188" customFormat="false" ht="17.15" hidden="false" customHeight="false" outlineLevel="0" collapsed="false">
      <c r="A188" s="5" t="s">
        <v>864</v>
      </c>
      <c r="B188" s="0" t="s">
        <v>73</v>
      </c>
      <c r="C188" s="38" t="n">
        <f aca="false">Val!$C$185+Val!$C$187</f>
        <v>605.176321562187</v>
      </c>
    </row>
    <row r="189" customFormat="false" ht="17.15" hidden="false" customHeight="false" outlineLevel="0" collapsed="false">
      <c r="A189" s="5" t="s">
        <v>865</v>
      </c>
      <c r="B189" s="0" t="s">
        <v>52</v>
      </c>
      <c r="C189" s="12" t="n">
        <f aca="false">Val!$C$187/Val!$C$188</f>
        <v>1.10839285041436</v>
      </c>
    </row>
    <row r="190" customFormat="false" ht="17.15" hidden="false" customHeight="false" outlineLevel="0" collapsed="false">
      <c r="A190" s="5" t="s">
        <v>866</v>
      </c>
      <c r="B190" s="0" t="s">
        <v>73</v>
      </c>
      <c r="C190" s="38" t="n">
        <f aca="false">CF!$G$97</f>
        <v>67.7559845756801</v>
      </c>
    </row>
    <row r="191" customFormat="false" ht="17.15" hidden="false" customHeight="false" outlineLevel="0" collapsed="false">
      <c r="A191" s="5" t="s">
        <v>867</v>
      </c>
      <c r="B191" s="0" t="s">
        <v>73</v>
      </c>
      <c r="C191" s="38" t="n">
        <f aca="false">(ant_val*ant_sh+oai_val*oai_sh)*(1-liq_disc)</f>
        <v>178.944</v>
      </c>
    </row>
    <row r="192" customFormat="false" ht="15" hidden="false" customHeight="false" outlineLevel="0" collapsed="false">
      <c r="A192" s="5" t="s">
        <v>868</v>
      </c>
      <c r="B192" s="0" t="s">
        <v>73</v>
      </c>
      <c r="C192" s="38" t="n">
        <f aca="false">Val!$C$188-Val!$C$190+Val!$C$191</f>
        <v>716.364336986507</v>
      </c>
    </row>
    <row r="193" customFormat="false" ht="17.15" hidden="false" customHeight="false" outlineLevel="0" collapsed="false">
      <c r="A193" s="5" t="s">
        <v>869</v>
      </c>
      <c r="B193" s="0" t="s">
        <v>27</v>
      </c>
      <c r="C193" s="30" t="n">
        <f aca="false">Val!$C$192/sh_val</f>
        <v>64.9450538748495</v>
      </c>
    </row>
    <row r="194" customFormat="false" ht="17.15" hidden="false" customHeight="false" outlineLevel="0" collapsed="false">
      <c r="A194" s="1" t="s">
        <v>870</v>
      </c>
      <c r="B194" s="8" t="s">
        <v>27</v>
      </c>
      <c r="C194" s="30" t="n">
        <f aca="false">Val!$C$193*(1+ke)^tp_yf</f>
        <v>71.728234858627</v>
      </c>
    </row>
    <row r="195" customFormat="false" ht="17.15" hidden="false" customHeight="false" outlineLevel="0" collapsed="false">
      <c r="A195" s="3" t="s">
        <v>871</v>
      </c>
    </row>
    <row r="196" customFormat="false" ht="17.15" hidden="false" customHeight="false" outlineLevel="0" collapsed="false">
      <c r="A196" s="5" t="s">
        <v>872</v>
      </c>
      <c r="B196" s="0" t="s">
        <v>73</v>
      </c>
      <c r="C196" s="38" t="n">
        <f aca="false">0.25*PL!$H$192+0.75*PL!$I$192</f>
        <v>57.5541093268329</v>
      </c>
    </row>
    <row r="197" customFormat="false" ht="15" hidden="false" customHeight="false" outlineLevel="0" collapsed="false">
      <c r="A197" s="5" t="s">
        <v>873</v>
      </c>
      <c r="B197" s="0" t="s">
        <v>57</v>
      </c>
      <c r="C197" s="30" t="n">
        <f aca="false">m_ads*m_x</f>
        <v>9.11</v>
      </c>
    </row>
    <row r="198" customFormat="false" ht="17.15" hidden="false" customHeight="false" outlineLevel="0" collapsed="false">
      <c r="A198" s="5" t="s">
        <v>874</v>
      </c>
      <c r="B198" s="0" t="s">
        <v>73</v>
      </c>
      <c r="C198" s="38" t="n">
        <f aca="false">Val!$C$196*Val!$C$197</f>
        <v>524.317935967448</v>
      </c>
    </row>
    <row r="199" customFormat="false" ht="17.15" hidden="false" customHeight="false" outlineLevel="0" collapsed="false">
      <c r="A199" s="5" t="s">
        <v>875</v>
      </c>
      <c r="B199" s="0" t="s">
        <v>73</v>
      </c>
      <c r="C199" s="38" t="n">
        <f aca="false">0.25*PL!$H$193+0.75*PL!$I$193</f>
        <v>30.6290803533085</v>
      </c>
    </row>
    <row r="200" customFormat="false" ht="15" hidden="false" customHeight="false" outlineLevel="0" collapsed="false">
      <c r="A200" s="5" t="s">
        <v>876</v>
      </c>
      <c r="B200" s="0" t="s">
        <v>57</v>
      </c>
      <c r="C200" s="30" t="n">
        <f aca="false">m_retail*m_x</f>
        <v>17.72</v>
      </c>
    </row>
    <row r="201" customFormat="false" ht="17.15" hidden="false" customHeight="false" outlineLevel="0" collapsed="false">
      <c r="A201" s="5" t="s">
        <v>877</v>
      </c>
      <c r="B201" s="0" t="s">
        <v>73</v>
      </c>
      <c r="C201" s="38" t="n">
        <f aca="false">Val!$C$199*Val!$C$200</f>
        <v>542.747303860627</v>
      </c>
    </row>
    <row r="202" customFormat="false" ht="17.15" hidden="false" customHeight="false" outlineLevel="0" collapsed="false">
      <c r="A202" s="0" t="s">
        <v>878</v>
      </c>
      <c r="B202" s="0" t="s">
        <v>73</v>
      </c>
      <c r="C202" s="38" t="n">
        <f aca="false">0.25*PL!$H$194+0.75*PL!$I$194</f>
        <v>107.575398943098</v>
      </c>
    </row>
    <row r="203" customFormat="false" ht="17.15" hidden="false" customHeight="false" outlineLevel="0" collapsed="false">
      <c r="A203" s="0" t="s">
        <v>879</v>
      </c>
      <c r="B203" s="0" t="s">
        <v>57</v>
      </c>
      <c r="C203" s="30" t="n">
        <f aca="false">m_cloud*m_x</f>
        <v>13.82</v>
      </c>
    </row>
    <row r="204" customFormat="false" ht="17.15" hidden="false" customHeight="false" outlineLevel="0" collapsed="false">
      <c r="A204" s="0" t="s">
        <v>880</v>
      </c>
      <c r="B204" s="0" t="s">
        <v>73</v>
      </c>
      <c r="C204" s="38" t="n">
        <f aca="false">Val!$C$202*Val!$C$203</f>
        <v>1486.69201339361</v>
      </c>
    </row>
    <row r="205" customFormat="false" ht="17.15" hidden="false" customHeight="false" outlineLevel="0" collapsed="false">
      <c r="A205" s="0" t="s">
        <v>881</v>
      </c>
      <c r="B205" s="0" t="s">
        <v>73</v>
      </c>
      <c r="C205" s="38" t="n">
        <f aca="false">0.25*PL!$H$195+0.75*PL!$I$195</f>
        <v>60.3309053259604</v>
      </c>
    </row>
    <row r="206" customFormat="false" ht="17.15" hidden="false" customHeight="false" outlineLevel="0" collapsed="false">
      <c r="A206" s="0" t="s">
        <v>882</v>
      </c>
      <c r="B206" s="0" t="s">
        <v>57</v>
      </c>
      <c r="C206" s="30" t="n">
        <f aca="false">m_ai</f>
        <v>6</v>
      </c>
    </row>
    <row r="207" customFormat="false" ht="17.15" hidden="false" customHeight="false" outlineLevel="0" collapsed="false">
      <c r="A207" s="0" t="s">
        <v>883</v>
      </c>
      <c r="B207" s="0" t="s">
        <v>73</v>
      </c>
      <c r="C207" s="38" t="n">
        <f aca="false">Val!$C$205*Val!$C$206</f>
        <v>361.985431955762</v>
      </c>
    </row>
    <row r="208" customFormat="false" ht="17.15" hidden="false" customHeight="false" outlineLevel="0" collapsed="false">
      <c r="A208" s="5" t="s">
        <v>884</v>
      </c>
      <c r="B208" s="0" t="s">
        <v>73</v>
      </c>
      <c r="C208" s="38" t="n">
        <f aca="false">Val!$C$198+Val!$C$201+Val!$C$204+Val!$C$207</f>
        <v>2915.74268517745</v>
      </c>
    </row>
    <row r="209" customFormat="false" ht="17.15" hidden="false" customHeight="false" outlineLevel="0" collapsed="false">
      <c r="A209" s="5" t="s">
        <v>885</v>
      </c>
      <c r="B209" s="0" t="s">
        <v>73</v>
      </c>
      <c r="C209" s="38" t="n">
        <f aca="false">CF!$H$97</f>
        <v>120.301257926626</v>
      </c>
    </row>
    <row r="210" customFormat="false" ht="15" hidden="false" customHeight="false" outlineLevel="0" collapsed="false">
      <c r="A210" s="5" t="s">
        <v>886</v>
      </c>
      <c r="B210" s="0" t="s">
        <v>73</v>
      </c>
      <c r="C210" s="38" t="n">
        <f aca="false">Val!$C$208-Val!$C$209+Val!$C$191</f>
        <v>2974.38542725082</v>
      </c>
    </row>
    <row r="211" customFormat="false" ht="15" hidden="false" customHeight="false" outlineLevel="0" collapsed="false">
      <c r="A211" s="3" t="s">
        <v>887</v>
      </c>
      <c r="B211" s="8" t="s">
        <v>27</v>
      </c>
      <c r="C211" s="30" t="n">
        <f aca="false">Val!$C$210/sh_val</f>
        <v>269.655553527381</v>
      </c>
    </row>
    <row r="212" customFormat="false" ht="17.15" hidden="false" customHeight="false" outlineLevel="0" collapsed="false">
      <c r="A212" s="46" t="s">
        <v>888</v>
      </c>
      <c r="B212" s="13" t="s">
        <v>27</v>
      </c>
      <c r="C212" s="43" t="n">
        <f aca="false">w_dcf*Val!$C$194+(1-w_dcf)*Val!$C$211</f>
        <v>170.691894193004</v>
      </c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</row>
    <row r="213" customFormat="false" ht="17.15" hidden="false" customHeight="false" outlineLevel="0" collapsed="false">
      <c r="A213" s="5" t="s">
        <v>889</v>
      </c>
      <c r="B213" s="0" t="s">
        <v>27</v>
      </c>
      <c r="C213" s="30" t="n">
        <f aca="false">0.45*Val!$C$194+0.55*Val!$C$211</f>
        <v>180.588260126442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6" min="2" style="0" width="13"/>
    <col collapsed="false" customWidth="true" hidden="false" outlineLevel="0" max="7" min="7" style="0" width="40"/>
    <col collapsed="false" customWidth="true" hidden="false" outlineLevel="0" max="8" min="8" style="0" width="60"/>
  </cols>
  <sheetData>
    <row r="1" customFormat="false" ht="17.15" hidden="false" customHeight="false" outlineLevel="0" collapsed="false">
      <c r="A1" s="0" t="s">
        <v>892</v>
      </c>
    </row>
    <row r="3" customFormat="false" ht="17.15" hidden="false" customHeight="false" outlineLevel="0" collapsed="false">
      <c r="A3" s="6" t="s">
        <v>16</v>
      </c>
      <c r="B3" s="6" t="s">
        <v>893</v>
      </c>
      <c r="C3" s="6" t="s">
        <v>894</v>
      </c>
      <c r="D3" s="6" t="s">
        <v>895</v>
      </c>
      <c r="E3" s="6" t="s">
        <v>896</v>
      </c>
      <c r="F3" s="6" t="s">
        <v>897</v>
      </c>
      <c r="G3" s="6" t="s">
        <v>22</v>
      </c>
      <c r="H3" s="6" t="s">
        <v>23</v>
      </c>
    </row>
    <row r="4" customFormat="false" ht="17.15" hidden="false" customHeight="false" outlineLevel="0" collapsed="false">
      <c r="A4" s="1" t="s">
        <v>898</v>
      </c>
    </row>
    <row r="5" customFormat="false" ht="17.15" hidden="false" customHeight="false" outlineLevel="0" collapsed="false">
      <c r="A5" s="0" t="s">
        <v>899</v>
      </c>
      <c r="B5" s="45" t="n">
        <f aca="false">c_rev26</f>
        <v>828.285</v>
      </c>
      <c r="C5" s="45" t="n">
        <f aca="false">PL!$G$27</f>
        <v>835.427072248307</v>
      </c>
      <c r="D5" s="45" t="n">
        <f aca="false">PL!$G$93</f>
        <v>832.619873271816</v>
      </c>
      <c r="E5" s="45" t="n">
        <f aca="false">PL!$G$159</f>
        <v>831.793856935429</v>
      </c>
      <c r="F5" s="12" t="n">
        <f aca="false">D5/B5-1</f>
        <v>0.00523355278897419</v>
      </c>
      <c r="G5" s="8" t="s">
        <v>900</v>
      </c>
      <c r="H5" s="8" t="s">
        <v>901</v>
      </c>
    </row>
    <row r="6" customFormat="false" ht="17.15" hidden="false" customHeight="false" outlineLevel="0" collapsed="false">
      <c r="A6" s="0" t="s">
        <v>902</v>
      </c>
      <c r="B6" s="45" t="n">
        <f aca="false">c_sprev26</f>
        <v>828.74</v>
      </c>
      <c r="C6" s="45" t="n">
        <f aca="false">PL!$G$27</f>
        <v>835.427072248307</v>
      </c>
      <c r="D6" s="45" t="n">
        <f aca="false">PL!$G$93</f>
        <v>832.619873271816</v>
      </c>
      <c r="E6" s="45" t="n">
        <f aca="false">PL!$G$159</f>
        <v>831.793856935429</v>
      </c>
      <c r="F6" s="12" t="n">
        <f aca="false">D6/B6-1</f>
        <v>0.00468165319860936</v>
      </c>
      <c r="G6" s="8" t="s">
        <v>903</v>
      </c>
    </row>
    <row r="7" customFormat="false" ht="17.15" hidden="false" customHeight="false" outlineLevel="0" collapsed="false">
      <c r="A7" s="0" t="s">
        <v>904</v>
      </c>
      <c r="B7" s="45" t="n">
        <f aca="false">c_ebitda26</f>
        <v>216.957</v>
      </c>
      <c r="C7" s="45" t="n">
        <f aca="false">PL!$G$64</f>
        <v>171.281678085075</v>
      </c>
      <c r="D7" s="45" t="n">
        <f aca="false">PL!$G$130</f>
        <v>168.508962957967</v>
      </c>
      <c r="E7" s="45" t="n">
        <f aca="false">PL!$G$196</f>
        <v>167.68294662158</v>
      </c>
      <c r="F7" s="12" t="n">
        <f aca="false">D7/B7-1</f>
        <v>-0.223307093304355</v>
      </c>
      <c r="G7" s="8" t="s">
        <v>900</v>
      </c>
      <c r="H7" s="5" t="s">
        <v>905</v>
      </c>
    </row>
    <row r="8" customFormat="false" ht="17.15" hidden="false" customHeight="false" outlineLevel="0" collapsed="false">
      <c r="A8" s="0" t="s">
        <v>906</v>
      </c>
      <c r="B8" s="45" t="n">
        <f aca="false">c_ebit26</f>
        <v>109.867</v>
      </c>
      <c r="C8" s="45" t="n">
        <f aca="false">PL!$G$47</f>
        <v>113.968292359954</v>
      </c>
      <c r="D8" s="45" t="n">
        <f aca="false">PL!$G$113</f>
        <v>111.195577232846</v>
      </c>
      <c r="E8" s="45" t="n">
        <f aca="false">PL!$G$179</f>
        <v>110.36956089646</v>
      </c>
      <c r="F8" s="12" t="n">
        <f aca="false">D8/B8-1</f>
        <v>0.0120925958918165</v>
      </c>
      <c r="G8" s="8" t="s">
        <v>900</v>
      </c>
    </row>
    <row r="9" customFormat="false" ht="17.15" hidden="false" customHeight="false" outlineLevel="0" collapsed="false">
      <c r="A9" s="0" t="s">
        <v>907</v>
      </c>
      <c r="B9" s="45" t="n">
        <f aca="false">c_ni26</f>
        <v>140.133</v>
      </c>
      <c r="C9" s="45" t="n">
        <f aca="false">PL!$G$71</f>
        <v>144.136786498992</v>
      </c>
      <c r="D9" s="45" t="n">
        <f aca="false">PL!$G$137</f>
        <v>141.845371814679</v>
      </c>
      <c r="E9" s="45" t="n">
        <f aca="false">PL!$G$203</f>
        <v>141.162739133025</v>
      </c>
      <c r="F9" s="12" t="n">
        <f aca="false">D9/B9-1</f>
        <v>0.0122196186100241</v>
      </c>
      <c r="G9" s="8" t="s">
        <v>900</v>
      </c>
      <c r="H9" s="8" t="s">
        <v>908</v>
      </c>
    </row>
    <row r="10" customFormat="false" ht="17.15" hidden="false" customHeight="false" outlineLevel="0" collapsed="false">
      <c r="A10" s="0" t="s">
        <v>909</v>
      </c>
      <c r="B10" s="30" t="n">
        <f aca="false">c_eps26</f>
        <v>12.88</v>
      </c>
      <c r="C10" s="30" t="n">
        <f aca="false">PL!$G$73</f>
        <v>13.1935328187056</v>
      </c>
      <c r="D10" s="30" t="n">
        <f aca="false">PL!$G$139</f>
        <v>12.9837886196495</v>
      </c>
      <c r="E10" s="30" t="n">
        <f aca="false">PL!$G$205</f>
        <v>12.9213039694274</v>
      </c>
      <c r="F10" s="12" t="n">
        <f aca="false">D10/B10-1</f>
        <v>0.00805812264359429</v>
      </c>
      <c r="G10" s="8" t="s">
        <v>900</v>
      </c>
    </row>
    <row r="11" customFormat="false" ht="17.15" hidden="false" customHeight="false" outlineLevel="0" collapsed="false">
      <c r="A11" s="0" t="s">
        <v>910</v>
      </c>
      <c r="B11" s="30" t="n">
        <f aca="false">c_speps26</f>
        <v>7.92</v>
      </c>
      <c r="C11" s="30" t="n">
        <f aca="false">PL!$G$74</f>
        <v>7.78546470080866</v>
      </c>
      <c r="D11" s="30" t="n">
        <f aca="false">PL!$G$140</f>
        <v>7.57572050175252</v>
      </c>
      <c r="E11" s="30" t="n">
        <f aca="false">PL!$G$206</f>
        <v>7.51323585153046</v>
      </c>
      <c r="F11" s="12" t="n">
        <f aca="false">D11/B11-1</f>
        <v>-0.0434696336171067</v>
      </c>
      <c r="G11" s="8" t="s">
        <v>911</v>
      </c>
      <c r="H11" s="5" t="s">
        <v>912</v>
      </c>
    </row>
    <row r="12" customFormat="false" ht="17.15" hidden="false" customHeight="false" outlineLevel="0" collapsed="false">
      <c r="A12" s="0" t="s">
        <v>913</v>
      </c>
      <c r="B12" s="45" t="n">
        <f aca="false">c_capex26</f>
        <v>220.5</v>
      </c>
      <c r="C12" s="45" t="n">
        <f aca="false">CF!$G$24</f>
        <v>231.976604751653</v>
      </c>
      <c r="D12" s="45" t="n">
        <f aca="false">CF!$G$54</f>
        <v>229.362706496153</v>
      </c>
      <c r="E12" s="45" t="n">
        <f aca="false">CF!$G$84</f>
        <v>229.362706496153</v>
      </c>
      <c r="F12" s="12" t="n">
        <f aca="false">D12/B12-1</f>
        <v>0.0401936802546603</v>
      </c>
      <c r="G12" s="8" t="s">
        <v>900</v>
      </c>
    </row>
    <row r="13" customFormat="false" ht="17.15" hidden="false" customHeight="false" outlineLevel="0" collapsed="false">
      <c r="A13" s="0" t="s">
        <v>914</v>
      </c>
      <c r="B13" s="45" t="n">
        <f aca="false">c_fcf26</f>
        <v>-34.027</v>
      </c>
      <c r="C13" s="45" t="n">
        <f aca="false">CF!$G$26</f>
        <v>-61.6458278631946</v>
      </c>
      <c r="D13" s="45" t="n">
        <f aca="false">CF!$G$56</f>
        <v>-61.4268850873731</v>
      </c>
      <c r="E13" s="45" t="n">
        <f aca="false">CF!$G$86</f>
        <v>-62.1399845756801</v>
      </c>
      <c r="G13" s="8" t="s">
        <v>900</v>
      </c>
      <c r="H13" s="5" t="s">
        <v>915</v>
      </c>
    </row>
    <row r="14" customFormat="false" ht="17.15" hidden="false" customHeight="false" outlineLevel="0" collapsed="false">
      <c r="A14" s="0" t="s">
        <v>916</v>
      </c>
      <c r="B14" s="45" t="n">
        <f aca="false">c_rev27</f>
        <v>947.853</v>
      </c>
      <c r="C14" s="45" t="n">
        <f aca="false">PL!$H$27</f>
        <v>993.913172396466</v>
      </c>
      <c r="D14" s="45" t="n">
        <f aca="false">PL!$H$93</f>
        <v>970.995189139617</v>
      </c>
      <c r="E14" s="45" t="n">
        <f aca="false">PL!$H$159</f>
        <v>964.251588587706</v>
      </c>
      <c r="F14" s="12" t="n">
        <f aca="false">D14/B14-1</f>
        <v>0.0244153778482705</v>
      </c>
      <c r="G14" s="8" t="s">
        <v>900</v>
      </c>
      <c r="H14" s="8" t="s">
        <v>901</v>
      </c>
    </row>
    <row r="15" customFormat="false" ht="17.15" hidden="false" customHeight="false" outlineLevel="0" collapsed="false">
      <c r="A15" s="0" t="s">
        <v>917</v>
      </c>
      <c r="B15" s="45" t="n">
        <f aca="false">c_sprev27</f>
        <v>949.92</v>
      </c>
      <c r="C15" s="45" t="n">
        <f aca="false">PL!$H$27</f>
        <v>993.913172396466</v>
      </c>
      <c r="D15" s="45" t="n">
        <f aca="false">PL!$H$93</f>
        <v>970.995189139617</v>
      </c>
      <c r="E15" s="45" t="n">
        <f aca="false">PL!$H$159</f>
        <v>964.251588587706</v>
      </c>
      <c r="F15" s="12" t="n">
        <f aca="false">D15/B15-1</f>
        <v>0.0221862779387914</v>
      </c>
      <c r="G15" s="8" t="s">
        <v>903</v>
      </c>
    </row>
    <row r="16" customFormat="false" ht="17.15" hidden="false" customHeight="false" outlineLevel="0" collapsed="false">
      <c r="A16" s="0" t="s">
        <v>918</v>
      </c>
      <c r="B16" s="45" t="n">
        <f aca="false">c_ebitda27</f>
        <v>273.452</v>
      </c>
      <c r="C16" s="45" t="n">
        <f aca="false">PL!$H$64</f>
        <v>245.963055749808</v>
      </c>
      <c r="D16" s="45" t="n">
        <f aca="false">PL!$H$130</f>
        <v>223.323222861897</v>
      </c>
      <c r="E16" s="45" t="n">
        <f aca="false">PL!$H$196</f>
        <v>216.579622309986</v>
      </c>
      <c r="F16" s="12" t="n">
        <f aca="false">D16/B16-1</f>
        <v>-0.18331837813621</v>
      </c>
      <c r="G16" s="8" t="s">
        <v>900</v>
      </c>
      <c r="H16" s="5" t="s">
        <v>905</v>
      </c>
    </row>
    <row r="17" customFormat="false" ht="17.15" hidden="false" customHeight="false" outlineLevel="0" collapsed="false">
      <c r="A17" s="0" t="s">
        <v>919</v>
      </c>
      <c r="B17" s="45" t="n">
        <f aca="false">c_ebit27</f>
        <v>140.372</v>
      </c>
      <c r="C17" s="45" t="n">
        <f aca="false">PL!$H$47</f>
        <v>157.915831746174</v>
      </c>
      <c r="D17" s="45" t="n">
        <f aca="false">PL!$H$113</f>
        <v>135.638701042513</v>
      </c>
      <c r="E17" s="45" t="n">
        <f aca="false">PL!$H$179</f>
        <v>128.895100490602</v>
      </c>
      <c r="F17" s="12" t="n">
        <f aca="false">D17/B17-1</f>
        <v>-0.0337196802602132</v>
      </c>
      <c r="G17" s="8" t="s">
        <v>900</v>
      </c>
    </row>
    <row r="18" customFormat="false" ht="17.15" hidden="false" customHeight="false" outlineLevel="0" collapsed="false">
      <c r="A18" s="0" t="s">
        <v>920</v>
      </c>
      <c r="B18" s="45" t="n">
        <f aca="false">c_ni27</f>
        <v>115.541</v>
      </c>
      <c r="C18" s="45" t="n">
        <f aca="false">PL!$H$71</f>
        <v>127.675227697787</v>
      </c>
      <c r="D18" s="45" t="n">
        <f aca="false">PL!$H$137</f>
        <v>109.272682903121</v>
      </c>
      <c r="E18" s="45" t="n">
        <f aca="false">PL!$H$203</f>
        <v>103.674846271574</v>
      </c>
      <c r="F18" s="12" t="n">
        <f aca="false">D18/B18-1</f>
        <v>-0.0542518854508732</v>
      </c>
      <c r="G18" s="8" t="s">
        <v>900</v>
      </c>
      <c r="H18" s="8" t="s">
        <v>908</v>
      </c>
    </row>
    <row r="19" customFormat="false" ht="17.15" hidden="false" customHeight="false" outlineLevel="0" collapsed="false">
      <c r="A19" s="0" t="s">
        <v>921</v>
      </c>
      <c r="B19" s="30" t="n">
        <f aca="false">c_eps27</f>
        <v>10.51</v>
      </c>
      <c r="C19" s="30" t="n">
        <f aca="false">PL!$H$73</f>
        <v>11.5939754206957</v>
      </c>
      <c r="D19" s="30" t="n">
        <f aca="false">PL!$H$139</f>
        <v>9.92287088558062</v>
      </c>
      <c r="E19" s="30" t="n">
        <f aca="false">PL!$H$205</f>
        <v>9.41454063635764</v>
      </c>
      <c r="F19" s="12" t="n">
        <f aca="false">D19/B19-1</f>
        <v>-0.0558638548448502</v>
      </c>
      <c r="G19" s="8" t="s">
        <v>900</v>
      </c>
    </row>
    <row r="20" customFormat="false" ht="17.15" hidden="false" customHeight="false" outlineLevel="0" collapsed="false">
      <c r="A20" s="0" t="s">
        <v>922</v>
      </c>
      <c r="B20" s="30" t="n">
        <f aca="false">c_speps27</f>
        <v>10.43</v>
      </c>
      <c r="C20" s="30" t="n">
        <f aca="false">PL!$H$74</f>
        <v>11.5939754206957</v>
      </c>
      <c r="D20" s="30" t="n">
        <f aca="false">PL!$H$140</f>
        <v>9.92287088558062</v>
      </c>
      <c r="E20" s="30" t="n">
        <f aca="false">PL!$H$206</f>
        <v>9.41454063635764</v>
      </c>
      <c r="F20" s="12" t="n">
        <f aca="false">D20/B20-1</f>
        <v>-0.048622158621225</v>
      </c>
      <c r="G20" s="8" t="s">
        <v>911</v>
      </c>
      <c r="H20" s="5" t="s">
        <v>912</v>
      </c>
    </row>
    <row r="21" customFormat="false" ht="17.15" hidden="false" customHeight="false" outlineLevel="0" collapsed="false">
      <c r="A21" s="0" t="s">
        <v>923</v>
      </c>
      <c r="B21" s="45" t="n">
        <f aca="false">c_capex27</f>
        <v>275.063</v>
      </c>
      <c r="C21" s="45" t="n">
        <f aca="false">CF!$H$24</f>
        <v>283.262904179105</v>
      </c>
      <c r="D21" s="45" t="n">
        <f aca="false">CF!$H$54</f>
        <v>277.870120501355</v>
      </c>
      <c r="E21" s="45" t="n">
        <f aca="false">CF!$H$84</f>
        <v>277.870120501355</v>
      </c>
      <c r="F21" s="12" t="n">
        <f aca="false">D21/B21-1</f>
        <v>0.0102053729558507</v>
      </c>
      <c r="G21" s="8" t="s">
        <v>900</v>
      </c>
    </row>
    <row r="22" customFormat="false" ht="17.15" hidden="false" customHeight="false" outlineLevel="0" collapsed="false">
      <c r="A22" s="0" t="s">
        <v>924</v>
      </c>
      <c r="B22" s="45" t="n">
        <f aca="false">c_fcf27</f>
        <v>-5.631</v>
      </c>
      <c r="C22" s="45" t="n">
        <f aca="false">CF!$H$26</f>
        <v>-32.4809348391878</v>
      </c>
      <c r="D22" s="45" t="n">
        <f aca="false">CF!$H$56</f>
        <v>-46.6987055925312</v>
      </c>
      <c r="E22" s="45" t="n">
        <f aca="false">CF!$H$86</f>
        <v>-52.5452733509461</v>
      </c>
      <c r="G22" s="8" t="s">
        <v>900</v>
      </c>
      <c r="H22" s="5" t="s">
        <v>915</v>
      </c>
    </row>
    <row r="23" customFormat="false" ht="17.15" hidden="false" customHeight="false" outlineLevel="0" collapsed="false">
      <c r="A23" s="0" t="s">
        <v>925</v>
      </c>
      <c r="B23" s="45" t="n">
        <f aca="false">c_rev28</f>
        <v>1097.389</v>
      </c>
      <c r="C23" s="45" t="n">
        <f aca="false">PL!$I$27</f>
        <v>1157.02025887488</v>
      </c>
      <c r="D23" s="45" t="n">
        <f aca="false">PL!$I$93</f>
        <v>1110.44766604932</v>
      </c>
      <c r="E23" s="45" t="n">
        <f aca="false">PL!$I$159</f>
        <v>1096.74371316818</v>
      </c>
      <c r="F23" s="12" t="n">
        <f aca="false">D23/B23-1</f>
        <v>0.0118997602940389</v>
      </c>
      <c r="G23" s="8" t="s">
        <v>900</v>
      </c>
      <c r="H23" s="8" t="s">
        <v>901</v>
      </c>
    </row>
    <row r="24" customFormat="false" ht="17.15" hidden="false" customHeight="false" outlineLevel="0" collapsed="false">
      <c r="A24" s="0" t="s">
        <v>926</v>
      </c>
      <c r="B24" s="45" t="n">
        <f aca="false">c_ebitda28</f>
        <v>355.29</v>
      </c>
      <c r="C24" s="45" t="n">
        <f aca="false">PL!$I$64</f>
        <v>328.976048812901</v>
      </c>
      <c r="D24" s="45" t="n">
        <f aca="false">PL!$I$130</f>
        <v>282.963404043402</v>
      </c>
      <c r="E24" s="45" t="n">
        <f aca="false">PL!$I$196</f>
        <v>269.259451162271</v>
      </c>
      <c r="F24" s="12" t="n">
        <f aca="false">D24/B24-1</f>
        <v>-0.203570592914516</v>
      </c>
      <c r="G24" s="8" t="s">
        <v>900</v>
      </c>
      <c r="H24" s="5" t="s">
        <v>905</v>
      </c>
    </row>
    <row r="25" customFormat="false" ht="17.15" hidden="false" customHeight="false" outlineLevel="0" collapsed="false">
      <c r="A25" s="0" t="s">
        <v>927</v>
      </c>
      <c r="B25" s="45" t="n">
        <f aca="false">c_ebit28</f>
        <v>182.749</v>
      </c>
      <c r="C25" s="45" t="n">
        <f aca="false">PL!$I$47</f>
        <v>205.565674690388</v>
      </c>
      <c r="D25" s="45" t="n">
        <f aca="false">PL!$I$113</f>
        <v>160.668634334764</v>
      </c>
      <c r="E25" s="45" t="n">
        <f aca="false">PL!$I$179</f>
        <v>146.964681453633</v>
      </c>
      <c r="F25" s="12" t="n">
        <f aca="false">D25/B25-1</f>
        <v>-0.120823455478477</v>
      </c>
      <c r="G25" s="8" t="s">
        <v>900</v>
      </c>
    </row>
    <row r="26" customFormat="false" ht="17.15" hidden="false" customHeight="false" outlineLevel="0" collapsed="false">
      <c r="A26" s="0" t="s">
        <v>928</v>
      </c>
      <c r="B26" s="45" t="n">
        <f aca="false">c_ni28</f>
        <v>147.701</v>
      </c>
      <c r="C26" s="45" t="n">
        <f aca="false">PL!$I$71</f>
        <v>165.923234260384</v>
      </c>
      <c r="D26" s="45" t="n">
        <f aca="false">PL!$I$137</f>
        <v>128.306171362308</v>
      </c>
      <c r="E26" s="45" t="n">
        <f aca="false">PL!$I$203</f>
        <v>116.637862689418</v>
      </c>
      <c r="F26" s="12" t="n">
        <f aca="false">D26/B26-1</f>
        <v>-0.131311424009937</v>
      </c>
      <c r="G26" s="8" t="s">
        <v>900</v>
      </c>
      <c r="H26" s="8" t="s">
        <v>908</v>
      </c>
    </row>
    <row r="27" customFormat="false" ht="17.15" hidden="false" customHeight="false" outlineLevel="0" collapsed="false">
      <c r="A27" s="0" t="s">
        <v>929</v>
      </c>
      <c r="B27" s="30" t="n">
        <f aca="false">c_eps28</f>
        <v>13.81</v>
      </c>
      <c r="C27" s="30" t="n">
        <f aca="false">PL!$I$73</f>
        <v>14.9476323266701</v>
      </c>
      <c r="D27" s="30" t="n">
        <f aca="false">PL!$I$139</f>
        <v>11.5587999674403</v>
      </c>
      <c r="E27" s="30" t="n">
        <f aca="false">PL!$I$205</f>
        <v>10.5076295952262</v>
      </c>
      <c r="F27" s="12" t="n">
        <f aca="false">D27/B27-1</f>
        <v>-0.163012312278038</v>
      </c>
      <c r="G27" s="8" t="s">
        <v>900</v>
      </c>
    </row>
    <row r="28" customFormat="false" ht="17.15" hidden="false" customHeight="false" outlineLevel="0" collapsed="false">
      <c r="A28" s="0" t="s">
        <v>930</v>
      </c>
      <c r="B28" s="45" t="n">
        <f aca="false">c_capex28</f>
        <v>292.927</v>
      </c>
      <c r="C28" s="45" t="n">
        <f aca="false">CF!$I$24</f>
        <v>299.492235429878</v>
      </c>
      <c r="D28" s="45" t="n">
        <f aca="false">CF!$I$54</f>
        <v>293.934464585378</v>
      </c>
      <c r="E28" s="45" t="n">
        <f aca="false">CF!$I$84</f>
        <v>293.934464585378</v>
      </c>
      <c r="F28" s="12" t="n">
        <f aca="false">D28/B28-1</f>
        <v>0.00343930257497038</v>
      </c>
      <c r="G28" s="8" t="s">
        <v>900</v>
      </c>
    </row>
    <row r="29" customFormat="false" ht="17.15" hidden="false" customHeight="false" outlineLevel="0" collapsed="false">
      <c r="A29" s="0" t="s">
        <v>931</v>
      </c>
      <c r="B29" s="45" t="n">
        <f aca="false">c_fcf28</f>
        <v>41.402</v>
      </c>
      <c r="C29" s="45" t="n">
        <f aca="false">CF!$I$26</f>
        <v>30.9169363385503</v>
      </c>
      <c r="D29" s="45" t="n">
        <f aca="false">CF!$I$56</f>
        <v>-3.97574477606648</v>
      </c>
      <c r="E29" s="45" t="n">
        <f aca="false">CF!$I$86</f>
        <v>-16.1495103805229</v>
      </c>
      <c r="G29" s="8" t="s">
        <v>900</v>
      </c>
      <c r="H29" s="5" t="s">
        <v>915</v>
      </c>
    </row>
    <row r="30" customFormat="false" ht="17.15" hidden="false" customHeight="false" outlineLevel="0" collapsed="false">
      <c r="A30" s="1" t="s">
        <v>932</v>
      </c>
    </row>
    <row r="31" customFormat="false" ht="15" hidden="false" customHeight="false" outlineLevel="0" collapsed="false">
      <c r="A31" s="0" t="s">
        <v>933</v>
      </c>
      <c r="B31" s="52" t="s">
        <v>934</v>
      </c>
      <c r="C31" s="45" t="n">
        <f aca="false">PL!$G$22</f>
        <v>476.624015003807</v>
      </c>
      <c r="D31" s="45" t="n">
        <f aca="false">PL!$G$88</f>
        <v>476.624015003807</v>
      </c>
      <c r="E31" s="45" t="n">
        <f aca="false">PL!$G$154</f>
        <v>476.624015003807</v>
      </c>
      <c r="G31" s="5" t="s">
        <v>935</v>
      </c>
    </row>
    <row r="32" customFormat="false" ht="15" hidden="false" customHeight="false" outlineLevel="0" collapsed="false">
      <c r="A32" s="0" t="s">
        <v>936</v>
      </c>
      <c r="B32" s="52" t="s">
        <v>934</v>
      </c>
      <c r="C32" s="45" t="n">
        <f aca="false">PL!$H$22</f>
        <v>527.734391091543</v>
      </c>
      <c r="D32" s="45" t="n">
        <f aca="false">PL!$H$88</f>
        <v>527.734391091543</v>
      </c>
      <c r="E32" s="45" t="n">
        <f aca="false">PL!$H$154</f>
        <v>527.734391091543</v>
      </c>
      <c r="G32" s="5" t="s">
        <v>935</v>
      </c>
    </row>
    <row r="33" customFormat="false" ht="15" hidden="false" customHeight="false" outlineLevel="0" collapsed="false">
      <c r="A33" s="0" t="s">
        <v>937</v>
      </c>
      <c r="B33" s="52" t="s">
        <v>934</v>
      </c>
      <c r="C33" s="45" t="n">
        <f aca="false">PL!$G$23</f>
        <v>182.618414204623</v>
      </c>
      <c r="D33" s="45" t="n">
        <f aca="false">PL!$G$89</f>
        <v>182.618414204623</v>
      </c>
      <c r="E33" s="45" t="n">
        <f aca="false">PL!$G$155</f>
        <v>182.618414204623</v>
      </c>
      <c r="G33" s="5" t="s">
        <v>935</v>
      </c>
    </row>
    <row r="34" customFormat="false" ht="15" hidden="false" customHeight="false" outlineLevel="0" collapsed="false">
      <c r="A34" s="0" t="s">
        <v>938</v>
      </c>
      <c r="B34" s="52" t="s">
        <v>934</v>
      </c>
      <c r="C34" s="45" t="n">
        <f aca="false">PL!$H$23</f>
        <v>202.201346530158</v>
      </c>
      <c r="D34" s="45" t="n">
        <f aca="false">PL!$H$89</f>
        <v>202.201346530158</v>
      </c>
      <c r="E34" s="45" t="n">
        <f aca="false">PL!$H$155</f>
        <v>202.201346530158</v>
      </c>
      <c r="G34" s="5" t="s">
        <v>935</v>
      </c>
    </row>
    <row r="35" customFormat="false" ht="15" hidden="false" customHeight="false" outlineLevel="0" collapsed="false">
      <c r="A35" s="0" t="s">
        <v>939</v>
      </c>
      <c r="B35" s="52" t="s">
        <v>934</v>
      </c>
      <c r="C35" s="45" t="n">
        <f aca="false">PL!$G$24</f>
        <v>176.184643039877</v>
      </c>
      <c r="D35" s="45" t="n">
        <f aca="false">PL!$G$90</f>
        <v>173.377444063386</v>
      </c>
      <c r="E35" s="45" t="n">
        <f aca="false">PL!$G$156</f>
        <v>172.551427726999</v>
      </c>
      <c r="G35" s="5" t="s">
        <v>935</v>
      </c>
    </row>
    <row r="36" customFormat="false" ht="15" hidden="false" customHeight="false" outlineLevel="0" collapsed="false">
      <c r="A36" s="0" t="s">
        <v>940</v>
      </c>
      <c r="B36" s="52" t="s">
        <v>934</v>
      </c>
      <c r="C36" s="45" t="n">
        <f aca="false">PL!$H$24</f>
        <v>263.977434774765</v>
      </c>
      <c r="D36" s="45" t="n">
        <f aca="false">PL!$H$90</f>
        <v>241.059451517916</v>
      </c>
      <c r="E36" s="45" t="n">
        <f aca="false">PL!$H$156</f>
        <v>234.315850966005</v>
      </c>
      <c r="G36" s="5" t="s">
        <v>935</v>
      </c>
    </row>
    <row r="37" customFormat="false" ht="15" hidden="false" customHeight="false" outlineLevel="0" collapsed="false">
      <c r="A37" s="0" t="s">
        <v>941</v>
      </c>
      <c r="B37" s="52" t="s">
        <v>934</v>
      </c>
      <c r="C37" s="45" t="n">
        <f aca="false">PL!$G$18</f>
        <v>85.2053381827382</v>
      </c>
      <c r="D37" s="45" t="n">
        <f aca="false">PL!$G$84</f>
        <v>85.2053381827382</v>
      </c>
      <c r="E37" s="45" t="n">
        <f aca="false">PL!$G$150</f>
        <v>85.2053381827382</v>
      </c>
      <c r="G37" s="5" t="s">
        <v>935</v>
      </c>
    </row>
    <row r="38" customFormat="false" ht="15" hidden="false" customHeight="false" outlineLevel="0" collapsed="false">
      <c r="A38" s="0" t="s">
        <v>942</v>
      </c>
      <c r="B38" s="52" t="s">
        <v>934</v>
      </c>
      <c r="C38" s="45" t="n">
        <f aca="false">PL!$H$18</f>
        <v>102.29336185894</v>
      </c>
      <c r="D38" s="45" t="n">
        <f aca="false">PL!$H$84</f>
        <v>102.29336185894</v>
      </c>
      <c r="E38" s="45" t="n">
        <f aca="false">PL!$H$150</f>
        <v>102.29336185894</v>
      </c>
      <c r="G38" s="5" t="s">
        <v>935</v>
      </c>
    </row>
    <row r="39" customFormat="false" ht="17.15" hidden="false" customHeight="false" outlineLevel="0" collapsed="false">
      <c r="A39" s="0" t="s">
        <v>943</v>
      </c>
      <c r="B39" s="52" t="s">
        <v>934</v>
      </c>
      <c r="C39" s="45" t="n">
        <f aca="false">PL!$G$25</f>
        <v>26.2809855967821</v>
      </c>
      <c r="D39" s="45" t="n">
        <f aca="false">PL!$G$91</f>
        <v>23.4737866202905</v>
      </c>
      <c r="E39" s="45" t="n">
        <f aca="false">PL!$G$157</f>
        <v>22.6477702839038</v>
      </c>
      <c r="G39" s="5" t="s">
        <v>935</v>
      </c>
      <c r="H39" s="5" t="s">
        <v>944</v>
      </c>
    </row>
    <row r="40" customFormat="false" ht="17.15" hidden="false" customHeight="false" outlineLevel="0" collapsed="false">
      <c r="A40" s="0" t="s">
        <v>945</v>
      </c>
      <c r="B40" s="52" t="s">
        <v>934</v>
      </c>
      <c r="C40" s="45" t="n">
        <f aca="false">PL!$H$25</f>
        <v>83.0838740066237</v>
      </c>
      <c r="D40" s="45" t="n">
        <f aca="false">PL!$H$91</f>
        <v>60.1658907497746</v>
      </c>
      <c r="E40" s="45" t="n">
        <f aca="false">PL!$H$157</f>
        <v>53.4222901978634</v>
      </c>
      <c r="G40" s="5" t="s">
        <v>935</v>
      </c>
      <c r="H40" s="5" t="s">
        <v>944</v>
      </c>
    </row>
    <row r="41" customFormat="false" ht="17.15" hidden="false" customHeight="false" outlineLevel="0" collapsed="false">
      <c r="A41" s="1" t="s">
        <v>946</v>
      </c>
    </row>
    <row r="42" customFormat="false" ht="17.15" hidden="false" customHeight="false" outlineLevel="0" collapsed="false">
      <c r="A42" s="0" t="s">
        <v>947</v>
      </c>
      <c r="B42" s="45" t="n">
        <f aca="false">capex_g26</f>
        <v>220</v>
      </c>
      <c r="C42" s="45" t="n">
        <f aca="false">CF!$G$24</f>
        <v>231.976604751653</v>
      </c>
      <c r="D42" s="45" t="n">
        <f aca="false">CF!$G$54</f>
        <v>229.362706496153</v>
      </c>
      <c r="E42" s="45" t="n">
        <f aca="false">CF!$G$84</f>
        <v>229.362706496153</v>
      </c>
      <c r="F42" s="12" t="n">
        <f aca="false">D42/B42-1</f>
        <v>0.0425577568006936</v>
      </c>
      <c r="G42" s="8" t="s">
        <v>948</v>
      </c>
      <c r="H42" s="8" t="s">
        <v>949</v>
      </c>
    </row>
    <row r="43" customFormat="false" ht="17.15" hidden="false" customHeight="false" outlineLevel="0" collapsed="false">
      <c r="A43" s="0" t="s">
        <v>950</v>
      </c>
      <c r="B43" s="45" t="n">
        <f aca="false">(g26q3_lo+g26q3_hi)/2</f>
        <v>199.5</v>
      </c>
      <c r="C43" s="45" t="n">
        <f aca="false">PL!$F$27*Q!$J$8/Q!$O$8</f>
        <v>207.521136956474</v>
      </c>
      <c r="D43" s="45" t="n">
        <f aca="false">PL!$F$93*Q!$J$8/Q!$O$8</f>
        <v>206.236004681708</v>
      </c>
      <c r="E43" s="45" t="n">
        <f aca="false">PL!$F$159*Q!$J$8/Q!$O$8</f>
        <v>205.857855408264</v>
      </c>
      <c r="F43" s="12" t="n">
        <f aca="false">D43/B43-1</f>
        <v>0.0337644344947792</v>
      </c>
      <c r="G43" s="8" t="s">
        <v>951</v>
      </c>
      <c r="H43" s="5" t="s">
        <v>952</v>
      </c>
    </row>
    <row r="44" customFormat="false" ht="17.15" hidden="false" customHeight="false" outlineLevel="0" collapsed="false">
      <c r="A44" s="0" t="s">
        <v>953</v>
      </c>
      <c r="B44" s="45" t="n">
        <f aca="false">(g26q3_oilo+g26q3_oihi)/2</f>
        <v>24.5</v>
      </c>
      <c r="C44" s="45" t="n">
        <f aca="false">PL!$F$47*Q!$J$25/Q!$O$25</f>
        <v>25.7454303991867</v>
      </c>
      <c r="D44" s="45" t="n">
        <f aca="false">PL!$F$113*Q!$J$25/Q!$O$25</f>
        <v>24.6061053456602</v>
      </c>
      <c r="E44" s="45" t="n">
        <f aca="false">PL!$F$179*Q!$J$25/Q!$O$25</f>
        <v>24.2666903450109</v>
      </c>
      <c r="F44" s="12" t="n">
        <f aca="false">D44/B44-1</f>
        <v>0.00433083043511018</v>
      </c>
      <c r="G44" s="8" t="s">
        <v>951</v>
      </c>
      <c r="H44" s="5" t="s">
        <v>954</v>
      </c>
    </row>
    <row r="45" customFormat="false" ht="17.15" hidden="false" customHeight="false" outlineLevel="0" collapsed="false">
      <c r="A45" s="0" t="s">
        <v>955</v>
      </c>
      <c r="B45" s="45" t="n">
        <f aca="false">ai_rr</f>
        <v>25</v>
      </c>
      <c r="C45" s="45" t="n">
        <f aca="false">mw_open*rpm_open/1000</f>
        <v>20.1153797604382</v>
      </c>
      <c r="D45" s="45" t="n">
        <f aca="false">mw_open*rpm_open/1000</f>
        <v>20.1153797604382</v>
      </c>
      <c r="E45" s="45" t="n">
        <f aca="false">mw_open*rpm_open/1000</f>
        <v>20.1153797604382</v>
      </c>
      <c r="F45" s="12" t="n">
        <f aca="false">D45/B45-1</f>
        <v>-0.195384809582471</v>
      </c>
      <c r="G45" s="8" t="s">
        <v>956</v>
      </c>
      <c r="H45" s="8" t="s">
        <v>957</v>
      </c>
    </row>
    <row r="46" customFormat="false" ht="17.15" hidden="false" customHeight="false" outlineLevel="0" collapsed="false">
      <c r="A46" s="5" t="s">
        <v>958</v>
      </c>
      <c r="C46" s="36" t="n">
        <f aca="false">ai_rr*1000/(mw_open*he_open)</f>
        <v>1.23282411092991</v>
      </c>
      <c r="D46" s="36" t="n">
        <f aca="false">ai_rr*1000/(mw_open*he_open)</f>
        <v>1.23282411092991</v>
      </c>
      <c r="E46" s="36" t="n">
        <f aca="false">ai_rr*1000/(mw_open*he_open)</f>
        <v>1.23282411092991</v>
      </c>
      <c r="H46" s="5" t="s">
        <v>959</v>
      </c>
    </row>
    <row r="47" customFormat="false" ht="17.15" hidden="false" customHeight="false" outlineLevel="0" collapsed="false">
      <c r="A47" s="5" t="s">
        <v>960</v>
      </c>
      <c r="C47" s="33" t="n">
        <f aca="false">ai_rr*1000/rpm_open</f>
        <v>2585.08666598831</v>
      </c>
      <c r="D47" s="33" t="n">
        <f aca="false">ai_rr*1000/rpm_open</f>
        <v>2585.08666598831</v>
      </c>
      <c r="E47" s="33" t="n">
        <f aca="false">ai_rr*1000/rpm_open</f>
        <v>2585.08666598831</v>
      </c>
      <c r="H47" s="5" t="s">
        <v>961</v>
      </c>
    </row>
    <row r="48" customFormat="false" ht="17.15" hidden="false" customHeight="false" outlineLevel="0" collapsed="false">
      <c r="A48" s="5" t="s">
        <v>962</v>
      </c>
      <c r="C48" s="12" t="n">
        <f aca="false">Thesis!$I$58</f>
        <v>0.313283832077501</v>
      </c>
      <c r="D48" s="12" t="n">
        <f aca="false">Thesis!$I$115</f>
        <v>0.219285125475351</v>
      </c>
      <c r="E48" s="12" t="n">
        <f aca="false">Thesis!$I$172</f>
        <v>0.18967957363228</v>
      </c>
      <c r="G48" s="8" t="s">
        <v>963</v>
      </c>
      <c r="H48" s="5" t="s">
        <v>199</v>
      </c>
    </row>
    <row r="49" customFormat="false" ht="17.15" hidden="false" customHeight="false" outlineLevel="0" collapsed="false">
      <c r="A49" s="1" t="s">
        <v>964</v>
      </c>
    </row>
    <row r="50" customFormat="false" ht="17.15" hidden="false" customHeight="false" outlineLevel="0" collapsed="false">
      <c r="A50" s="0" t="s">
        <v>965</v>
      </c>
      <c r="B50" s="30" t="n">
        <f aca="false">v022_tp</f>
        <v>201.71</v>
      </c>
      <c r="G50" s="8" t="s">
        <v>453</v>
      </c>
    </row>
    <row r="51" customFormat="false" ht="17.15" hidden="false" customHeight="false" outlineLevel="0" collapsed="false">
      <c r="A51" s="0" t="s">
        <v>966</v>
      </c>
      <c r="B51" s="30" t="n">
        <f aca="false">Val!B19</f>
        <v>193.21650791221</v>
      </c>
      <c r="G51" s="8" t="s">
        <v>967</v>
      </c>
    </row>
    <row r="52" customFormat="false" ht="15" hidden="false" customHeight="false" outlineLevel="0" collapsed="false">
      <c r="A52" s="5" t="s">
        <v>968</v>
      </c>
      <c r="B52" s="30" t="n">
        <f aca="false">B51-B50</f>
        <v>-8.49349208779015</v>
      </c>
    </row>
    <row r="53" customFormat="false" ht="17.15" hidden="false" customHeight="false" outlineLevel="0" collapsed="false">
      <c r="A53" s="5" t="s">
        <v>969</v>
      </c>
      <c r="B53" s="30" t="n">
        <f aca="false">Val!$C$170-Val!$C$171</f>
        <v>-9.15130603858066</v>
      </c>
      <c r="H53" s="5" t="s">
        <v>970</v>
      </c>
    </row>
    <row r="54" customFormat="false" ht="17.15" hidden="false" customHeight="false" outlineLevel="0" collapsed="false">
      <c r="A54" s="5" t="s">
        <v>971</v>
      </c>
      <c r="B54" s="30" t="n">
        <f aca="false">Val!B19-Val!$C$170</f>
        <v>7.97151016018796</v>
      </c>
      <c r="H54" s="5" t="s">
        <v>970</v>
      </c>
    </row>
    <row r="55" customFormat="false" ht="17.15" hidden="false" customHeight="false" outlineLevel="0" collapsed="false">
      <c r="A55" s="5" t="s">
        <v>972</v>
      </c>
      <c r="B55" s="30" t="n">
        <f aca="false">B52-B53-B54</f>
        <v>-7.31369620939745</v>
      </c>
      <c r="H55" s="5" t="s">
        <v>973</v>
      </c>
    </row>
    <row r="56" customFormat="false" ht="17.15" hidden="false" customHeight="false" outlineLevel="0" collapsed="false">
      <c r="A56" s="0" t="s">
        <v>974</v>
      </c>
      <c r="B56" s="12" t="n">
        <f aca="false">v022_tp/v022_px-1</f>
        <v>-0.22395352416128</v>
      </c>
      <c r="H56" s="8" t="s">
        <v>975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71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0"/>
    <col collapsed="false" customWidth="true" hidden="false" outlineLevel="0" max="7" min="3" style="0" width="14"/>
  </cols>
  <sheetData>
    <row r="1" customFormat="false" ht="17.15" hidden="false" customHeight="false" outlineLevel="0" collapsed="false">
      <c r="A1" s="0" t="s">
        <v>976</v>
      </c>
    </row>
    <row r="3" customFormat="false" ht="17.15" hidden="false" customHeight="false" outlineLevel="0" collapsed="false">
      <c r="A3" s="6" t="s">
        <v>977</v>
      </c>
      <c r="B3" s="6" t="s">
        <v>978</v>
      </c>
      <c r="C3" s="6" t="s">
        <v>979</v>
      </c>
      <c r="D3" s="6" t="s">
        <v>980</v>
      </c>
      <c r="E3" s="20" t="s">
        <v>981</v>
      </c>
      <c r="F3" s="20" t="s">
        <v>775</v>
      </c>
      <c r="G3" s="6" t="s">
        <v>982</v>
      </c>
      <c r="H3" s="6" t="s">
        <v>983</v>
      </c>
    </row>
    <row r="4" customFormat="false" ht="17.15" hidden="false" customHeight="false" outlineLevel="0" collapsed="false">
      <c r="A4" s="5" t="s">
        <v>984</v>
      </c>
      <c r="B4" s="5" t="s">
        <v>985</v>
      </c>
      <c r="C4" s="30" t="n">
        <f aca="false">Val!$C$170</f>
        <v>185.244997752022</v>
      </c>
      <c r="D4" s="53" t="n">
        <f aca="false">C4/C$4-1</f>
        <v>0</v>
      </c>
      <c r="E4" s="12" t="n">
        <f aca="false">PL!$I$117</f>
        <v>0.349486287974975</v>
      </c>
      <c r="F4" s="30" t="n">
        <f aca="false">PL!$I$139</f>
        <v>11.5587999674403</v>
      </c>
      <c r="G4" s="45" t="n">
        <f aca="false">CF!$G$70</f>
        <v>9.81640432587554</v>
      </c>
      <c r="H4" s="8" t="s">
        <v>986</v>
      </c>
    </row>
    <row r="5" customFormat="false" ht="17.15" hidden="false" customHeight="false" outlineLevel="0" collapsed="false">
      <c r="A5" s="5" t="s">
        <v>987</v>
      </c>
      <c r="B5" s="0" t="s">
        <v>988</v>
      </c>
      <c r="C5" s="30" t="n">
        <f aca="false">Sens!$C$514</f>
        <v>170.691894193004</v>
      </c>
      <c r="D5" s="53" t="n">
        <f aca="false">C5/C$4-1</f>
        <v>-0.0785613848450546</v>
      </c>
      <c r="E5" s="12" t="n">
        <f aca="false">Sens!$I$419</f>
        <v>0.319616411237051</v>
      </c>
      <c r="F5" s="30" t="n">
        <f aca="false">Sens!$I$441</f>
        <v>10.5076295952262</v>
      </c>
      <c r="G5" s="45" t="n">
        <f aca="false">Sens!$G$472</f>
        <v>-53.3099198032599</v>
      </c>
      <c r="H5" s="5" t="s">
        <v>989</v>
      </c>
    </row>
    <row r="6" customFormat="false" ht="17.15" hidden="false" customHeight="false" outlineLevel="0" collapsed="false">
      <c r="A6" s="5" t="s">
        <v>990</v>
      </c>
      <c r="B6" s="5" t="s">
        <v>991</v>
      </c>
      <c r="C6" s="30" t="n">
        <f aca="false">Sens!$C$743</f>
        <v>231.110501828416</v>
      </c>
      <c r="D6" s="53" t="n">
        <f aca="false">C6/C$4-1</f>
        <v>0.247593752236116</v>
      </c>
      <c r="E6" s="12" t="n">
        <f aca="false">Sens!$I$648</f>
        <v>0.42855178932449</v>
      </c>
      <c r="F6" s="30" t="n">
        <f aca="false">Sens!$I$670</f>
        <v>14.8414225019402</v>
      </c>
      <c r="G6" s="45" t="n">
        <f aca="false">Sens!$G$701</f>
        <v>206.497539268473</v>
      </c>
      <c r="H6" s="5" t="s">
        <v>989</v>
      </c>
    </row>
    <row r="7" customFormat="false" ht="17.15" hidden="false" customHeight="false" outlineLevel="0" collapsed="false">
      <c r="A7" s="5" t="s">
        <v>992</v>
      </c>
      <c r="B7" s="0" t="s">
        <v>993</v>
      </c>
      <c r="C7" s="30" t="n">
        <f aca="false">Sens!$C$972</f>
        <v>146.02005810087</v>
      </c>
      <c r="D7" s="53" t="n">
        <f aca="false">C7/C$4-1</f>
        <v>-0.211746282637333</v>
      </c>
      <c r="E7" s="12" t="n">
        <f aca="false">Sens!$I$877</f>
        <v>0.355170398421999</v>
      </c>
      <c r="F7" s="30" t="n">
        <f aca="false">Sens!$I$899</f>
        <v>9.62971101956225</v>
      </c>
      <c r="G7" s="45" t="n">
        <f aca="false">Sens!$G$930</f>
        <v>-337.297426868479</v>
      </c>
      <c r="H7" s="5" t="s">
        <v>989</v>
      </c>
    </row>
    <row r="8" customFormat="false" ht="17.15" hidden="false" customHeight="false" outlineLevel="0" collapsed="false">
      <c r="A8" s="5" t="s">
        <v>994</v>
      </c>
      <c r="B8" s="0" t="s">
        <v>995</v>
      </c>
      <c r="C8" s="30" t="n">
        <f aca="false">Sens!$C$1201</f>
        <v>207.139004791979</v>
      </c>
      <c r="D8" s="53" t="n">
        <f aca="false">C8/C$4-1</f>
        <v>0.118189464253526</v>
      </c>
      <c r="E8" s="12" t="n">
        <f aca="false">Sens!$I$1106</f>
        <v>0.339407204295524</v>
      </c>
      <c r="F8" s="30" t="n">
        <f aca="false">Sens!$I$1128</f>
        <v>12.4703322390807</v>
      </c>
      <c r="G8" s="45" t="n">
        <f aca="false">Sens!$G$1159</f>
        <v>201.09318840495</v>
      </c>
      <c r="H8" s="5" t="s">
        <v>989</v>
      </c>
    </row>
    <row r="9" customFormat="false" ht="17.15" hidden="false" customHeight="false" outlineLevel="0" collapsed="false">
      <c r="A9" s="0" t="s">
        <v>996</v>
      </c>
      <c r="B9" s="5" t="s">
        <v>997</v>
      </c>
      <c r="C9" s="30" t="n">
        <f aca="false">Sens!$C$1430</f>
        <v>189.754106772321</v>
      </c>
      <c r="D9" s="53" t="n">
        <f aca="false">C9/C$4-1</f>
        <v>0.0243413267565547</v>
      </c>
      <c r="E9" s="12" t="n">
        <f aca="false">Sens!$I$1335</f>
        <v>0.340821410539389</v>
      </c>
      <c r="F9" s="30" t="n">
        <f aca="false">Sens!$I$1357</f>
        <v>11.2050804878915</v>
      </c>
      <c r="G9" s="45" t="n">
        <f aca="false">Sens!$G$1388</f>
        <v>156.042689829833</v>
      </c>
      <c r="H9" s="5" t="s">
        <v>989</v>
      </c>
    </row>
    <row r="10" customFormat="false" ht="17.15" hidden="false" customHeight="false" outlineLevel="0" collapsed="false">
      <c r="A10" s="0" t="s">
        <v>998</v>
      </c>
      <c r="B10" s="0" t="s">
        <v>999</v>
      </c>
      <c r="C10" s="30" t="n">
        <f aca="false">Sens!$C$1659</f>
        <v>179.059220264798</v>
      </c>
      <c r="D10" s="53" t="n">
        <f aca="false">C10/C$4-1</f>
        <v>-0.0333924130869372</v>
      </c>
      <c r="E10" s="12" t="n">
        <f aca="false">Sens!$I$1564</f>
        <v>0.352183204248458</v>
      </c>
      <c r="F10" s="30" t="n">
        <f aca="false">Sens!$I$1586</f>
        <v>11.6113951514336</v>
      </c>
      <c r="G10" s="45" t="n">
        <f aca="false">Sens!$G$1617</f>
        <v>-156.580553824124</v>
      </c>
      <c r="H10" s="5" t="s">
        <v>989</v>
      </c>
    </row>
    <row r="11" customFormat="false" ht="17.15" hidden="false" customHeight="false" outlineLevel="0" collapsed="false">
      <c r="A11" s="0" t="s">
        <v>1000</v>
      </c>
      <c r="B11" s="0" t="s">
        <v>1001</v>
      </c>
      <c r="C11" s="30" t="n">
        <f aca="false">Sens!$C$1888</f>
        <v>178.022194862559</v>
      </c>
      <c r="D11" s="53" t="n">
        <f aca="false">C11/C$4-1</f>
        <v>-0.0389905421312998</v>
      </c>
      <c r="E11" s="12" t="n">
        <f aca="false">Sens!$I$1793</f>
        <v>0.326045274335872</v>
      </c>
      <c r="F11" s="30" t="n">
        <f aca="false">Sens!$I$1815</f>
        <v>10.8964707473058</v>
      </c>
      <c r="G11" s="45" t="n">
        <f aca="false">Sens!$G$1846</f>
        <v>-22.9255753670275</v>
      </c>
      <c r="H11" s="5" t="s">
        <v>989</v>
      </c>
    </row>
    <row r="12" customFormat="false" ht="17.15" hidden="false" customHeight="false" outlineLevel="0" collapsed="false">
      <c r="A12" s="0" t="s">
        <v>1002</v>
      </c>
      <c r="B12" s="0" t="s">
        <v>1003</v>
      </c>
      <c r="C12" s="30" t="n">
        <f aca="false">Sens!$C$2117</f>
        <v>190.294298292452</v>
      </c>
      <c r="D12" s="53" t="n">
        <f aca="false">C12/C$4-1</f>
        <v>0.027257419102831</v>
      </c>
      <c r="E12" s="12" t="n">
        <f aca="false">Sens!$I$2022</f>
        <v>0.366229869145763</v>
      </c>
      <c r="F12" s="30" t="n">
        <f aca="false">Sens!$I$2044</f>
        <v>12.0307147117076</v>
      </c>
      <c r="G12" s="45" t="n">
        <f aca="false">Sens!$G$2075</f>
        <v>9.45680759980866</v>
      </c>
      <c r="H12" s="5" t="s">
        <v>989</v>
      </c>
    </row>
    <row r="13" customFormat="false" ht="17.15" hidden="false" customHeight="false" outlineLevel="0" collapsed="false">
      <c r="A13" s="5" t="s">
        <v>1004</v>
      </c>
      <c r="B13" s="0" t="s">
        <v>1005</v>
      </c>
      <c r="C13" s="30" t="n">
        <f aca="false">Sens!$C$2346</f>
        <v>183.384580850675</v>
      </c>
      <c r="D13" s="53" t="n">
        <f aca="false">C13/C$4-1</f>
        <v>-0.010043007497765</v>
      </c>
      <c r="E13" s="12" t="n">
        <f aca="false">Sens!$I$2251</f>
        <v>0.338645995334222</v>
      </c>
      <c r="F13" s="30" t="n">
        <f aca="false">Sens!$I$2273</f>
        <v>11.1746032838023</v>
      </c>
      <c r="G13" s="45" t="n">
        <f aca="false">Sens!$G$2304</f>
        <v>56.9205907178118</v>
      </c>
      <c r="H13" s="5" t="s">
        <v>989</v>
      </c>
    </row>
    <row r="14" customFormat="false" ht="17.15" hidden="false" customHeight="false" outlineLevel="0" collapsed="false">
      <c r="A14" s="5" t="s">
        <v>1006</v>
      </c>
      <c r="B14" s="0" t="s">
        <v>1007</v>
      </c>
      <c r="C14" s="30" t="n">
        <f aca="false">Sens!$C$2575</f>
        <v>214.913081233099</v>
      </c>
      <c r="D14" s="53" t="n">
        <f aca="false">C14/C$4-1</f>
        <v>0.160155922379035</v>
      </c>
      <c r="E14" s="12" t="n">
        <f aca="false">Sens!$I$2480</f>
        <v>0.349486287974975</v>
      </c>
      <c r="F14" s="30" t="n">
        <f aca="false">Sens!$I$2502</f>
        <v>13.0374635257504</v>
      </c>
      <c r="G14" s="45" t="n">
        <f aca="false">Sens!$G$2533</f>
        <v>94.6613434907065</v>
      </c>
      <c r="H14" s="5" t="s">
        <v>989</v>
      </c>
    </row>
    <row r="15" customFormat="false" ht="17.15" hidden="false" customHeight="false" outlineLevel="0" collapsed="false">
      <c r="A15" s="0" t="s">
        <v>1008</v>
      </c>
      <c r="B15" s="0" t="s">
        <v>1009</v>
      </c>
      <c r="C15" s="30" t="n">
        <f aca="false">Sens!$C$2804</f>
        <v>181.18337742933</v>
      </c>
      <c r="D15" s="53" t="n">
        <f aca="false">C15/C$4-1</f>
        <v>-0.0219256680179246</v>
      </c>
      <c r="E15" s="12" t="n">
        <f aca="false">Sens!$I$2709</f>
        <v>0.34915711489181</v>
      </c>
      <c r="F15" s="30" t="n">
        <f aca="false">Sens!$I$2731</f>
        <v>11.4454260831265</v>
      </c>
      <c r="G15" s="45" t="n">
        <f aca="false">Sens!$G$2762</f>
        <v>0.208451904487447</v>
      </c>
      <c r="H15" s="5" t="s">
        <v>1010</v>
      </c>
    </row>
    <row r="16" customFormat="false" ht="17.15" hidden="false" customHeight="false" outlineLevel="0" collapsed="false">
      <c r="A16" s="0" t="s">
        <v>1011</v>
      </c>
      <c r="B16" s="0" t="s">
        <v>1012</v>
      </c>
      <c r="C16" s="30" t="n">
        <f aca="false">Sens!$C$3033</f>
        <v>189.593450381103</v>
      </c>
      <c r="D16" s="53" t="n">
        <f aca="false">C16/C$4-1</f>
        <v>0.0234740623598506</v>
      </c>
      <c r="E16" s="12" t="n">
        <f aca="false">Sens!$I$2938</f>
        <v>0.349809786642711</v>
      </c>
      <c r="F16" s="30" t="n">
        <f aca="false">Sens!$I$2960</f>
        <v>11.6731150206449</v>
      </c>
      <c r="G16" s="45" t="n">
        <f aca="false">Sens!$G$2991</f>
        <v>19.7422608383272</v>
      </c>
      <c r="H16" s="5" t="s">
        <v>1010</v>
      </c>
    </row>
    <row r="17" customFormat="false" ht="17.15" hidden="false" customHeight="false" outlineLevel="0" collapsed="false">
      <c r="A17" s="5" t="s">
        <v>1013</v>
      </c>
      <c r="B17" s="0" t="s">
        <v>1014</v>
      </c>
      <c r="C17" s="30" t="n">
        <f aca="false">Sens!$C$3262</f>
        <v>186.709152162938</v>
      </c>
      <c r="D17" s="53" t="n">
        <f aca="false">C17/C$4-1</f>
        <v>0.00790388096134187</v>
      </c>
      <c r="E17" s="12" t="n">
        <f aca="false">Sens!$I$3167</f>
        <v>0.349486287974975</v>
      </c>
      <c r="F17" s="30" t="n">
        <f aca="false">Sens!$I$3189</f>
        <v>11.3971627967101</v>
      </c>
      <c r="G17" s="45" t="n">
        <f aca="false">Sens!$G$3220</f>
        <v>0.933937945496552</v>
      </c>
      <c r="H17" s="5" t="s">
        <v>1010</v>
      </c>
    </row>
    <row r="18" customFormat="false" ht="17.15" hidden="false" customHeight="false" outlineLevel="0" collapsed="false">
      <c r="A18" s="5" t="s">
        <v>1015</v>
      </c>
      <c r="B18" s="0" t="s">
        <v>1016</v>
      </c>
      <c r="C18" s="30" t="n">
        <f aca="false">Sens!$C$3491</f>
        <v>183.780843341106</v>
      </c>
      <c r="D18" s="53" t="n">
        <f aca="false">C18/C$4-1</f>
        <v>-0.00790388096134187</v>
      </c>
      <c r="E18" s="12" t="n">
        <f aca="false">Sens!$I$3396</f>
        <v>0.349486287974975</v>
      </c>
      <c r="F18" s="30" t="n">
        <f aca="false">Sens!$I$3418</f>
        <v>11.7204371381705</v>
      </c>
      <c r="G18" s="45" t="n">
        <f aca="false">Sens!$G$3449</f>
        <v>18.6988707062544</v>
      </c>
      <c r="H18" s="5" t="s">
        <v>1010</v>
      </c>
    </row>
    <row r="19" customFormat="false" ht="17.15" hidden="false" customHeight="false" outlineLevel="0" collapsed="false">
      <c r="A19" s="5" t="s">
        <v>1017</v>
      </c>
      <c r="B19" s="0" t="s">
        <v>1018</v>
      </c>
      <c r="C19" s="30" t="n">
        <f aca="false">Sens!$C$3720</f>
        <v>182.406772912835</v>
      </c>
      <c r="D19" s="53" t="n">
        <f aca="false">C19/C$4-1</f>
        <v>-0.015321465484247</v>
      </c>
      <c r="E19" s="12" t="n">
        <f aca="false">Sens!$I$3625</f>
        <v>0.349486287974975</v>
      </c>
      <c r="F19" s="30" t="n">
        <f aca="false">Sens!$I$3647</f>
        <v>11.472998850969</v>
      </c>
      <c r="G19" s="45" t="n">
        <f aca="false">Sens!$G$3678</f>
        <v>2.0571256353266</v>
      </c>
      <c r="H19" s="5" t="s">
        <v>1010</v>
      </c>
    </row>
    <row r="20" customFormat="false" ht="17.15" hidden="false" customHeight="false" outlineLevel="0" collapsed="false">
      <c r="A20" s="5" t="s">
        <v>1019</v>
      </c>
      <c r="B20" s="0" t="s">
        <v>1020</v>
      </c>
      <c r="C20" s="30" t="n">
        <f aca="false">Sens!$C$3949</f>
        <v>188.30813636308</v>
      </c>
      <c r="D20" s="53" t="n">
        <f aca="false">C20/C$4-1</f>
        <v>0.0165356076991559</v>
      </c>
      <c r="E20" s="12" t="n">
        <f aca="false">Sens!$I$3854</f>
        <v>0.349486287974975</v>
      </c>
      <c r="F20" s="30" t="n">
        <f aca="false">Sens!$I$3876</f>
        <v>11.6453147301307</v>
      </c>
      <c r="G20" s="45" t="n">
        <f aca="false">Sens!$G$3907</f>
        <v>17.8316074134427</v>
      </c>
      <c r="H20" s="5" t="s">
        <v>1010</v>
      </c>
    </row>
    <row r="21" customFormat="false" ht="17.15" hidden="false" customHeight="false" outlineLevel="0" collapsed="false">
      <c r="A21" s="5" t="s">
        <v>1021</v>
      </c>
      <c r="B21" s="0" t="s">
        <v>1022</v>
      </c>
      <c r="C21" s="30" t="n">
        <f aca="false">Sens!$C$4178</f>
        <v>181.070616730425</v>
      </c>
      <c r="D21" s="53" t="n">
        <f aca="false">C21/C$4-1</f>
        <v>-0.022534379185693</v>
      </c>
      <c r="E21" s="12" t="n">
        <f aca="false">Sens!$I$4083</f>
        <v>0.349486287974975</v>
      </c>
      <c r="F21" s="30" t="n">
        <f aca="false">Sens!$I$4105</f>
        <v>11.3342370123692</v>
      </c>
      <c r="G21" s="45" t="n">
        <f aca="false">Sens!$G$4136</f>
        <v>-3.74014177294853</v>
      </c>
      <c r="H21" s="5" t="s">
        <v>1010</v>
      </c>
    </row>
    <row r="22" customFormat="false" ht="17.15" hidden="false" customHeight="false" outlineLevel="0" collapsed="false">
      <c r="A22" s="5" t="s">
        <v>1023</v>
      </c>
      <c r="B22" s="0" t="s">
        <v>1024</v>
      </c>
      <c r="C22" s="30" t="n">
        <f aca="false">Sens!$C$4407</f>
        <v>189.419378773619</v>
      </c>
      <c r="D22" s="53" t="n">
        <f aca="false">C22/C$4-1</f>
        <v>0.0225343791856929</v>
      </c>
      <c r="E22" s="12" t="n">
        <f aca="false">Sens!$I$4312</f>
        <v>0.349486287974975</v>
      </c>
      <c r="F22" s="30" t="n">
        <f aca="false">Sens!$I$4334</f>
        <v>11.7833629225114</v>
      </c>
      <c r="G22" s="45" t="n">
        <f aca="false">Sens!$G$4365</f>
        <v>23.3729504246995</v>
      </c>
      <c r="H22" s="5" t="s">
        <v>1010</v>
      </c>
    </row>
    <row r="23" customFormat="false" ht="15" hidden="false" customHeight="false" outlineLevel="0" collapsed="false">
      <c r="A23" s="0" t="s">
        <v>1025</v>
      </c>
      <c r="C23" s="30" t="n">
        <f aca="false">Sens!$C$4636</f>
        <v>192.687794502977</v>
      </c>
      <c r="D23" s="53" t="n">
        <f aca="false">C23/C$4-1</f>
        <v>0.0401781254083768</v>
      </c>
      <c r="E23" s="12" t="n">
        <f aca="false">Sens!$I$4541</f>
        <v>0.349486287974975</v>
      </c>
      <c r="F23" s="30" t="n">
        <f aca="false">Sens!$I$4563</f>
        <v>11.5587999674403</v>
      </c>
      <c r="G23" s="45" t="n">
        <f aca="false">Sens!$G$4594</f>
        <v>9.81640432587554</v>
      </c>
      <c r="H23" s="5" t="s">
        <v>1026</v>
      </c>
    </row>
    <row r="24" customFormat="false" ht="15" hidden="false" customHeight="false" outlineLevel="0" collapsed="false">
      <c r="A24" s="0" t="s">
        <v>1027</v>
      </c>
      <c r="C24" s="30" t="n">
        <f aca="false">Sens!$C$4865</f>
        <v>179.321183519638</v>
      </c>
      <c r="D24" s="53" t="n">
        <f aca="false">C24/C$4-1</f>
        <v>-0.0319782682624106</v>
      </c>
      <c r="E24" s="12" t="n">
        <f aca="false">Sens!$I$4770</f>
        <v>0.349486287974975</v>
      </c>
      <c r="F24" s="30" t="n">
        <f aca="false">Sens!$I$4792</f>
        <v>11.5587999674403</v>
      </c>
      <c r="G24" s="45" t="n">
        <f aca="false">Sens!$G$4823</f>
        <v>9.81640432587554</v>
      </c>
      <c r="H24" s="5" t="s">
        <v>1026</v>
      </c>
    </row>
    <row r="25" customFormat="false" ht="17.15" hidden="false" customHeight="false" outlineLevel="0" collapsed="false">
      <c r="A25" s="5" t="s">
        <v>1028</v>
      </c>
      <c r="C25" s="30" t="n">
        <f aca="false">Sens!$C$5094</f>
        <v>184.850753625146</v>
      </c>
      <c r="D25" s="53" t="n">
        <f aca="false">C25/C$4-1</f>
        <v>-0.00212823089238634</v>
      </c>
      <c r="E25" s="12" t="n">
        <f aca="false">Sens!$I$4999</f>
        <v>0.349486287974975</v>
      </c>
      <c r="F25" s="30" t="n">
        <f aca="false">Sens!$I$5021</f>
        <v>11.5587999674403</v>
      </c>
      <c r="G25" s="45" t="n">
        <f aca="false">Sens!$G$5052</f>
        <v>9.81640432587554</v>
      </c>
      <c r="H25" s="5" t="s">
        <v>1026</v>
      </c>
    </row>
    <row r="26" customFormat="false" ht="17.15" hidden="false" customHeight="false" outlineLevel="0" collapsed="false">
      <c r="A26" s="5" t="s">
        <v>1029</v>
      </c>
      <c r="C26" s="30" t="n">
        <f aca="false">Sens!$C$5323</f>
        <v>185.639241878898</v>
      </c>
      <c r="D26" s="53" t="n">
        <f aca="false">C26/C$4-1</f>
        <v>0.00212823089238645</v>
      </c>
      <c r="E26" s="12" t="n">
        <f aca="false">Sens!$I$5228</f>
        <v>0.349486287974975</v>
      </c>
      <c r="F26" s="30" t="n">
        <f aca="false">Sens!$I$5250</f>
        <v>11.5587999674403</v>
      </c>
      <c r="G26" s="45" t="n">
        <f aca="false">Sens!$G$5281</f>
        <v>9.81640432587554</v>
      </c>
      <c r="H26" s="5" t="s">
        <v>1026</v>
      </c>
    </row>
    <row r="27" customFormat="false" ht="17.15" hidden="false" customHeight="false" outlineLevel="0" collapsed="false">
      <c r="A27" s="0" t="s">
        <v>1030</v>
      </c>
      <c r="B27" s="5" t="s">
        <v>1031</v>
      </c>
      <c r="C27" s="30" t="n">
        <f aca="false">Sens!$C$5552</f>
        <v>190.067208288058</v>
      </c>
      <c r="D27" s="53" t="n">
        <f aca="false">C27/C$4-1</f>
        <v>0.0260315290267172</v>
      </c>
      <c r="E27" s="12" t="n">
        <f aca="false">Sens!$I$5457</f>
        <v>0.349486287974975</v>
      </c>
      <c r="F27" s="30" t="n">
        <f aca="false">Sens!$I$5479</f>
        <v>11.5587999674403</v>
      </c>
      <c r="G27" s="45" t="n">
        <f aca="false">Sens!$G$5510</f>
        <v>9.81640432587554</v>
      </c>
      <c r="H27" s="5" t="s">
        <v>1026</v>
      </c>
    </row>
    <row r="28" customFormat="false" ht="17.15" hidden="false" customHeight="false" outlineLevel="0" collapsed="false">
      <c r="A28" s="5" t="s">
        <v>1032</v>
      </c>
      <c r="B28" s="5" t="s">
        <v>1033</v>
      </c>
      <c r="C28" s="30" t="n">
        <f aca="false">Sens!$C$5781</f>
        <v>162.092825898875</v>
      </c>
      <c r="D28" s="53" t="n">
        <f aca="false">C28/C$4-1</f>
        <v>-0.124981360544694</v>
      </c>
      <c r="E28" s="12" t="n">
        <f aca="false">Sens!$I$5686</f>
        <v>0.349486287974975</v>
      </c>
      <c r="F28" s="30" t="n">
        <f aca="false">Sens!$I$5708</f>
        <v>11.5587999674403</v>
      </c>
      <c r="G28" s="45" t="n">
        <f aca="false">Sens!$G$5739</f>
        <v>9.81640432587554</v>
      </c>
      <c r="H28" s="5" t="s">
        <v>1026</v>
      </c>
    </row>
    <row r="29" customFormat="false" ht="17.15" hidden="false" customHeight="false" outlineLevel="0" collapsed="false">
      <c r="A29" s="5" t="s">
        <v>1034</v>
      </c>
      <c r="C29" s="30" t="n">
        <f aca="false">Sens!$C$6010</f>
        <v>208.397169605168</v>
      </c>
      <c r="D29" s="53" t="n">
        <f aca="false">C29/C$4-1</f>
        <v>0.124981360544695</v>
      </c>
      <c r="E29" s="12" t="n">
        <f aca="false">Sens!$I$5915</f>
        <v>0.349486287974975</v>
      </c>
      <c r="F29" s="30" t="n">
        <f aca="false">Sens!$I$5937</f>
        <v>11.5587999674403</v>
      </c>
      <c r="G29" s="45" t="n">
        <f aca="false">Sens!$G$5968</f>
        <v>9.81640432587554</v>
      </c>
      <c r="H29" s="5" t="s">
        <v>1026</v>
      </c>
    </row>
    <row r="30" customFormat="false" ht="17.15" hidden="false" customHeight="false" outlineLevel="0" collapsed="false">
      <c r="A30" s="0" t="s">
        <v>1035</v>
      </c>
      <c r="B30" s="5" t="s">
        <v>1036</v>
      </c>
      <c r="C30" s="30" t="n">
        <f aca="false">Sens!$C$6239</f>
        <v>198.35337710093</v>
      </c>
      <c r="D30" s="53" t="n">
        <f aca="false">C30/C$4-1</f>
        <v>0.0707623930901264</v>
      </c>
      <c r="E30" s="12" t="n">
        <f aca="false">Sens!$I$6144</f>
        <v>0.349486287974975</v>
      </c>
      <c r="F30" s="30" t="n">
        <f aca="false">Sens!$I$6166</f>
        <v>11.5587999674403</v>
      </c>
      <c r="G30" s="45" t="n">
        <f aca="false">Sens!$G$6197</f>
        <v>9.81640432587554</v>
      </c>
      <c r="H30" s="5" t="s">
        <v>1026</v>
      </c>
    </row>
    <row r="31" customFormat="false" ht="17.15" hidden="false" customHeight="false" outlineLevel="0" collapsed="false">
      <c r="A31" s="0" t="s">
        <v>1037</v>
      </c>
      <c r="B31" s="5" t="s">
        <v>1038</v>
      </c>
      <c r="C31" s="30" t="n">
        <f aca="false">Sens!$C$6468</f>
        <v>183.035679669283</v>
      </c>
      <c r="D31" s="53" t="n">
        <f aca="false">C31/C$4-1</f>
        <v>-0.0119264655431967</v>
      </c>
      <c r="E31" s="12" t="n">
        <f aca="false">Sens!$I$6373</f>
        <v>0.349486287974975</v>
      </c>
      <c r="F31" s="30" t="n">
        <f aca="false">Sens!$I$6395</f>
        <v>11.5587999674403</v>
      </c>
      <c r="G31" s="45" t="n">
        <f aca="false">Sens!$G$6426</f>
        <v>9.81640432587554</v>
      </c>
      <c r="H31" s="5" t="s">
        <v>1026</v>
      </c>
    </row>
    <row r="32" customFormat="false" ht="17.15" hidden="false" customHeight="false" outlineLevel="0" collapsed="false">
      <c r="A32" s="0" t="s">
        <v>1039</v>
      </c>
      <c r="C32" s="30" t="n">
        <f aca="false">Sens!$C$6697</f>
        <v>187.454315834761</v>
      </c>
      <c r="D32" s="53" t="n">
        <f aca="false">C32/C$4-1</f>
        <v>0.0119264655431968</v>
      </c>
      <c r="E32" s="12" t="n">
        <f aca="false">Sens!$I$6602</f>
        <v>0.349486287974975</v>
      </c>
      <c r="F32" s="30" t="n">
        <f aca="false">Sens!$I$6624</f>
        <v>11.5587999674403</v>
      </c>
      <c r="G32" s="45" t="n">
        <f aca="false">Sens!$G$6655</f>
        <v>9.81640432587554</v>
      </c>
      <c r="H32" s="5" t="s">
        <v>1026</v>
      </c>
    </row>
    <row r="33" customFormat="false" ht="17.15" hidden="false" customHeight="false" outlineLevel="0" collapsed="false">
      <c r="A33" s="0" t="s">
        <v>1040</v>
      </c>
      <c r="B33" s="5" t="s">
        <v>1041</v>
      </c>
      <c r="C33" s="30" t="n">
        <f aca="false">Sens!$C$6926</f>
        <v>221.850221906344</v>
      </c>
      <c r="D33" s="53" t="n">
        <f aca="false">C33/C$4-1</f>
        <v>0.1976043866152</v>
      </c>
      <c r="E33" s="12" t="n">
        <f aca="false">Sens!$I$6831</f>
        <v>0.349486287974975</v>
      </c>
      <c r="F33" s="30" t="n">
        <f aca="false">Sens!$I$6853</f>
        <v>11.5587999674403</v>
      </c>
      <c r="G33" s="45" t="n">
        <f aca="false">Sens!$G$6884</f>
        <v>9.81640432587554</v>
      </c>
      <c r="H33" s="5" t="s">
        <v>1026</v>
      </c>
    </row>
    <row r="34" customFormat="false" ht="17.15" hidden="false" customHeight="false" outlineLevel="0" collapsed="false">
      <c r="A34" s="0" t="s">
        <v>1042</v>
      </c>
      <c r="C34" s="30" t="n">
        <f aca="false">Sens!$C$7155</f>
        <v>148.639773597699</v>
      </c>
      <c r="D34" s="53" t="n">
        <f aca="false">C34/C$4-1</f>
        <v>-0.1976043866152</v>
      </c>
      <c r="E34" s="12" t="n">
        <f aca="false">Sens!$I$7060</f>
        <v>0.349486287974975</v>
      </c>
      <c r="F34" s="30" t="n">
        <f aca="false">Sens!$I$7082</f>
        <v>11.5587999674403</v>
      </c>
      <c r="G34" s="45" t="n">
        <f aca="false">Sens!$G$7113</f>
        <v>9.81640432587554</v>
      </c>
      <c r="H34" s="5" t="s">
        <v>1026</v>
      </c>
    </row>
    <row r="36" customFormat="false" ht="17.15" hidden="false" customHeight="false" outlineLevel="0" collapsed="false">
      <c r="A36" s="24" t="s">
        <v>1043</v>
      </c>
      <c r="B36" s="25"/>
      <c r="C36" s="54" t="n">
        <f aca="false">Sens!$C$285-C4</f>
        <v>0</v>
      </c>
      <c r="D36" s="25"/>
      <c r="E36" s="25"/>
      <c r="F36" s="25"/>
      <c r="G36" s="25"/>
      <c r="H36" s="25"/>
    </row>
    <row r="37" customFormat="false" ht="17.15" hidden="false" customHeight="false" outlineLevel="0" collapsed="false">
      <c r="A37" s="5" t="s">
        <v>1044</v>
      </c>
    </row>
    <row r="60" customFormat="false" ht="19.4" hidden="false" customHeight="false" outlineLevel="0" collapsed="false">
      <c r="A60" s="31" t="s">
        <v>1045</v>
      </c>
    </row>
    <row r="61" customFormat="false" ht="17.15" hidden="false" customHeight="false" outlineLevel="0" collapsed="false">
      <c r="A61" s="6" t="s">
        <v>16</v>
      </c>
      <c r="B61" s="6" t="s">
        <v>17</v>
      </c>
      <c r="C61" s="20" t="s">
        <v>457</v>
      </c>
      <c r="D61" s="20" t="s">
        <v>458</v>
      </c>
      <c r="E61" s="20" t="s">
        <v>540</v>
      </c>
      <c r="F61" s="20" t="s">
        <v>541</v>
      </c>
      <c r="G61" s="20" t="s">
        <v>542</v>
      </c>
      <c r="H61" s="20" t="s">
        <v>543</v>
      </c>
      <c r="I61" s="20" t="s">
        <v>544</v>
      </c>
      <c r="J61" s="20" t="s">
        <v>545</v>
      </c>
      <c r="K61" s="20" t="s">
        <v>546</v>
      </c>
      <c r="L61" s="20" t="s">
        <v>547</v>
      </c>
      <c r="M61" s="20" t="s">
        <v>548</v>
      </c>
      <c r="N61" s="20" t="s">
        <v>549</v>
      </c>
      <c r="O61" s="20" t="s">
        <v>550</v>
      </c>
      <c r="P61" s="6" t="s">
        <v>23</v>
      </c>
      <c r="R61" s="20" t="n">
        <v>2023</v>
      </c>
      <c r="S61" s="20" t="n">
        <v>2024</v>
      </c>
      <c r="T61" s="20" t="n">
        <v>2025</v>
      </c>
      <c r="U61" s="20" t="n">
        <v>2026</v>
      </c>
      <c r="V61" s="20" t="n">
        <v>2027</v>
      </c>
      <c r="W61" s="20" t="n">
        <v>2028</v>
      </c>
      <c r="X61" s="20" t="n">
        <v>2029</v>
      </c>
      <c r="Y61" s="20" t="n">
        <v>2030</v>
      </c>
      <c r="Z61" s="20" t="n">
        <v>2031</v>
      </c>
      <c r="AA61" s="20" t="n">
        <v>2032</v>
      </c>
    </row>
    <row r="62" customFormat="false" ht="17.15" hidden="false" customHeight="false" outlineLevel="0" collapsed="false">
      <c r="A62" s="1" t="s">
        <v>621</v>
      </c>
    </row>
    <row r="63" customFormat="false" ht="17.15" hidden="false" customHeight="false" outlineLevel="0" collapsed="false">
      <c r="A63" s="0" t="s">
        <v>479</v>
      </c>
      <c r="B63" s="0" t="s">
        <v>73</v>
      </c>
      <c r="C63" s="38" t="n">
        <f aca="false">Q!$D$10</f>
        <v>247.029</v>
      </c>
      <c r="D63" s="38" t="n">
        <f aca="false">Q!$E$10</f>
        <v>269.287</v>
      </c>
      <c r="E63" s="38" t="n">
        <f aca="false">Q!$P$10</f>
        <v>134.686</v>
      </c>
      <c r="F63" s="38" t="n">
        <f aca="false">Sens!$O$63*(1+Sens!$F$64)-pd_amt*Q!$O$10/(Q!$O$10+Q!$O$12)</f>
        <v>160.728085930082</v>
      </c>
      <c r="G63" s="38" t="n">
        <f aca="false">Sens!$E$63+Sens!$F$63</f>
        <v>295.414085930082</v>
      </c>
      <c r="H63" s="38" t="n">
        <f aca="false">Sens!$G$63*(1+Sens!$H$64)</f>
        <v>320.828163943375</v>
      </c>
      <c r="I63" s="38" t="n">
        <f aca="false">Sens!$H$63*(1+Sens!$I$64)</f>
        <v>344.575578072228</v>
      </c>
      <c r="J63" s="38" t="n">
        <f aca="false">Sens!$I$63*(1+Sens!$J$64)</f>
        <v>365.942555779681</v>
      </c>
      <c r="K63" s="38" t="n">
        <f aca="false">Sens!$J$63*(1+Sens!$K$64)</f>
        <v>384.239683568665</v>
      </c>
      <c r="L63" s="38" t="n">
        <f aca="false">Sens!$K$63*(1+Sens!$L$64)</f>
        <v>403.451667747098</v>
      </c>
      <c r="M63" s="38" t="n">
        <f aca="false">Sens!$L$63*(1+Sens!$M$64)</f>
        <v>423.624251134453</v>
      </c>
      <c r="N63" s="38" t="n">
        <f aca="false">Q!$N$10</f>
        <v>118.892</v>
      </c>
      <c r="O63" s="38" t="n">
        <f aca="false">Q!$O$10</f>
        <v>150.395</v>
      </c>
      <c r="P63" s="8" t="s">
        <v>622</v>
      </c>
    </row>
    <row r="64" customFormat="false" ht="17.15" hidden="false" customHeight="false" outlineLevel="0" collapsed="false">
      <c r="A64" s="0" t="s">
        <v>623</v>
      </c>
      <c r="B64" s="0" t="s">
        <v>52</v>
      </c>
      <c r="E64" s="12" t="n">
        <f aca="false">Sens!$E$63/Sens!$N$63-1</f>
        <v>0.132843252699929</v>
      </c>
      <c r="F64" s="12" t="n">
        <f aca="false">Sens!$O$63/(Q!$F$10+Q!$G$10)-1</f>
        <v>0.0980382135842941</v>
      </c>
      <c r="G64" s="12" t="n">
        <f aca="false">Sens!$G$63/Sens!$D$63-1</f>
        <v>0.0970231980380869</v>
      </c>
      <c r="H64" s="12" t="n">
        <f aca="false">Sens!$F$64+(g_os-Sens!$F$64)*1/4</f>
        <v>0.0860286601882206</v>
      </c>
      <c r="I64" s="12" t="n">
        <f aca="false">Sens!$F$64+(g_os-Sens!$F$64)*2/4</f>
        <v>0.074019106792147</v>
      </c>
      <c r="J64" s="12" t="n">
        <f aca="false">Sens!$F$64+(g_os-Sens!$F$64)*3/4</f>
        <v>0.0620095533960735</v>
      </c>
      <c r="K64" s="12" t="n">
        <f aca="false">Sens!$F$64+(g_os-Sens!$F$64)*4/4</f>
        <v>0.05</v>
      </c>
      <c r="L64" s="12" t="n">
        <f aca="false">g_os</f>
        <v>0.05</v>
      </c>
      <c r="M64" s="12" t="n">
        <f aca="false">g_os</f>
        <v>0.05</v>
      </c>
      <c r="P64" s="8" t="s">
        <v>624</v>
      </c>
    </row>
    <row r="65" customFormat="false" ht="17.15" hidden="false" customHeight="false" outlineLevel="0" collapsed="false">
      <c r="A65" s="0" t="s">
        <v>480</v>
      </c>
      <c r="B65" s="0" t="s">
        <v>73</v>
      </c>
      <c r="C65" s="38" t="n">
        <f aca="false">Q!$D$11</f>
        <v>21.215</v>
      </c>
      <c r="D65" s="38" t="n">
        <f aca="false">Q!$E$11</f>
        <v>22.561</v>
      </c>
      <c r="E65" s="38" t="n">
        <f aca="false">Q!$P$11</f>
        <v>11.579</v>
      </c>
      <c r="F65" s="38" t="n">
        <f aca="false">Sens!$O$65*(1+Sens!$F$66)</f>
        <v>12.0952613121125</v>
      </c>
      <c r="G65" s="38" t="n">
        <f aca="false">Sens!$E$65+Sens!$F$65</f>
        <v>23.6742613121125</v>
      </c>
      <c r="H65" s="38" t="n">
        <f aca="false">Sens!$G$65*(1+Sens!$H$66)</f>
        <v>24.8803243963206</v>
      </c>
      <c r="I65" s="38" t="n">
        <f aca="false">Sens!$H$65*(1+Sens!$I$66)</f>
        <v>25.9741308664154</v>
      </c>
      <c r="J65" s="38" t="n">
        <f aca="false">Sens!$I$65*(1+Sens!$J$66)</f>
        <v>26.9346894124267</v>
      </c>
      <c r="K65" s="38" t="n">
        <f aca="false">Sens!$J$65*(1+Sens!$K$66)</f>
        <v>27.7427300947995</v>
      </c>
      <c r="L65" s="38" t="n">
        <f aca="false">Sens!$K$65*(1+Sens!$L$66)</f>
        <v>28.5750119976435</v>
      </c>
      <c r="M65" s="38" t="n">
        <f aca="false">Sens!$L$65*(1+Sens!$M$66)</f>
        <v>29.4322623575728</v>
      </c>
      <c r="N65" s="38" t="n">
        <f aca="false">Q!$N$11</f>
        <v>11.128</v>
      </c>
      <c r="O65" s="38" t="n">
        <f aca="false">Q!$O$11</f>
        <v>11.433</v>
      </c>
      <c r="P65" s="8" t="s">
        <v>622</v>
      </c>
    </row>
    <row r="66" customFormat="false" ht="17.15" hidden="false" customHeight="false" outlineLevel="0" collapsed="false">
      <c r="A66" s="0" t="s">
        <v>625</v>
      </c>
      <c r="B66" s="0" t="s">
        <v>52</v>
      </c>
      <c r="E66" s="12" t="n">
        <f aca="false">Sens!$E$65/Sens!$N$65-1</f>
        <v>0.0405283968368082</v>
      </c>
      <c r="F66" s="12" t="n">
        <f aca="false">Sens!$O$65/(Q!$F$11+Q!$G$11)-1</f>
        <v>0.0579254187100955</v>
      </c>
      <c r="G66" s="12" t="n">
        <f aca="false">Sens!$G$65/Sens!$D$65-1</f>
        <v>0.0493445021103904</v>
      </c>
      <c r="H66" s="12" t="n">
        <f aca="false">Sens!$F$66+(g_ps-Sens!$F$66)*1/4</f>
        <v>0.0509440640325716</v>
      </c>
      <c r="I66" s="12" t="n">
        <f aca="false">Sens!$F$66+(g_ps-Sens!$F$66)*2/4</f>
        <v>0.0439627093550477</v>
      </c>
      <c r="J66" s="12" t="n">
        <f aca="false">Sens!$F$66+(g_ps-Sens!$F$66)*3/4</f>
        <v>0.0369813546775239</v>
      </c>
      <c r="K66" s="12" t="n">
        <f aca="false">Sens!$F$66+(g_ps-Sens!$F$66)*4/4</f>
        <v>0.03</v>
      </c>
      <c r="L66" s="12" t="n">
        <f aca="false">g_ps</f>
        <v>0.03</v>
      </c>
      <c r="M66" s="12" t="n">
        <f aca="false">g_ps</f>
        <v>0.03</v>
      </c>
      <c r="P66" s="8" t="s">
        <v>626</v>
      </c>
    </row>
    <row r="67" customFormat="false" ht="17.15" hidden="false" customHeight="false" outlineLevel="0" collapsed="false">
      <c r="A67" s="0" t="s">
        <v>481</v>
      </c>
      <c r="B67" s="0" t="s">
        <v>73</v>
      </c>
      <c r="C67" s="38" t="n">
        <f aca="false">Q!$D$12</f>
        <v>156.146</v>
      </c>
      <c r="D67" s="38" t="n">
        <f aca="false">Q!$E$12</f>
        <v>172.162</v>
      </c>
      <c r="E67" s="38" t="n">
        <f aca="false">Q!$P$12</f>
        <v>88.358</v>
      </c>
      <c r="F67" s="38" t="n">
        <f aca="false">Sens!$O$67*(1+Sens!$F$68)-pd_amt*Q!$O$12/(Q!$O$10+Q!$O$12)</f>
        <v>103.62028337149</v>
      </c>
      <c r="G67" s="38" t="n">
        <f aca="false">Sens!$E$67+Sens!$F$67</f>
        <v>191.97828337149</v>
      </c>
      <c r="H67" s="38" t="n">
        <f aca="false">Sens!$G$67*(1+Sens!$H$68)</f>
        <v>212.128608444755</v>
      </c>
      <c r="I67" s="38" t="n">
        <f aca="false">Sens!$H$67*(1+Sens!$I$68)</f>
        <v>231.92183134134</v>
      </c>
      <c r="J67" s="38" t="n">
        <f aca="false">Sens!$I$67*(1+Sens!$J$68)</f>
        <v>250.859136487863</v>
      </c>
      <c r="K67" s="38" t="n">
        <f aca="false">Sens!$J$67*(1+Sens!$K$68)</f>
        <v>268.419276042014</v>
      </c>
      <c r="L67" s="38" t="n">
        <f aca="false">Sens!$K$67*(1+Sens!$L$68)</f>
        <v>287.208625364954</v>
      </c>
      <c r="M67" s="38" t="n">
        <f aca="false">Sens!$L$67*(1+Sens!$M$68)</f>
        <v>307.313229140501</v>
      </c>
      <c r="N67" s="38" t="n">
        <f aca="false">Q!$N$12</f>
        <v>76.86</v>
      </c>
      <c r="O67" s="38" t="n">
        <f aca="false">Q!$O$12</f>
        <v>95.302</v>
      </c>
      <c r="P67" s="8" t="s">
        <v>622</v>
      </c>
    </row>
    <row r="68" customFormat="false" ht="17.15" hidden="false" customHeight="false" outlineLevel="0" collapsed="false">
      <c r="A68" s="0" t="s">
        <v>627</v>
      </c>
      <c r="B68" s="0" t="s">
        <v>52</v>
      </c>
      <c r="E68" s="12" t="n">
        <f aca="false">Sens!$E$67/Sens!$N$67-1</f>
        <v>0.1495966692688</v>
      </c>
      <c r="F68" s="12" t="n">
        <f aca="false">Sens!$O$67/(Q!$F$12+Q!$G$12)-1</f>
        <v>0.11661530890813</v>
      </c>
      <c r="G68" s="12" t="n">
        <f aca="false">Sens!$G$67/Sens!$D$67-1</f>
        <v>0.115102539303041</v>
      </c>
      <c r="H68" s="12" t="n">
        <f aca="false">Sens!$F$68+(g_sp-Sens!$F$68)*1/4</f>
        <v>0.104961481681098</v>
      </c>
      <c r="I68" s="12" t="n">
        <f aca="false">Sens!$F$68+(g_sp-Sens!$F$68)*2/4</f>
        <v>0.0933076544540651</v>
      </c>
      <c r="J68" s="12" t="n">
        <f aca="false">Sens!$F$68+(g_sp-Sens!$F$68)*3/4</f>
        <v>0.0816538272270325</v>
      </c>
      <c r="K68" s="12" t="n">
        <f aca="false">Sens!$F$68+(g_sp-Sens!$F$68)*4/4</f>
        <v>0.07</v>
      </c>
      <c r="L68" s="12" t="n">
        <f aca="false">g_sp</f>
        <v>0.07</v>
      </c>
      <c r="M68" s="12" t="n">
        <f aca="false">g_sp</f>
        <v>0.07</v>
      </c>
      <c r="P68" s="8" t="s">
        <v>628</v>
      </c>
    </row>
    <row r="69" customFormat="false" ht="17.15" hidden="false" customHeight="false" outlineLevel="0" collapsed="false">
      <c r="A69" s="0" t="s">
        <v>482</v>
      </c>
      <c r="B69" s="0" t="s">
        <v>73</v>
      </c>
      <c r="C69" s="38" t="n">
        <f aca="false">Q!$D$13</f>
        <v>56.214</v>
      </c>
      <c r="D69" s="38" t="n">
        <f aca="false">Q!$E$13</f>
        <v>68.635</v>
      </c>
      <c r="E69" s="38" t="n">
        <f aca="false">Q!$P$13</f>
        <v>37.052</v>
      </c>
      <c r="F69" s="38" t="n">
        <f aca="false">Sens!$O$69*(1+Sens!$F$70)</f>
        <v>48.1533381827382</v>
      </c>
      <c r="G69" s="38" t="n">
        <f aca="false">Sens!$E$69+Sens!$F$69</f>
        <v>85.2053381827382</v>
      </c>
      <c r="H69" s="38" t="n">
        <f aca="false">Sens!$G$69*(1+Sens!$H$70)</f>
        <v>102.29336185894</v>
      </c>
      <c r="I69" s="38" t="n">
        <f aca="false">Sens!$H$69*(1+Sens!$I$70)</f>
        <v>119.379837585241</v>
      </c>
      <c r="J69" s="38" t="n">
        <f aca="false">Sens!$I$69*(1+Sens!$J$70)</f>
        <v>135.319079048844</v>
      </c>
      <c r="K69" s="38" t="n">
        <f aca="false">Sens!$J$69*(1+Sens!$K$70)</f>
        <v>148.850986953729</v>
      </c>
      <c r="L69" s="38" t="n">
        <f aca="false">Sens!$K$69*(1+Sens!$L$70)</f>
        <v>163.736085649102</v>
      </c>
      <c r="M69" s="38" t="n">
        <f aca="false">Sens!$L$69*(1+Sens!$M$70)</f>
        <v>180.109694214012</v>
      </c>
      <c r="N69" s="38" t="n">
        <f aca="false">Q!$N$13</f>
        <v>29.615</v>
      </c>
      <c r="O69" s="38" t="n">
        <f aca="false">Q!$O$13</f>
        <v>39.02</v>
      </c>
      <c r="P69" s="8" t="s">
        <v>622</v>
      </c>
    </row>
    <row r="70" customFormat="false" ht="17.15" hidden="false" customHeight="false" outlineLevel="0" collapsed="false">
      <c r="A70" s="0" t="s">
        <v>629</v>
      </c>
      <c r="B70" s="0" t="s">
        <v>52</v>
      </c>
      <c r="E70" s="12" t="n">
        <f aca="false">Sens!$E$69/Sens!$N$69-1</f>
        <v>0.25112274185379</v>
      </c>
      <c r="F70" s="12" t="n">
        <f aca="false">Sens!$O$69/(Q!$F$13+Q!$G$13)-1</f>
        <v>0.234068123596572</v>
      </c>
      <c r="G70" s="12" t="n">
        <f aca="false">Sens!$G$69/Sens!$D$69-1</f>
        <v>0.241426942270536</v>
      </c>
      <c r="H70" s="12" t="n">
        <f aca="false">Sens!$F$70+(g_ad-Sens!$F$70)*1/4</f>
        <v>0.200551092697429</v>
      </c>
      <c r="I70" s="12" t="n">
        <f aca="false">Sens!$F$70+(g_ad-Sens!$F$70)*2/4</f>
        <v>0.167034061798286</v>
      </c>
      <c r="J70" s="12" t="n">
        <f aca="false">Sens!$F$70+(g_ad-Sens!$F$70)*3/4</f>
        <v>0.133517030899143</v>
      </c>
      <c r="K70" s="12" t="n">
        <f aca="false">Sens!$F$70+(g_ad-Sens!$F$70)*4/4</f>
        <v>0.1</v>
      </c>
      <c r="L70" s="12" t="n">
        <f aca="false">g_ad</f>
        <v>0.1</v>
      </c>
      <c r="M70" s="12" t="n">
        <f aca="false">g_ad</f>
        <v>0.1</v>
      </c>
      <c r="P70" s="8" t="s">
        <v>630</v>
      </c>
    </row>
    <row r="71" customFormat="false" ht="17.15" hidden="false" customHeight="false" outlineLevel="0" collapsed="false">
      <c r="A71" s="0" t="s">
        <v>483</v>
      </c>
      <c r="B71" s="0" t="s">
        <v>73</v>
      </c>
      <c r="C71" s="38" t="n">
        <f aca="false">Q!$D$14</f>
        <v>44.374</v>
      </c>
      <c r="D71" s="38" t="n">
        <f aca="false">Q!$E$14</f>
        <v>49.619</v>
      </c>
      <c r="E71" s="38" t="n">
        <f aca="false">Q!$P$14</f>
        <v>27.157</v>
      </c>
      <c r="F71" s="38" t="n">
        <f aca="false">Sens!$O$71*(1+Sens!$F$72)</f>
        <v>28.9776360923374</v>
      </c>
      <c r="G71" s="38" t="n">
        <f aca="false">Sens!$E$71+Sens!$F$71</f>
        <v>56.1346360923374</v>
      </c>
      <c r="H71" s="38" t="n">
        <f aca="false">Sens!$G$71*(1+Sens!$H$72)</f>
        <v>62.4937078946075</v>
      </c>
      <c r="I71" s="38" t="n">
        <f aca="false">Sens!$H$71*(1+Sens!$I$72)</f>
        <v>68.6715233062498</v>
      </c>
      <c r="J71" s="38" t="n">
        <f aca="false">Sens!$I$71*(1+Sens!$J$72)</f>
        <v>74.4692882949818</v>
      </c>
      <c r="K71" s="38" t="n">
        <f aca="false">Sens!$J$71*(1+Sens!$K$72)</f>
        <v>79.6821384756306</v>
      </c>
      <c r="L71" s="38" t="n">
        <f aca="false">Sens!$K$71*(1+Sens!$L$72)</f>
        <v>85.2598881689247</v>
      </c>
      <c r="M71" s="38" t="n">
        <f aca="false">Sens!$L$71*(1+Sens!$M$72)</f>
        <v>91.2280803407494</v>
      </c>
      <c r="N71" s="38" t="n">
        <f aca="false">Q!$N$14</f>
        <v>23.923</v>
      </c>
      <c r="O71" s="38" t="n">
        <f aca="false">Q!$O$14</f>
        <v>25.696</v>
      </c>
      <c r="P71" s="8" t="s">
        <v>622</v>
      </c>
    </row>
    <row r="72" customFormat="false" ht="17.15" hidden="false" customHeight="false" outlineLevel="0" collapsed="false">
      <c r="A72" s="0" t="s">
        <v>631</v>
      </c>
      <c r="B72" s="0" t="s">
        <v>52</v>
      </c>
      <c r="E72" s="12" t="n">
        <f aca="false">Sens!$E$71/Sens!$N$71-1</f>
        <v>0.135183714417088</v>
      </c>
      <c r="F72" s="12" t="n">
        <f aca="false">Sens!$O$71/(Q!$F$14+Q!$G$14)-1</f>
        <v>0.127709997366804</v>
      </c>
      <c r="G72" s="12" t="n">
        <f aca="false">Sens!$G$71/Sens!$D$71-1</f>
        <v>0.131313329416905</v>
      </c>
      <c r="H72" s="12" t="n">
        <f aca="false">Sens!$F$72+(g_sub-Sens!$F$72)*1/4</f>
        <v>0.113282498025103</v>
      </c>
      <c r="I72" s="12" t="n">
        <f aca="false">Sens!$F$72+(g_sub-Sens!$F$72)*2/4</f>
        <v>0.0988549986834021</v>
      </c>
      <c r="J72" s="12" t="n">
        <f aca="false">Sens!$F$72+(g_sub-Sens!$F$72)*3/4</f>
        <v>0.084427499341701</v>
      </c>
      <c r="K72" s="12" t="n">
        <f aca="false">Sens!$F$72+(g_sub-Sens!$F$72)*4/4</f>
        <v>0.07</v>
      </c>
      <c r="L72" s="12" t="n">
        <f aca="false">g_sub</f>
        <v>0.07</v>
      </c>
      <c r="M72" s="12" t="n">
        <f aca="false">g_sub</f>
        <v>0.07</v>
      </c>
      <c r="P72" s="8" t="s">
        <v>632</v>
      </c>
    </row>
    <row r="73" customFormat="false" ht="17.15" hidden="false" customHeight="false" outlineLevel="0" collapsed="false">
      <c r="A73" s="0" t="s">
        <v>484</v>
      </c>
      <c r="B73" s="0" t="s">
        <v>73</v>
      </c>
      <c r="C73" s="38" t="n">
        <f aca="false">Q!$D$15</f>
        <v>5.425</v>
      </c>
      <c r="D73" s="38" t="n">
        <f aca="false">Q!$E$15</f>
        <v>5.935</v>
      </c>
      <c r="E73" s="38" t="n">
        <f aca="false">Q!$P$15</f>
        <v>3.474</v>
      </c>
      <c r="F73" s="38" t="n">
        <f aca="false">Sens!$O$73*(1+Sens!$F$74)</f>
        <v>3.36182431966931</v>
      </c>
      <c r="G73" s="38" t="n">
        <f aca="false">Sens!$E$73+Sens!$F$73</f>
        <v>6.83582431966931</v>
      </c>
      <c r="H73" s="38" t="n">
        <f aca="false">Sens!$G$73*(1+Sens!$H$74)</f>
        <v>7.31157108370141</v>
      </c>
      <c r="I73" s="38" t="n">
        <f aca="false">Sens!$H$73*(1+Sens!$I$74)</f>
        <v>7.77266852639815</v>
      </c>
      <c r="J73" s="38" t="n">
        <f aca="false">Sens!$I$73*(1+Sens!$J$74)</f>
        <v>8.2120733019884</v>
      </c>
      <c r="K73" s="38" t="n">
        <f aca="false">Sens!$J$73*(1+Sens!$K$74)</f>
        <v>8.62267696708783</v>
      </c>
      <c r="L73" s="38" t="n">
        <f aca="false">Sens!$K$73*(1+Sens!$L$74)</f>
        <v>9.05381081544222</v>
      </c>
      <c r="M73" s="38" t="n">
        <f aca="false">Sens!$L$73*(1+Sens!$M$74)</f>
        <v>9.50650135621433</v>
      </c>
      <c r="N73" s="38" t="n">
        <f aca="false">Q!$N$15</f>
        <v>2.811</v>
      </c>
      <c r="O73" s="38" t="n">
        <f aca="false">Q!$O$15</f>
        <v>3.124</v>
      </c>
      <c r="P73" s="8" t="s">
        <v>622</v>
      </c>
    </row>
    <row r="74" customFormat="false" ht="17.15" hidden="false" customHeight="false" outlineLevel="0" collapsed="false">
      <c r="A74" s="0" t="s">
        <v>633</v>
      </c>
      <c r="B74" s="0" t="s">
        <v>52</v>
      </c>
      <c r="E74" s="12" t="n">
        <f aca="false">Sens!$E$73/Sens!$N$73-1</f>
        <v>0.235859124866596</v>
      </c>
      <c r="F74" s="12" t="n">
        <f aca="false">Sens!$O$73/(Q!$F$15+Q!$G$15)-1</f>
        <v>0.0761281433000345</v>
      </c>
      <c r="G74" s="12" t="n">
        <f aca="false">Sens!$G$73/Sens!$D$73-1</f>
        <v>0.151781688234087</v>
      </c>
      <c r="H74" s="12" t="n">
        <f aca="false">Sens!$F$74+(g_ot-Sens!$F$74)*1/4</f>
        <v>0.0695961074750259</v>
      </c>
      <c r="I74" s="12" t="n">
        <f aca="false">Sens!$F$74+(g_ot-Sens!$F$74)*2/4</f>
        <v>0.0630640716500172</v>
      </c>
      <c r="J74" s="12" t="n">
        <f aca="false">Sens!$F$74+(g_ot-Sens!$F$74)*3/4</f>
        <v>0.0565320358250086</v>
      </c>
      <c r="K74" s="12" t="n">
        <f aca="false">Sens!$F$74+(g_ot-Sens!$F$74)*4/4</f>
        <v>0.05</v>
      </c>
      <c r="L74" s="12" t="n">
        <f aca="false">g_ot</f>
        <v>0.05</v>
      </c>
      <c r="M74" s="12" t="n">
        <f aca="false">g_ot</f>
        <v>0.05</v>
      </c>
      <c r="P74" s="8" t="s">
        <v>634</v>
      </c>
    </row>
    <row r="75" customFormat="false" ht="17.15" hidden="false" customHeight="false" outlineLevel="0" collapsed="false">
      <c r="A75" s="3" t="s">
        <v>635</v>
      </c>
      <c r="B75" s="8" t="s">
        <v>73</v>
      </c>
      <c r="C75" s="38" t="n">
        <f aca="false">Sens!$C$63+Sens!$C$65+Sens!$C$67+Sens!$C$69+Sens!$C$71+Sens!$C$73</f>
        <v>530.403</v>
      </c>
      <c r="D75" s="38" t="n">
        <f aca="false">Sens!$D$63+Sens!$D$65+Sens!$D$67+Sens!$D$69+Sens!$D$71+Sens!$D$73</f>
        <v>588.199</v>
      </c>
      <c r="E75" s="38" t="n">
        <f aca="false">Sens!$E$63+Sens!$E$65+Sens!$E$67+Sens!$E$69+Sens!$E$71+Sens!$E$73</f>
        <v>302.306</v>
      </c>
      <c r="F75" s="38" t="n">
        <f aca="false">Sens!$F$63+Sens!$F$65+Sens!$F$67+Sens!$F$69+Sens!$F$71+Sens!$F$73</f>
        <v>356.93642920843</v>
      </c>
      <c r="G75" s="38" t="n">
        <f aca="false">Sens!$G$63+Sens!$G$65+Sens!$G$67+Sens!$G$69+Sens!$G$71+Sens!$G$73</f>
        <v>659.24242920843</v>
      </c>
      <c r="H75" s="38" t="n">
        <f aca="false">Sens!$H$63+Sens!$H$65+Sens!$H$67+Sens!$H$69+Sens!$H$71+Sens!$H$73</f>
        <v>729.935737621701</v>
      </c>
      <c r="I75" s="38" t="n">
        <f aca="false">Sens!$I$63+Sens!$I$65+Sens!$I$67+Sens!$I$69+Sens!$I$71+Sens!$I$73</f>
        <v>798.295569697873</v>
      </c>
      <c r="J75" s="38" t="n">
        <f aca="false">Sens!$J$63+Sens!$J$65+Sens!$J$67+Sens!$J$69+Sens!$J$71+Sens!$J$73</f>
        <v>861.736822325785</v>
      </c>
      <c r="K75" s="38" t="n">
        <f aca="false">Sens!$K$63+Sens!$K$65+Sens!$K$67+Sens!$K$69+Sens!$K$71+Sens!$K$73</f>
        <v>917.557492101925</v>
      </c>
      <c r="L75" s="38" t="n">
        <f aca="false">Sens!$L$63+Sens!$L$65+Sens!$L$67+Sens!$L$69+Sens!$L$71+Sens!$L$73</f>
        <v>977.285089743165</v>
      </c>
      <c r="M75" s="38" t="n">
        <f aca="false">Sens!$M$63+Sens!$M$65+Sens!$M$67+Sens!$M$69+Sens!$M$71+Sens!$M$73</f>
        <v>1041.2140185435</v>
      </c>
      <c r="N75" s="38" t="n">
        <f aca="false">Sens!$N$63+Sens!$N$65+Sens!$N$67+Sens!$N$69+Sens!$N$71+Sens!$N$73</f>
        <v>263.229</v>
      </c>
      <c r="O75" s="38" t="n">
        <f aca="false">Sens!$O$63+Sens!$O$65+Sens!$O$67+Sens!$O$69+Sens!$O$71+Sens!$O$73</f>
        <v>324.97</v>
      </c>
    </row>
    <row r="76" customFormat="false" ht="17.15" hidden="false" customHeight="false" outlineLevel="0" collapsed="false">
      <c r="A76" s="5" t="s">
        <v>636</v>
      </c>
      <c r="B76" s="0" t="s">
        <v>52</v>
      </c>
      <c r="C76" s="12" t="n">
        <f aca="false">Q!$D$5/(Q!$D$5+Q!$D$6)</f>
        <v>0.730570905519011</v>
      </c>
      <c r="D76" s="12" t="n">
        <f aca="false">Q!$E$5/(Q!$E$5+Q!$E$6)</f>
        <v>0.724763217890544</v>
      </c>
      <c r="E76" s="12" t="n">
        <f aca="false">Q!$P$5/(Q!$P$5+Q!$P$6)</f>
        <v>0.728797972914861</v>
      </c>
      <c r="F76" s="12" t="n">
        <f aca="false">Sens!$O$76</f>
        <v>0.718066283041511</v>
      </c>
      <c r="G76" s="12" t="n">
        <f aca="false">Sens!$G$77/Sens!$G$75</f>
        <v>0.722987468473627</v>
      </c>
      <c r="H76" s="12" t="n">
        <f aca="false">Sens!$G$76</f>
        <v>0.722987468473627</v>
      </c>
      <c r="I76" s="12" t="n">
        <f aca="false">Sens!$G$76</f>
        <v>0.722987468473627</v>
      </c>
      <c r="J76" s="12" t="n">
        <f aca="false">Sens!$G$76</f>
        <v>0.722987468473627</v>
      </c>
      <c r="K76" s="12" t="n">
        <f aca="false">Sens!$G$76</f>
        <v>0.722987468473627</v>
      </c>
      <c r="L76" s="12" t="n">
        <f aca="false">Sens!$G$76</f>
        <v>0.722987468473627</v>
      </c>
      <c r="M76" s="12" t="n">
        <f aca="false">Sens!$G$76</f>
        <v>0.722987468473627</v>
      </c>
      <c r="N76" s="12" t="n">
        <f aca="false">Q!$N$5/(Q!$N$5+Q!$N$6)</f>
        <v>0.733030935041352</v>
      </c>
      <c r="O76" s="12" t="n">
        <f aca="false">Q!$O$5/(Q!$O$5+Q!$O$6)</f>
        <v>0.718066283041511</v>
      </c>
      <c r="P76" s="8" t="s">
        <v>637</v>
      </c>
    </row>
    <row r="77" customFormat="false" ht="17.15" hidden="false" customHeight="false" outlineLevel="0" collapsed="false">
      <c r="A77" s="1" t="s">
        <v>472</v>
      </c>
      <c r="B77" s="8" t="s">
        <v>73</v>
      </c>
      <c r="C77" s="38" t="n">
        <f aca="false">Q!$D$5</f>
        <v>387.497</v>
      </c>
      <c r="D77" s="38" t="n">
        <f aca="false">Q!$E$5</f>
        <v>426.305</v>
      </c>
      <c r="E77" s="38" t="n">
        <f aca="false">Q!$P$5</f>
        <v>220.32</v>
      </c>
      <c r="F77" s="38" t="n">
        <f aca="false">Sens!$F$75*Sens!$F$76</f>
        <v>256.304015003807</v>
      </c>
      <c r="G77" s="38" t="n">
        <f aca="false">Sens!$E$77+Sens!$F$77</f>
        <v>476.624015003807</v>
      </c>
      <c r="H77" s="38" t="n">
        <f aca="false">Sens!$H$75*Sens!$H$76</f>
        <v>527.734391091543</v>
      </c>
      <c r="I77" s="38" t="n">
        <f aca="false">Sens!$I$75*Sens!$I$76</f>
        <v>577.157693029577</v>
      </c>
      <c r="J77" s="38" t="n">
        <f aca="false">Sens!$J$75*Sens!$J$76</f>
        <v>623.024923663827</v>
      </c>
      <c r="K77" s="38" t="n">
        <f aca="false">Sens!$K$75*Sens!$K$76</f>
        <v>663.382568393781</v>
      </c>
      <c r="L77" s="38" t="n">
        <f aca="false">Sens!$L$75*Sens!$L$76</f>
        <v>706.564873010432</v>
      </c>
      <c r="M77" s="38" t="n">
        <f aca="false">Sens!$M$75*Sens!$M$76</f>
        <v>752.784687406019</v>
      </c>
      <c r="N77" s="38" t="n">
        <f aca="false">Q!$N$5</f>
        <v>192.955</v>
      </c>
      <c r="O77" s="38" t="n">
        <f aca="false">Q!$O$5</f>
        <v>233.35</v>
      </c>
      <c r="P77" s="5" t="s">
        <v>638</v>
      </c>
    </row>
    <row r="78" customFormat="false" ht="17.15" hidden="false" customHeight="false" outlineLevel="0" collapsed="false">
      <c r="A78" s="1" t="s">
        <v>475</v>
      </c>
      <c r="B78" s="8" t="s">
        <v>73</v>
      </c>
      <c r="C78" s="38" t="n">
        <f aca="false">Q!$D$6</f>
        <v>142.906</v>
      </c>
      <c r="D78" s="38" t="n">
        <f aca="false">Q!$E$6</f>
        <v>161.894</v>
      </c>
      <c r="E78" s="38" t="n">
        <f aca="false">Q!$P$6</f>
        <v>81.986</v>
      </c>
      <c r="F78" s="38" t="n">
        <f aca="false">Sens!$F$75*(1-Sens!$F$76)</f>
        <v>100.632414204623</v>
      </c>
      <c r="G78" s="38" t="n">
        <f aca="false">Sens!$E$78+Sens!$F$78</f>
        <v>182.618414204623</v>
      </c>
      <c r="H78" s="38" t="n">
        <f aca="false">Sens!$H$75*(1-Sens!$H$76)</f>
        <v>202.201346530158</v>
      </c>
      <c r="I78" s="38" t="n">
        <f aca="false">Sens!$I$75*(1-Sens!$I$76)</f>
        <v>221.137876668296</v>
      </c>
      <c r="J78" s="38" t="n">
        <f aca="false">Sens!$J$75*(1-Sens!$J$76)</f>
        <v>238.711898661958</v>
      </c>
      <c r="K78" s="38" t="n">
        <f aca="false">Sens!$K$75*(1-Sens!$K$76)</f>
        <v>254.174923708144</v>
      </c>
      <c r="L78" s="38" t="n">
        <f aca="false">Sens!$L$75*(1-Sens!$L$76)</f>
        <v>270.720216732733</v>
      </c>
      <c r="M78" s="38" t="n">
        <f aca="false">Sens!$M$75*(1-Sens!$M$76)</f>
        <v>288.429331137484</v>
      </c>
      <c r="N78" s="38" t="n">
        <f aca="false">Q!$N$6</f>
        <v>70.274</v>
      </c>
      <c r="O78" s="38" t="n">
        <f aca="false">Q!$O$6</f>
        <v>91.62</v>
      </c>
      <c r="P78" s="5" t="s">
        <v>639</v>
      </c>
    </row>
    <row r="79" customFormat="false" ht="17.15" hidden="false" customHeight="false" outlineLevel="0" collapsed="false">
      <c r="A79" s="5" t="s">
        <v>640</v>
      </c>
      <c r="B79" s="0" t="s">
        <v>73</v>
      </c>
      <c r="C79" s="38" t="n">
        <f aca="false">Sens!$C$69*Sens!$C$76</f>
        <v>41.0683128828457</v>
      </c>
      <c r="D79" s="38" t="n">
        <f aca="false">Sens!$D$69*Sens!$D$76</f>
        <v>49.7441234599175</v>
      </c>
      <c r="E79" s="38" t="n">
        <f aca="false">Sens!$E$69*Sens!$E$76</f>
        <v>27.0034224924414</v>
      </c>
      <c r="F79" s="38" t="n">
        <f aca="false">Sens!$F$69*Sens!$F$76</f>
        <v>34.5772885649197</v>
      </c>
      <c r="G79" s="38" t="n">
        <f aca="false">Sens!$G$69*Sens!$G$76</f>
        <v>61.6023917531772</v>
      </c>
      <c r="H79" s="38" t="n">
        <f aca="false">Sens!$H$69*Sens!$H$76</f>
        <v>73.9568187320519</v>
      </c>
      <c r="I79" s="38" t="n">
        <f aca="false">Sens!$I$69*Sens!$I$76</f>
        <v>86.3101265625461</v>
      </c>
      <c r="J79" s="38" t="n">
        <f aca="false">Sens!$J$69*Sens!$J$76</f>
        <v>97.8339983977065</v>
      </c>
      <c r="K79" s="38" t="n">
        <f aca="false">Sens!$K$69*Sens!$K$76</f>
        <v>107.617398237477</v>
      </c>
      <c r="L79" s="38" t="n">
        <f aca="false">Sens!$L$69*Sens!$L$76</f>
        <v>118.379138061225</v>
      </c>
      <c r="M79" s="38" t="n">
        <f aca="false">Sens!$M$69*Sens!$M$76</f>
        <v>130.217051867347</v>
      </c>
      <c r="N79" s="38" t="n">
        <f aca="false">Sens!$N$69*Sens!$N$76</f>
        <v>21.7087111412496</v>
      </c>
      <c r="O79" s="38" t="n">
        <f aca="false">Sens!$O$69*Sens!$O$76</f>
        <v>28.0189463642798</v>
      </c>
      <c r="P79" s="5" t="s">
        <v>641</v>
      </c>
    </row>
    <row r="80" customFormat="false" ht="15" hidden="false" customHeight="false" outlineLevel="0" collapsed="false">
      <c r="A80" s="5" t="s">
        <v>642</v>
      </c>
      <c r="B80" s="0" t="s">
        <v>73</v>
      </c>
      <c r="C80" s="38" t="n">
        <f aca="false">Sens!$C$69-Sens!$C$79</f>
        <v>15.1456871171543</v>
      </c>
      <c r="D80" s="38" t="n">
        <f aca="false">Sens!$D$69-Sens!$D$79</f>
        <v>18.8908765400825</v>
      </c>
      <c r="E80" s="38" t="n">
        <f aca="false">Sens!$E$69-Sens!$E$79</f>
        <v>10.0485775075586</v>
      </c>
      <c r="F80" s="38" t="n">
        <f aca="false">Sens!$F$69-Sens!$F$79</f>
        <v>13.5760496178185</v>
      </c>
      <c r="G80" s="38" t="n">
        <f aca="false">Sens!$G$69-Sens!$G$79</f>
        <v>23.6029464295611</v>
      </c>
      <c r="H80" s="38" t="n">
        <f aca="false">Sens!$H$69-Sens!$H$79</f>
        <v>28.3365431268884</v>
      </c>
      <c r="I80" s="38" t="n">
        <f aca="false">Sens!$I$69-Sens!$I$79</f>
        <v>33.0697110226949</v>
      </c>
      <c r="J80" s="38" t="n">
        <f aca="false">Sens!$J$69-Sens!$J$79</f>
        <v>37.4850806511378</v>
      </c>
      <c r="K80" s="38" t="n">
        <f aca="false">Sens!$K$69-Sens!$K$79</f>
        <v>41.2335887162515</v>
      </c>
      <c r="L80" s="38" t="n">
        <f aca="false">Sens!$L$69-Sens!$L$79</f>
        <v>45.3569475878767</v>
      </c>
      <c r="M80" s="38" t="n">
        <f aca="false">Sens!$M$69-Sens!$M$79</f>
        <v>49.8926423466644</v>
      </c>
      <c r="N80" s="38" t="n">
        <f aca="false">Sens!$N$69-Sens!$N$79</f>
        <v>7.90628885875037</v>
      </c>
      <c r="O80" s="38" t="n">
        <f aca="false">Sens!$O$69-Sens!$O$79</f>
        <v>11.0010536357202</v>
      </c>
    </row>
    <row r="81" customFormat="false" ht="19.4" hidden="false" customHeight="false" outlineLevel="0" collapsed="false">
      <c r="A81" s="31" t="s">
        <v>1046</v>
      </c>
    </row>
    <row r="82" customFormat="false" ht="17.15" hidden="false" customHeight="false" outlineLevel="0" collapsed="false">
      <c r="A82" s="6" t="s">
        <v>16</v>
      </c>
      <c r="B82" s="6" t="s">
        <v>17</v>
      </c>
      <c r="C82" s="20" t="s">
        <v>457</v>
      </c>
      <c r="D82" s="20" t="s">
        <v>458</v>
      </c>
      <c r="E82" s="20" t="s">
        <v>540</v>
      </c>
      <c r="F82" s="20" t="s">
        <v>541</v>
      </c>
      <c r="G82" s="20" t="s">
        <v>542</v>
      </c>
      <c r="H82" s="20" t="s">
        <v>543</v>
      </c>
      <c r="I82" s="20" t="s">
        <v>544</v>
      </c>
      <c r="J82" s="20" t="s">
        <v>545</v>
      </c>
      <c r="K82" s="20" t="s">
        <v>546</v>
      </c>
      <c r="L82" s="20" t="s">
        <v>547</v>
      </c>
      <c r="M82" s="20" t="s">
        <v>548</v>
      </c>
      <c r="N82" s="20" t="s">
        <v>549</v>
      </c>
      <c r="O82" s="20" t="s">
        <v>550</v>
      </c>
      <c r="P82" s="6" t="s">
        <v>23</v>
      </c>
      <c r="R82" s="20" t="n">
        <v>2023</v>
      </c>
      <c r="S82" s="20" t="n">
        <v>2024</v>
      </c>
      <c r="T82" s="20" t="n">
        <v>2025</v>
      </c>
      <c r="U82" s="20" t="n">
        <v>2026</v>
      </c>
      <c r="V82" s="20" t="n">
        <v>2027</v>
      </c>
      <c r="W82" s="20" t="n">
        <v>2028</v>
      </c>
      <c r="X82" s="20" t="n">
        <v>2029</v>
      </c>
      <c r="Y82" s="20" t="n">
        <v>2030</v>
      </c>
      <c r="Z82" s="20" t="n">
        <v>2031</v>
      </c>
      <c r="AA82" s="20" t="n">
        <v>2032</v>
      </c>
    </row>
    <row r="83" customFormat="false" ht="17.15" hidden="false" customHeight="false" outlineLevel="0" collapsed="false">
      <c r="A83" s="1" t="s">
        <v>551</v>
      </c>
    </row>
    <row r="84" customFormat="false" ht="17.15" hidden="false" customHeight="false" outlineLevel="0" collapsed="false">
      <c r="A84" s="14" t="s">
        <v>552</v>
      </c>
      <c r="B84" s="13" t="s">
        <v>108</v>
      </c>
      <c r="C84" s="32" t="n">
        <f aca="false">mw_ye24</f>
        <v>360</v>
      </c>
      <c r="D84" s="32" t="n">
        <f aca="false">mw_ye25</f>
        <v>1440</v>
      </c>
      <c r="E84" s="32" t="n">
        <f aca="false">mw_open</f>
        <v>2080</v>
      </c>
      <c r="F84" s="32" t="n">
        <f aca="false">Sens!$E$84+pace_B*0.5</f>
        <v>3897.15</v>
      </c>
      <c r="G84" s="32" t="n">
        <f aca="false">Sens!$F$84</f>
        <v>3897.15</v>
      </c>
      <c r="H84" s="32" t="n">
        <f aca="false">Sens!$G$84+pace_B</f>
        <v>7531.45</v>
      </c>
      <c r="I84" s="32" t="n">
        <f aca="false">Sens!$H$84+pace_B</f>
        <v>11165.75</v>
      </c>
      <c r="J84" s="32" t="n">
        <f aca="false">Sens!$I$84+pace_B</f>
        <v>14800.05</v>
      </c>
      <c r="K84" s="32" t="n">
        <f aca="false">Sens!$J$84+pace_B</f>
        <v>18434.35</v>
      </c>
      <c r="L84" s="32" t="n">
        <f aca="false">Sens!$K$84+pace_B</f>
        <v>22068.65</v>
      </c>
      <c r="M84" s="32" t="n">
        <f aca="false">Sens!$L$84+pace_B</f>
        <v>25702.95</v>
      </c>
      <c r="N84" s="32" t="n">
        <f aca="false">(mw_ye24+mw_ye25)/2</f>
        <v>900</v>
      </c>
      <c r="O84" s="32" t="n">
        <f aca="false">mw_ye25</f>
        <v>1440</v>
      </c>
      <c r="P84" s="5" t="s">
        <v>553</v>
      </c>
    </row>
    <row r="85" customFormat="false" ht="17.15" hidden="false" customHeight="false" outlineLevel="0" collapsed="false">
      <c r="A85" s="5" t="s">
        <v>554</v>
      </c>
      <c r="B85" s="0" t="s">
        <v>108</v>
      </c>
      <c r="C85" s="33" t="n">
        <f aca="false">(mw_ye23+mw_ye24)/2</f>
        <v>240</v>
      </c>
      <c r="D85" s="33" t="n">
        <f aca="false">(Sens!$C$84+Sens!$D$84)/2</f>
        <v>900</v>
      </c>
      <c r="E85" s="33" t="n">
        <f aca="false">(Sens!$D$84+Sens!$E$84)/2</f>
        <v>1760</v>
      </c>
      <c r="F85" s="33" t="n">
        <f aca="false">(Sens!$E$84+Sens!$F$84)/2</f>
        <v>2988.575</v>
      </c>
      <c r="G85" s="33" t="n">
        <f aca="false">(Sens!$E$85+Sens!$F$85)/2</f>
        <v>2374.2875</v>
      </c>
      <c r="H85" s="33" t="n">
        <f aca="false">(Sens!$G$84+Sens!$H$84)/2</f>
        <v>5714.3</v>
      </c>
      <c r="I85" s="33" t="n">
        <f aca="false">(Sens!$H$84+Sens!$I$84)/2</f>
        <v>9348.6</v>
      </c>
      <c r="J85" s="33" t="n">
        <f aca="false">(Sens!$I$84+Sens!$J$84)/2</f>
        <v>12982.9</v>
      </c>
      <c r="K85" s="33" t="n">
        <f aca="false">(Sens!$J$84+Sens!$K$84)/2</f>
        <v>16617.2</v>
      </c>
      <c r="L85" s="33" t="n">
        <f aca="false">(Sens!$K$84+Sens!$L$84)/2</f>
        <v>20251.5</v>
      </c>
      <c r="M85" s="33" t="n">
        <f aca="false">(Sens!$L$84+Sens!$M$84)/2</f>
        <v>23885.8</v>
      </c>
      <c r="N85" s="33" t="n">
        <f aca="false">(Sens!$C$84+Sens!$N$84)/2</f>
        <v>630</v>
      </c>
      <c r="O85" s="33" t="n">
        <f aca="false">(Sens!$N$84+Sens!$O$84)/2</f>
        <v>1170</v>
      </c>
    </row>
    <row r="86" customFormat="false" ht="15" hidden="false" customHeight="false" outlineLevel="0" collapsed="false">
      <c r="A86" s="5" t="s">
        <v>555</v>
      </c>
      <c r="B86" s="5" t="s">
        <v>102</v>
      </c>
      <c r="C86" s="34" t="n">
        <v>1</v>
      </c>
      <c r="D86" s="34" t="n">
        <v>1</v>
      </c>
      <c r="E86" s="34" t="n">
        <v>0.5</v>
      </c>
      <c r="F86" s="34" t="n">
        <v>0.5</v>
      </c>
      <c r="G86" s="34" t="n">
        <v>1</v>
      </c>
      <c r="H86" s="34" t="n">
        <v>1</v>
      </c>
      <c r="I86" s="34" t="n">
        <v>1</v>
      </c>
      <c r="J86" s="34" t="n">
        <v>1</v>
      </c>
      <c r="K86" s="34" t="n">
        <v>1</v>
      </c>
      <c r="L86" s="34" t="n">
        <v>1</v>
      </c>
      <c r="M86" s="34" t="n">
        <v>1</v>
      </c>
      <c r="N86" s="34" t="n">
        <v>0.5</v>
      </c>
      <c r="O86" s="34" t="n">
        <v>0.5</v>
      </c>
    </row>
    <row r="87" customFormat="false" ht="17.15" hidden="false" customHeight="false" outlineLevel="0" collapsed="false">
      <c r="A87" s="5" t="s">
        <v>556</v>
      </c>
      <c r="B87" s="0" t="s">
        <v>108</v>
      </c>
      <c r="C87" s="33" t="n">
        <f aca="false">Sens!$C$84-mw_ye23</f>
        <v>240</v>
      </c>
      <c r="D87" s="33" t="n">
        <f aca="false">Sens!$D$84-Sens!$C$84</f>
        <v>1080</v>
      </c>
      <c r="E87" s="33" t="n">
        <f aca="false">Sens!$E$84-Sens!$D$84</f>
        <v>640</v>
      </c>
      <c r="F87" s="33" t="n">
        <f aca="false">Sens!$F$84-Sens!$E$84</f>
        <v>1817.15</v>
      </c>
      <c r="G87" s="33" t="n">
        <f aca="false">Sens!$E$87+Sens!$F$87</f>
        <v>2457.15</v>
      </c>
      <c r="H87" s="33" t="n">
        <f aca="false">Sens!$H$84-Sens!$G$84</f>
        <v>3634.3</v>
      </c>
      <c r="I87" s="33" t="n">
        <f aca="false">Sens!$I$84-Sens!$H$84</f>
        <v>3634.3</v>
      </c>
      <c r="J87" s="33" t="n">
        <f aca="false">Sens!$J$84-Sens!$I$84</f>
        <v>3634.3</v>
      </c>
      <c r="K87" s="33" t="n">
        <f aca="false">Sens!$K$84-Sens!$J$84</f>
        <v>3634.3</v>
      </c>
      <c r="L87" s="33" t="n">
        <f aca="false">Sens!$L$84-Sens!$K$84</f>
        <v>3634.3</v>
      </c>
      <c r="M87" s="33" t="n">
        <f aca="false">Sens!$M$84-Sens!$L$84</f>
        <v>3634.3</v>
      </c>
      <c r="N87" s="33" t="n">
        <f aca="false">Sens!$N$84-Sens!$C$84</f>
        <v>540</v>
      </c>
      <c r="O87" s="33" t="n">
        <f aca="false">Sens!$O$84-Sens!$N$84</f>
        <v>540</v>
      </c>
    </row>
    <row r="88" customFormat="false" ht="17.15" hidden="false" customHeight="false" outlineLevel="0" collapsed="false">
      <c r="A88" s="5" t="s">
        <v>557</v>
      </c>
      <c r="B88" s="0" t="s">
        <v>108</v>
      </c>
      <c r="C88" s="33" t="n">
        <f aca="false">Sens!$C$87/ext_sh</f>
        <v>300</v>
      </c>
      <c r="D88" s="33" t="n">
        <f aca="false">Sens!$D$87/ext_sh</f>
        <v>1350</v>
      </c>
      <c r="E88" s="33" t="n">
        <f aca="false">Sens!$E$87/ext_sh</f>
        <v>800</v>
      </c>
      <c r="F88" s="33" t="n">
        <f aca="false">Sens!$F$87/ext_sh</f>
        <v>2271.4375</v>
      </c>
      <c r="G88" s="33" t="n">
        <f aca="false">Sens!$G$87/ext_sh</f>
        <v>3071.4375</v>
      </c>
      <c r="H88" s="33" t="n">
        <f aca="false">Sens!$H$87/ext_sh</f>
        <v>4542.875</v>
      </c>
      <c r="I88" s="33" t="n">
        <f aca="false">Sens!$I$87/ext_sh</f>
        <v>4542.875</v>
      </c>
      <c r="J88" s="33" t="n">
        <f aca="false">Sens!$J$87/ext_sh</f>
        <v>4542.875</v>
      </c>
      <c r="K88" s="33" t="n">
        <f aca="false">Sens!$K$87/ext_sh</f>
        <v>4542.875</v>
      </c>
      <c r="L88" s="33" t="n">
        <f aca="false">Sens!$L$87/ext_sh</f>
        <v>4542.875</v>
      </c>
      <c r="M88" s="33" t="n">
        <f aca="false">Sens!$M$87/ext_sh</f>
        <v>4542.875</v>
      </c>
      <c r="N88" s="33" t="n">
        <f aca="false">Sens!$N$87/ext_sh</f>
        <v>675</v>
      </c>
      <c r="O88" s="33" t="n">
        <f aca="false">Sens!$O$87/ext_sh</f>
        <v>675</v>
      </c>
      <c r="P88" s="8" t="s">
        <v>558</v>
      </c>
      <c r="R88" s="33" t="n">
        <f aca="false">mw_ye23/ext_sh</f>
        <v>150</v>
      </c>
      <c r="S88" s="33" t="n">
        <f aca="false">Sens!$C$88</f>
        <v>300</v>
      </c>
      <c r="T88" s="33" t="n">
        <f aca="false">Sens!$D$88</f>
        <v>1350</v>
      </c>
      <c r="U88" s="33" t="n">
        <f aca="false">Sens!$G$88</f>
        <v>3071.4375</v>
      </c>
      <c r="V88" s="33" t="n">
        <f aca="false">Sens!$H$88</f>
        <v>4542.875</v>
      </c>
      <c r="W88" s="33" t="n">
        <f aca="false">Sens!$I$88</f>
        <v>4542.875</v>
      </c>
      <c r="X88" s="33" t="n">
        <f aca="false">Sens!$J$88</f>
        <v>4542.875</v>
      </c>
      <c r="Y88" s="33" t="n">
        <f aca="false">Sens!$K$88</f>
        <v>4542.875</v>
      </c>
      <c r="Z88" s="33" t="n">
        <f aca="false">Sens!$L$88</f>
        <v>4542.875</v>
      </c>
      <c r="AA88" s="33" t="n">
        <f aca="false">Sens!$M$88</f>
        <v>4542.875</v>
      </c>
    </row>
    <row r="89" customFormat="false" ht="17.15" hidden="false" customHeight="false" outlineLevel="0" collapsed="false">
      <c r="A89" s="1" t="s">
        <v>559</v>
      </c>
    </row>
    <row r="90" customFormat="false" ht="17.15" hidden="false" customHeight="false" outlineLevel="0" collapsed="false">
      <c r="A90" s="0" t="s">
        <v>560</v>
      </c>
      <c r="B90" s="0" t="s">
        <v>52</v>
      </c>
      <c r="F90" s="35" t="n">
        <f aca="false">na_vr26</f>
        <v>0</v>
      </c>
      <c r="G90" s="35" t="n">
        <f aca="false">na_vr26</f>
        <v>0</v>
      </c>
      <c r="H90" s="35" t="n">
        <f aca="false">na_vr27</f>
        <v>0.5</v>
      </c>
      <c r="I90" s="35" t="n">
        <f aca="false">na_vr28</f>
        <v>1</v>
      </c>
      <c r="J90" s="35" t="n">
        <f aca="false">na_vr28</f>
        <v>1</v>
      </c>
      <c r="K90" s="35" t="n">
        <f aca="false">na_vr28</f>
        <v>1</v>
      </c>
      <c r="L90" s="35" t="n">
        <f aca="false">na_vr28</f>
        <v>1</v>
      </c>
      <c r="M90" s="35" t="n">
        <f aca="false">na_vr28</f>
        <v>1</v>
      </c>
    </row>
    <row r="91" customFormat="false" ht="17.15" hidden="false" customHeight="false" outlineLevel="0" collapsed="false">
      <c r="A91" s="5" t="s">
        <v>561</v>
      </c>
      <c r="B91" s="0" t="s">
        <v>151</v>
      </c>
      <c r="F91" s="36" t="n">
        <f aca="false">cust_sh*tk_he_gb300*cf_chip+(1-cust_sh)*((1-Sens!$F$90)*tk_he_gb300+Sens!$F$90*tk_he_vr200)</f>
        <v>10.8864110021101</v>
      </c>
      <c r="G91" s="36" t="n">
        <f aca="false">cust_sh*tk_he_gb300*cf_chip+(1-cust_sh)*((1-Sens!$G$90)*tk_he_gb300+Sens!$G$90*tk_he_vr200)</f>
        <v>10.8864110021101</v>
      </c>
      <c r="H91" s="36" t="n">
        <f aca="false">cust_sh*tk_he_gb300*cf_chip+(1-cust_sh)*((1-Sens!$H$90)*tk_he_gb300+Sens!$H$90*tk_he_vr200)</f>
        <v>11.2211760027286</v>
      </c>
      <c r="I91" s="36" t="n">
        <f aca="false">cust_sh*tk_he_gb300*cf_chip+(1-cust_sh)*((1-Sens!$I$90)*tk_he_gb300+Sens!$I$90*tk_he_vr200)</f>
        <v>11.5559410033471</v>
      </c>
      <c r="J91" s="36" t="n">
        <f aca="false">cust_sh*tk_he_gb300*cf_chip+(1-cust_sh)*((1-Sens!$J$90)*tk_he_gb300+Sens!$J$90*tk_he_vr200)</f>
        <v>11.5559410033471</v>
      </c>
      <c r="K91" s="36" t="n">
        <f aca="false">cust_sh*tk_he_gb300*cf_chip+(1-cust_sh)*((1-Sens!$K$90)*tk_he_gb300+Sens!$K$90*tk_he_vr200)</f>
        <v>11.5559410033471</v>
      </c>
      <c r="L91" s="36" t="n">
        <f aca="false">cust_sh*tk_he_gb300*cf_chip+(1-cust_sh)*((1-Sens!$L$90)*tk_he_gb300+Sens!$L$90*tk_he_vr200)</f>
        <v>11.5559410033471</v>
      </c>
      <c r="M91" s="36" t="n">
        <f aca="false">cust_sh*tk_he_gb300*cf_chip+(1-cust_sh)*((1-Sens!$M$90)*tk_he_gb300+Sens!$M$90*tk_he_vr200)</f>
        <v>11.5559410033471</v>
      </c>
    </row>
    <row r="92" customFormat="false" ht="17.15" hidden="false" customHeight="false" outlineLevel="0" collapsed="false">
      <c r="A92" s="5" t="s">
        <v>562</v>
      </c>
      <c r="B92" s="0" t="s">
        <v>151</v>
      </c>
      <c r="F92" s="36" t="n">
        <f aca="false">cust_sh*tk_ox_gb300+(1-cust_sh)*((1-Sens!$F$90)*tk_ox_gb300+Sens!$F$90*tk_ox_vr200)</f>
        <v>1.98263481314457</v>
      </c>
      <c r="G92" s="36" t="n">
        <f aca="false">cust_sh*tk_ox_gb300+(1-cust_sh)*((1-Sens!$G$90)*tk_ox_gb300+Sens!$G$90*tk_ox_vr200)</f>
        <v>1.98263481314457</v>
      </c>
      <c r="H92" s="36" t="n">
        <f aca="false">cust_sh*tk_ox_gb300+(1-cust_sh)*((1-Sens!$H$90)*tk_ox_gb300+Sens!$H$90*tk_ox_vr200)</f>
        <v>2.01034999693694</v>
      </c>
      <c r="I92" s="36" t="n">
        <f aca="false">cust_sh*tk_ox_gb300+(1-cust_sh)*((1-Sens!$I$90)*tk_ox_gb300+Sens!$I$90*tk_ox_vr200)</f>
        <v>2.0380651807293</v>
      </c>
      <c r="J92" s="36" t="n">
        <f aca="false">cust_sh*tk_ox_gb300+(1-cust_sh)*((1-Sens!$J$90)*tk_ox_gb300+Sens!$J$90*tk_ox_vr200)</f>
        <v>2.0380651807293</v>
      </c>
      <c r="K92" s="36" t="n">
        <f aca="false">cust_sh*tk_ox_gb300+(1-cust_sh)*((1-Sens!$K$90)*tk_ox_gb300+Sens!$K$90*tk_ox_vr200)</f>
        <v>2.0380651807293</v>
      </c>
      <c r="L92" s="36" t="n">
        <f aca="false">cust_sh*tk_ox_gb300+(1-cust_sh)*((1-Sens!$L$90)*tk_ox_gb300+Sens!$L$90*tk_ox_vr200)</f>
        <v>2.0380651807293</v>
      </c>
      <c r="M92" s="36" t="n">
        <f aca="false">cust_sh*tk_ox_gb300+(1-cust_sh)*((1-Sens!$M$90)*tk_ox_gb300+Sens!$M$90*tk_ox_vr200)</f>
        <v>2.0380651807293</v>
      </c>
    </row>
    <row r="93" customFormat="false" ht="17.15" hidden="false" customHeight="false" outlineLevel="0" collapsed="false">
      <c r="A93" s="5" t="s">
        <v>563</v>
      </c>
      <c r="B93" s="0" t="s">
        <v>170</v>
      </c>
      <c r="F93" s="36" t="n">
        <f aca="false">cust_sh*tk_cx_gb300*cf_cx+(1-cust_sh)*((1-Sens!$F$90)*tk_cx_gb300+Sens!$F$90*tk_cx_vr200)</f>
        <v>32.237224</v>
      </c>
      <c r="G93" s="36" t="n">
        <f aca="false">cust_sh*tk_cx_gb300*cf_cx+(1-cust_sh)*((1-Sens!$G$90)*tk_cx_gb300+Sens!$G$90*tk_cx_vr200)</f>
        <v>32.237224</v>
      </c>
      <c r="H93" s="36" t="n">
        <f aca="false">cust_sh*tk_cx_gb300*cf_cx+(1-cust_sh)*((1-Sens!$H$90)*tk_cx_gb300+Sens!$H$90*tk_cx_vr200)</f>
        <v>33.574506</v>
      </c>
      <c r="I93" s="36" t="n">
        <f aca="false">cust_sh*tk_cx_gb300*cf_cx+(1-cust_sh)*((1-Sens!$I$90)*tk_cx_gb300+Sens!$I$90*tk_cx_vr200)</f>
        <v>34.911788</v>
      </c>
      <c r="J93" s="36" t="n">
        <f aca="false">cust_sh*tk_cx_gb300*cf_cx+(1-cust_sh)*((1-Sens!$J$90)*tk_cx_gb300+Sens!$J$90*tk_cx_vr200)</f>
        <v>34.911788</v>
      </c>
      <c r="K93" s="36" t="n">
        <f aca="false">cust_sh*tk_cx_gb300*cf_cx+(1-cust_sh)*((1-Sens!$K$90)*tk_cx_gb300+Sens!$K$90*tk_cx_vr200)</f>
        <v>34.911788</v>
      </c>
      <c r="L93" s="36" t="n">
        <f aca="false">cust_sh*tk_cx_gb300*cf_cx+(1-cust_sh)*((1-Sens!$L$90)*tk_cx_gb300+Sens!$L$90*tk_cx_vr200)</f>
        <v>34.911788</v>
      </c>
      <c r="M93" s="36" t="n">
        <f aca="false">cust_sh*tk_cx_gb300*cf_cx+(1-cust_sh)*((1-Sens!$M$90)*tk_cx_gb300+Sens!$M$90*tk_cx_vr200)</f>
        <v>34.911788</v>
      </c>
    </row>
    <row r="94" customFormat="false" ht="17.15" hidden="false" customHeight="false" outlineLevel="0" collapsed="false">
      <c r="A94" s="5" t="s">
        <v>564</v>
      </c>
      <c r="B94" s="0" t="s">
        <v>108</v>
      </c>
      <c r="F94" s="33" t="n">
        <f aca="false">Sens!$F$84-mw_open</f>
        <v>1817.15</v>
      </c>
      <c r="G94" s="33" t="n">
        <f aca="false">Sens!$F$94</f>
        <v>1817.15</v>
      </c>
      <c r="H94" s="33" t="n">
        <f aca="false">Sens!$H$84-mw_open</f>
        <v>5451.45</v>
      </c>
      <c r="I94" s="33" t="n">
        <f aca="false">Sens!$I$84-mw_open</f>
        <v>9085.75</v>
      </c>
      <c r="J94" s="33" t="n">
        <f aca="false">Sens!$J$84-mw_open</f>
        <v>12720.05</v>
      </c>
      <c r="K94" s="33" t="n">
        <f aca="false">Sens!$K$84-mw_open</f>
        <v>16354.35</v>
      </c>
      <c r="L94" s="33" t="n">
        <f aca="false">Sens!$L$84-mw_open</f>
        <v>19988.65</v>
      </c>
      <c r="M94" s="33" t="n">
        <f aca="false">Sens!$M$84-mw_open</f>
        <v>23622.95</v>
      </c>
    </row>
    <row r="95" customFormat="false" ht="17.15" hidden="false" customHeight="false" outlineLevel="0" collapsed="false">
      <c r="A95" s="0" t="s">
        <v>565</v>
      </c>
      <c r="B95" s="0" t="s">
        <v>566</v>
      </c>
      <c r="F95" s="33" t="n">
        <f aca="false">Sens!$F$87*Sens!$F$91</f>
        <v>19782.2417524844</v>
      </c>
      <c r="G95" s="33" t="n">
        <f aca="false">Sens!$F$95</f>
        <v>19782.2417524844</v>
      </c>
      <c r="H95" s="33" t="n">
        <f aca="false">Sens!$G$95+Sens!$H$87*Sens!$H$91</f>
        <v>60563.3616992009</v>
      </c>
      <c r="I95" s="33" t="n">
        <f aca="false">Sens!$H$95+Sens!$I$87*Sens!$I$91</f>
        <v>102561.118087665</v>
      </c>
      <c r="J95" s="33" t="n">
        <f aca="false">Sens!$I$95+Sens!$J$87*Sens!$J$91</f>
        <v>144558.87447613</v>
      </c>
      <c r="K95" s="33" t="n">
        <f aca="false">Sens!$J$95+Sens!$K$87*Sens!$K$91</f>
        <v>186556.630864594</v>
      </c>
      <c r="L95" s="33" t="n">
        <f aca="false">Sens!$K$95+Sens!$L$87*Sens!$L$91</f>
        <v>228554.387253058</v>
      </c>
      <c r="M95" s="33" t="n">
        <f aca="false">Sens!$L$95+Sens!$M$87*Sens!$M$91</f>
        <v>270552.143641523</v>
      </c>
    </row>
    <row r="96" customFormat="false" ht="17.15" hidden="false" customHeight="false" outlineLevel="0" collapsed="false">
      <c r="A96" s="0" t="s">
        <v>567</v>
      </c>
      <c r="B96" s="0" t="s">
        <v>566</v>
      </c>
      <c r="F96" s="33" t="n">
        <f aca="false">Sens!$F$87*Sens!$F$92</f>
        <v>3602.74485070566</v>
      </c>
      <c r="G96" s="33" t="n">
        <f aca="false">Sens!$F$96</f>
        <v>3602.74485070566</v>
      </c>
      <c r="H96" s="33" t="n">
        <f aca="false">Sens!$G$96+Sens!$H$87*Sens!$H$92</f>
        <v>10908.9598445736</v>
      </c>
      <c r="I96" s="33" t="n">
        <f aca="false">Sens!$H$96+Sens!$I$87*Sens!$I$92</f>
        <v>18315.9001308981</v>
      </c>
      <c r="J96" s="33" t="n">
        <f aca="false">Sens!$I$96+Sens!$J$87*Sens!$J$92</f>
        <v>25722.8404172225</v>
      </c>
      <c r="K96" s="33" t="n">
        <f aca="false">Sens!$J$96+Sens!$K$87*Sens!$K$92</f>
        <v>33129.780703547</v>
      </c>
      <c r="L96" s="33" t="n">
        <f aca="false">Sens!$K$96+Sens!$L$87*Sens!$L$92</f>
        <v>40536.7209898715</v>
      </c>
      <c r="M96" s="33" t="n">
        <f aca="false">Sens!$L$96+Sens!$M$87*Sens!$M$92</f>
        <v>47943.661276196</v>
      </c>
    </row>
    <row r="97" customFormat="false" ht="17.15" hidden="false" customHeight="false" outlineLevel="0" collapsed="false">
      <c r="A97" s="5" t="s">
        <v>568</v>
      </c>
      <c r="B97" s="0" t="s">
        <v>151</v>
      </c>
      <c r="F97" s="36" t="n">
        <f aca="false">IF(Sens!$F$94&gt;0,Sens!$F$95/Sens!$F$94,Sens!$F$91)</f>
        <v>10.8864110021101</v>
      </c>
      <c r="G97" s="36" t="n">
        <f aca="false">IF(Sens!$G$94&gt;0,Sens!$G$95/Sens!$G$94,Sens!$G$91)</f>
        <v>10.8864110021101</v>
      </c>
      <c r="H97" s="36" t="n">
        <f aca="false">IF(Sens!$H$94&gt;0,Sens!$H$95/Sens!$H$94,Sens!$H$91)</f>
        <v>11.1095876691891</v>
      </c>
      <c r="I97" s="36" t="n">
        <f aca="false">IF(Sens!$I$94&gt;0,Sens!$I$95/Sens!$I$94,Sens!$I$91)</f>
        <v>11.2881290028523</v>
      </c>
      <c r="J97" s="36" t="n">
        <f aca="false">IF(Sens!$J$94&gt;0,Sens!$J$95/Sens!$J$94,Sens!$J$91)</f>
        <v>11.3646467172794</v>
      </c>
      <c r="K97" s="36" t="n">
        <f aca="false">IF(Sens!$K$94&gt;0,Sens!$K$95/Sens!$K$94,Sens!$K$91)</f>
        <v>11.4071565586278</v>
      </c>
      <c r="L97" s="36" t="n">
        <f aca="false">IF(Sens!$L$94&gt;0,Sens!$L$95/Sens!$L$94,Sens!$L$91)</f>
        <v>11.4342082758495</v>
      </c>
      <c r="M97" s="36" t="n">
        <f aca="false">IF(Sens!$M$94&gt;0,Sens!$M$95/Sens!$M$94,Sens!$M$91)</f>
        <v>11.4529363877722</v>
      </c>
    </row>
    <row r="98" customFormat="false" ht="17.15" hidden="false" customHeight="false" outlineLevel="0" collapsed="false">
      <c r="A98" s="5" t="s">
        <v>569</v>
      </c>
      <c r="B98" s="0" t="s">
        <v>151</v>
      </c>
      <c r="F98" s="36" t="n">
        <f aca="false">IF(Sens!$F$94&gt;0,Sens!$F$96/Sens!$F$94,Sens!$F$92)</f>
        <v>1.98263481314457</v>
      </c>
      <c r="G98" s="36" t="n">
        <f aca="false">IF(Sens!$G$94&gt;0,Sens!$G$96/Sens!$G$94,Sens!$G$92)</f>
        <v>1.98263481314457</v>
      </c>
      <c r="H98" s="36" t="n">
        <f aca="false">IF(Sens!$H$94&gt;0,Sens!$H$96/Sens!$H$94,Sens!$H$92)</f>
        <v>2.00111160233948</v>
      </c>
      <c r="I98" s="36" t="n">
        <f aca="false">IF(Sens!$I$94&gt;0,Sens!$I$96/Sens!$I$94,Sens!$I$92)</f>
        <v>2.01589303369541</v>
      </c>
      <c r="J98" s="36" t="n">
        <f aca="false">IF(Sens!$J$94&gt;0,Sens!$J$96/Sens!$J$94,Sens!$J$92)</f>
        <v>2.02222793284795</v>
      </c>
      <c r="K98" s="36" t="n">
        <f aca="false">IF(Sens!$K$94&gt;0,Sens!$K$96/Sens!$K$94,Sens!$K$92)</f>
        <v>2.02574732126603</v>
      </c>
      <c r="L98" s="36" t="n">
        <f aca="false">IF(Sens!$L$94&gt;0,Sens!$L$96/Sens!$L$94,Sens!$L$92)</f>
        <v>2.02798693207753</v>
      </c>
      <c r="M98" s="36" t="n">
        <f aca="false">IF(Sens!$M$94&gt;0,Sens!$M$96/Sens!$M$94,Sens!$M$92)</f>
        <v>2.02953743187011</v>
      </c>
    </row>
    <row r="99" customFormat="false" ht="17.15" hidden="false" customHeight="false" outlineLevel="0" collapsed="false">
      <c r="A99" s="14" t="s">
        <v>570</v>
      </c>
      <c r="B99" s="13" t="s">
        <v>151</v>
      </c>
      <c r="C99" s="13"/>
      <c r="D99" s="13"/>
      <c r="E99" s="13"/>
      <c r="F99" s="37" t="n">
        <f aca="false">Sens!$F$97*k_B</f>
        <v>10.7987645808025</v>
      </c>
      <c r="G99" s="37" t="n">
        <f aca="false">Sens!$G$97*k_B</f>
        <v>10.7987645808025</v>
      </c>
      <c r="H99" s="37" t="n">
        <f aca="false">Sens!$H$97*k_B</f>
        <v>11.0201444540452</v>
      </c>
      <c r="I99" s="37" t="n">
        <f aca="false">Sens!$I$97*k_B</f>
        <v>11.1972483526393</v>
      </c>
      <c r="J99" s="37" t="n">
        <f aca="false">Sens!$J$97*k_B</f>
        <v>11.2731500234653</v>
      </c>
      <c r="K99" s="37" t="n">
        <f aca="false">Sens!$K$97*k_B</f>
        <v>11.3153176183687</v>
      </c>
      <c r="L99" s="37" t="n">
        <f aca="false">Sens!$L$97*k_B</f>
        <v>11.3421515423981</v>
      </c>
      <c r="M99" s="37" t="n">
        <f aca="false">Sens!$M$97*k_B</f>
        <v>11.3607288744184</v>
      </c>
      <c r="N99" s="13"/>
      <c r="O99" s="13"/>
      <c r="P99" s="5" t="s">
        <v>571</v>
      </c>
    </row>
    <row r="100" customFormat="false" ht="17.15" hidden="false" customHeight="false" outlineLevel="0" collapsed="false">
      <c r="A100" s="5" t="s">
        <v>572</v>
      </c>
      <c r="B100" s="0" t="s">
        <v>108</v>
      </c>
      <c r="F100" s="33" t="n">
        <f aca="false">Sens!$F$94/2</f>
        <v>908.575</v>
      </c>
      <c r="H100" s="33" t="n">
        <f aca="false">(Sens!$G$94+Sens!$H$94)/2</f>
        <v>3634.3</v>
      </c>
      <c r="I100" s="33" t="n">
        <f aca="false">(Sens!$H$94+Sens!$I$94)/2</f>
        <v>7268.6</v>
      </c>
      <c r="J100" s="33" t="n">
        <f aca="false">(Sens!$I$94+Sens!$J$94)/2</f>
        <v>10902.9</v>
      </c>
      <c r="K100" s="33" t="n">
        <f aca="false">(Sens!$J$94+Sens!$K$94)/2</f>
        <v>14537.2</v>
      </c>
      <c r="L100" s="33" t="n">
        <f aca="false">(Sens!$K$94+Sens!$L$94)/2</f>
        <v>18171.5</v>
      </c>
      <c r="M100" s="33" t="n">
        <f aca="false">(Sens!$L$94+Sens!$M$94)/2</f>
        <v>21805.8</v>
      </c>
    </row>
    <row r="101" customFormat="false" ht="17.15" hidden="false" customHeight="false" outlineLevel="0" collapsed="false">
      <c r="A101" s="1" t="s">
        <v>573</v>
      </c>
    </row>
    <row r="102" customFormat="false" ht="17.15" hidden="false" customHeight="false" outlineLevel="0" collapsed="false">
      <c r="A102" s="1" t="s">
        <v>574</v>
      </c>
      <c r="B102" s="8" t="s">
        <v>73</v>
      </c>
      <c r="C102" s="38" t="n">
        <f aca="false">Sens!$C$85*rpm_open*Sens!$C$86/1000</f>
        <v>2.32100535697364</v>
      </c>
      <c r="D102" s="38" t="n">
        <f aca="false">Sens!$D$85*rpm_open*Sens!$D$86/1000</f>
        <v>8.70377008865116</v>
      </c>
      <c r="E102" s="38" t="n">
        <f aca="false">Sens!$E$85*rpm_open*Sens!$E$86/1000</f>
        <v>8.51035297557002</v>
      </c>
      <c r="F102" s="38" t="n">
        <f aca="false">(mw_open*rpm_open+Sens!$F$100*Sens!$F$99)*Sens!$F$86/1000</f>
        <v>14.9634336447205</v>
      </c>
      <c r="G102" s="38" t="n">
        <f aca="false">Sens!$E$102+Sens!$F$102</f>
        <v>23.4737866202905</v>
      </c>
      <c r="H102" s="38" t="n">
        <f aca="false">(mw_open*rpm_open+Sens!$H$100*Sens!$H$99)/1000</f>
        <v>60.1658907497746</v>
      </c>
      <c r="I102" s="38" t="n">
        <f aca="false">(mw_open*rpm_open+Sens!$I$100*Sens!$I$99)/1000</f>
        <v>101.503699136432</v>
      </c>
      <c r="J102" s="38" t="n">
        <f aca="false">(mw_open*rpm_open+Sens!$J$100*Sens!$J$99)/1000</f>
        <v>143.025407151278</v>
      </c>
      <c r="K102" s="38" t="n">
        <f aca="false">(mw_open*rpm_open+Sens!$K$100*Sens!$K$99)/1000</f>
        <v>184.608415042187</v>
      </c>
      <c r="L102" s="38" t="n">
        <f aca="false">(mw_open*rpm_open+Sens!$L$100*Sens!$L$99)/1000</f>
        <v>226.219286513125</v>
      </c>
      <c r="M102" s="38" t="n">
        <f aca="false">(mw_open*rpm_open+Sens!$M$100*Sens!$M$99)/1000</f>
        <v>267.845161450232</v>
      </c>
      <c r="N102" s="38" t="n">
        <f aca="false">Sens!$N$85*rpm_open*Sens!$N$86/1000</f>
        <v>3.04631953102791</v>
      </c>
      <c r="O102" s="38" t="n">
        <f aca="false">Sens!$O$85*rpm_open*Sens!$O$86/1000</f>
        <v>5.65745055762326</v>
      </c>
      <c r="P102" s="5" t="s">
        <v>575</v>
      </c>
    </row>
    <row r="103" customFormat="false" ht="17.15" hidden="false" customHeight="false" outlineLevel="0" collapsed="false">
      <c r="A103" s="5" t="s">
        <v>576</v>
      </c>
      <c r="B103" s="0" t="s">
        <v>151</v>
      </c>
      <c r="C103" s="36" t="n">
        <f aca="false">Sens!$C$102*1000/(Sens!$C$85*Sens!$C$86)</f>
        <v>9.67085565405685</v>
      </c>
      <c r="D103" s="36" t="n">
        <f aca="false">Sens!$D$102*1000/(Sens!$D$85*Sens!$D$86)</f>
        <v>9.67085565405685</v>
      </c>
      <c r="E103" s="36" t="n">
        <f aca="false">Sens!$E$102*1000/(Sens!$E$85*Sens!$E$86)</f>
        <v>9.67085565405685</v>
      </c>
      <c r="F103" s="36" t="n">
        <f aca="false">Sens!$F$102*1000/(Sens!$F$85*Sens!$F$86)</f>
        <v>10.0137581588017</v>
      </c>
      <c r="G103" s="36" t="n">
        <f aca="false">Sens!$G$102*1000/(Sens!$G$85*Sens!$G$86)</f>
        <v>9.88666562928478</v>
      </c>
      <c r="H103" s="36" t="n">
        <f aca="false">Sens!$H$102*1000/(Sens!$H$85*Sens!$H$86)</f>
        <v>10.5290045586992</v>
      </c>
      <c r="I103" s="36" t="n">
        <f aca="false">Sens!$I$102*1000/(Sens!$I$85*Sens!$I$86)</f>
        <v>10.8576363451674</v>
      </c>
      <c r="J103" s="36" t="n">
        <f aca="false">Sens!$J$102*1000/(Sens!$J$85*Sens!$J$86)</f>
        <v>11.0164452588619</v>
      </c>
      <c r="K103" s="36" t="n">
        <f aca="false">Sens!$K$102*1000/(Sens!$K$85*Sens!$K$86)</f>
        <v>11.1094778327388</v>
      </c>
      <c r="L103" s="36" t="n">
        <f aca="false">Sens!$L$102*1000/(Sens!$L$85*Sens!$L$86)</f>
        <v>11.1704953466718</v>
      </c>
      <c r="M103" s="36" t="n">
        <f aca="false">Sens!$M$102*1000/(Sens!$M$85*Sens!$M$86)</f>
        <v>11.2135729785158</v>
      </c>
      <c r="N103" s="36" t="n">
        <f aca="false">Sens!$N$102*1000/(Sens!$N$85*Sens!$N$86)</f>
        <v>9.67085565405685</v>
      </c>
      <c r="O103" s="36" t="n">
        <f aca="false">Sens!$O$102*1000/(Sens!$O$85*Sens!$O$86)</f>
        <v>9.67085565405685</v>
      </c>
    </row>
    <row r="104" customFormat="false" ht="17.15" hidden="false" customHeight="false" outlineLevel="0" collapsed="false">
      <c r="A104" s="0" t="s">
        <v>577</v>
      </c>
      <c r="B104" s="0" t="s">
        <v>73</v>
      </c>
      <c r="C104" s="38" t="n">
        <f aca="false">Sens!$C$85/ext_sh*(ox_open+rent_mw)*Sens!$C$86/1000</f>
        <v>0.642569210675032</v>
      </c>
      <c r="D104" s="38" t="n">
        <f aca="false">Sens!$D$85/ext_sh*(ox_open+rent_mw)*Sens!$D$86/1000</f>
        <v>2.40963454003137</v>
      </c>
      <c r="E104" s="38" t="n">
        <f aca="false">Sens!$E$85/ext_sh*(ox_open+rent_mw)*Sens!$E$86/1000</f>
        <v>2.35608710580845</v>
      </c>
      <c r="F104" s="38" t="n">
        <f aca="false">((mw_open*ox_open+Sens!$F$100*Sens!$F$98)/ext_sh+Sens!$F$85/ext_sh*rent_mw)*Sens!$F$86/1000</f>
        <v>4.05421991106232</v>
      </c>
      <c r="G104" s="38" t="n">
        <f aca="false">Sens!$E$104+Sens!$F$104</f>
        <v>6.41030701687077</v>
      </c>
      <c r="H104" s="38" t="n">
        <f aca="false">((mw_open*ox_open+Sens!$H$100*Sens!$H$98)/ext_sh+Sens!$H$85/ext_sh*rent_mw)*Sens!$H$86/1000</f>
        <v>15.8108975546616</v>
      </c>
      <c r="I104" s="38" t="n">
        <f aca="false">((mw_open*ox_open+Sens!$I$100*Sens!$I$98)/ext_sh+Sens!$I$85/ext_sh*rent_mw)*Sens!$I$86/1000</f>
        <v>26.1871623400817</v>
      </c>
      <c r="J104" s="38" t="n">
        <f aca="false">((mw_open*ox_open+Sens!$J$100*Sens!$J$98)/ext_sh+Sens!$J$85/ext_sh*rent_mw)*Sens!$J$86/1000</f>
        <v>36.5826128954935</v>
      </c>
      <c r="K104" s="38" t="n">
        <f aca="false">((mw_open*ox_open+Sens!$K$100*Sens!$K$98)/ext_sh+Sens!$K$85/ext_sh*rent_mw)*Sens!$K$86/1000</f>
        <v>46.9844587075692</v>
      </c>
      <c r="L104" s="38" t="n">
        <f aca="false">((mw_open*ox_open+Sens!$L$100*Sens!$L$98)/ext_sh+Sens!$L$85/ext_sh*rent_mw)*Sens!$L$86/1000</f>
        <v>57.3892114544922</v>
      </c>
      <c r="M104" s="38" t="n">
        <f aca="false">((mw_open*ox_open+Sens!$M$100*Sens!$M$98)/ext_sh+Sens!$M$85/ext_sh*rent_mw)*Sens!$M$86/1000</f>
        <v>67.7955294740252</v>
      </c>
      <c r="N104" s="38" t="n">
        <f aca="false">Sens!$N$85/ext_sh*(ox_open+rent_mw)*Sens!$N$86/1000</f>
        <v>0.84337208901098</v>
      </c>
      <c r="O104" s="38" t="n">
        <f aca="false">Sens!$O$85/ext_sh*(ox_open+rent_mw)*Sens!$O$86/1000</f>
        <v>1.56626245102039</v>
      </c>
    </row>
    <row r="105" customFormat="false" ht="17.15" hidden="false" customHeight="false" outlineLevel="0" collapsed="false">
      <c r="A105" s="0" t="s">
        <v>578</v>
      </c>
      <c r="B105" s="0" t="s">
        <v>73</v>
      </c>
      <c r="C105" s="38" t="n">
        <f aca="false">Q!$D$7</f>
        <v>107.556</v>
      </c>
      <c r="D105" s="38" t="n">
        <f aca="false">Q!$E$7</f>
        <v>128.725</v>
      </c>
      <c r="E105" s="38" t="n">
        <f aca="false">Q!$P$7</f>
        <v>79.819</v>
      </c>
      <c r="N105" s="38" t="n">
        <f aca="false">Q!$N$7</f>
        <v>60.14</v>
      </c>
      <c r="O105" s="38" t="n">
        <f aca="false">Q!$O$7</f>
        <v>68.585</v>
      </c>
    </row>
    <row r="106" customFormat="false" ht="17.15" hidden="false" customHeight="false" outlineLevel="0" collapsed="false">
      <c r="A106" s="1" t="s">
        <v>579</v>
      </c>
      <c r="B106" s="8" t="s">
        <v>73</v>
      </c>
      <c r="C106" s="38" t="n">
        <f aca="false">Sens!$C$105-Sens!$C$102</f>
        <v>105.234994643026</v>
      </c>
      <c r="D106" s="38" t="n">
        <f aca="false">Sens!$D$105-Sens!$D$102</f>
        <v>120.021229911349</v>
      </c>
      <c r="E106" s="38" t="n">
        <f aca="false">Sens!$E$105-Sens!$E$102</f>
        <v>71.30864702443</v>
      </c>
      <c r="F106" s="38" t="n">
        <f aca="false">Sens!$O$106*(1+Sens!$F$107)</f>
        <v>78.5950104186653</v>
      </c>
      <c r="G106" s="38" t="n">
        <f aca="false">Sens!$E$106+Sens!$F$106</f>
        <v>149.903657443095</v>
      </c>
      <c r="H106" s="38" t="n">
        <f aca="false">Sens!$G$106*(1+Sens!$H$107)</f>
        <v>180.893560768142</v>
      </c>
      <c r="I106" s="38" t="n">
        <f aca="false">Sens!$H$106*(1+Sens!$I$107)</f>
        <v>210.64839721501</v>
      </c>
      <c r="J106" s="38" t="n">
        <f aca="false">Sens!$I$106*(1+Sens!$J$107)</f>
        <v>236.398909446495</v>
      </c>
      <c r="K106" s="38" t="n">
        <f aca="false">Sens!$J$106*(1+Sens!$K$107)</f>
        <v>255.310822202215</v>
      </c>
      <c r="L106" s="38" t="n">
        <f aca="false">Sens!$K$106*(1+Sens!$L$107)</f>
        <v>275.735687978392</v>
      </c>
      <c r="M106" s="38" t="n">
        <f aca="false">Sens!$L$106*(1+Sens!$M$107)</f>
        <v>297.794543016663</v>
      </c>
      <c r="N106" s="38" t="n">
        <f aca="false">Sens!$N$105-Sens!$N$102</f>
        <v>57.0936804689721</v>
      </c>
      <c r="O106" s="38" t="n">
        <f aca="false">Sens!$O$105-Sens!$O$102</f>
        <v>62.9275494423768</v>
      </c>
      <c r="P106" s="5" t="s">
        <v>580</v>
      </c>
    </row>
    <row r="107" customFormat="false" ht="17.15" hidden="false" customHeight="false" outlineLevel="0" collapsed="false">
      <c r="A107" s="0" t="s">
        <v>581</v>
      </c>
      <c r="B107" s="0" t="s">
        <v>52</v>
      </c>
      <c r="E107" s="12" t="n">
        <f aca="false">Sens!$E$106/Sens!$N$106-1</f>
        <v>0.248976181579029</v>
      </c>
      <c r="F107" s="12" t="n">
        <f aca="false">Sens!$E$107</f>
        <v>0.248976181579029</v>
      </c>
      <c r="G107" s="12" t="n">
        <f aca="false">Sens!$G$106/Sens!$D$106-1</f>
        <v>0.248976181579029</v>
      </c>
      <c r="H107" s="12" t="n">
        <f aca="false">Sens!$E$107+(g_awso_lt-Sens!$E$107)*1/4</f>
        <v>0.206732136184272</v>
      </c>
      <c r="I107" s="12" t="n">
        <f aca="false">Sens!$E$107+(g_awso_lt-Sens!$E$107)*2/4</f>
        <v>0.164488090789515</v>
      </c>
      <c r="J107" s="12" t="n">
        <f aca="false">Sens!$E$107+(g_awso_lt-Sens!$E$107)*3/4</f>
        <v>0.122244045394757</v>
      </c>
      <c r="K107" s="12" t="n">
        <f aca="false">Sens!$E$107+(g_awso_lt-Sens!$E$107)*4/4</f>
        <v>0.08</v>
      </c>
      <c r="L107" s="12" t="n">
        <f aca="false">g_awso_lt</f>
        <v>0.08</v>
      </c>
      <c r="M107" s="12" t="n">
        <f aca="false">g_awso_lt</f>
        <v>0.08</v>
      </c>
      <c r="P107" s="8" t="s">
        <v>582</v>
      </c>
    </row>
    <row r="108" customFormat="false" ht="17.15" hidden="false" customHeight="false" outlineLevel="0" collapsed="false">
      <c r="A108" s="1" t="s">
        <v>583</v>
      </c>
    </row>
    <row r="109" customFormat="false" ht="17.15" hidden="false" customHeight="false" outlineLevel="0" collapsed="false">
      <c r="A109" s="0" t="s">
        <v>584</v>
      </c>
      <c r="B109" s="0" t="s">
        <v>73</v>
      </c>
      <c r="F109" s="38" t="n">
        <f aca="false">cx_rt*Sens!$F$75+cx_awso*Sens!$F$106</f>
        <v>36.8045765066526</v>
      </c>
    </row>
    <row r="110" customFormat="false" ht="17.15" hidden="false" customHeight="false" outlineLevel="0" collapsed="false">
      <c r="A110" s="0" t="s">
        <v>585</v>
      </c>
      <c r="B110" s="0" t="s">
        <v>52</v>
      </c>
      <c r="C110" s="12" t="n">
        <f aca="false">tk_cx_h100/(tk_cx_h100+tk_fac*(1-colo_sh))</f>
        <v>0.730756458006641</v>
      </c>
      <c r="D110" s="12" t="n">
        <f aca="false">tk_cx_h100/(tk_cx_h100+tk_fac*(1-colo_sh))</f>
        <v>0.730756458006641</v>
      </c>
      <c r="E110" s="12" t="n">
        <f aca="false">Sens!$F$110</f>
        <v>0.760792334328868</v>
      </c>
      <c r="F110" s="12" t="n">
        <f aca="false">Sens!$F$93/(Sens!$F$93+tk_fac*(1-colo_sh))</f>
        <v>0.760792334328868</v>
      </c>
      <c r="G110" s="12" t="n">
        <f aca="false">Sens!$G$93/(Sens!$G$93+tk_fac*(1-colo_sh))</f>
        <v>0.760792334328868</v>
      </c>
      <c r="H110" s="12" t="n">
        <f aca="false">Sens!$H$93/(Sens!$H$93+tk_fac*(1-colo_sh))</f>
        <v>0.768110668862996</v>
      </c>
      <c r="I110" s="12" t="n">
        <f aca="false">Sens!$I$93/(Sens!$I$93+tk_fac*(1-colo_sh))</f>
        <v>0.77499450139483</v>
      </c>
      <c r="J110" s="12" t="n">
        <f aca="false">Sens!$J$93/(Sens!$J$93+tk_fac*(1-colo_sh))</f>
        <v>0.77499450139483</v>
      </c>
      <c r="K110" s="12" t="n">
        <f aca="false">Sens!$K$93/(Sens!$K$93+tk_fac*(1-colo_sh))</f>
        <v>0.77499450139483</v>
      </c>
      <c r="L110" s="12" t="n">
        <f aca="false">Sens!$L$93/(Sens!$L$93+tk_fac*(1-colo_sh))</f>
        <v>0.77499450139483</v>
      </c>
      <c r="M110" s="12" t="n">
        <f aca="false">Sens!$M$93/(Sens!$M$93+tk_fac*(1-colo_sh))</f>
        <v>0.77499450139483</v>
      </c>
    </row>
    <row r="111" customFormat="false" ht="17.15" hidden="false" customHeight="false" outlineLevel="0" collapsed="false">
      <c r="A111" s="1" t="s">
        <v>586</v>
      </c>
      <c r="B111" s="8" t="s">
        <v>73</v>
      </c>
      <c r="C111" s="38" t="n">
        <f aca="false">Q!$D$46-cx_rt*Q!$D$16-cx_awso*Sens!$C$106</f>
        <v>25.2781053077374</v>
      </c>
      <c r="D111" s="38" t="n">
        <f aca="false">Q!$E$46-cx_rt*Q!$E$16-cx_awso*Sens!$D$106</f>
        <v>69.5686316310026</v>
      </c>
      <c r="E111" s="38" t="n">
        <f aca="false">Q!$P$46-cx_rt*Q!$P$16-cx_awso*Sens!$E$106</f>
        <v>64.1899206485108</v>
      </c>
      <c r="F111" s="38" t="n">
        <f aca="false">MAX(Sens!$F$88*(Sens!$F$93+tk_fac*(1-colo_sh))/1000,capex_g26-Q!$P$46-Sens!$F$109)</f>
        <v>96.2481299895</v>
      </c>
      <c r="G111" s="38" t="n">
        <f aca="false">Sens!$E$111+Sens!$F$111</f>
        <v>160.438050638011</v>
      </c>
      <c r="H111" s="38" t="n">
        <f aca="false">Sens!$H$88*(Sens!$H$93+tk_fac*(1-colo_sh))/1000+Sens!$H$112</f>
        <v>198.57136494475</v>
      </c>
      <c r="I111" s="38" t="n">
        <f aca="false">Sens!$I$88*(Sens!$I$93+tk_fac*(1-colo_sh))/1000+Sens!$I$112</f>
        <v>204.6464699105</v>
      </c>
      <c r="J111" s="38" t="n">
        <f aca="false">Sens!$J$88*(Sens!$J$93+tk_fac*(1-colo_sh))/1000+Sens!$J$112</f>
        <v>209.8832381105</v>
      </c>
      <c r="K111" s="38" t="n">
        <f aca="false">Sens!$K$88*(Sens!$K$93+tk_fac*(1-colo_sh))/1000+Sens!$K$112</f>
        <v>215.1200063105</v>
      </c>
      <c r="L111" s="38" t="n">
        <f aca="false">Sens!$L$88*(Sens!$L$93+tk_fac*(1-colo_sh))/1000+Sens!$L$112</f>
        <v>251.7773837105</v>
      </c>
      <c r="M111" s="38" t="n">
        <f aca="false">Sens!$M$88*(Sens!$M$93+tk_fac*(1-colo_sh))/1000+Sens!$M$112</f>
        <v>311.87584476575</v>
      </c>
      <c r="P111" s="5" t="s">
        <v>587</v>
      </c>
      <c r="R111" s="38" t="n">
        <f aca="false">Q!$C$46-cx_rt*Q!$C$16-cx_awso*(Q!$C$7-mw_ye23/2*rpm_open/1000)</f>
        <v>1.50429979529945</v>
      </c>
      <c r="S111" s="38" t="n">
        <f aca="false">Sens!$C$111</f>
        <v>25.2781053077374</v>
      </c>
      <c r="T111" s="38" t="n">
        <f aca="false">Sens!$D$111</f>
        <v>69.5686316310026</v>
      </c>
      <c r="U111" s="38" t="n">
        <f aca="false">Sens!$G$111</f>
        <v>160.438050638011</v>
      </c>
      <c r="V111" s="38" t="n">
        <f aca="false">Sens!$H$111</f>
        <v>198.57136494475</v>
      </c>
      <c r="W111" s="38" t="n">
        <f aca="false">Sens!$I$111</f>
        <v>204.6464699105</v>
      </c>
      <c r="X111" s="38" t="n">
        <f aca="false">Sens!$J$111</f>
        <v>209.8832381105</v>
      </c>
      <c r="Y111" s="38" t="n">
        <f aca="false">Sens!$K$111</f>
        <v>215.1200063105</v>
      </c>
      <c r="Z111" s="38" t="n">
        <f aca="false">Sens!$L$111</f>
        <v>251.7773837105</v>
      </c>
      <c r="AA111" s="38" t="n">
        <f aca="false">Sens!$M$111</f>
        <v>311.87584476575</v>
      </c>
    </row>
    <row r="112" customFormat="false" ht="17.15" hidden="false" customHeight="false" outlineLevel="0" collapsed="false">
      <c r="A112" s="0" t="s">
        <v>588</v>
      </c>
      <c r="B112" s="0" t="s">
        <v>73</v>
      </c>
      <c r="H112" s="38" t="n">
        <f aca="false">SUMPRODUCT(--(Sens!$R$82:$AA$82=2027-tk_life),Sens!$R$88:$AA$88)*Sens!$H$93/1000</f>
        <v>0</v>
      </c>
      <c r="I112" s="38" t="n">
        <f aca="false">SUMPRODUCT(--(Sens!$R$82:$AA$82=2028-tk_life),Sens!$R$88:$AA$88)*Sens!$I$93/1000</f>
        <v>0</v>
      </c>
      <c r="J112" s="38" t="n">
        <f aca="false">SUMPRODUCT(--(Sens!$R$82:$AA$82=2029-tk_life),Sens!$R$88:$AA$88)*Sens!$J$93/1000</f>
        <v>5.2367682</v>
      </c>
      <c r="K112" s="38" t="n">
        <f aca="false">SUMPRODUCT(--(Sens!$R$82:$AA$82=2030-tk_life),Sens!$R$88:$AA$88)*Sens!$K$93/1000</f>
        <v>10.4735364</v>
      </c>
      <c r="L112" s="38" t="n">
        <f aca="false">SUMPRODUCT(--(Sens!$R$82:$AA$82=2031-tk_life),Sens!$R$88:$AA$88)*Sens!$L$93/1000</f>
        <v>47.1309138</v>
      </c>
      <c r="M112" s="38" t="n">
        <f aca="false">SUMPRODUCT(--(Sens!$R$82:$AA$82=2032-tk_life),Sens!$R$88:$AA$88)*Sens!$M$93/1000</f>
        <v>107.22937485525</v>
      </c>
    </row>
    <row r="113" customFormat="false" ht="17.15" hidden="false" customHeight="false" outlineLevel="0" collapsed="false">
      <c r="A113" s="5" t="s">
        <v>589</v>
      </c>
      <c r="B113" s="0" t="s">
        <v>73</v>
      </c>
      <c r="C113" s="38" t="n">
        <f aca="false">Sens!$C$111*Sens!$C$110</f>
        <v>18.472138699801</v>
      </c>
      <c r="D113" s="38" t="n">
        <f aca="false">Sens!$D$111*Sens!$D$110</f>
        <v>50.8377268390402</v>
      </c>
      <c r="E113" s="38" t="n">
        <f aca="false">Sens!$E$111*Sens!$E$110</f>
        <v>48.8351995705653</v>
      </c>
      <c r="F113" s="38" t="n">
        <f aca="false">Sens!$F$111*Sens!$F$110</f>
        <v>73.2248394895</v>
      </c>
      <c r="G113" s="38" t="n">
        <f aca="false">Sens!$E$113+Sens!$F$113</f>
        <v>122.060039060065</v>
      </c>
      <c r="H113" s="38" t="n">
        <f aca="false">(Sens!$H$111-Sens!$H$112)*Sens!$H$110+Sens!$H$112</f>
        <v>152.52478394475</v>
      </c>
      <c r="I113" s="38" t="n">
        <f aca="false">(Sens!$I$111-Sens!$I$112)*Sens!$I$110+Sens!$I$112</f>
        <v>158.5998889105</v>
      </c>
      <c r="J113" s="38" t="n">
        <f aca="false">(Sens!$J$111-Sens!$J$112)*Sens!$J$110+Sens!$J$112</f>
        <v>163.8366571105</v>
      </c>
      <c r="K113" s="38" t="n">
        <f aca="false">(Sens!$K$111-Sens!$K$112)*Sens!$K$110+Sens!$K$112</f>
        <v>169.0734253105</v>
      </c>
      <c r="L113" s="38" t="n">
        <f aca="false">(Sens!$L$111-Sens!$L$112)*Sens!$L$110+Sens!$L$112</f>
        <v>205.7308027105</v>
      </c>
      <c r="M113" s="38" t="n">
        <f aca="false">(Sens!$M$111-Sens!$M$112)*Sens!$M$110+Sens!$M$112</f>
        <v>265.82926376575</v>
      </c>
      <c r="R113" s="38" t="n">
        <f aca="false">Sens!$R$111*Sens!$C$110</f>
        <v>1.09927679019314</v>
      </c>
      <c r="S113" s="38" t="n">
        <f aca="false">Sens!$C$113</f>
        <v>18.472138699801</v>
      </c>
      <c r="T113" s="38" t="n">
        <f aca="false">Sens!$D$113</f>
        <v>50.8377268390402</v>
      </c>
      <c r="U113" s="38" t="n">
        <f aca="false">Sens!$G$113</f>
        <v>122.060039060065</v>
      </c>
      <c r="V113" s="38" t="n">
        <f aca="false">Sens!$H$113</f>
        <v>152.52478394475</v>
      </c>
      <c r="W113" s="38" t="n">
        <f aca="false">Sens!$I$113</f>
        <v>158.5998889105</v>
      </c>
      <c r="X113" s="38" t="n">
        <f aca="false">Sens!$J$113</f>
        <v>163.8366571105</v>
      </c>
      <c r="Y113" s="38" t="n">
        <f aca="false">Sens!$K$113</f>
        <v>169.0734253105</v>
      </c>
      <c r="Z113" s="38" t="n">
        <f aca="false">Sens!$L$113</f>
        <v>205.7308027105</v>
      </c>
      <c r="AA113" s="38" t="n">
        <f aca="false">Sens!$M$113</f>
        <v>265.82926376575</v>
      </c>
    </row>
    <row r="114" customFormat="false" ht="15" hidden="false" customHeight="false" outlineLevel="0" collapsed="false">
      <c r="A114" s="5" t="s">
        <v>590</v>
      </c>
      <c r="B114" s="0" t="s">
        <v>73</v>
      </c>
      <c r="C114" s="38" t="n">
        <f aca="false">Sens!$C$111-Sens!$C$113</f>
        <v>6.80596660793636</v>
      </c>
      <c r="D114" s="38" t="n">
        <f aca="false">Sens!$D$111-Sens!$D$113</f>
        <v>18.7309047919624</v>
      </c>
      <c r="E114" s="38" t="n">
        <f aca="false">Sens!$E$111-Sens!$E$113</f>
        <v>15.3547210779455</v>
      </c>
      <c r="F114" s="38" t="n">
        <f aca="false">Sens!$F$111-Sens!$F$113</f>
        <v>23.0232905</v>
      </c>
      <c r="G114" s="38" t="n">
        <f aca="false">Sens!$G$111-Sens!$G$113</f>
        <v>38.3780115779455</v>
      </c>
      <c r="H114" s="38" t="n">
        <f aca="false">Sens!$H$111-Sens!$H$113</f>
        <v>46.046581</v>
      </c>
      <c r="I114" s="38" t="n">
        <f aca="false">Sens!$I$111-Sens!$I$113</f>
        <v>46.046581</v>
      </c>
      <c r="J114" s="38" t="n">
        <f aca="false">Sens!$J$111-Sens!$J$113</f>
        <v>46.046581</v>
      </c>
      <c r="K114" s="38" t="n">
        <f aca="false">Sens!$K$111-Sens!$K$113</f>
        <v>46.046581</v>
      </c>
      <c r="L114" s="38" t="n">
        <f aca="false">Sens!$L$111-Sens!$L$113</f>
        <v>46.046581</v>
      </c>
      <c r="M114" s="38" t="n">
        <f aca="false">Sens!$M$111-Sens!$M$113</f>
        <v>46.046581</v>
      </c>
      <c r="R114" s="38" t="n">
        <f aca="false">Sens!$R$111-Sens!$R$113</f>
        <v>0.405023005106309</v>
      </c>
      <c r="S114" s="38" t="n">
        <f aca="false">Sens!$S$111-Sens!$S$113</f>
        <v>6.80596660793636</v>
      </c>
      <c r="T114" s="38" t="n">
        <f aca="false">Sens!$T$111-Sens!$T$113</f>
        <v>18.7309047919624</v>
      </c>
      <c r="U114" s="38" t="n">
        <f aca="false">Sens!$U$111-Sens!$U$113</f>
        <v>38.3780115779455</v>
      </c>
      <c r="V114" s="38" t="n">
        <f aca="false">Sens!$V$111-Sens!$V$113</f>
        <v>46.046581</v>
      </c>
      <c r="W114" s="38" t="n">
        <f aca="false">Sens!$W$111-Sens!$W$113</f>
        <v>46.046581</v>
      </c>
      <c r="X114" s="38" t="n">
        <f aca="false">Sens!$X$111-Sens!$X$113</f>
        <v>46.046581</v>
      </c>
      <c r="Y114" s="38" t="n">
        <f aca="false">Sens!$Y$111-Sens!$Y$113</f>
        <v>46.046581</v>
      </c>
      <c r="Z114" s="38" t="n">
        <f aca="false">Sens!$Z$111-Sens!$Z$113</f>
        <v>46.046581</v>
      </c>
      <c r="AA114" s="38" t="n">
        <f aca="false">Sens!$AA$111-Sens!$AA$113</f>
        <v>46.046581</v>
      </c>
    </row>
    <row r="115" customFormat="false" ht="17.15" hidden="false" customHeight="false" outlineLevel="0" collapsed="false">
      <c r="A115" s="0" t="s">
        <v>591</v>
      </c>
      <c r="B115" s="0" t="s">
        <v>52</v>
      </c>
      <c r="C115" s="12" t="n">
        <f aca="false">Sens!$C$111/Sens!$C$227</f>
        <v>0.325505489553393</v>
      </c>
      <c r="D115" s="12" t="n">
        <f aca="false">Sens!$D$111/Sens!$D$227</f>
        <v>0.54214956071542</v>
      </c>
      <c r="E115" s="12" t="n">
        <f aca="false">Sens!$E$111/Sens!$E$227</f>
        <v>0.666492790452817</v>
      </c>
      <c r="F115" s="12" t="n">
        <f aca="false">Sens!$F$111/Sens!$F$227</f>
        <v>0.723383481058938</v>
      </c>
      <c r="G115" s="12" t="n">
        <f aca="false">Sens!$G$111/Sens!$G$227</f>
        <v>0.699494931364102</v>
      </c>
      <c r="H115" s="12" t="n">
        <f aca="false">Sens!$H$111/Sens!$H$227</f>
        <v>0.714619350171483</v>
      </c>
      <c r="I115" s="12" t="n">
        <f aca="false">Sens!$I$111/Sens!$I$227</f>
        <v>0.696231624961614</v>
      </c>
      <c r="J115" s="12" t="n">
        <f aca="false">Sens!$J$111/Sens!$J$227</f>
        <v>0.681286352509885</v>
      </c>
      <c r="K115" s="12" t="n">
        <f aca="false">Sens!$K$111/Sens!$K$227</f>
        <v>0.671440649805508</v>
      </c>
      <c r="L115" s="12" t="n">
        <f aca="false">Sens!$L$111/Sens!$L$227</f>
        <v>0.6904509846562</v>
      </c>
      <c r="M115" s="12" t="n">
        <f aca="false">Sens!$M$111/Sens!$M$227</f>
        <v>0.720362080285865</v>
      </c>
    </row>
    <row r="116" customFormat="false" ht="17.15" hidden="false" customHeight="false" outlineLevel="0" collapsed="false">
      <c r="A116" s="0" t="s">
        <v>592</v>
      </c>
      <c r="B116" s="0" t="s">
        <v>73</v>
      </c>
      <c r="C116" s="38" t="n">
        <f aca="false">Sens!$S$116</f>
        <v>0.183212798365523</v>
      </c>
      <c r="D116" s="38" t="n">
        <f aca="false">Sens!$T$116</f>
        <v>3.2619025816657</v>
      </c>
      <c r="E116" s="38" t="n">
        <f aca="false">Sens!$G$116/2</f>
        <v>5.86742852741953</v>
      </c>
      <c r="F116" s="38" t="n">
        <f aca="false">Sens!$G$116/2</f>
        <v>5.86742852741953</v>
      </c>
      <c r="G116" s="38" t="n">
        <f aca="false">Sens!$U$116</f>
        <v>11.7348570548391</v>
      </c>
      <c r="H116" s="38" t="n">
        <f aca="false">Sens!$V$116</f>
        <v>32.0781968981833</v>
      </c>
      <c r="I116" s="38" t="n">
        <f aca="false">Sens!$W$116</f>
        <v>57.4989942223083</v>
      </c>
      <c r="J116" s="38" t="n">
        <f aca="false">Sens!$X$116</f>
        <v>83.932309040725</v>
      </c>
      <c r="K116" s="38" t="n">
        <f aca="false">Sens!$Y$116</f>
        <v>111.055205760776</v>
      </c>
      <c r="L116" s="38" t="n">
        <f aca="false">Sens!$Z$116</f>
        <v>136.155420195893</v>
      </c>
      <c r="M116" s="38" t="n">
        <f aca="false">Sens!$AA$116</f>
        <v>161.970932841136</v>
      </c>
      <c r="N116" s="38" t="n">
        <f aca="false">Sens!$D$116/2</f>
        <v>1.63095129083285</v>
      </c>
      <c r="O116" s="38" t="n">
        <f aca="false">Sens!$D$116/2</f>
        <v>1.63095129083285</v>
      </c>
      <c r="R116" s="38" t="n">
        <f aca="false">SUMPRODUCT(--(Sens!$R$82:$AA$82&lt;Sens!R$82),--(Sens!$R$82:$AA$82&gt;=Sens!R$82-tk_life),Sens!$R$113:$AA$113)/tk_life</f>
        <v>0</v>
      </c>
      <c r="S116" s="38" t="n">
        <f aca="false">SUMPRODUCT(--(Sens!$R$82:$AA$82&lt;Sens!S$82),--(Sens!$R$82:$AA$82&gt;=Sens!S$82-tk_life),Sens!$R$113:$AA$113)/tk_life</f>
        <v>0.183212798365523</v>
      </c>
      <c r="T116" s="38" t="n">
        <f aca="false">SUMPRODUCT(--(Sens!$R$82:$AA$82&lt;Sens!T$82),--(Sens!$R$82:$AA$82&gt;=Sens!T$82-tk_life),Sens!$R$113:$AA$113)/tk_life</f>
        <v>3.2619025816657</v>
      </c>
      <c r="U116" s="38" t="n">
        <f aca="false">SUMPRODUCT(--(Sens!$R$82:$AA$82&lt;Sens!U$82),--(Sens!$R$82:$AA$82&gt;=Sens!U$82-tk_life),Sens!$R$113:$AA$113)/tk_life</f>
        <v>11.7348570548391</v>
      </c>
      <c r="V116" s="38" t="n">
        <f aca="false">SUMPRODUCT(--(Sens!$R$82:$AA$82&lt;Sens!V$82),--(Sens!$R$82:$AA$82&gt;=Sens!V$82-tk_life),Sens!$R$113:$AA$113)/tk_life</f>
        <v>32.0781968981833</v>
      </c>
      <c r="W116" s="38" t="n">
        <f aca="false">SUMPRODUCT(--(Sens!$R$82:$AA$82&lt;Sens!W$82),--(Sens!$R$82:$AA$82&gt;=Sens!W$82-tk_life),Sens!$R$113:$AA$113)/tk_life</f>
        <v>57.4989942223083</v>
      </c>
      <c r="X116" s="38" t="n">
        <f aca="false">SUMPRODUCT(--(Sens!$R$82:$AA$82&lt;Sens!X$82),--(Sens!$R$82:$AA$82&gt;=Sens!X$82-tk_life),Sens!$R$113:$AA$113)/tk_life</f>
        <v>83.932309040725</v>
      </c>
      <c r="Y116" s="38" t="n">
        <f aca="false">SUMPRODUCT(--(Sens!$R$82:$AA$82&lt;Sens!Y$82),--(Sens!$R$82:$AA$82&gt;=Sens!Y$82-tk_life),Sens!$R$113:$AA$113)/tk_life</f>
        <v>111.055205760776</v>
      </c>
      <c r="Z116" s="38" t="n">
        <f aca="false">SUMPRODUCT(--(Sens!$R$82:$AA$82&lt;Sens!Z$82),--(Sens!$R$82:$AA$82&gt;=Sens!Z$82-tk_life),Sens!$R$113:$AA$113)/tk_life</f>
        <v>136.155420195893</v>
      </c>
      <c r="AA116" s="38" t="n">
        <f aca="false">SUMPRODUCT(--(Sens!$R$82:$AA$82&lt;Sens!AA$82),--(Sens!$R$82:$AA$82&gt;=Sens!AA$82-tk_life),Sens!$R$113:$AA$113)/tk_life</f>
        <v>161.970932841136</v>
      </c>
    </row>
    <row r="117" customFormat="false" ht="17.15" hidden="false" customHeight="false" outlineLevel="0" collapsed="false">
      <c r="A117" s="0" t="s">
        <v>593</v>
      </c>
      <c r="B117" s="0" t="s">
        <v>73</v>
      </c>
      <c r="C117" s="38" t="n">
        <f aca="false">Sens!$S$117</f>
        <v>0.0202511502553155</v>
      </c>
      <c r="D117" s="38" t="n">
        <f aca="false">Sens!$T$117</f>
        <v>0.360549480652134</v>
      </c>
      <c r="E117" s="38" t="n">
        <f aca="false">Sens!$G$117/2</f>
        <v>0.648547360125127</v>
      </c>
      <c r="F117" s="38" t="n">
        <f aca="false">Sens!$G$117/2</f>
        <v>0.648547360125127</v>
      </c>
      <c r="G117" s="38" t="n">
        <f aca="false">Sens!$U$117</f>
        <v>1.29709472025025</v>
      </c>
      <c r="H117" s="38" t="n">
        <f aca="false">Sens!$V$117</f>
        <v>3.21599529914753</v>
      </c>
      <c r="I117" s="38" t="n">
        <f aca="false">Sens!$W$117</f>
        <v>5.51832434914753</v>
      </c>
      <c r="J117" s="38" t="n">
        <f aca="false">Sens!$X$117</f>
        <v>7.82065339914753</v>
      </c>
      <c r="K117" s="38" t="n">
        <f aca="false">Sens!$Y$117</f>
        <v>10.1229824491475</v>
      </c>
      <c r="L117" s="38" t="n">
        <f aca="false">Sens!$Z$117</f>
        <v>12.4253114991475</v>
      </c>
      <c r="M117" s="38" t="n">
        <f aca="false">Sens!$AA$117</f>
        <v>14.7276405491475</v>
      </c>
      <c r="N117" s="38" t="n">
        <f aca="false">Sens!$D$117/2</f>
        <v>0.180274740326067</v>
      </c>
      <c r="O117" s="38" t="n">
        <f aca="false">Sens!$D$117/2</f>
        <v>0.180274740326067</v>
      </c>
      <c r="R117" s="38" t="n">
        <f aca="false">SUMPRODUCT(--(Sens!$R$82:$AA$82&lt;Sens!R$82),Sens!$R$114:$AA$114)/fac_life</f>
        <v>0</v>
      </c>
      <c r="S117" s="38" t="n">
        <f aca="false">SUMPRODUCT(--(Sens!$R$82:$AA$82&lt;Sens!S$82),Sens!$R$114:$AA$114)/fac_life</f>
        <v>0.0202511502553155</v>
      </c>
      <c r="T117" s="38" t="n">
        <f aca="false">SUMPRODUCT(--(Sens!$R$82:$AA$82&lt;Sens!T$82),Sens!$R$114:$AA$114)/fac_life</f>
        <v>0.360549480652134</v>
      </c>
      <c r="U117" s="38" t="n">
        <f aca="false">SUMPRODUCT(--(Sens!$R$82:$AA$82&lt;Sens!U$82),Sens!$R$114:$AA$114)/fac_life</f>
        <v>1.29709472025025</v>
      </c>
      <c r="V117" s="38" t="n">
        <f aca="false">SUMPRODUCT(--(Sens!$R$82:$AA$82&lt;Sens!V$82),Sens!$R$114:$AA$114)/fac_life</f>
        <v>3.21599529914753</v>
      </c>
      <c r="W117" s="38" t="n">
        <f aca="false">SUMPRODUCT(--(Sens!$R$82:$AA$82&lt;Sens!W$82),Sens!$R$114:$AA$114)/fac_life</f>
        <v>5.51832434914753</v>
      </c>
      <c r="X117" s="38" t="n">
        <f aca="false">SUMPRODUCT(--(Sens!$R$82:$AA$82&lt;Sens!X$82),Sens!$R$114:$AA$114)/fac_life</f>
        <v>7.82065339914753</v>
      </c>
      <c r="Y117" s="38" t="n">
        <f aca="false">SUMPRODUCT(--(Sens!$R$82:$AA$82&lt;Sens!Y$82),Sens!$R$114:$AA$114)/fac_life</f>
        <v>10.1229824491475</v>
      </c>
      <c r="Z117" s="38" t="n">
        <f aca="false">SUMPRODUCT(--(Sens!$R$82:$AA$82&lt;Sens!Z$82),Sens!$R$114:$AA$114)/fac_life</f>
        <v>12.4253114991475</v>
      </c>
      <c r="AA117" s="38" t="n">
        <f aca="false">SUMPRODUCT(--(Sens!$R$82:$AA$82&lt;Sens!AA$82),Sens!$R$114:$AA$114)/fac_life</f>
        <v>14.7276405491475</v>
      </c>
    </row>
    <row r="118" customFormat="false" ht="17.15" hidden="false" customHeight="false" outlineLevel="0" collapsed="false">
      <c r="A118" s="1" t="s">
        <v>594</v>
      </c>
      <c r="B118" s="8" t="s">
        <v>73</v>
      </c>
      <c r="C118" s="38" t="n">
        <f aca="false">Sens!$C$116+Sens!$C$117</f>
        <v>0.203463948620839</v>
      </c>
      <c r="D118" s="38" t="n">
        <f aca="false">Sens!$D$116+Sens!$D$117</f>
        <v>3.62245206231783</v>
      </c>
      <c r="E118" s="38" t="n">
        <f aca="false">Sens!$E$116+Sens!$E$117</f>
        <v>6.51597588754466</v>
      </c>
      <c r="F118" s="38" t="n">
        <f aca="false">Sens!$F$116+Sens!$F$117</f>
        <v>6.51597588754466</v>
      </c>
      <c r="G118" s="38" t="n">
        <f aca="false">Sens!$G$116+Sens!$G$117</f>
        <v>13.0319517750893</v>
      </c>
      <c r="H118" s="38" t="n">
        <f aca="false">Sens!$H$116+Sens!$H$117</f>
        <v>35.2941921973308</v>
      </c>
      <c r="I118" s="38" t="n">
        <f aca="false">Sens!$I$116+Sens!$I$117</f>
        <v>63.0173185714558</v>
      </c>
      <c r="J118" s="38" t="n">
        <f aca="false">Sens!$J$116+Sens!$J$117</f>
        <v>91.7529624398725</v>
      </c>
      <c r="K118" s="38" t="n">
        <f aca="false">Sens!$K$116+Sens!$K$117</f>
        <v>121.178188209924</v>
      </c>
      <c r="L118" s="38" t="n">
        <f aca="false">Sens!$L$116+Sens!$L$117</f>
        <v>148.58073169504</v>
      </c>
      <c r="M118" s="38" t="n">
        <f aca="false">Sens!$M$116+Sens!$M$117</f>
        <v>176.698573390283</v>
      </c>
      <c r="N118" s="38" t="n">
        <f aca="false">Sens!$N$116+Sens!$N$117</f>
        <v>1.81122603115892</v>
      </c>
      <c r="O118" s="38" t="n">
        <f aca="false">Sens!$O$116+Sens!$O$117</f>
        <v>1.81122603115892</v>
      </c>
      <c r="R118" s="38" t="n">
        <f aca="false">Sens!$R$116+Sens!$R$117</f>
        <v>0</v>
      </c>
      <c r="S118" s="38" t="n">
        <f aca="false">Sens!$S$116+Sens!$S$117</f>
        <v>0.203463948620839</v>
      </c>
      <c r="T118" s="38" t="n">
        <f aca="false">Sens!$T$116+Sens!$T$117</f>
        <v>3.62245206231783</v>
      </c>
      <c r="U118" s="38" t="n">
        <f aca="false">Sens!$U$116+Sens!$U$117</f>
        <v>13.0319517750893</v>
      </c>
      <c r="V118" s="38" t="n">
        <f aca="false">Sens!$V$116+Sens!$V$117</f>
        <v>35.2941921973308</v>
      </c>
      <c r="W118" s="38" t="n">
        <f aca="false">Sens!$W$116+Sens!$W$117</f>
        <v>63.0173185714558</v>
      </c>
      <c r="X118" s="38" t="n">
        <f aca="false">Sens!$X$116+Sens!$X$117</f>
        <v>91.7529624398725</v>
      </c>
      <c r="Y118" s="38" t="n">
        <f aca="false">Sens!$Y$116+Sens!$Y$117</f>
        <v>121.178188209924</v>
      </c>
      <c r="Z118" s="38" t="n">
        <f aca="false">Sens!$Z$116+Sens!$Z$117</f>
        <v>148.58073169504</v>
      </c>
      <c r="AA118" s="38" t="n">
        <f aca="false">Sens!$AA$116+Sens!$AA$117</f>
        <v>176.698573390283</v>
      </c>
    </row>
    <row r="119" customFormat="false" ht="17.15" hidden="false" customHeight="false" outlineLevel="0" collapsed="false">
      <c r="A119" s="0" t="s">
        <v>595</v>
      </c>
      <c r="B119" s="0" t="s">
        <v>73</v>
      </c>
      <c r="C119" s="38" t="n">
        <f aca="false">Sens!$S$119</f>
        <v>26.578941154416</v>
      </c>
      <c r="D119" s="38" t="n">
        <f aca="false">Sens!$T$119</f>
        <v>92.5251207231008</v>
      </c>
      <c r="G119" s="38" t="n">
        <f aca="false">Sens!$U$119</f>
        <v>239.931219586022</v>
      </c>
      <c r="H119" s="38" t="n">
        <f aca="false">Sens!$V$119</f>
        <v>403.208392333442</v>
      </c>
      <c r="I119" s="38" t="n">
        <f aca="false">Sens!$W$119</f>
        <v>544.837543672486</v>
      </c>
      <c r="J119" s="38" t="n">
        <f aca="false">Sens!$X$119</f>
        <v>662.967819343113</v>
      </c>
      <c r="K119" s="38" t="n">
        <f aca="false">Sens!$Y$119</f>
        <v>756.90963744369</v>
      </c>
      <c r="L119" s="38" t="n">
        <f aca="false">Sens!$Z$119</f>
        <v>860.10628945915</v>
      </c>
      <c r="M119" s="38" t="n">
        <f aca="false">Sens!$AA$119</f>
        <v>995.283560834616</v>
      </c>
      <c r="R119" s="38" t="n">
        <f aca="false">SUM(Sens!$R$111:$R$111)-SUM(Sens!$R$118:$R$118)</f>
        <v>1.50429979529945</v>
      </c>
      <c r="S119" s="38" t="n">
        <f aca="false">SUM(Sens!$R$111:$S$111)-SUM(Sens!$R$118:$S$118)</f>
        <v>26.578941154416</v>
      </c>
      <c r="T119" s="38" t="n">
        <f aca="false">SUM(Sens!$R$111:$T$111)-SUM(Sens!$R$118:$T$118)</f>
        <v>92.5251207231008</v>
      </c>
      <c r="U119" s="38" t="n">
        <f aca="false">SUM(Sens!$R$111:$U$111)-SUM(Sens!$R$118:$U$118)</f>
        <v>239.931219586022</v>
      </c>
      <c r="V119" s="38" t="n">
        <f aca="false">SUM(Sens!$R$111:$V$111)-SUM(Sens!$R$118:$V$118)</f>
        <v>403.208392333442</v>
      </c>
      <c r="W119" s="38" t="n">
        <f aca="false">SUM(Sens!$R$111:$W$111)-SUM(Sens!$R$118:$W$118)</f>
        <v>544.837543672486</v>
      </c>
      <c r="X119" s="38" t="n">
        <f aca="false">SUM(Sens!$R$111:$X$111)-SUM(Sens!$R$118:$X$118)</f>
        <v>662.967819343113</v>
      </c>
      <c r="Y119" s="38" t="n">
        <f aca="false">SUM(Sens!$R$111:$Y$111)-SUM(Sens!$R$118:$Y$118)</f>
        <v>756.90963744369</v>
      </c>
      <c r="Z119" s="38" t="n">
        <f aca="false">SUM(Sens!$R$111:$Z$111)-SUM(Sens!$R$118:$Z$118)</f>
        <v>860.10628945915</v>
      </c>
      <c r="AA119" s="38" t="n">
        <f aca="false">SUM(Sens!$R$111:$AA$111)-SUM(Sens!$R$118:$AA$118)</f>
        <v>995.283560834616</v>
      </c>
    </row>
    <row r="120" customFormat="false" ht="17.15" hidden="false" customHeight="false" outlineLevel="0" collapsed="false">
      <c r="A120" s="1" t="s">
        <v>596</v>
      </c>
    </row>
    <row r="121" customFormat="false" ht="17.15" hidden="false" customHeight="false" outlineLevel="0" collapsed="false">
      <c r="A121" s="0" t="s">
        <v>597</v>
      </c>
      <c r="B121" s="0" t="s">
        <v>73</v>
      </c>
      <c r="C121" s="38" t="n">
        <f aca="false">Sens!$C$102-ext_sh*Sens!$C$104</f>
        <v>1.80694998843362</v>
      </c>
      <c r="D121" s="38" t="n">
        <f aca="false">Sens!$D$102-ext_sh*Sens!$D$104</f>
        <v>6.77606245662607</v>
      </c>
      <c r="E121" s="38" t="n">
        <f aca="false">Sens!$E$102-ext_sh*Sens!$E$104</f>
        <v>6.62548329092326</v>
      </c>
      <c r="F121" s="38" t="n">
        <f aca="false">Sens!$F$102-ext_sh*Sens!$F$104</f>
        <v>11.7200577158706</v>
      </c>
      <c r="G121" s="38" t="n">
        <f aca="false">Sens!$G$102-ext_sh*Sens!$G$104</f>
        <v>18.3455410067939</v>
      </c>
      <c r="H121" s="38" t="n">
        <f aca="false">Sens!$H$102-ext_sh*Sens!$H$104</f>
        <v>47.5171727060453</v>
      </c>
      <c r="I121" s="38" t="n">
        <f aca="false">Sens!$I$102-ext_sh*Sens!$I$104</f>
        <v>80.5539692643667</v>
      </c>
      <c r="J121" s="38" t="n">
        <f aca="false">Sens!$J$102-ext_sh*Sens!$J$104</f>
        <v>113.759316834883</v>
      </c>
      <c r="K121" s="38" t="n">
        <f aca="false">Sens!$K$102-ext_sh*Sens!$K$104</f>
        <v>147.020848076132</v>
      </c>
      <c r="L121" s="38" t="n">
        <f aca="false">Sens!$L$102-ext_sh*Sens!$L$104</f>
        <v>180.307917349531</v>
      </c>
      <c r="M121" s="38" t="n">
        <f aca="false">Sens!$M$102-ext_sh*Sens!$M$104</f>
        <v>213.608737871012</v>
      </c>
      <c r="N121" s="38" t="n">
        <f aca="false">Sens!$N$102-ext_sh*Sens!$N$104</f>
        <v>2.37162185981912</v>
      </c>
      <c r="O121" s="38" t="n">
        <f aca="false">Sens!$O$102-ext_sh*Sens!$O$104</f>
        <v>4.40444059680694</v>
      </c>
    </row>
    <row r="122" customFormat="false" ht="17.15" hidden="false" customHeight="false" outlineLevel="0" collapsed="false">
      <c r="A122" s="1" t="s">
        <v>598</v>
      </c>
      <c r="B122" s="8" t="s">
        <v>73</v>
      </c>
      <c r="C122" s="38" t="n">
        <f aca="false">Sens!$C$121-ext_sh*Sens!$C$118</f>
        <v>1.64417882953695</v>
      </c>
      <c r="D122" s="38" t="n">
        <f aca="false">Sens!$D$121-ext_sh*Sens!$D$118</f>
        <v>3.8781008067718</v>
      </c>
      <c r="E122" s="38" t="n">
        <f aca="false">Sens!$E$121-ext_sh*Sens!$E$118</f>
        <v>1.41270258088753</v>
      </c>
      <c r="F122" s="38" t="n">
        <f aca="false">Sens!$F$121-ext_sh*Sens!$F$118</f>
        <v>6.50727700583486</v>
      </c>
      <c r="G122" s="38" t="n">
        <f aca="false">Sens!$G$121-ext_sh*Sens!$G$118</f>
        <v>7.9199795867224</v>
      </c>
      <c r="H122" s="38" t="n">
        <f aca="false">Sens!$H$121-ext_sh*Sens!$H$118</f>
        <v>19.2818189481807</v>
      </c>
      <c r="I122" s="38" t="n">
        <f aca="false">Sens!$I$121-ext_sh*Sens!$I$118</f>
        <v>30.140114407202</v>
      </c>
      <c r="J122" s="38" t="n">
        <f aca="false">Sens!$J$121-ext_sh*Sens!$J$118</f>
        <v>40.3569468829854</v>
      </c>
      <c r="K122" s="38" t="n">
        <f aca="false">Sens!$K$121-ext_sh*Sens!$K$118</f>
        <v>50.0782975081929</v>
      </c>
      <c r="L122" s="38" t="n">
        <f aca="false">Sens!$L$121-ext_sh*Sens!$L$118</f>
        <v>61.443331993499</v>
      </c>
      <c r="M122" s="38" t="n">
        <f aca="false">Sens!$M$121-ext_sh*Sens!$M$118</f>
        <v>72.2498791587849</v>
      </c>
      <c r="N122" s="38" t="n">
        <f aca="false">Sens!$N$121-ext_sh*Sens!$N$118</f>
        <v>0.92264103489199</v>
      </c>
      <c r="O122" s="38" t="n">
        <f aca="false">Sens!$O$121-ext_sh*Sens!$O$118</f>
        <v>2.95545977187981</v>
      </c>
    </row>
    <row r="123" customFormat="false" ht="17.15" hidden="false" customHeight="false" outlineLevel="0" collapsed="false">
      <c r="A123" s="0" t="s">
        <v>599</v>
      </c>
      <c r="B123" s="0" t="s">
        <v>52</v>
      </c>
      <c r="C123" s="12" t="n">
        <f aca="false">Sens!$C$122/Sens!$C$102</f>
        <v>0.708390794789371</v>
      </c>
      <c r="D123" s="12" t="n">
        <f aca="false">Sens!$D$122/Sens!$D$102</f>
        <v>0.445565630441968</v>
      </c>
      <c r="E123" s="12" t="n">
        <f aca="false">Sens!$E$122/Sens!$E$102</f>
        <v>0.165998118402711</v>
      </c>
      <c r="F123" s="12" t="n">
        <f aca="false">Sens!$F$122/Sens!$F$102</f>
        <v>0.434878595403858</v>
      </c>
      <c r="G123" s="12" t="n">
        <f aca="false">Sens!$G$122/Sens!$G$102</f>
        <v>0.3373967615381</v>
      </c>
      <c r="H123" s="12" t="n">
        <f aca="false">Sens!$H$122/Sens!$H$102</f>
        <v>0.320477578041224</v>
      </c>
      <c r="I123" s="12" t="n">
        <f aca="false">Sens!$I$122/Sens!$I$102</f>
        <v>0.296936118226494</v>
      </c>
      <c r="J123" s="12" t="n">
        <f aca="false">Sens!$J$122/Sens!$J$102</f>
        <v>0.282166278613001</v>
      </c>
      <c r="K123" s="12" t="n">
        <f aca="false">Sens!$K$122/Sens!$K$102</f>
        <v>0.271267685694333</v>
      </c>
      <c r="L123" s="12" t="n">
        <f aca="false">Sens!$L$122/Sens!$L$102</f>
        <v>0.27160960915653</v>
      </c>
      <c r="M123" s="12" t="n">
        <f aca="false">Sens!$M$122/Sens!$M$102</f>
        <v>0.26974494804234</v>
      </c>
      <c r="N123" s="12" t="n">
        <f aca="false">Sens!$N$122/Sens!$N$102</f>
        <v>0.302870734830849</v>
      </c>
      <c r="O123" s="12" t="n">
        <f aca="false">Sens!$O$122/Sens!$O$102</f>
        <v>0.52240134346334</v>
      </c>
    </row>
    <row r="124" customFormat="false" ht="17.15" hidden="false" customHeight="false" outlineLevel="0" collapsed="false">
      <c r="A124" s="5" t="s">
        <v>600</v>
      </c>
      <c r="B124" s="0" t="s">
        <v>73</v>
      </c>
      <c r="C124" s="38" t="n">
        <f aca="false">rd2*(1-ext_sh)/ext_sh*Sens!$C$85*he_open*Sens!$C$86/1000</f>
        <v>0</v>
      </c>
      <c r="D124" s="38" t="n">
        <f aca="false">rd2*(1-ext_sh)/ext_sh*Sens!$D$85*he_open*Sens!$D$86/1000</f>
        <v>0</v>
      </c>
      <c r="E124" s="38" t="n">
        <f aca="false">rd2*(1-ext_sh)/ext_sh*Sens!$E$85*he_open*Sens!$E$86/1000</f>
        <v>0</v>
      </c>
      <c r="F124" s="38" t="n">
        <f aca="false">rd2*(1-ext_sh)/ext_sh*(mw_open*he_open+Sens!$F$100*Sens!$F$97)*Sens!$F$86/1000</f>
        <v>0</v>
      </c>
      <c r="G124" s="38" t="n">
        <f aca="false">Sens!$E$124+Sens!$F$124</f>
        <v>0</v>
      </c>
      <c r="H124" s="38" t="n">
        <f aca="false">rd2*(1-ext_sh)/ext_sh*(mw_open*he_open+Sens!$H$100*Sens!$H$97)*Sens!$H$86/1000</f>
        <v>0</v>
      </c>
      <c r="I124" s="38" t="n">
        <f aca="false">rd2*(1-ext_sh)/ext_sh*(mw_open*he_open+Sens!$I$100*Sens!$I$97)*Sens!$I$86/1000</f>
        <v>0</v>
      </c>
      <c r="J124" s="38" t="n">
        <f aca="false">rd2*(1-ext_sh)/ext_sh*(mw_open*he_open+Sens!$J$100*Sens!$J$97)*Sens!$J$86/1000</f>
        <v>0</v>
      </c>
      <c r="K124" s="38" t="n">
        <f aca="false">rd2*(1-ext_sh)/ext_sh*(mw_open*he_open+Sens!$K$100*Sens!$K$97)*Sens!$K$86/1000</f>
        <v>0</v>
      </c>
      <c r="L124" s="38" t="n">
        <f aca="false">rd2*(1-ext_sh)/ext_sh*(mw_open*he_open+Sens!$L$100*Sens!$L$97)*Sens!$L$86/1000</f>
        <v>0</v>
      </c>
      <c r="M124" s="38" t="n">
        <f aca="false">rd2*(1-ext_sh)/ext_sh*(mw_open*he_open+Sens!$M$100*Sens!$M$97)*Sens!$M$86/1000</f>
        <v>0</v>
      </c>
      <c r="N124" s="38" t="n">
        <f aca="false">rd2*(1-ext_sh)/ext_sh*Sens!$N$85*he_open*Sens!$N$86/1000</f>
        <v>0</v>
      </c>
      <c r="O124" s="38" t="n">
        <f aca="false">rd2*(1-ext_sh)/ext_sh*Sens!$O$85*he_open*Sens!$O$86/1000</f>
        <v>0</v>
      </c>
      <c r="P124" s="8" t="s">
        <v>601</v>
      </c>
    </row>
    <row r="125" customFormat="false" ht="17.15" hidden="false" customHeight="false" outlineLevel="0" collapsed="false">
      <c r="A125" s="5" t="s">
        <v>602</v>
      </c>
      <c r="B125" s="0" t="s">
        <v>73</v>
      </c>
      <c r="C125" s="38" t="n">
        <f aca="false">(1-ext_sh)*(Sens!$C$104+Sens!$C$118)-Sens!$C$124</f>
        <v>0.169206631859174</v>
      </c>
      <c r="D125" s="38" t="n">
        <f aca="false">(1-ext_sh)*(Sens!$D$104+Sens!$D$118)-Sens!$D$124</f>
        <v>1.20641732046984</v>
      </c>
      <c r="E125" s="38" t="n">
        <f aca="false">(1-ext_sh)*(Sens!$E$104+Sens!$E$118)-Sens!$E$124</f>
        <v>1.77441259867062</v>
      </c>
      <c r="F125" s="38" t="n">
        <f aca="false">(1-ext_sh)*(Sens!$F$104+Sens!$F$118)-Sens!$F$124</f>
        <v>2.1140391597214</v>
      </c>
      <c r="G125" s="38" t="n">
        <f aca="false">(1-ext_sh)*(Sens!$G$104+Sens!$G$118)-Sens!$G$124</f>
        <v>3.88845175839202</v>
      </c>
      <c r="H125" s="38" t="n">
        <f aca="false">(1-ext_sh)*(Sens!$H$104+Sens!$H$118)-Sens!$H$124</f>
        <v>10.2210179503985</v>
      </c>
      <c r="I125" s="38" t="n">
        <f aca="false">(1-ext_sh)*(Sens!$I$104+Sens!$I$118)-Sens!$I$124</f>
        <v>17.8408961823075</v>
      </c>
      <c r="J125" s="38" t="n">
        <f aca="false">(1-ext_sh)*(Sens!$J$104+Sens!$J$118)-Sens!$J$124</f>
        <v>25.6671150670732</v>
      </c>
      <c r="K125" s="38" t="n">
        <f aca="false">(1-ext_sh)*(Sens!$K$104+Sens!$K$118)-Sens!$K$124</f>
        <v>33.6325293834986</v>
      </c>
      <c r="L125" s="38" t="n">
        <f aca="false">(1-ext_sh)*(Sens!$L$104+Sens!$L$118)-Sens!$L$124</f>
        <v>41.1939886299065</v>
      </c>
      <c r="M125" s="38" t="n">
        <f aca="false">(1-ext_sh)*(Sens!$M$104+Sens!$M$118)-Sens!$M$124</f>
        <v>48.8988205728617</v>
      </c>
      <c r="N125" s="38" t="n">
        <f aca="false">(1-ext_sh)*(Sens!$N$104+Sens!$N$118)-Sens!$N$124</f>
        <v>0.530919624033979</v>
      </c>
      <c r="O125" s="38" t="n">
        <f aca="false">(1-ext_sh)*(Sens!$O$104+Sens!$O$118)-Sens!$O$124</f>
        <v>0.675497696435861</v>
      </c>
    </row>
    <row r="126" customFormat="false" ht="17.15" hidden="false" customHeight="false" outlineLevel="0" collapsed="false">
      <c r="A126" s="0" t="s">
        <v>603</v>
      </c>
      <c r="B126" s="0" t="s">
        <v>73</v>
      </c>
      <c r="C126" s="38" t="n">
        <f aca="false">Q!$D$24</f>
        <v>39.834</v>
      </c>
      <c r="D126" s="38" t="n">
        <f aca="false">Q!$E$24</f>
        <v>45.606</v>
      </c>
      <c r="E126" s="38" t="n">
        <f aca="false">Q!$P$24</f>
        <v>30.782</v>
      </c>
      <c r="N126" s="38" t="n">
        <f aca="false">Q!$N$24</f>
        <v>21.707</v>
      </c>
      <c r="O126" s="38" t="n">
        <f aca="false">Q!$O$24</f>
        <v>23.899</v>
      </c>
    </row>
    <row r="127" customFormat="false" ht="17.15" hidden="false" customHeight="false" outlineLevel="0" collapsed="false">
      <c r="A127" s="0" t="s">
        <v>604</v>
      </c>
      <c r="B127" s="0" t="s">
        <v>73</v>
      </c>
      <c r="C127" s="38" t="n">
        <f aca="false">Sens!$C$126-Sens!$C$122</f>
        <v>38.1898211704631</v>
      </c>
      <c r="D127" s="38" t="n">
        <f aca="false">Sens!$D$126-Sens!$D$122</f>
        <v>41.7278991932282</v>
      </c>
      <c r="E127" s="38" t="n">
        <f aca="false">Sens!$E$126-Sens!$E$122</f>
        <v>29.3692974191125</v>
      </c>
      <c r="F127" s="38" t="n">
        <f aca="false">Sens!$F$106*Sens!$F$128</f>
        <v>29.458060516894</v>
      </c>
      <c r="G127" s="38" t="n">
        <f aca="false">Sens!$E$127+Sens!$F$127</f>
        <v>58.8273579360065</v>
      </c>
      <c r="H127" s="38" t="n">
        <f aca="false">Sens!$H$106*Sens!$H$128</f>
        <v>67.8004040185081</v>
      </c>
      <c r="I127" s="38" t="n">
        <f aca="false">Sens!$I$106*Sens!$I$128</f>
        <v>78.9527630302702</v>
      </c>
      <c r="J127" s="38" t="n">
        <f aca="false">Sens!$J$106*Sens!$J$128</f>
        <v>88.6042681781841</v>
      </c>
      <c r="K127" s="38" t="n">
        <f aca="false">Sens!$K$106*Sens!$K$128</f>
        <v>95.6926096324389</v>
      </c>
      <c r="L127" s="38" t="n">
        <f aca="false">Sens!$L$106*Sens!$L$128</f>
        <v>103.348018403034</v>
      </c>
      <c r="M127" s="38" t="n">
        <f aca="false">Sens!$M$106*Sens!$M$128</f>
        <v>111.615859875277</v>
      </c>
      <c r="N127" s="38" t="n">
        <f aca="false">Sens!$N$126-Sens!$N$122</f>
        <v>20.784358965108</v>
      </c>
      <c r="O127" s="38" t="n">
        <f aca="false">Sens!$O$126-Sens!$O$122</f>
        <v>20.9435402281202</v>
      </c>
      <c r="P127" s="5" t="s">
        <v>605</v>
      </c>
    </row>
    <row r="128" customFormat="false" ht="17.15" hidden="false" customHeight="false" outlineLevel="0" collapsed="false">
      <c r="A128" s="0" t="s">
        <v>606</v>
      </c>
      <c r="B128" s="0" t="s">
        <v>52</v>
      </c>
      <c r="C128" s="12" t="n">
        <f aca="false">Sens!$C$127/Sens!$C$106</f>
        <v>0.362900395443635</v>
      </c>
      <c r="D128" s="12" t="n">
        <f aca="false">Sens!$D$127/Sens!$D$106</f>
        <v>0.34767098474203</v>
      </c>
      <c r="E128" s="12" t="n">
        <f aca="false">Sens!$E$127/Sens!$E$106</f>
        <v>0.411861655558416</v>
      </c>
      <c r="F128" s="12" t="n">
        <f aca="false">(Sens!$O$127+Sens!$E$127)/(Sens!$O$106+Sens!$E$106)</f>
        <v>0.37480827803158</v>
      </c>
      <c r="G128" s="12" t="n">
        <f aca="false">Sens!$G$127/Sens!$G$106</f>
        <v>0.392434440489471</v>
      </c>
      <c r="H128" s="12" t="n">
        <f aca="false">Sens!$F$128</f>
        <v>0.37480827803158</v>
      </c>
      <c r="I128" s="12" t="n">
        <f aca="false">Sens!$F$128</f>
        <v>0.37480827803158</v>
      </c>
      <c r="J128" s="12" t="n">
        <f aca="false">Sens!$F$128</f>
        <v>0.37480827803158</v>
      </c>
      <c r="K128" s="12" t="n">
        <f aca="false">Sens!$F$128</f>
        <v>0.37480827803158</v>
      </c>
      <c r="L128" s="12" t="n">
        <f aca="false">Sens!$F$128</f>
        <v>0.37480827803158</v>
      </c>
      <c r="M128" s="12" t="n">
        <f aca="false">Sens!$F$128</f>
        <v>0.37480827803158</v>
      </c>
      <c r="N128" s="12" t="n">
        <f aca="false">Sens!$N$127/Sens!$N$106</f>
        <v>0.364039571356823</v>
      </c>
      <c r="O128" s="12" t="n">
        <f aca="false">Sens!$O$127/Sens!$O$106</f>
        <v>0.332819892300086</v>
      </c>
      <c r="P128" s="8" t="s">
        <v>607</v>
      </c>
    </row>
    <row r="129" customFormat="false" ht="17.15" hidden="false" customHeight="false" outlineLevel="0" collapsed="false">
      <c r="A129" s="0" t="s">
        <v>608</v>
      </c>
      <c r="B129" s="0" t="s">
        <v>52</v>
      </c>
      <c r="D129" s="12" t="n">
        <f aca="false">(Q!$E$31-ext_sh*Sens!$D$118)/Sens!$D$106</f>
        <v>0.154572973163571</v>
      </c>
    </row>
    <row r="130" customFormat="false" ht="17.15" hidden="false" customHeight="false" outlineLevel="0" collapsed="false">
      <c r="A130" s="0" t="s">
        <v>609</v>
      </c>
      <c r="B130" s="0" t="s">
        <v>73</v>
      </c>
      <c r="C130" s="38" t="n">
        <f aca="false">Q!$D$31</f>
        <v>13.32</v>
      </c>
      <c r="D130" s="38" t="n">
        <f aca="false">Q!$E$31</f>
        <v>21.45</v>
      </c>
      <c r="E130" s="38" t="n">
        <f aca="false">Q!$P$31</f>
        <v>15.353</v>
      </c>
      <c r="F130" s="38" t="n">
        <f aca="false">ext_sh*Sens!$F$118+Sens!$D$129*Sens!$F$106</f>
        <v>17.3614451462707</v>
      </c>
      <c r="G130" s="38" t="n">
        <f aca="false">Sens!$E$130+Sens!$F$130</f>
        <v>32.7144451462707</v>
      </c>
      <c r="H130" s="38" t="n">
        <f aca="false">ext_sh*Sens!$H$118+Sens!$D$129*Sens!$H$106</f>
        <v>56.1966092719415</v>
      </c>
      <c r="I130" s="38" t="n">
        <f aca="false">ext_sh*Sens!$I$118+Sens!$D$129*Sens!$I$106</f>
        <v>82.9744039068297</v>
      </c>
      <c r="J130" s="38" t="n">
        <f aca="false">ext_sh*Sens!$J$118+Sens!$D$129*Sens!$J$106</f>
        <v>109.943252237669</v>
      </c>
      <c r="K130" s="38" t="n">
        <f aca="false">ext_sh*Sens!$K$118+Sens!$D$129*Sens!$K$106</f>
        <v>136.406703436571</v>
      </c>
      <c r="L130" s="38" t="n">
        <f aca="false">ext_sh*Sens!$L$118+Sens!$D$129*Sens!$L$106</f>
        <v>161.485870454155</v>
      </c>
      <c r="M130" s="38" t="n">
        <f aca="false">ext_sh*Sens!$M$118+Sens!$D$129*Sens!$M$106</f>
        <v>187.389846618199</v>
      </c>
      <c r="N130" s="38" t="n">
        <f aca="false">Q!$N$31</f>
        <v>9.234</v>
      </c>
      <c r="O130" s="38" t="n">
        <f aca="false">Q!$O$31</f>
        <v>12.216</v>
      </c>
    </row>
    <row r="131" customFormat="false" ht="17.15" hidden="false" customHeight="false" outlineLevel="0" collapsed="false">
      <c r="A131" s="1" t="s">
        <v>610</v>
      </c>
    </row>
    <row r="132" customFormat="false" ht="17.15" hidden="false" customHeight="false" outlineLevel="0" collapsed="false">
      <c r="A132" s="14" t="s">
        <v>611</v>
      </c>
      <c r="B132" s="13" t="s">
        <v>52</v>
      </c>
      <c r="C132" s="13"/>
      <c r="D132" s="13"/>
      <c r="E132" s="13"/>
      <c r="F132" s="13"/>
      <c r="G132" s="16" t="n">
        <f aca="false">Sens!$G$122*(1-tax)/(ext_sh*(Sens!$D$119+Sens!$G$119)/2)</f>
        <v>0.0492184452944045</v>
      </c>
      <c r="H132" s="16" t="n">
        <f aca="false">Sens!$H$122*(1-tax)/(ext_sh*(Sens!$G$119+Sens!$H$119)/2)</f>
        <v>0.0619414246858107</v>
      </c>
      <c r="I132" s="16" t="n">
        <f aca="false">Sens!$I$122*(1-tax)/(ext_sh*(Sens!$H$119+Sens!$I$119)/2)</f>
        <v>0.0656831488051666</v>
      </c>
      <c r="J132" s="16" t="n">
        <f aca="false">Sens!$J$122*(1-tax)/(ext_sh*(Sens!$I$119+Sens!$J$119)/2)</f>
        <v>0.0690334849962116</v>
      </c>
      <c r="K132" s="16" t="n">
        <f aca="false">Sens!$K$122*(1-tax)/(ext_sh*(Sens!$J$119+Sens!$K$119)/2)</f>
        <v>0.0728680488295485</v>
      </c>
      <c r="L132" s="16" t="n">
        <f aca="false">Sens!$L$122*(1-tax)/(ext_sh*(Sens!$K$119+Sens!$L$119)/2)</f>
        <v>0.0785052878122331</v>
      </c>
      <c r="M132" s="16" t="n">
        <f aca="false">Sens!$M$122*(1-tax)/(ext_sh*(Sens!$L$119+Sens!$M$119)/2)</f>
        <v>0.0804526580722741</v>
      </c>
      <c r="N132" s="13"/>
      <c r="O132" s="13"/>
      <c r="P132" s="8" t="s">
        <v>612</v>
      </c>
    </row>
    <row r="133" customFormat="false" ht="17.15" hidden="false" customHeight="false" outlineLevel="0" collapsed="false">
      <c r="A133" s="5" t="s">
        <v>613</v>
      </c>
      <c r="B133" s="0" t="s">
        <v>57</v>
      </c>
      <c r="H133" s="36" t="n">
        <f aca="false">Sens!$H$102*1000/(mw_open*he_open+Sens!$H$100*Sens!$H$97)</f>
        <v>0.991949006767191</v>
      </c>
      <c r="I133" s="36" t="n">
        <f aca="false">Sens!$I$102*1000/(mw_open*he_open+Sens!$I$100*Sens!$I$97)</f>
        <v>0.991949006767191</v>
      </c>
      <c r="J133" s="36" t="n">
        <f aca="false">Sens!$J$102*1000/(mw_open*he_open+Sens!$J$100*Sens!$J$97)</f>
        <v>0.991949006767191</v>
      </c>
      <c r="K133" s="36" t="n">
        <f aca="false">Sens!$K$102*1000/(mw_open*he_open+Sens!$K$100*Sens!$K$97)</f>
        <v>0.991949006767191</v>
      </c>
      <c r="L133" s="36" t="n">
        <f aca="false">Sens!$L$102*1000/(mw_open*he_open+Sens!$L$100*Sens!$L$97)</f>
        <v>0.991949006767191</v>
      </c>
      <c r="M133" s="36" t="n">
        <f aca="false">Sens!$M$102*1000/(mw_open*he_open+Sens!$M$100*Sens!$M$97)</f>
        <v>0.991949006767192</v>
      </c>
    </row>
    <row r="134" customFormat="false" ht="17.15" hidden="false" customHeight="false" outlineLevel="0" collapsed="false">
      <c r="A134" s="5" t="s">
        <v>614</v>
      </c>
      <c r="B134" s="0" t="s">
        <v>57</v>
      </c>
      <c r="H134" s="36" t="n">
        <f aca="false">Sens!$H$133*(Sens!$H$102+wacc*ext_sh*(Sens!$G$119+Sens!$H$119)/2/(1-tax)-Sens!$H$122)/Sens!$H$102</f>
        <v>1.3149781212103</v>
      </c>
      <c r="I134" s="36" t="n">
        <f aca="false">Sens!$I$133*(Sens!$I$102+wacc*ext_sh*(Sens!$H$119+Sens!$I$119)/2/(1-tax)-Sens!$I$122)/Sens!$I$102</f>
        <v>1.25742005569107</v>
      </c>
      <c r="J134" s="36" t="n">
        <f aca="false">Sens!$J$133*(Sens!$J$102+wacc*ext_sh*(Sens!$I$119+Sens!$J$119)/2/(1-tax)-Sens!$J$122)/Sens!$J$102</f>
        <v>1.21838845868559</v>
      </c>
      <c r="K134" s="36" t="n">
        <f aca="false">Sens!$K$133*(Sens!$K$102+wacc*ext_sh*(Sens!$J$119+Sens!$K$119)/2/(1-tax)-Sens!$K$122)/Sens!$K$102</f>
        <v>1.18402644209548</v>
      </c>
      <c r="L134" s="36" t="n">
        <f aca="false">Sens!$L$133*(Sens!$L$102+wacc*ext_sh*(Sens!$K$119+Sens!$L$119)/2/(1-tax)-Sens!$L$122)/Sens!$L$102</f>
        <v>1.15111215322059</v>
      </c>
      <c r="M134" s="36" t="n">
        <f aca="false">Sens!$M$133*(Sens!$M$102+wacc*ext_sh*(Sens!$L$119+Sens!$M$119)/2/(1-tax)-Sens!$M$122)/Sens!$M$102</f>
        <v>1.1397166845677</v>
      </c>
    </row>
    <row r="135" customFormat="false" ht="17.15" hidden="false" customHeight="false" outlineLevel="0" collapsed="false">
      <c r="A135" s="5" t="s">
        <v>615</v>
      </c>
      <c r="B135" s="0" t="s">
        <v>52</v>
      </c>
      <c r="C135" s="12" t="n">
        <f aca="false">Sens!$C$103/tk_pq</f>
        <v>0.195316432429398</v>
      </c>
      <c r="D135" s="12" t="n">
        <f aca="false">Sens!$D$103/tk_pq</f>
        <v>0.195316432429398</v>
      </c>
      <c r="E135" s="12" t="n">
        <f aca="false">Sens!$E$103/tk_pq</f>
        <v>0.195316432429398</v>
      </c>
      <c r="F135" s="12" t="n">
        <f aca="false">Sens!$F$103/tk_pq</f>
        <v>0.202241827274866</v>
      </c>
      <c r="G135" s="12" t="n">
        <f aca="false">Sens!$G$103/tk_pq</f>
        <v>0.199675016194063</v>
      </c>
      <c r="H135" s="12" t="n">
        <f aca="false">Sens!$H$103/tk_pq</f>
        <v>0.212647947710325</v>
      </c>
      <c r="I135" s="12" t="n">
        <f aca="false">Sens!$I$103/tk_pq</f>
        <v>0.219285125475351</v>
      </c>
      <c r="J135" s="12" t="n">
        <f aca="false">Sens!$J$103/tk_pq</f>
        <v>0.222492493217189</v>
      </c>
      <c r="K135" s="12" t="n">
        <f aca="false">Sens!$K$103/tk_pq</f>
        <v>0.224371415939166</v>
      </c>
      <c r="L135" s="12" t="n">
        <f aca="false">Sens!$L$103/tk_pq</f>
        <v>0.225603749825993</v>
      </c>
      <c r="M135" s="12" t="n">
        <f aca="false">Sens!$M$103/tk_pq</f>
        <v>0.22647376274628</v>
      </c>
      <c r="N135" s="12" t="n">
        <f aca="false">Sens!$N$103/tk_pq</f>
        <v>0.195316432429398</v>
      </c>
      <c r="O135" s="12" t="n">
        <f aca="false">Sens!$O$103/tk_pq</f>
        <v>0.195316432429398</v>
      </c>
      <c r="P135" s="5" t="s">
        <v>616</v>
      </c>
    </row>
    <row r="138" customFormat="false" ht="17.15" hidden="false" customHeight="false" outlineLevel="0" collapsed="false">
      <c r="A138" s="1" t="s">
        <v>643</v>
      </c>
    </row>
    <row r="139" customFormat="false" ht="17.15" hidden="false" customHeight="false" outlineLevel="0" collapsed="false">
      <c r="A139" s="0" t="s">
        <v>644</v>
      </c>
      <c r="B139" s="0" t="s">
        <v>73</v>
      </c>
      <c r="C139" s="38" t="n">
        <f aca="false">Sens!$C$102</f>
        <v>2.32100535697364</v>
      </c>
      <c r="D139" s="38" t="n">
        <f aca="false">Sens!$D$102</f>
        <v>8.70377008865116</v>
      </c>
      <c r="E139" s="38" t="n">
        <f aca="false">Sens!$E$102</f>
        <v>8.51035297557002</v>
      </c>
      <c r="F139" s="38" t="n">
        <f aca="false">Sens!$F$102</f>
        <v>14.9634336447205</v>
      </c>
      <c r="G139" s="38" t="n">
        <f aca="false">Sens!$G$102</f>
        <v>23.4737866202905</v>
      </c>
      <c r="H139" s="38" t="n">
        <f aca="false">Sens!$H$102</f>
        <v>60.1658907497746</v>
      </c>
      <c r="I139" s="38" t="n">
        <f aca="false">Sens!$I$102</f>
        <v>101.503699136432</v>
      </c>
      <c r="J139" s="38" t="n">
        <f aca="false">Sens!$J$102</f>
        <v>143.025407151278</v>
      </c>
      <c r="K139" s="38" t="n">
        <f aca="false">Sens!$K$102</f>
        <v>184.608415042187</v>
      </c>
      <c r="L139" s="38" t="n">
        <f aca="false">Sens!$L$102</f>
        <v>226.219286513125</v>
      </c>
      <c r="M139" s="38" t="n">
        <f aca="false">Sens!$M$102</f>
        <v>267.845161450232</v>
      </c>
      <c r="N139" s="38" t="n">
        <f aca="false">Sens!$N$102</f>
        <v>3.04631953102791</v>
      </c>
      <c r="O139" s="38" t="n">
        <f aca="false">Sens!$O$102</f>
        <v>5.65745055762326</v>
      </c>
      <c r="P139" s="8" t="s">
        <v>645</v>
      </c>
    </row>
    <row r="140" customFormat="false" ht="17.15" hidden="false" customHeight="false" outlineLevel="0" collapsed="false">
      <c r="A140" s="0" t="s">
        <v>646</v>
      </c>
      <c r="B140" s="0" t="s">
        <v>73</v>
      </c>
      <c r="C140" s="38" t="n">
        <f aca="false">Sens!$C$106</f>
        <v>105.234994643026</v>
      </c>
      <c r="D140" s="38" t="n">
        <f aca="false">Sens!$D$106</f>
        <v>120.021229911349</v>
      </c>
      <c r="E140" s="38" t="n">
        <f aca="false">Sens!$E$106</f>
        <v>71.30864702443</v>
      </c>
      <c r="F140" s="38" t="n">
        <f aca="false">Sens!$F$106</f>
        <v>78.5950104186653</v>
      </c>
      <c r="G140" s="38" t="n">
        <f aca="false">Sens!$G$106</f>
        <v>149.903657443095</v>
      </c>
      <c r="H140" s="38" t="n">
        <f aca="false">Sens!$H$106</f>
        <v>180.893560768142</v>
      </c>
      <c r="I140" s="38" t="n">
        <f aca="false">Sens!$I$106</f>
        <v>210.64839721501</v>
      </c>
      <c r="J140" s="38" t="n">
        <f aca="false">Sens!$J$106</f>
        <v>236.398909446495</v>
      </c>
      <c r="K140" s="38" t="n">
        <f aca="false">Sens!$K$106</f>
        <v>255.310822202215</v>
      </c>
      <c r="L140" s="38" t="n">
        <f aca="false">Sens!$L$106</f>
        <v>275.735687978392</v>
      </c>
      <c r="M140" s="38" t="n">
        <f aca="false">Sens!$M$106</f>
        <v>297.794543016663</v>
      </c>
      <c r="N140" s="38" t="n">
        <f aca="false">Sens!$N$106</f>
        <v>57.0936804689721</v>
      </c>
      <c r="O140" s="38" t="n">
        <f aca="false">Sens!$O$106</f>
        <v>62.9275494423768</v>
      </c>
      <c r="P140" s="8" t="s">
        <v>645</v>
      </c>
    </row>
    <row r="141" customFormat="false" ht="17.15" hidden="false" customHeight="false" outlineLevel="0" collapsed="false">
      <c r="A141" s="1" t="s">
        <v>476</v>
      </c>
      <c r="B141" s="8" t="s">
        <v>73</v>
      </c>
      <c r="C141" s="38" t="n">
        <f aca="false">Q!$D$7</f>
        <v>107.556</v>
      </c>
      <c r="D141" s="38" t="n">
        <f aca="false">Q!$E$7</f>
        <v>128.725</v>
      </c>
      <c r="E141" s="38" t="n">
        <f aca="false">Q!$P$7</f>
        <v>79.819</v>
      </c>
      <c r="F141" s="38" t="n">
        <f aca="false">Sens!$F$139+Sens!$F$140</f>
        <v>93.5584440633857</v>
      </c>
      <c r="G141" s="38" t="n">
        <f aca="false">Sens!$G$139+Sens!$G$140</f>
        <v>173.377444063386</v>
      </c>
      <c r="H141" s="38" t="n">
        <f aca="false">Sens!$H$139+Sens!$H$140</f>
        <v>241.059451517916</v>
      </c>
      <c r="I141" s="38" t="n">
        <f aca="false">Sens!$I$139+Sens!$I$140</f>
        <v>312.152096351442</v>
      </c>
      <c r="J141" s="38" t="n">
        <f aca="false">Sens!$J$139+Sens!$J$140</f>
        <v>379.424316597773</v>
      </c>
      <c r="K141" s="38" t="n">
        <f aca="false">Sens!$K$139+Sens!$K$140</f>
        <v>439.919237244402</v>
      </c>
      <c r="L141" s="38" t="n">
        <f aca="false">Sens!$L$139+Sens!$L$140</f>
        <v>501.954974491517</v>
      </c>
      <c r="M141" s="38" t="n">
        <f aca="false">Sens!$M$139+Sens!$M$140</f>
        <v>565.639704466895</v>
      </c>
      <c r="N141" s="38" t="n">
        <f aca="false">Q!$N$7</f>
        <v>60.14</v>
      </c>
      <c r="O141" s="38" t="n">
        <f aca="false">Q!$O$7</f>
        <v>68.585</v>
      </c>
      <c r="P141" s="5" t="s">
        <v>647</v>
      </c>
    </row>
    <row r="142" customFormat="false" ht="15" hidden="false" customHeight="false" outlineLevel="0" collapsed="false">
      <c r="A142" s="3" t="s">
        <v>648</v>
      </c>
      <c r="B142" s="8" t="s">
        <v>73</v>
      </c>
      <c r="C142" s="38" t="n">
        <f aca="false">Q!$D$8</f>
        <v>637.959</v>
      </c>
      <c r="D142" s="38" t="n">
        <f aca="false">Q!$E$8</f>
        <v>716.924</v>
      </c>
      <c r="E142" s="38" t="n">
        <f aca="false">Q!$P$8</f>
        <v>382.125</v>
      </c>
      <c r="F142" s="38" t="n">
        <f aca="false">Sens!$F$75+Sens!$F$141</f>
        <v>450.494873271816</v>
      </c>
      <c r="G142" s="38" t="n">
        <f aca="false">Sens!$G$75+Sens!$G$141</f>
        <v>832.619873271816</v>
      </c>
      <c r="H142" s="38" t="n">
        <f aca="false">Sens!$H$75+Sens!$H$141</f>
        <v>970.995189139617</v>
      </c>
      <c r="I142" s="38" t="n">
        <f aca="false">Sens!$I$75+Sens!$I$141</f>
        <v>1110.44766604932</v>
      </c>
      <c r="J142" s="38" t="n">
        <f aca="false">Sens!$J$75+Sens!$J$141</f>
        <v>1241.16113892356</v>
      </c>
      <c r="K142" s="38" t="n">
        <f aca="false">Sens!$K$75+Sens!$K$141</f>
        <v>1357.47672934633</v>
      </c>
      <c r="L142" s="38" t="n">
        <f aca="false">Sens!$L$75+Sens!$L$141</f>
        <v>1479.24006423468</v>
      </c>
      <c r="M142" s="38" t="n">
        <f aca="false">Sens!$M$75+Sens!$M$141</f>
        <v>1606.8537230104</v>
      </c>
      <c r="N142" s="38" t="n">
        <f aca="false">Q!$N$8</f>
        <v>323.369</v>
      </c>
      <c r="O142" s="38" t="n">
        <f aca="false">Q!$O$8</f>
        <v>393.555</v>
      </c>
    </row>
    <row r="143" customFormat="false" ht="17.15" hidden="false" customHeight="false" outlineLevel="0" collapsed="false">
      <c r="A143" s="24" t="s">
        <v>656</v>
      </c>
      <c r="B143" s="25" t="s">
        <v>73</v>
      </c>
      <c r="C143" s="39" t="n">
        <f aca="false">Sens!$C$75-(Sens!$C$77+Sens!$C$78)</f>
        <v>0</v>
      </c>
      <c r="D143" s="39" t="n">
        <f aca="false">Sens!$D$75-(Sens!$D$77+Sens!$D$78)</f>
        <v>0</v>
      </c>
      <c r="E143" s="39" t="n">
        <f aca="false">Sens!$E$75-(Sens!$E$77+Sens!$E$78)</f>
        <v>0</v>
      </c>
      <c r="F143" s="39" t="n">
        <f aca="false">Sens!$F$75-(Sens!$F$77+Sens!$F$78)</f>
        <v>0</v>
      </c>
      <c r="G143" s="39" t="n">
        <f aca="false">Sens!$G$75-(Sens!$G$77+Sens!$G$78)</f>
        <v>0</v>
      </c>
      <c r="H143" s="39" t="n">
        <f aca="false">Sens!$H$75-(Sens!$H$77+Sens!$H$78)</f>
        <v>0</v>
      </c>
      <c r="I143" s="39" t="n">
        <f aca="false">Sens!$I$75-(Sens!$I$77+Sens!$I$78)</f>
        <v>0</v>
      </c>
      <c r="J143" s="39" t="n">
        <f aca="false">Sens!$J$75-(Sens!$J$77+Sens!$J$78)</f>
        <v>0</v>
      </c>
      <c r="K143" s="39" t="n">
        <f aca="false">Sens!$K$75-(Sens!$K$77+Sens!$K$78)</f>
        <v>0</v>
      </c>
      <c r="L143" s="39" t="n">
        <f aca="false">Sens!$L$75-(Sens!$L$77+Sens!$L$78)</f>
        <v>0</v>
      </c>
      <c r="M143" s="39" t="n">
        <f aca="false">Sens!$M$75-(Sens!$M$77+Sens!$M$78)</f>
        <v>0</v>
      </c>
      <c r="N143" s="39" t="n">
        <f aca="false">Sens!$N$75-(Sens!$N$77+Sens!$N$78)</f>
        <v>0</v>
      </c>
      <c r="O143" s="39" t="n">
        <f aca="false">Sens!$O$75-(Sens!$O$77+Sens!$O$78)</f>
        <v>0</v>
      </c>
    </row>
    <row r="144" customFormat="false" ht="17.15" hidden="false" customHeight="false" outlineLevel="0" collapsed="false">
      <c r="A144" s="24" t="s">
        <v>657</v>
      </c>
      <c r="B144" s="25" t="s">
        <v>73</v>
      </c>
      <c r="C144" s="39" t="n">
        <f aca="false">Sens!$C$139+Sens!$C$140-Sens!$C$141</f>
        <v>0</v>
      </c>
      <c r="D144" s="39" t="n">
        <f aca="false">Sens!$D$139+Sens!$D$140-Sens!$D$141</f>
        <v>0</v>
      </c>
      <c r="E144" s="39" t="n">
        <f aca="false">Sens!$E$139+Sens!$E$140-Sens!$E$141</f>
        <v>0</v>
      </c>
      <c r="F144" s="39" t="n">
        <f aca="false">Sens!$F$139+Sens!$F$140-Sens!$F$141</f>
        <v>0</v>
      </c>
      <c r="G144" s="39" t="n">
        <f aca="false">Sens!$G$139+Sens!$G$140-Sens!$G$141</f>
        <v>0</v>
      </c>
      <c r="H144" s="39" t="n">
        <f aca="false">Sens!$H$139+Sens!$H$140-Sens!$H$141</f>
        <v>0</v>
      </c>
      <c r="I144" s="39" t="n">
        <f aca="false">Sens!$I$139+Sens!$I$140-Sens!$I$141</f>
        <v>0</v>
      </c>
      <c r="J144" s="39" t="n">
        <f aca="false">Sens!$J$139+Sens!$J$140-Sens!$J$141</f>
        <v>0</v>
      </c>
      <c r="K144" s="39" t="n">
        <f aca="false">Sens!$K$139+Sens!$K$140-Sens!$K$141</f>
        <v>0</v>
      </c>
      <c r="L144" s="39" t="n">
        <f aca="false">Sens!$L$139+Sens!$L$140-Sens!$L$141</f>
        <v>0</v>
      </c>
      <c r="M144" s="39" t="n">
        <f aca="false">Sens!$M$139+Sens!$M$140-Sens!$M$141</f>
        <v>0</v>
      </c>
      <c r="N144" s="39" t="n">
        <f aca="false">Sens!$N$139+Sens!$N$140-Sens!$N$141</f>
        <v>0</v>
      </c>
      <c r="O144" s="39" t="n">
        <f aca="false">Sens!$O$139+Sens!$O$140-Sens!$O$141</f>
        <v>0</v>
      </c>
    </row>
    <row r="145" customFormat="false" ht="17.15" hidden="false" customHeight="false" outlineLevel="0" collapsed="false">
      <c r="A145" s="24" t="s">
        <v>658</v>
      </c>
      <c r="B145" s="25" t="s">
        <v>73</v>
      </c>
      <c r="C145" s="39" t="n">
        <f aca="false">Sens!$C$77+Sens!$C$78+Sens!$C$141-Sens!$C$142</f>
        <v>0</v>
      </c>
      <c r="D145" s="39" t="n">
        <f aca="false">Sens!$D$77+Sens!$D$78+Sens!$D$141-Sens!$D$142</f>
        <v>0</v>
      </c>
      <c r="E145" s="39" t="n">
        <f aca="false">Sens!$E$77+Sens!$E$78+Sens!$E$141-Sens!$E$142</f>
        <v>0</v>
      </c>
      <c r="F145" s="39" t="n">
        <f aca="false">Sens!$F$77+Sens!$F$78+Sens!$F$141-Sens!$F$142</f>
        <v>0</v>
      </c>
      <c r="G145" s="39" t="n">
        <f aca="false">Sens!$G$77+Sens!$G$78+Sens!$G$141-Sens!$G$142</f>
        <v>0</v>
      </c>
      <c r="H145" s="39" t="n">
        <f aca="false">Sens!$H$77+Sens!$H$78+Sens!$H$141-Sens!$H$142</f>
        <v>0</v>
      </c>
      <c r="I145" s="39" t="n">
        <f aca="false">Sens!$I$77+Sens!$I$78+Sens!$I$141-Sens!$I$142</f>
        <v>0</v>
      </c>
      <c r="J145" s="39" t="n">
        <f aca="false">Sens!$J$77+Sens!$J$78+Sens!$J$141-Sens!$J$142</f>
        <v>0</v>
      </c>
      <c r="K145" s="39" t="n">
        <f aca="false">Sens!$K$77+Sens!$K$78+Sens!$K$141-Sens!$K$142</f>
        <v>0</v>
      </c>
      <c r="L145" s="39" t="n">
        <f aca="false">Sens!$L$77+Sens!$L$78+Sens!$L$141-Sens!$L$142</f>
        <v>0</v>
      </c>
      <c r="M145" s="39" t="n">
        <f aca="false">Sens!$M$77+Sens!$M$78+Sens!$M$141-Sens!$M$142</f>
        <v>0</v>
      </c>
      <c r="N145" s="39" t="n">
        <f aca="false">Sens!$N$77+Sens!$N$78+Sens!$N$141-Sens!$N$142</f>
        <v>0</v>
      </c>
      <c r="O145" s="39" t="n">
        <f aca="false">Sens!$O$77+Sens!$O$78+Sens!$O$141-Sens!$O$142</f>
        <v>0</v>
      </c>
    </row>
    <row r="146" customFormat="false" ht="15" hidden="false" customHeight="false" outlineLevel="0" collapsed="false">
      <c r="A146" s="5" t="s">
        <v>652</v>
      </c>
      <c r="B146" s="0" t="s">
        <v>52</v>
      </c>
      <c r="G146" s="12" t="n">
        <f aca="false">Sens!$G$142/Sens!$D$142-1</f>
        <v>0.161378156222718</v>
      </c>
      <c r="H146" s="12" t="n">
        <f aca="false">Sens!$H$142/Sens!$G$142-1</f>
        <v>0.166192665236357</v>
      </c>
      <c r="I146" s="12" t="n">
        <f aca="false">Sens!$I$142/Sens!$H$142-1</f>
        <v>0.143618092519351</v>
      </c>
      <c r="J146" s="12" t="n">
        <f aca="false">Sens!$J$142/Sens!$I$142-1</f>
        <v>0.117712411733268</v>
      </c>
      <c r="K146" s="12" t="n">
        <f aca="false">Sens!$K$142/Sens!$J$142-1</f>
        <v>0.0937151404237868</v>
      </c>
      <c r="L146" s="12" t="n">
        <f aca="false">Sens!$L$142/Sens!$K$142-1</f>
        <v>0.0896982852494186</v>
      </c>
      <c r="M146" s="12" t="n">
        <f aca="false">Sens!$M$142/Sens!$L$142-1</f>
        <v>0.0862697420528154</v>
      </c>
    </row>
    <row r="147" customFormat="false" ht="17.15" hidden="false" customHeight="false" outlineLevel="0" collapsed="false">
      <c r="A147" s="0" t="s">
        <v>653</v>
      </c>
      <c r="B147" s="0" t="s">
        <v>52</v>
      </c>
      <c r="C147" s="12" t="n">
        <f aca="false">Sens!$C$141/Sens!$C$142</f>
        <v>0.168593906504964</v>
      </c>
      <c r="D147" s="12" t="n">
        <f aca="false">Sens!$D$141/Sens!$D$142</f>
        <v>0.179551807444025</v>
      </c>
      <c r="E147" s="12" t="n">
        <f aca="false">Sens!$E$141/Sens!$E$142</f>
        <v>0.208881910369643</v>
      </c>
      <c r="F147" s="12" t="n">
        <f aca="false">Sens!$F$141/Sens!$F$142</f>
        <v>0.207679264769203</v>
      </c>
      <c r="G147" s="12" t="n">
        <f aca="false">Sens!$G$141/Sens!$G$142</f>
        <v>0.208231210458731</v>
      </c>
      <c r="H147" s="12" t="n">
        <f aca="false">Sens!$H$141/Sens!$H$142</f>
        <v>0.248260191414043</v>
      </c>
      <c r="I147" s="12" t="n">
        <f aca="false">Sens!$I$141/Sens!$I$142</f>
        <v>0.28110473450946</v>
      </c>
      <c r="J147" s="12" t="n">
        <f aca="false">Sens!$J$141/Sens!$J$142</f>
        <v>0.30570109287086</v>
      </c>
      <c r="K147" s="12" t="n">
        <f aca="false">Sens!$K$141/Sens!$K$142</f>
        <v>0.324071291782835</v>
      </c>
      <c r="L147" s="12" t="n">
        <f aca="false">Sens!$L$141/Sens!$L$142</f>
        <v>0.339333003903741</v>
      </c>
      <c r="M147" s="12" t="n">
        <f aca="false">Sens!$M$141/Sens!$M$142</f>
        <v>0.3520169237354</v>
      </c>
      <c r="N147" s="12" t="n">
        <f aca="false">Sens!$N$141/Sens!$N$142</f>
        <v>0.185979484737251</v>
      </c>
      <c r="O147" s="12" t="n">
        <f aca="false">Sens!$O$141/Sens!$O$142</f>
        <v>0.174270432341096</v>
      </c>
    </row>
    <row r="148" customFormat="false" ht="17.15" hidden="false" customHeight="false" outlineLevel="0" collapsed="false">
      <c r="A148" s="0" t="s">
        <v>654</v>
      </c>
      <c r="B148" s="0" t="s">
        <v>52</v>
      </c>
      <c r="C148" s="12" t="n">
        <f aca="false">Sens!$C$139/Sens!$C$141</f>
        <v>0.0215795060896058</v>
      </c>
      <c r="D148" s="12" t="n">
        <f aca="false">Sens!$D$139/Sens!$D$141</f>
        <v>0.0676152269462122</v>
      </c>
      <c r="E148" s="12" t="n">
        <f aca="false">Sens!$E$139/Sens!$E$141</f>
        <v>0.106620641395783</v>
      </c>
      <c r="F148" s="12" t="n">
        <f aca="false">Sens!$F$139/Sens!$F$141</f>
        <v>0.159936751776064</v>
      </c>
      <c r="G148" s="12" t="n">
        <f aca="false">Sens!$G$139/Sens!$G$141</f>
        <v>0.135391237003751</v>
      </c>
      <c r="H148" s="12" t="n">
        <f aca="false">Sens!$H$139/Sens!$H$141</f>
        <v>0.249589428545194</v>
      </c>
      <c r="I148" s="12" t="n">
        <f aca="false">Sens!$I$139/Sens!$I$141</f>
        <v>0.325173850577483</v>
      </c>
      <c r="J148" s="12" t="n">
        <f aca="false">Sens!$J$139/Sens!$J$141</f>
        <v>0.376953718817392</v>
      </c>
      <c r="K148" s="12" t="n">
        <f aca="false">Sens!$K$139/Sens!$K$141</f>
        <v>0.419641605578676</v>
      </c>
      <c r="L148" s="12" t="n">
        <f aca="false">Sens!$L$139/Sens!$L$141</f>
        <v>0.450676451094615</v>
      </c>
      <c r="M148" s="12" t="n">
        <f aca="false">Sens!$M$139/Sens!$M$141</f>
        <v>0.473526096798086</v>
      </c>
      <c r="N148" s="12" t="n">
        <f aca="false">Sens!$N$139/Sens!$N$141</f>
        <v>0.0506537999838362</v>
      </c>
      <c r="O148" s="12" t="n">
        <f aca="false">Sens!$O$139/Sens!$O$141</f>
        <v>0.0824881615167056</v>
      </c>
    </row>
    <row r="151" customFormat="false" ht="19.4" hidden="false" customHeight="false" outlineLevel="0" collapsed="false">
      <c r="A151" s="31" t="s">
        <v>1047</v>
      </c>
    </row>
    <row r="152" customFormat="false" ht="17.15" hidden="false" customHeight="false" outlineLevel="0" collapsed="false">
      <c r="A152" s="6" t="s">
        <v>16</v>
      </c>
      <c r="B152" s="6" t="s">
        <v>17</v>
      </c>
      <c r="C152" s="20" t="s">
        <v>457</v>
      </c>
      <c r="D152" s="20" t="s">
        <v>458</v>
      </c>
      <c r="E152" s="20" t="s">
        <v>540</v>
      </c>
      <c r="F152" s="20" t="s">
        <v>541</v>
      </c>
      <c r="G152" s="20" t="s">
        <v>542</v>
      </c>
      <c r="H152" s="20" t="s">
        <v>543</v>
      </c>
      <c r="I152" s="20" t="s">
        <v>544</v>
      </c>
      <c r="J152" s="20" t="s">
        <v>545</v>
      </c>
      <c r="K152" s="20" t="s">
        <v>546</v>
      </c>
      <c r="L152" s="20" t="s">
        <v>547</v>
      </c>
      <c r="M152" s="20" t="s">
        <v>548</v>
      </c>
      <c r="N152" s="20" t="s">
        <v>549</v>
      </c>
      <c r="O152" s="20" t="s">
        <v>550</v>
      </c>
      <c r="P152" s="6" t="s">
        <v>23</v>
      </c>
      <c r="R152" s="20" t="n">
        <v>2023</v>
      </c>
      <c r="S152" s="20" t="n">
        <v>2024</v>
      </c>
      <c r="T152" s="20" t="n">
        <v>2025</v>
      </c>
      <c r="U152" s="20" t="n">
        <v>2026</v>
      </c>
      <c r="V152" s="20" t="n">
        <v>2027</v>
      </c>
      <c r="W152" s="20" t="n">
        <v>2028</v>
      </c>
      <c r="X152" s="20" t="n">
        <v>2029</v>
      </c>
      <c r="Y152" s="20" t="n">
        <v>2030</v>
      </c>
      <c r="Z152" s="20" t="n">
        <v>2031</v>
      </c>
      <c r="AA152" s="20" t="n">
        <v>2032</v>
      </c>
    </row>
    <row r="153" customFormat="false" ht="17.15" hidden="false" customHeight="false" outlineLevel="0" collapsed="false">
      <c r="A153" s="1" t="s">
        <v>669</v>
      </c>
    </row>
    <row r="154" customFormat="false" ht="15" hidden="false" customHeight="false" outlineLevel="0" collapsed="false">
      <c r="A154" s="0" t="s">
        <v>479</v>
      </c>
      <c r="B154" s="0" t="s">
        <v>73</v>
      </c>
      <c r="C154" s="38" t="n">
        <f aca="false">Sens!$C$63</f>
        <v>247.029</v>
      </c>
      <c r="D154" s="38" t="n">
        <f aca="false">Sens!$D$63</f>
        <v>269.287</v>
      </c>
      <c r="E154" s="38" t="n">
        <f aca="false">Sens!$E$63</f>
        <v>134.686</v>
      </c>
      <c r="F154" s="38" t="n">
        <f aca="false">Sens!$F$63</f>
        <v>160.728085930082</v>
      </c>
      <c r="G154" s="38" t="n">
        <f aca="false">Sens!$G$63</f>
        <v>295.414085930082</v>
      </c>
      <c r="H154" s="38" t="n">
        <f aca="false">Sens!$H$63</f>
        <v>320.828163943375</v>
      </c>
      <c r="I154" s="38" t="n">
        <f aca="false">Sens!$I$63</f>
        <v>344.575578072228</v>
      </c>
      <c r="J154" s="38" t="n">
        <f aca="false">Sens!$J$63</f>
        <v>365.942555779681</v>
      </c>
      <c r="K154" s="38" t="n">
        <f aca="false">Sens!$K$63</f>
        <v>384.239683568665</v>
      </c>
      <c r="L154" s="38" t="n">
        <f aca="false">Sens!$L$63</f>
        <v>403.451667747098</v>
      </c>
      <c r="M154" s="38" t="n">
        <f aca="false">Sens!$M$63</f>
        <v>423.624251134453</v>
      </c>
      <c r="N154" s="38" t="n">
        <f aca="false">Sens!$N$63</f>
        <v>118.892</v>
      </c>
      <c r="O154" s="38" t="n">
        <f aca="false">Sens!$O$63</f>
        <v>150.395</v>
      </c>
    </row>
    <row r="155" customFormat="false" ht="15" hidden="false" customHeight="false" outlineLevel="0" collapsed="false">
      <c r="A155" s="0" t="s">
        <v>480</v>
      </c>
      <c r="B155" s="0" t="s">
        <v>73</v>
      </c>
      <c r="C155" s="38" t="n">
        <f aca="false">Sens!$C$65</f>
        <v>21.215</v>
      </c>
      <c r="D155" s="38" t="n">
        <f aca="false">Sens!$D$65</f>
        <v>22.561</v>
      </c>
      <c r="E155" s="38" t="n">
        <f aca="false">Sens!$E$65</f>
        <v>11.579</v>
      </c>
      <c r="F155" s="38" t="n">
        <f aca="false">Sens!$F$65</f>
        <v>12.0952613121125</v>
      </c>
      <c r="G155" s="38" t="n">
        <f aca="false">Sens!$G$65</f>
        <v>23.6742613121125</v>
      </c>
      <c r="H155" s="38" t="n">
        <f aca="false">Sens!$H$65</f>
        <v>24.8803243963206</v>
      </c>
      <c r="I155" s="38" t="n">
        <f aca="false">Sens!$I$65</f>
        <v>25.9741308664154</v>
      </c>
      <c r="J155" s="38" t="n">
        <f aca="false">Sens!$J$65</f>
        <v>26.9346894124267</v>
      </c>
      <c r="K155" s="38" t="n">
        <f aca="false">Sens!$K$65</f>
        <v>27.7427300947995</v>
      </c>
      <c r="L155" s="38" t="n">
        <f aca="false">Sens!$L$65</f>
        <v>28.5750119976435</v>
      </c>
      <c r="M155" s="38" t="n">
        <f aca="false">Sens!$M$65</f>
        <v>29.4322623575728</v>
      </c>
      <c r="N155" s="38" t="n">
        <f aca="false">Sens!$N$65</f>
        <v>11.128</v>
      </c>
      <c r="O155" s="38" t="n">
        <f aca="false">Sens!$O$65</f>
        <v>11.433</v>
      </c>
    </row>
    <row r="156" customFormat="false" ht="15" hidden="false" customHeight="false" outlineLevel="0" collapsed="false">
      <c r="A156" s="0" t="s">
        <v>481</v>
      </c>
      <c r="B156" s="0" t="s">
        <v>73</v>
      </c>
      <c r="C156" s="38" t="n">
        <f aca="false">Sens!$C$67</f>
        <v>156.146</v>
      </c>
      <c r="D156" s="38" t="n">
        <f aca="false">Sens!$D$67</f>
        <v>172.162</v>
      </c>
      <c r="E156" s="38" t="n">
        <f aca="false">Sens!$E$67</f>
        <v>88.358</v>
      </c>
      <c r="F156" s="38" t="n">
        <f aca="false">Sens!$F$67</f>
        <v>103.62028337149</v>
      </c>
      <c r="G156" s="38" t="n">
        <f aca="false">Sens!$G$67</f>
        <v>191.97828337149</v>
      </c>
      <c r="H156" s="38" t="n">
        <f aca="false">Sens!$H$67</f>
        <v>212.128608444755</v>
      </c>
      <c r="I156" s="38" t="n">
        <f aca="false">Sens!$I$67</f>
        <v>231.92183134134</v>
      </c>
      <c r="J156" s="38" t="n">
        <f aca="false">Sens!$J$67</f>
        <v>250.859136487863</v>
      </c>
      <c r="K156" s="38" t="n">
        <f aca="false">Sens!$K$67</f>
        <v>268.419276042014</v>
      </c>
      <c r="L156" s="38" t="n">
        <f aca="false">Sens!$L$67</f>
        <v>287.208625364954</v>
      </c>
      <c r="M156" s="38" t="n">
        <f aca="false">Sens!$M$67</f>
        <v>307.313229140501</v>
      </c>
      <c r="N156" s="38" t="n">
        <f aca="false">Sens!$N$67</f>
        <v>76.86</v>
      </c>
      <c r="O156" s="38" t="n">
        <f aca="false">Sens!$O$67</f>
        <v>95.302</v>
      </c>
    </row>
    <row r="157" customFormat="false" ht="15" hidden="false" customHeight="false" outlineLevel="0" collapsed="false">
      <c r="A157" s="0" t="s">
        <v>482</v>
      </c>
      <c r="B157" s="0" t="s">
        <v>73</v>
      </c>
      <c r="C157" s="38" t="n">
        <f aca="false">Sens!$C$69</f>
        <v>56.214</v>
      </c>
      <c r="D157" s="38" t="n">
        <f aca="false">Sens!$D$69</f>
        <v>68.635</v>
      </c>
      <c r="E157" s="38" t="n">
        <f aca="false">Sens!$E$69</f>
        <v>37.052</v>
      </c>
      <c r="F157" s="38" t="n">
        <f aca="false">Sens!$F$69</f>
        <v>48.1533381827382</v>
      </c>
      <c r="G157" s="38" t="n">
        <f aca="false">Sens!$G$69</f>
        <v>85.2053381827382</v>
      </c>
      <c r="H157" s="38" t="n">
        <f aca="false">Sens!$H$69</f>
        <v>102.29336185894</v>
      </c>
      <c r="I157" s="38" t="n">
        <f aca="false">Sens!$I$69</f>
        <v>119.379837585241</v>
      </c>
      <c r="J157" s="38" t="n">
        <f aca="false">Sens!$J$69</f>
        <v>135.319079048844</v>
      </c>
      <c r="K157" s="38" t="n">
        <f aca="false">Sens!$K$69</f>
        <v>148.850986953729</v>
      </c>
      <c r="L157" s="38" t="n">
        <f aca="false">Sens!$L$69</f>
        <v>163.736085649102</v>
      </c>
      <c r="M157" s="38" t="n">
        <f aca="false">Sens!$M$69</f>
        <v>180.109694214012</v>
      </c>
      <c r="N157" s="38" t="n">
        <f aca="false">Sens!$N$69</f>
        <v>29.615</v>
      </c>
      <c r="O157" s="38" t="n">
        <f aca="false">Sens!$O$69</f>
        <v>39.02</v>
      </c>
    </row>
    <row r="158" customFormat="false" ht="15" hidden="false" customHeight="false" outlineLevel="0" collapsed="false">
      <c r="A158" s="0" t="s">
        <v>483</v>
      </c>
      <c r="B158" s="0" t="s">
        <v>73</v>
      </c>
      <c r="C158" s="38" t="n">
        <f aca="false">Sens!$C$71</f>
        <v>44.374</v>
      </c>
      <c r="D158" s="38" t="n">
        <f aca="false">Sens!$D$71</f>
        <v>49.619</v>
      </c>
      <c r="E158" s="38" t="n">
        <f aca="false">Sens!$E$71</f>
        <v>27.157</v>
      </c>
      <c r="F158" s="38" t="n">
        <f aca="false">Sens!$F$71</f>
        <v>28.9776360923374</v>
      </c>
      <c r="G158" s="38" t="n">
        <f aca="false">Sens!$G$71</f>
        <v>56.1346360923374</v>
      </c>
      <c r="H158" s="38" t="n">
        <f aca="false">Sens!$H$71</f>
        <v>62.4937078946075</v>
      </c>
      <c r="I158" s="38" t="n">
        <f aca="false">Sens!$I$71</f>
        <v>68.6715233062498</v>
      </c>
      <c r="J158" s="38" t="n">
        <f aca="false">Sens!$J$71</f>
        <v>74.4692882949818</v>
      </c>
      <c r="K158" s="38" t="n">
        <f aca="false">Sens!$K$71</f>
        <v>79.6821384756306</v>
      </c>
      <c r="L158" s="38" t="n">
        <f aca="false">Sens!$L$71</f>
        <v>85.2598881689247</v>
      </c>
      <c r="M158" s="38" t="n">
        <f aca="false">Sens!$M$71</f>
        <v>91.2280803407494</v>
      </c>
      <c r="N158" s="38" t="n">
        <f aca="false">Sens!$N$71</f>
        <v>23.923</v>
      </c>
      <c r="O158" s="38" t="n">
        <f aca="false">Sens!$O$71</f>
        <v>25.696</v>
      </c>
    </row>
    <row r="159" customFormat="false" ht="15" hidden="false" customHeight="false" outlineLevel="0" collapsed="false">
      <c r="A159" s="0" t="s">
        <v>484</v>
      </c>
      <c r="B159" s="0" t="s">
        <v>73</v>
      </c>
      <c r="C159" s="38" t="n">
        <f aca="false">Sens!$C$73</f>
        <v>5.425</v>
      </c>
      <c r="D159" s="38" t="n">
        <f aca="false">Sens!$D$73</f>
        <v>5.935</v>
      </c>
      <c r="E159" s="38" t="n">
        <f aca="false">Sens!$E$73</f>
        <v>3.474</v>
      </c>
      <c r="F159" s="38" t="n">
        <f aca="false">Sens!$F$73</f>
        <v>3.36182431966931</v>
      </c>
      <c r="G159" s="38" t="n">
        <f aca="false">Sens!$G$73</f>
        <v>6.83582431966931</v>
      </c>
      <c r="H159" s="38" t="n">
        <f aca="false">Sens!$H$73</f>
        <v>7.31157108370141</v>
      </c>
      <c r="I159" s="38" t="n">
        <f aca="false">Sens!$I$73</f>
        <v>7.77266852639815</v>
      </c>
      <c r="J159" s="38" t="n">
        <f aca="false">Sens!$J$73</f>
        <v>8.2120733019884</v>
      </c>
      <c r="K159" s="38" t="n">
        <f aca="false">Sens!$K$73</f>
        <v>8.62267696708783</v>
      </c>
      <c r="L159" s="38" t="n">
        <f aca="false">Sens!$L$73</f>
        <v>9.05381081544222</v>
      </c>
      <c r="M159" s="38" t="n">
        <f aca="false">Sens!$M$73</f>
        <v>9.50650135621433</v>
      </c>
      <c r="N159" s="38" t="n">
        <f aca="false">Sens!$N$73</f>
        <v>2.811</v>
      </c>
      <c r="O159" s="38" t="n">
        <f aca="false">Sens!$O$73</f>
        <v>3.124</v>
      </c>
    </row>
    <row r="160" customFormat="false" ht="17.15" hidden="false" customHeight="false" outlineLevel="0" collapsed="false">
      <c r="A160" s="0" t="s">
        <v>670</v>
      </c>
      <c r="B160" s="0" t="s">
        <v>73</v>
      </c>
      <c r="C160" s="38" t="n">
        <f aca="false">Sens!$C$141</f>
        <v>107.556</v>
      </c>
      <c r="D160" s="38" t="n">
        <f aca="false">Sens!$D$141</f>
        <v>128.725</v>
      </c>
      <c r="E160" s="38" t="n">
        <f aca="false">Sens!$E$141</f>
        <v>79.819</v>
      </c>
      <c r="F160" s="38" t="n">
        <f aca="false">Sens!$F$141</f>
        <v>93.5584440633857</v>
      </c>
      <c r="G160" s="38" t="n">
        <f aca="false">Sens!$G$141</f>
        <v>173.377444063386</v>
      </c>
      <c r="H160" s="38" t="n">
        <f aca="false">Sens!$H$141</f>
        <v>241.059451517916</v>
      </c>
      <c r="I160" s="38" t="n">
        <f aca="false">Sens!$I$141</f>
        <v>312.152096351442</v>
      </c>
      <c r="J160" s="38" t="n">
        <f aca="false">Sens!$J$141</f>
        <v>379.424316597773</v>
      </c>
      <c r="K160" s="38" t="n">
        <f aca="false">Sens!$K$141</f>
        <v>439.919237244402</v>
      </c>
      <c r="L160" s="38" t="n">
        <f aca="false">Sens!$L$141</f>
        <v>501.954974491517</v>
      </c>
      <c r="M160" s="38" t="n">
        <f aca="false">Sens!$M$141</f>
        <v>565.639704466895</v>
      </c>
      <c r="N160" s="38" t="n">
        <f aca="false">Sens!$N$141</f>
        <v>60.14</v>
      </c>
      <c r="O160" s="38" t="n">
        <f aca="false">Sens!$O$141</f>
        <v>68.585</v>
      </c>
    </row>
    <row r="161" customFormat="false" ht="15" hidden="false" customHeight="false" outlineLevel="0" collapsed="false">
      <c r="A161" s="1" t="s">
        <v>472</v>
      </c>
      <c r="B161" s="8" t="s">
        <v>73</v>
      </c>
      <c r="C161" s="38" t="n">
        <f aca="false">Sens!$C$77</f>
        <v>387.497</v>
      </c>
      <c r="D161" s="38" t="n">
        <f aca="false">Sens!$D$77</f>
        <v>426.305</v>
      </c>
      <c r="E161" s="38" t="n">
        <f aca="false">Sens!$E$77</f>
        <v>220.32</v>
      </c>
      <c r="F161" s="38" t="n">
        <f aca="false">Sens!$F$77</f>
        <v>256.304015003807</v>
      </c>
      <c r="G161" s="38" t="n">
        <f aca="false">Sens!$G$77</f>
        <v>476.624015003807</v>
      </c>
      <c r="H161" s="38" t="n">
        <f aca="false">Sens!$H$77</f>
        <v>527.734391091543</v>
      </c>
      <c r="I161" s="38" t="n">
        <f aca="false">Sens!$I$77</f>
        <v>577.157693029577</v>
      </c>
      <c r="J161" s="38" t="n">
        <f aca="false">Sens!$J$77</f>
        <v>623.024923663827</v>
      </c>
      <c r="K161" s="38" t="n">
        <f aca="false">Sens!$K$77</f>
        <v>663.382568393781</v>
      </c>
      <c r="L161" s="38" t="n">
        <f aca="false">Sens!$L$77</f>
        <v>706.564873010432</v>
      </c>
      <c r="M161" s="38" t="n">
        <f aca="false">Sens!$M$77</f>
        <v>752.784687406019</v>
      </c>
      <c r="N161" s="38" t="n">
        <f aca="false">Sens!$N$77</f>
        <v>192.955</v>
      </c>
      <c r="O161" s="38" t="n">
        <f aca="false">Sens!$O$77</f>
        <v>233.35</v>
      </c>
    </row>
    <row r="162" customFormat="false" ht="15" hidden="false" customHeight="false" outlineLevel="0" collapsed="false">
      <c r="A162" s="1" t="s">
        <v>475</v>
      </c>
      <c r="B162" s="8" t="s">
        <v>73</v>
      </c>
      <c r="C162" s="38" t="n">
        <f aca="false">Sens!$C$78</f>
        <v>142.906</v>
      </c>
      <c r="D162" s="38" t="n">
        <f aca="false">Sens!$D$78</f>
        <v>161.894</v>
      </c>
      <c r="E162" s="38" t="n">
        <f aca="false">Sens!$E$78</f>
        <v>81.986</v>
      </c>
      <c r="F162" s="38" t="n">
        <f aca="false">Sens!$F$78</f>
        <v>100.632414204623</v>
      </c>
      <c r="G162" s="38" t="n">
        <f aca="false">Sens!$G$78</f>
        <v>182.618414204623</v>
      </c>
      <c r="H162" s="38" t="n">
        <f aca="false">Sens!$H$78</f>
        <v>202.201346530158</v>
      </c>
      <c r="I162" s="38" t="n">
        <f aca="false">Sens!$I$78</f>
        <v>221.137876668296</v>
      </c>
      <c r="J162" s="38" t="n">
        <f aca="false">Sens!$J$78</f>
        <v>238.711898661958</v>
      </c>
      <c r="K162" s="38" t="n">
        <f aca="false">Sens!$K$78</f>
        <v>254.174923708144</v>
      </c>
      <c r="L162" s="38" t="n">
        <f aca="false">Sens!$L$78</f>
        <v>270.720216732733</v>
      </c>
      <c r="M162" s="38" t="n">
        <f aca="false">Sens!$M$78</f>
        <v>288.429331137484</v>
      </c>
      <c r="N162" s="38" t="n">
        <f aca="false">Sens!$N$78</f>
        <v>70.274</v>
      </c>
      <c r="O162" s="38" t="n">
        <f aca="false">Sens!$O$78</f>
        <v>91.62</v>
      </c>
    </row>
    <row r="163" customFormat="false" ht="15" hidden="false" customHeight="false" outlineLevel="0" collapsed="false">
      <c r="A163" s="1" t="s">
        <v>476</v>
      </c>
      <c r="B163" s="8" t="s">
        <v>73</v>
      </c>
      <c r="C163" s="38" t="n">
        <f aca="false">Sens!$C$141</f>
        <v>107.556</v>
      </c>
      <c r="D163" s="38" t="n">
        <f aca="false">Sens!$D$141</f>
        <v>128.725</v>
      </c>
      <c r="E163" s="38" t="n">
        <f aca="false">Sens!$E$141</f>
        <v>79.819</v>
      </c>
      <c r="F163" s="38" t="n">
        <f aca="false">Sens!$F$141</f>
        <v>93.5584440633857</v>
      </c>
      <c r="G163" s="38" t="n">
        <f aca="false">Sens!$G$141</f>
        <v>173.377444063386</v>
      </c>
      <c r="H163" s="38" t="n">
        <f aca="false">Sens!$H$141</f>
        <v>241.059451517916</v>
      </c>
      <c r="I163" s="38" t="n">
        <f aca="false">Sens!$I$141</f>
        <v>312.152096351442</v>
      </c>
      <c r="J163" s="38" t="n">
        <f aca="false">Sens!$J$141</f>
        <v>379.424316597773</v>
      </c>
      <c r="K163" s="38" t="n">
        <f aca="false">Sens!$K$141</f>
        <v>439.919237244402</v>
      </c>
      <c r="L163" s="38" t="n">
        <f aca="false">Sens!$L$141</f>
        <v>501.954974491517</v>
      </c>
      <c r="M163" s="38" t="n">
        <f aca="false">Sens!$M$141</f>
        <v>565.639704466895</v>
      </c>
      <c r="N163" s="38" t="n">
        <f aca="false">Sens!$N$141</f>
        <v>60.14</v>
      </c>
      <c r="O163" s="38" t="n">
        <f aca="false">Sens!$O$141</f>
        <v>68.585</v>
      </c>
    </row>
    <row r="164" customFormat="false" ht="17.15" hidden="false" customHeight="false" outlineLevel="0" collapsed="false">
      <c r="A164" s="0" t="s">
        <v>644</v>
      </c>
      <c r="B164" s="0" t="s">
        <v>73</v>
      </c>
      <c r="C164" s="38" t="n">
        <f aca="false">Sens!$C$139</f>
        <v>2.32100535697364</v>
      </c>
      <c r="D164" s="38" t="n">
        <f aca="false">Sens!$D$139</f>
        <v>8.70377008865116</v>
      </c>
      <c r="E164" s="38" t="n">
        <f aca="false">Sens!$E$139</f>
        <v>8.51035297557002</v>
      </c>
      <c r="F164" s="38" t="n">
        <f aca="false">Sens!$F$139</f>
        <v>14.9634336447205</v>
      </c>
      <c r="G164" s="38" t="n">
        <f aca="false">Sens!$G$139</f>
        <v>23.4737866202905</v>
      </c>
      <c r="H164" s="38" t="n">
        <f aca="false">Sens!$H$139</f>
        <v>60.1658907497746</v>
      </c>
      <c r="I164" s="38" t="n">
        <f aca="false">Sens!$I$139</f>
        <v>101.503699136432</v>
      </c>
      <c r="J164" s="38" t="n">
        <f aca="false">Sens!$J$139</f>
        <v>143.025407151278</v>
      </c>
      <c r="K164" s="38" t="n">
        <f aca="false">Sens!$K$139</f>
        <v>184.608415042187</v>
      </c>
      <c r="L164" s="38" t="n">
        <f aca="false">Sens!$L$139</f>
        <v>226.219286513125</v>
      </c>
      <c r="M164" s="38" t="n">
        <f aca="false">Sens!$M$139</f>
        <v>267.845161450232</v>
      </c>
      <c r="N164" s="38" t="n">
        <f aca="false">Sens!$N$139</f>
        <v>3.04631953102791</v>
      </c>
      <c r="O164" s="38" t="n">
        <f aca="false">Sens!$O$139</f>
        <v>5.65745055762326</v>
      </c>
    </row>
    <row r="165" customFormat="false" ht="17.15" hidden="false" customHeight="false" outlineLevel="0" collapsed="false">
      <c r="A165" s="0" t="s">
        <v>646</v>
      </c>
      <c r="B165" s="0" t="s">
        <v>73</v>
      </c>
      <c r="C165" s="38" t="n">
        <f aca="false">Sens!$C$140</f>
        <v>105.234994643026</v>
      </c>
      <c r="D165" s="38" t="n">
        <f aca="false">Sens!$D$140</f>
        <v>120.021229911349</v>
      </c>
      <c r="E165" s="38" t="n">
        <f aca="false">Sens!$E$140</f>
        <v>71.30864702443</v>
      </c>
      <c r="F165" s="38" t="n">
        <f aca="false">Sens!$F$140</f>
        <v>78.5950104186653</v>
      </c>
      <c r="G165" s="38" t="n">
        <f aca="false">Sens!$G$140</f>
        <v>149.903657443095</v>
      </c>
      <c r="H165" s="38" t="n">
        <f aca="false">Sens!$H$140</f>
        <v>180.893560768142</v>
      </c>
      <c r="I165" s="38" t="n">
        <f aca="false">Sens!$I$140</f>
        <v>210.64839721501</v>
      </c>
      <c r="J165" s="38" t="n">
        <f aca="false">Sens!$J$140</f>
        <v>236.398909446495</v>
      </c>
      <c r="K165" s="38" t="n">
        <f aca="false">Sens!$K$140</f>
        <v>255.310822202215</v>
      </c>
      <c r="L165" s="38" t="n">
        <f aca="false">Sens!$L$140</f>
        <v>275.735687978392</v>
      </c>
      <c r="M165" s="38" t="n">
        <f aca="false">Sens!$M$140</f>
        <v>297.794543016663</v>
      </c>
      <c r="N165" s="38" t="n">
        <f aca="false">Sens!$N$140</f>
        <v>57.0936804689721</v>
      </c>
      <c r="O165" s="38" t="n">
        <f aca="false">Sens!$O$140</f>
        <v>62.9275494423768</v>
      </c>
    </row>
    <row r="166" customFormat="false" ht="15" hidden="false" customHeight="false" outlineLevel="0" collapsed="false">
      <c r="A166" s="3" t="s">
        <v>477</v>
      </c>
      <c r="B166" s="8" t="s">
        <v>73</v>
      </c>
      <c r="C166" s="38" t="n">
        <f aca="false">Sens!$C$142</f>
        <v>637.959</v>
      </c>
      <c r="D166" s="38" t="n">
        <f aca="false">Sens!$D$142</f>
        <v>716.924</v>
      </c>
      <c r="E166" s="38" t="n">
        <f aca="false">Sens!$E$142</f>
        <v>382.125</v>
      </c>
      <c r="F166" s="38" t="n">
        <f aca="false">Sens!$F$142</f>
        <v>450.494873271816</v>
      </c>
      <c r="G166" s="38" t="n">
        <f aca="false">Sens!$G$142</f>
        <v>832.619873271816</v>
      </c>
      <c r="H166" s="38" t="n">
        <f aca="false">Sens!$H$142</f>
        <v>970.995189139617</v>
      </c>
      <c r="I166" s="38" t="n">
        <f aca="false">Sens!$I$142</f>
        <v>1110.44766604932</v>
      </c>
      <c r="J166" s="38" t="n">
        <f aca="false">Sens!$J$142</f>
        <v>1241.16113892356</v>
      </c>
      <c r="K166" s="38" t="n">
        <f aca="false">Sens!$K$142</f>
        <v>1357.47672934633</v>
      </c>
      <c r="L166" s="38" t="n">
        <f aca="false">Sens!$L$142</f>
        <v>1479.24006423468</v>
      </c>
      <c r="M166" s="38" t="n">
        <f aca="false">Sens!$M$142</f>
        <v>1606.8537230104</v>
      </c>
      <c r="N166" s="38" t="n">
        <f aca="false">Sens!$N$142</f>
        <v>323.369</v>
      </c>
      <c r="O166" s="38" t="n">
        <f aca="false">Sens!$O$142</f>
        <v>393.555</v>
      </c>
    </row>
    <row r="167" customFormat="false" ht="17.15" hidden="false" customHeight="false" outlineLevel="0" collapsed="false">
      <c r="A167" s="24" t="s">
        <v>656</v>
      </c>
      <c r="B167" s="25" t="s">
        <v>73</v>
      </c>
      <c r="C167" s="39" t="n">
        <f aca="false">Sens!$C$154+Sens!$C$155+Sens!$C$156+Sens!$C$157+Sens!$C$158+Sens!$C$159-(Sens!$C$161+Sens!$C$162)</f>
        <v>0</v>
      </c>
      <c r="D167" s="39" t="n">
        <f aca="false">Sens!$D$154+Sens!$D$155+Sens!$D$156+Sens!$D$157+Sens!$D$158+Sens!$D$159-(Sens!$D$161+Sens!$D$162)</f>
        <v>0</v>
      </c>
      <c r="E167" s="39" t="n">
        <f aca="false">Sens!$E$154+Sens!$E$155+Sens!$E$156+Sens!$E$157+Sens!$E$158+Sens!$E$159-(Sens!$E$161+Sens!$E$162)</f>
        <v>0</v>
      </c>
      <c r="F167" s="39" t="n">
        <f aca="false">Sens!$F$154+Sens!$F$155+Sens!$F$156+Sens!$F$157+Sens!$F$158+Sens!$F$159-(Sens!$F$161+Sens!$F$162)</f>
        <v>0</v>
      </c>
      <c r="G167" s="39" t="n">
        <f aca="false">Sens!$G$154+Sens!$G$155+Sens!$G$156+Sens!$G$157+Sens!$G$158+Sens!$G$159-(Sens!$G$161+Sens!$G$162)</f>
        <v>0</v>
      </c>
      <c r="H167" s="39" t="n">
        <f aca="false">Sens!$H$154+Sens!$H$155+Sens!$H$156+Sens!$H$157+Sens!$H$158+Sens!$H$159-(Sens!$H$161+Sens!$H$162)</f>
        <v>0</v>
      </c>
      <c r="I167" s="39" t="n">
        <f aca="false">Sens!$I$154+Sens!$I$155+Sens!$I$156+Sens!$I$157+Sens!$I$158+Sens!$I$159-(Sens!$I$161+Sens!$I$162)</f>
        <v>0</v>
      </c>
      <c r="J167" s="39" t="n">
        <f aca="false">Sens!$J$154+Sens!$J$155+Sens!$J$156+Sens!$J$157+Sens!$J$158+Sens!$J$159-(Sens!$J$161+Sens!$J$162)</f>
        <v>0</v>
      </c>
      <c r="K167" s="39" t="n">
        <f aca="false">Sens!$K$154+Sens!$K$155+Sens!$K$156+Sens!$K$157+Sens!$K$158+Sens!$K$159-(Sens!$K$161+Sens!$K$162)</f>
        <v>0</v>
      </c>
      <c r="L167" s="39" t="n">
        <f aca="false">Sens!$L$154+Sens!$L$155+Sens!$L$156+Sens!$L$157+Sens!$L$158+Sens!$L$159-(Sens!$L$161+Sens!$L$162)</f>
        <v>0</v>
      </c>
      <c r="M167" s="39" t="n">
        <f aca="false">Sens!$M$154+Sens!$M$155+Sens!$M$156+Sens!$M$157+Sens!$M$158+Sens!$M$159-(Sens!$M$161+Sens!$M$162)</f>
        <v>0</v>
      </c>
      <c r="N167" s="39" t="n">
        <f aca="false">Sens!$N$154+Sens!$N$155+Sens!$N$156+Sens!$N$157+Sens!$N$158+Sens!$N$159-(Sens!$N$161+Sens!$N$162)</f>
        <v>0</v>
      </c>
      <c r="O167" s="39" t="n">
        <f aca="false">Sens!$O$154+Sens!$O$155+Sens!$O$156+Sens!$O$157+Sens!$O$158+Sens!$O$159-(Sens!$O$161+Sens!$O$162)</f>
        <v>0</v>
      </c>
    </row>
    <row r="168" customFormat="false" ht="17.15" hidden="false" customHeight="false" outlineLevel="0" collapsed="false">
      <c r="A168" s="24" t="s">
        <v>657</v>
      </c>
      <c r="B168" s="25" t="s">
        <v>73</v>
      </c>
      <c r="C168" s="39" t="n">
        <f aca="false">Sens!$C$164+Sens!$C$165-Sens!$C$163</f>
        <v>0</v>
      </c>
      <c r="D168" s="39" t="n">
        <f aca="false">Sens!$D$164+Sens!$D$165-Sens!$D$163</f>
        <v>0</v>
      </c>
      <c r="E168" s="39" t="n">
        <f aca="false">Sens!$E$164+Sens!$E$165-Sens!$E$163</f>
        <v>0</v>
      </c>
      <c r="F168" s="39" t="n">
        <f aca="false">Sens!$F$164+Sens!$F$165-Sens!$F$163</f>
        <v>0</v>
      </c>
      <c r="G168" s="39" t="n">
        <f aca="false">Sens!$G$164+Sens!$G$165-Sens!$G$163</f>
        <v>0</v>
      </c>
      <c r="H168" s="39" t="n">
        <f aca="false">Sens!$H$164+Sens!$H$165-Sens!$H$163</f>
        <v>0</v>
      </c>
      <c r="I168" s="39" t="n">
        <f aca="false">Sens!$I$164+Sens!$I$165-Sens!$I$163</f>
        <v>0</v>
      </c>
      <c r="J168" s="39" t="n">
        <f aca="false">Sens!$J$164+Sens!$J$165-Sens!$J$163</f>
        <v>0</v>
      </c>
      <c r="K168" s="39" t="n">
        <f aca="false">Sens!$K$164+Sens!$K$165-Sens!$K$163</f>
        <v>0</v>
      </c>
      <c r="L168" s="39" t="n">
        <f aca="false">Sens!$L$164+Sens!$L$165-Sens!$L$163</f>
        <v>0</v>
      </c>
      <c r="M168" s="39" t="n">
        <f aca="false">Sens!$M$164+Sens!$M$165-Sens!$M$163</f>
        <v>0</v>
      </c>
      <c r="N168" s="39" t="n">
        <f aca="false">Sens!$N$164+Sens!$N$165-Sens!$N$163</f>
        <v>0</v>
      </c>
      <c r="O168" s="39" t="n">
        <f aca="false">Sens!$O$164+Sens!$O$165-Sens!$O$163</f>
        <v>0</v>
      </c>
    </row>
    <row r="169" customFormat="false" ht="17.15" hidden="false" customHeight="false" outlineLevel="0" collapsed="false">
      <c r="A169" s="24" t="s">
        <v>711</v>
      </c>
      <c r="B169" s="25" t="s">
        <v>73</v>
      </c>
      <c r="C169" s="39" t="n">
        <f aca="false">Sens!$C$154+Sens!$C$155+Sens!$C$156+Sens!$C$157+Sens!$C$158+Sens!$C$159+Sens!$C$160-Sens!$C$166</f>
        <v>0</v>
      </c>
      <c r="D169" s="39" t="n">
        <f aca="false">Sens!$D$154+Sens!$D$155+Sens!$D$156+Sens!$D$157+Sens!$D$158+Sens!$D$159+Sens!$D$160-Sens!$D$166</f>
        <v>0</v>
      </c>
      <c r="E169" s="39" t="n">
        <f aca="false">Sens!$E$154+Sens!$E$155+Sens!$E$156+Sens!$E$157+Sens!$E$158+Sens!$E$159+Sens!$E$160-Sens!$E$166</f>
        <v>0</v>
      </c>
      <c r="F169" s="39" t="n">
        <f aca="false">Sens!$F$154+Sens!$F$155+Sens!$F$156+Sens!$F$157+Sens!$F$158+Sens!$F$159+Sens!$F$160-Sens!$F$166</f>
        <v>0</v>
      </c>
      <c r="G169" s="39" t="n">
        <f aca="false">Sens!$G$154+Sens!$G$155+Sens!$G$156+Sens!$G$157+Sens!$G$158+Sens!$G$159+Sens!$G$160-Sens!$G$166</f>
        <v>0</v>
      </c>
      <c r="H169" s="39" t="n">
        <f aca="false">Sens!$H$154+Sens!$H$155+Sens!$H$156+Sens!$H$157+Sens!$H$158+Sens!$H$159+Sens!$H$160-Sens!$H$166</f>
        <v>0</v>
      </c>
      <c r="I169" s="39" t="n">
        <f aca="false">Sens!$I$154+Sens!$I$155+Sens!$I$156+Sens!$I$157+Sens!$I$158+Sens!$I$159+Sens!$I$160-Sens!$I$166</f>
        <v>0</v>
      </c>
      <c r="J169" s="39" t="n">
        <f aca="false">Sens!$J$154+Sens!$J$155+Sens!$J$156+Sens!$J$157+Sens!$J$158+Sens!$J$159+Sens!$J$160-Sens!$J$166</f>
        <v>0</v>
      </c>
      <c r="K169" s="39" t="n">
        <f aca="false">Sens!$K$154+Sens!$K$155+Sens!$K$156+Sens!$K$157+Sens!$K$158+Sens!$K$159+Sens!$K$160-Sens!$K$166</f>
        <v>0</v>
      </c>
      <c r="L169" s="39" t="n">
        <f aca="false">Sens!$L$154+Sens!$L$155+Sens!$L$156+Sens!$L$157+Sens!$L$158+Sens!$L$159+Sens!$L$160-Sens!$L$166</f>
        <v>0</v>
      </c>
      <c r="M169" s="39" t="n">
        <f aca="false">Sens!$M$154+Sens!$M$155+Sens!$M$156+Sens!$M$157+Sens!$M$158+Sens!$M$159+Sens!$M$160-Sens!$M$166</f>
        <v>0</v>
      </c>
      <c r="N169" s="39" t="n">
        <f aca="false">Sens!$N$154+Sens!$N$155+Sens!$N$156+Sens!$N$157+Sens!$N$158+Sens!$N$159+Sens!$N$160-Sens!$N$166</f>
        <v>0</v>
      </c>
      <c r="O169" s="39" t="n">
        <f aca="false">Sens!$O$154+Sens!$O$155+Sens!$O$156+Sens!$O$157+Sens!$O$158+Sens!$O$159+Sens!$O$160-Sens!$O$166</f>
        <v>0</v>
      </c>
    </row>
    <row r="170" customFormat="false" ht="17.15" hidden="false" customHeight="false" outlineLevel="0" collapsed="false">
      <c r="A170" s="24" t="s">
        <v>658</v>
      </c>
      <c r="B170" s="25" t="s">
        <v>73</v>
      </c>
      <c r="C170" s="39" t="n">
        <f aca="false">Sens!$C$161+Sens!$C$162+Sens!$C$163-Sens!$C$166</f>
        <v>0</v>
      </c>
      <c r="D170" s="39" t="n">
        <f aca="false">Sens!$D$161+Sens!$D$162+Sens!$D$163-Sens!$D$166</f>
        <v>0</v>
      </c>
      <c r="E170" s="39" t="n">
        <f aca="false">Sens!$E$161+Sens!$E$162+Sens!$E$163-Sens!$E$166</f>
        <v>0</v>
      </c>
      <c r="F170" s="39" t="n">
        <f aca="false">Sens!$F$161+Sens!$F$162+Sens!$F$163-Sens!$F$166</f>
        <v>0</v>
      </c>
      <c r="G170" s="39" t="n">
        <f aca="false">Sens!$G$161+Sens!$G$162+Sens!$G$163-Sens!$G$166</f>
        <v>0</v>
      </c>
      <c r="H170" s="39" t="n">
        <f aca="false">Sens!$H$161+Sens!$H$162+Sens!$H$163-Sens!$H$166</f>
        <v>0</v>
      </c>
      <c r="I170" s="39" t="n">
        <f aca="false">Sens!$I$161+Sens!$I$162+Sens!$I$163-Sens!$I$166</f>
        <v>0</v>
      </c>
      <c r="J170" s="39" t="n">
        <f aca="false">Sens!$J$161+Sens!$J$162+Sens!$J$163-Sens!$J$166</f>
        <v>0</v>
      </c>
      <c r="K170" s="39" t="n">
        <f aca="false">Sens!$K$161+Sens!$K$162+Sens!$K$163-Sens!$K$166</f>
        <v>0</v>
      </c>
      <c r="L170" s="39" t="n">
        <f aca="false">Sens!$L$161+Sens!$L$162+Sens!$L$163-Sens!$L$166</f>
        <v>0</v>
      </c>
      <c r="M170" s="39" t="n">
        <f aca="false">Sens!$M$161+Sens!$M$162+Sens!$M$163-Sens!$M$166</f>
        <v>0</v>
      </c>
      <c r="N170" s="39" t="n">
        <f aca="false">Sens!$N$161+Sens!$N$162+Sens!$N$163-Sens!$N$166</f>
        <v>0</v>
      </c>
      <c r="O170" s="39" t="n">
        <f aca="false">Sens!$O$161+Sens!$O$162+Sens!$O$163-Sens!$O$166</f>
        <v>0</v>
      </c>
    </row>
    <row r="171" customFormat="false" ht="17.15" hidden="false" customHeight="false" outlineLevel="0" collapsed="false">
      <c r="A171" s="1" t="s">
        <v>672</v>
      </c>
    </row>
    <row r="172" customFormat="false" ht="17.15" hidden="false" customHeight="false" outlineLevel="0" collapsed="false">
      <c r="A172" s="0" t="s">
        <v>673</v>
      </c>
      <c r="B172" s="0" t="s">
        <v>73</v>
      </c>
      <c r="C172" s="38" t="n">
        <f aca="false">Sens!$C$79*m_ad</f>
        <v>20.5341564414228</v>
      </c>
      <c r="D172" s="38" t="n">
        <f aca="false">Sens!$D$79*m_ad</f>
        <v>24.8720617299587</v>
      </c>
      <c r="E172" s="38" t="n">
        <f aca="false">Sens!$E$79*m_ad</f>
        <v>13.5017112462207</v>
      </c>
      <c r="F172" s="38" t="n">
        <f aca="false">Sens!$F$79*m_ad</f>
        <v>17.2886442824599</v>
      </c>
      <c r="G172" s="38" t="n">
        <f aca="false">Sens!$G$79*m_ad</f>
        <v>30.8011958765886</v>
      </c>
      <c r="H172" s="38" t="n">
        <f aca="false">Sens!$H$79*m_ad</f>
        <v>36.978409366026</v>
      </c>
      <c r="I172" s="38" t="n">
        <f aca="false">Sens!$I$79*m_ad</f>
        <v>43.155063281273</v>
      </c>
      <c r="J172" s="38" t="n">
        <f aca="false">Sens!$J$79*m_ad</f>
        <v>48.9169991988532</v>
      </c>
      <c r="K172" s="38" t="n">
        <f aca="false">Sens!$K$79*m_ad</f>
        <v>53.8086991187386</v>
      </c>
      <c r="L172" s="38" t="n">
        <f aca="false">Sens!$L$79*m_ad</f>
        <v>59.1895690306124</v>
      </c>
      <c r="M172" s="38" t="n">
        <f aca="false">Sens!$M$79*m_ad</f>
        <v>65.1085259336737</v>
      </c>
      <c r="N172" s="38" t="n">
        <f aca="false">Sens!$N$79*m_ad</f>
        <v>10.8543555706248</v>
      </c>
      <c r="O172" s="38" t="n">
        <f aca="false">Sens!$O$79*m_ad</f>
        <v>14.0094731821399</v>
      </c>
    </row>
    <row r="173" customFormat="false" ht="17.15" hidden="false" customHeight="false" outlineLevel="0" collapsed="false">
      <c r="A173" s="0" t="s">
        <v>674</v>
      </c>
      <c r="B173" s="0" t="s">
        <v>73</v>
      </c>
      <c r="C173" s="38" t="n">
        <f aca="false">Sens!$C$77-Sens!$C$79</f>
        <v>346.428687117154</v>
      </c>
      <c r="D173" s="38" t="n">
        <f aca="false">Sens!$D$77-Sens!$D$79</f>
        <v>376.560876540083</v>
      </c>
      <c r="E173" s="38" t="n">
        <f aca="false">Sens!$E$77-Sens!$E$79</f>
        <v>193.316577507559</v>
      </c>
      <c r="F173" s="38" t="n">
        <f aca="false">Sens!$F$77-Sens!$F$79</f>
        <v>221.726726438887</v>
      </c>
      <c r="G173" s="38" t="n">
        <f aca="false">Sens!$G$77-Sens!$G$79</f>
        <v>415.02162325063</v>
      </c>
      <c r="H173" s="38" t="n">
        <f aca="false">Sens!$H$77-Sens!$H$79</f>
        <v>453.777572359491</v>
      </c>
      <c r="I173" s="38" t="n">
        <f aca="false">Sens!$I$77-Sens!$I$79</f>
        <v>490.847566467031</v>
      </c>
      <c r="J173" s="38" t="n">
        <f aca="false">Sens!$J$77-Sens!$J$79</f>
        <v>525.190925266121</v>
      </c>
      <c r="K173" s="38" t="n">
        <f aca="false">Sens!$K$77-Sens!$K$79</f>
        <v>555.765170156304</v>
      </c>
      <c r="L173" s="38" t="n">
        <f aca="false">Sens!$L$77-Sens!$L$79</f>
        <v>588.185734949207</v>
      </c>
      <c r="M173" s="38" t="n">
        <f aca="false">Sens!$M$77-Sens!$M$79</f>
        <v>622.567635538672</v>
      </c>
      <c r="N173" s="38" t="n">
        <f aca="false">Sens!$N$77-Sens!$N$79</f>
        <v>171.24628885875</v>
      </c>
      <c r="O173" s="38" t="n">
        <f aca="false">Sens!$O$77-Sens!$O$79</f>
        <v>205.33105363572</v>
      </c>
    </row>
    <row r="174" customFormat="false" ht="17.15" hidden="false" customHeight="false" outlineLevel="0" collapsed="false">
      <c r="A174" s="0" t="s">
        <v>675</v>
      </c>
      <c r="B174" s="0" t="s">
        <v>73</v>
      </c>
      <c r="C174" s="38" t="n">
        <f aca="false">Sens!$C$125*Sens!$C$76</f>
        <v>0.123617442257179</v>
      </c>
      <c r="D174" s="38" t="n">
        <f aca="false">Sens!$D$125*Sens!$D$76</f>
        <v>0.874366899302609</v>
      </c>
      <c r="E174" s="38" t="n">
        <f aca="false">Sens!$E$125*Sens!$E$76</f>
        <v>1.29318830502574</v>
      </c>
      <c r="F174" s="38" t="n">
        <f aca="false">Sens!$F$125*Sens!$F$76</f>
        <v>1.51802024162534</v>
      </c>
      <c r="G174" s="38" t="n">
        <f aca="false">Sens!$G$125*Sens!$G$76</f>
        <v>2.81130189308167</v>
      </c>
      <c r="H174" s="38" t="n">
        <f aca="false">Sens!$H$125*Sens!$H$76</f>
        <v>7.38966789318209</v>
      </c>
      <c r="I174" s="38" t="n">
        <f aca="false">Sens!$I$125*Sens!$I$76</f>
        <v>12.8987443661473</v>
      </c>
      <c r="J174" s="38" t="n">
        <f aca="false">Sens!$J$125*Sens!$J$76</f>
        <v>18.5570025453645</v>
      </c>
      <c r="K174" s="38" t="n">
        <f aca="false">Sens!$K$125*Sens!$K$76</f>
        <v>24.3158972773405</v>
      </c>
      <c r="L174" s="38" t="n">
        <f aca="false">Sens!$L$125*Sens!$L$76</f>
        <v>29.7827375558674</v>
      </c>
      <c r="M174" s="38" t="n">
        <f aca="false">Sens!$M$125*Sens!$M$76</f>
        <v>35.3532344973194</v>
      </c>
      <c r="N174" s="38" t="n">
        <f aca="false">Sens!$N$125*Sens!$N$76</f>
        <v>0.389180508437431</v>
      </c>
      <c r="O174" s="38" t="n">
        <f aca="false">Sens!$O$125*Sens!$O$76</f>
        <v>0.485052120082802</v>
      </c>
    </row>
    <row r="175" customFormat="false" ht="17.15" hidden="false" customHeight="false" outlineLevel="0" collapsed="false">
      <c r="A175" s="0" t="s">
        <v>676</v>
      </c>
      <c r="B175" s="0" t="s">
        <v>52</v>
      </c>
      <c r="C175" s="28" t="n">
        <f aca="false">(Sens!$C$176-Sens!$C$172+Sens!$C$174)/Sens!$C$173</f>
        <v>0.0131526665379575</v>
      </c>
      <c r="D175" s="28" t="n">
        <f aca="false">(Sens!$D$176-Sens!$D$172+Sens!$D$174)/Sens!$D$173</f>
        <v>0.0149280116962589</v>
      </c>
      <c r="E175" s="28" t="n">
        <f aca="false">(Sens!$E$176-Sens!$E$172+Sens!$E$174)/Sens!$E$173</f>
        <v>0.0268030663774938</v>
      </c>
      <c r="F175" s="28" t="n">
        <f aca="false">Sens!$O$175+(Sens!$E$175-Sens!$N$175)</f>
        <v>0.0232379346966962</v>
      </c>
      <c r="G175" s="28" t="n">
        <f aca="false">(Sens!$G$176-Sens!$G$172+Sens!$G$174)/Sens!$G$173</f>
        <v>0.0248738876928168</v>
      </c>
      <c r="H175" s="28" t="n">
        <f aca="false">Sens!$G$175+step_na</f>
        <v>0.0278738876928168</v>
      </c>
      <c r="I175" s="28" t="n">
        <f aca="false">Sens!$H$175+step_na</f>
        <v>0.0308738876928168</v>
      </c>
      <c r="J175" s="28" t="n">
        <f aca="false">Sens!$I$175+step_na</f>
        <v>0.0338738876928168</v>
      </c>
      <c r="K175" s="28" t="n">
        <f aca="false">Sens!$J$175+step_na</f>
        <v>0.0368738876928168</v>
      </c>
      <c r="L175" s="28" t="n">
        <f aca="false">Sens!$K$175</f>
        <v>0.0368738876928168</v>
      </c>
      <c r="M175" s="28" t="n">
        <f aca="false">Sens!$L$175</f>
        <v>0.0368738876928168</v>
      </c>
      <c r="N175" s="28" t="n">
        <f aca="false">(Sens!$N$176-Sens!$N$172+Sens!$N$174)/Sens!$N$173</f>
        <v>0.0168927744775755</v>
      </c>
      <c r="O175" s="28" t="n">
        <f aca="false">(Sens!$O$176-Sens!$O$172+Sens!$O$174)/Sens!$O$173</f>
        <v>0.0133276427967779</v>
      </c>
      <c r="P175" s="8" t="s">
        <v>677</v>
      </c>
    </row>
    <row r="176" customFormat="false" ht="17.15" hidden="false" customHeight="false" outlineLevel="0" collapsed="false">
      <c r="A176" s="1" t="s">
        <v>678</v>
      </c>
      <c r="B176" s="8" t="s">
        <v>73</v>
      </c>
      <c r="C176" s="38" t="n">
        <f aca="false">Q!$D$22</f>
        <v>24.967</v>
      </c>
      <c r="D176" s="38" t="n">
        <f aca="false">Q!$E$22</f>
        <v>29.619</v>
      </c>
      <c r="E176" s="38" t="n">
        <f aca="false">Q!$P$22</f>
        <v>17.39</v>
      </c>
      <c r="F176" s="38" t="n">
        <f aca="false">Sens!$F$172+Sens!$F$173*Sens!$F$175-Sens!$F$174</f>
        <v>20.9230952303336</v>
      </c>
      <c r="G176" s="38" t="n">
        <f aca="false">Sens!$E$176+Sens!$F$176</f>
        <v>38.3130952303336</v>
      </c>
      <c r="H176" s="38" t="n">
        <f aca="false">Sens!$H$172+Sens!$H$173*Sens!$H$175-Sens!$H$174</f>
        <v>42.2372865623114</v>
      </c>
      <c r="I176" s="38" t="n">
        <f aca="false">Sens!$I$172+Sens!$I$173*Sens!$I$175-Sens!$I$174</f>
        <v>45.4106915565213</v>
      </c>
      <c r="J176" s="38" t="n">
        <f aca="false">Sens!$J$172+Sens!$J$173*Sens!$J$175-Sens!$J$174</f>
        <v>48.1502550732398</v>
      </c>
      <c r="K176" s="38" t="n">
        <f aca="false">Sens!$K$172+Sens!$K$173*Sens!$K$175-Sens!$K$174</f>
        <v>49.9860243093208</v>
      </c>
      <c r="L176" s="38" t="n">
        <f aca="false">Sens!$L$172+Sens!$L$173*Sens!$L$175-Sens!$L$174</f>
        <v>51.095526207779</v>
      </c>
      <c r="M176" s="38" t="n">
        <f aca="false">Sens!$M$172+Sens!$M$173*Sens!$M$175-Sens!$M$174</f>
        <v>52.7117805103898</v>
      </c>
      <c r="N176" s="38" t="n">
        <f aca="false">Q!$N$22</f>
        <v>13.358</v>
      </c>
      <c r="O176" s="38" t="n">
        <f aca="false">Q!$O$22</f>
        <v>16.261</v>
      </c>
    </row>
    <row r="177" customFormat="false" ht="17.15" hidden="false" customHeight="false" outlineLevel="0" collapsed="false">
      <c r="A177" s="0" t="s">
        <v>679</v>
      </c>
      <c r="B177" s="0" t="s">
        <v>73</v>
      </c>
      <c r="C177" s="38" t="n">
        <f aca="false">Sens!$C$80*m_ad</f>
        <v>7.57284355857716</v>
      </c>
      <c r="D177" s="38" t="n">
        <f aca="false">Sens!$D$80*m_ad</f>
        <v>9.44543827004127</v>
      </c>
      <c r="E177" s="38" t="n">
        <f aca="false">Sens!$E$80*m_ad</f>
        <v>5.02428875377928</v>
      </c>
      <c r="F177" s="38" t="n">
        <f aca="false">Sens!$F$80*m_ad</f>
        <v>6.78802480890925</v>
      </c>
      <c r="G177" s="38" t="n">
        <f aca="false">Sens!$G$80*m_ad</f>
        <v>11.8014732147805</v>
      </c>
      <c r="H177" s="38" t="n">
        <f aca="false">Sens!$H$80*m_ad</f>
        <v>14.1682715634442</v>
      </c>
      <c r="I177" s="38" t="n">
        <f aca="false">Sens!$I$80*m_ad</f>
        <v>16.5348555113474</v>
      </c>
      <c r="J177" s="38" t="n">
        <f aca="false">Sens!$J$80*m_ad</f>
        <v>18.7425403255689</v>
      </c>
      <c r="K177" s="38" t="n">
        <f aca="false">Sens!$K$80*m_ad</f>
        <v>20.6167943581258</v>
      </c>
      <c r="L177" s="38" t="n">
        <f aca="false">Sens!$L$80*m_ad</f>
        <v>22.6784737939383</v>
      </c>
      <c r="M177" s="38" t="n">
        <f aca="false">Sens!$M$80*m_ad</f>
        <v>24.9463211733322</v>
      </c>
      <c r="N177" s="38" t="n">
        <f aca="false">Sens!$N$80*m_ad</f>
        <v>3.95314442937518</v>
      </c>
      <c r="O177" s="38" t="n">
        <f aca="false">Sens!$O$80*m_ad</f>
        <v>5.50052681786011</v>
      </c>
    </row>
    <row r="178" customFormat="false" ht="17.15" hidden="false" customHeight="false" outlineLevel="0" collapsed="false">
      <c r="A178" s="0" t="s">
        <v>680</v>
      </c>
      <c r="B178" s="0" t="s">
        <v>73</v>
      </c>
      <c r="C178" s="38" t="n">
        <f aca="false">Sens!$C$78-Sens!$C$80</f>
        <v>127.760312882846</v>
      </c>
      <c r="D178" s="38" t="n">
        <f aca="false">Sens!$D$78-Sens!$D$80</f>
        <v>143.003123459917</v>
      </c>
      <c r="E178" s="38" t="n">
        <f aca="false">Sens!$E$78-Sens!$E$80</f>
        <v>71.9374224924414</v>
      </c>
      <c r="F178" s="38" t="n">
        <f aca="false">Sens!$F$78-Sens!$F$80</f>
        <v>87.0563645868046</v>
      </c>
      <c r="G178" s="38" t="n">
        <f aca="false">Sens!$G$78-Sens!$G$80</f>
        <v>159.015467775062</v>
      </c>
      <c r="H178" s="38" t="n">
        <f aca="false">Sens!$H$78-Sens!$H$80</f>
        <v>173.864803403269</v>
      </c>
      <c r="I178" s="38" t="n">
        <f aca="false">Sens!$I$78-Sens!$I$80</f>
        <v>188.068165645601</v>
      </c>
      <c r="J178" s="38" t="n">
        <f aca="false">Sens!$J$78-Sens!$J$80</f>
        <v>201.22681801082</v>
      </c>
      <c r="K178" s="38" t="n">
        <f aca="false">Sens!$K$78-Sens!$K$80</f>
        <v>212.941334991893</v>
      </c>
      <c r="L178" s="38" t="n">
        <f aca="false">Sens!$L$78-Sens!$L$80</f>
        <v>225.363269144856</v>
      </c>
      <c r="M178" s="38" t="n">
        <f aca="false">Sens!$M$78-Sens!$M$80</f>
        <v>238.536688790819</v>
      </c>
      <c r="N178" s="38" t="n">
        <f aca="false">Sens!$N$78-Sens!$N$80</f>
        <v>62.3677111412496</v>
      </c>
      <c r="O178" s="38" t="n">
        <f aca="false">Sens!$O$78-Sens!$O$80</f>
        <v>80.6189463642798</v>
      </c>
    </row>
    <row r="179" customFormat="false" ht="17.15" hidden="false" customHeight="false" outlineLevel="0" collapsed="false">
      <c r="A179" s="0" t="s">
        <v>681</v>
      </c>
      <c r="B179" s="0" t="s">
        <v>73</v>
      </c>
      <c r="C179" s="38" t="n">
        <f aca="false">Sens!$C$125*(1-Sens!$C$76)</f>
        <v>0.0455891896019953</v>
      </c>
      <c r="D179" s="38" t="n">
        <f aca="false">Sens!$D$125*(1-Sens!$D$76)</f>
        <v>0.332050421167231</v>
      </c>
      <c r="E179" s="38" t="n">
        <f aca="false">Sens!$E$125*(1-Sens!$E$76)</f>
        <v>0.481224293644882</v>
      </c>
      <c r="F179" s="38" t="n">
        <f aca="false">Sens!$F$125*(1-Sens!$F$76)</f>
        <v>0.596018918096053</v>
      </c>
      <c r="G179" s="38" t="n">
        <f aca="false">Sens!$G$125*(1-Sens!$G$76)</f>
        <v>1.07714986531035</v>
      </c>
      <c r="H179" s="38" t="n">
        <f aca="false">Sens!$H$125*(1-Sens!$H$76)</f>
        <v>2.83135005721638</v>
      </c>
      <c r="I179" s="38" t="n">
        <f aca="false">Sens!$I$125*(1-Sens!$I$76)</f>
        <v>4.9421518161602</v>
      </c>
      <c r="J179" s="38" t="n">
        <f aca="false">Sens!$J$125*(1-Sens!$J$76)</f>
        <v>7.11011252170866</v>
      </c>
      <c r="K179" s="38" t="n">
        <f aca="false">Sens!$K$125*(1-Sens!$K$76)</f>
        <v>9.31663210615807</v>
      </c>
      <c r="L179" s="38" t="n">
        <f aca="false">Sens!$L$125*(1-Sens!$L$76)</f>
        <v>11.411251074039</v>
      </c>
      <c r="M179" s="38" t="n">
        <f aca="false">Sens!$M$125*(1-Sens!$M$76)</f>
        <v>13.5455860755423</v>
      </c>
      <c r="N179" s="38" t="n">
        <f aca="false">Sens!$N$125*(1-Sens!$N$76)</f>
        <v>0.141739115596548</v>
      </c>
      <c r="O179" s="38" t="n">
        <f aca="false">Sens!$O$125*(1-Sens!$O$76)</f>
        <v>0.190445576353059</v>
      </c>
    </row>
    <row r="180" customFormat="false" ht="17.15" hidden="false" customHeight="false" outlineLevel="0" collapsed="false">
      <c r="A180" s="0" t="s">
        <v>682</v>
      </c>
      <c r="B180" s="0" t="s">
        <v>52</v>
      </c>
      <c r="C180" s="28" t="n">
        <f aca="false">(Sens!$C$181-Sens!$C$177+Sens!$C$179)/Sens!$C$178</f>
        <v>-0.0292364215826579</v>
      </c>
      <c r="D180" s="28" t="n">
        <f aca="false">(Sens!$D$181-Sens!$D$177+Sens!$D$179)/Sens!$D$178</f>
        <v>-0.0305125352740778</v>
      </c>
      <c r="E180" s="28" t="n">
        <f aca="false">(Sens!$E$181-Sens!$E$177+Sens!$E$179)/Sens!$E$178</f>
        <v>-0.019490056934994</v>
      </c>
      <c r="F180" s="28" t="n">
        <f aca="false">Sens!$O$180+(Sens!$E$180-Sens!$N$180)</f>
        <v>-0.0367332293992226</v>
      </c>
      <c r="G180" s="28" t="n">
        <f aca="false">(Sens!$G$181-Sens!$G$177+Sens!$G$179)/Sens!$G$178</f>
        <v>-0.0288599526442178</v>
      </c>
      <c r="H180" s="28" t="n">
        <f aca="false">Sens!$G$180+step_in</f>
        <v>-0.0288599526442178</v>
      </c>
      <c r="I180" s="28" t="n">
        <f aca="false">Sens!$H$180+step_in</f>
        <v>-0.0288599526442178</v>
      </c>
      <c r="J180" s="28" t="n">
        <f aca="false">Sens!$I$180+step_in</f>
        <v>-0.0288599526442178</v>
      </c>
      <c r="K180" s="28" t="n">
        <f aca="false">Sens!$J$180+step_in</f>
        <v>-0.0288599526442178</v>
      </c>
      <c r="L180" s="28" t="n">
        <f aca="false">Sens!$K$180</f>
        <v>-0.0288599526442178</v>
      </c>
      <c r="M180" s="28" t="n">
        <f aca="false">Sens!$L$180</f>
        <v>-0.0288599526442178</v>
      </c>
      <c r="N180" s="28" t="n">
        <f aca="false">(Sens!$N$181-Sens!$N$177+Sens!$N$179)/Sens!$N$178</f>
        <v>-0.02085061789158</v>
      </c>
      <c r="O180" s="28" t="n">
        <f aca="false">(Sens!$O$181-Sens!$O$177+Sens!$O$179)/Sens!$O$178</f>
        <v>-0.0380937903558086</v>
      </c>
      <c r="P180" s="8" t="s">
        <v>677</v>
      </c>
    </row>
    <row r="181" customFormat="false" ht="17.15" hidden="false" customHeight="false" outlineLevel="0" collapsed="false">
      <c r="A181" s="1" t="s">
        <v>683</v>
      </c>
      <c r="B181" s="8" t="s">
        <v>73</v>
      </c>
      <c r="C181" s="38" t="n">
        <f aca="false">Q!$D$23</f>
        <v>3.792</v>
      </c>
      <c r="D181" s="38" t="n">
        <f aca="false">Q!$E$23</f>
        <v>4.75</v>
      </c>
      <c r="E181" s="38" t="n">
        <f aca="false">Q!$P$23</f>
        <v>3.141</v>
      </c>
      <c r="F181" s="38" t="n">
        <f aca="false">Sens!$F$177+Sens!$F$178*Sens!$F$180-Sens!$F$179</f>
        <v>2.99414447978375</v>
      </c>
      <c r="G181" s="38" t="n">
        <f aca="false">Sens!$E$181+Sens!$F$181</f>
        <v>6.13514447978375</v>
      </c>
      <c r="H181" s="38" t="n">
        <f aca="false">Sens!$H$177+Sens!$H$178*Sens!$H$180-Sens!$H$179</f>
        <v>6.31919151351322</v>
      </c>
      <c r="I181" s="38" t="n">
        <f aca="false">Sens!$I$177+Sens!$I$178*Sens!$I$180-Sens!$I$179</f>
        <v>6.16506534077027</v>
      </c>
      <c r="J181" s="38" t="n">
        <f aca="false">Sens!$J$177+Sens!$J$178*Sens!$J$180-Sens!$J$179</f>
        <v>5.8250313653213</v>
      </c>
      <c r="K181" s="38" t="n">
        <f aca="false">Sens!$K$177+Sens!$K$178*Sens!$K$180-Sens!$K$179</f>
        <v>5.15468540810514</v>
      </c>
      <c r="L181" s="38" t="n">
        <f aca="false">Sens!$L$177+Sens!$L$178*Sens!$L$180-Sens!$L$179</f>
        <v>4.76324944463266</v>
      </c>
      <c r="M181" s="38" t="n">
        <f aca="false">Sens!$M$177+Sens!$M$178*Sens!$M$180-Sens!$M$179</f>
        <v>4.51657755537829</v>
      </c>
      <c r="N181" s="38" t="n">
        <f aca="false">Q!$N$23</f>
        <v>2.511</v>
      </c>
      <c r="O181" s="38" t="n">
        <f aca="false">Q!$O$23</f>
        <v>2.239</v>
      </c>
    </row>
    <row r="182" customFormat="false" ht="17.15" hidden="false" customHeight="false" outlineLevel="0" collapsed="false">
      <c r="A182" s="0" t="s">
        <v>684</v>
      </c>
      <c r="B182" s="0" t="s">
        <v>73</v>
      </c>
      <c r="C182" s="38" t="n">
        <f aca="false">Sens!$C$122</f>
        <v>1.64417882953695</v>
      </c>
      <c r="D182" s="38" t="n">
        <f aca="false">Sens!$D$122</f>
        <v>3.8781008067718</v>
      </c>
      <c r="E182" s="38" t="n">
        <f aca="false">Sens!$E$122</f>
        <v>1.41270258088753</v>
      </c>
      <c r="F182" s="38" t="n">
        <f aca="false">Sens!$F$122</f>
        <v>6.50727700583486</v>
      </c>
      <c r="G182" s="38" t="n">
        <f aca="false">Sens!$G$122</f>
        <v>7.9199795867224</v>
      </c>
      <c r="H182" s="38" t="n">
        <f aca="false">Sens!$H$122</f>
        <v>19.2818189481807</v>
      </c>
      <c r="I182" s="38" t="n">
        <f aca="false">Sens!$I$122</f>
        <v>30.140114407202</v>
      </c>
      <c r="J182" s="38" t="n">
        <f aca="false">Sens!$J$122</f>
        <v>40.3569468829854</v>
      </c>
      <c r="K182" s="38" t="n">
        <f aca="false">Sens!$K$122</f>
        <v>50.0782975081929</v>
      </c>
      <c r="L182" s="38" t="n">
        <f aca="false">Sens!$L$122</f>
        <v>61.443331993499</v>
      </c>
      <c r="M182" s="38" t="n">
        <f aca="false">Sens!$M$122</f>
        <v>72.2498791587849</v>
      </c>
      <c r="N182" s="38" t="n">
        <f aca="false">Sens!$N$122</f>
        <v>0.92264103489199</v>
      </c>
      <c r="O182" s="38" t="n">
        <f aca="false">Sens!$O$122</f>
        <v>2.95545977187981</v>
      </c>
    </row>
    <row r="183" customFormat="false" ht="17.15" hidden="false" customHeight="false" outlineLevel="0" collapsed="false">
      <c r="A183" s="0" t="s">
        <v>604</v>
      </c>
      <c r="B183" s="0" t="s">
        <v>73</v>
      </c>
      <c r="C183" s="38" t="n">
        <f aca="false">Sens!$C$127</f>
        <v>38.1898211704631</v>
      </c>
      <c r="D183" s="38" t="n">
        <f aca="false">Sens!$D$127</f>
        <v>41.7278991932282</v>
      </c>
      <c r="E183" s="38" t="n">
        <f aca="false">Sens!$E$127</f>
        <v>29.3692974191125</v>
      </c>
      <c r="F183" s="38" t="n">
        <f aca="false">Sens!$F$127</f>
        <v>29.458060516894</v>
      </c>
      <c r="G183" s="38" t="n">
        <f aca="false">Sens!$G$127</f>
        <v>58.8273579360065</v>
      </c>
      <c r="H183" s="38" t="n">
        <f aca="false">Sens!$H$127</f>
        <v>67.8004040185081</v>
      </c>
      <c r="I183" s="38" t="n">
        <f aca="false">Sens!$I$127</f>
        <v>78.9527630302702</v>
      </c>
      <c r="J183" s="38" t="n">
        <f aca="false">Sens!$J$127</f>
        <v>88.6042681781841</v>
      </c>
      <c r="K183" s="38" t="n">
        <f aca="false">Sens!$K$127</f>
        <v>95.6926096324389</v>
      </c>
      <c r="L183" s="38" t="n">
        <f aca="false">Sens!$L$127</f>
        <v>103.348018403034</v>
      </c>
      <c r="M183" s="38" t="n">
        <f aca="false">Sens!$M$127</f>
        <v>111.615859875277</v>
      </c>
      <c r="N183" s="38" t="n">
        <f aca="false">Sens!$N$127</f>
        <v>20.784358965108</v>
      </c>
      <c r="O183" s="38" t="n">
        <f aca="false">Sens!$O$127</f>
        <v>20.9435402281202</v>
      </c>
    </row>
    <row r="184" customFormat="false" ht="17.15" hidden="false" customHeight="false" outlineLevel="0" collapsed="false">
      <c r="A184" s="1" t="s">
        <v>685</v>
      </c>
      <c r="B184" s="8" t="s">
        <v>73</v>
      </c>
      <c r="C184" s="38" t="n">
        <f aca="false">Q!$D$24</f>
        <v>39.834</v>
      </c>
      <c r="D184" s="38" t="n">
        <f aca="false">Q!$E$24</f>
        <v>45.606</v>
      </c>
      <c r="E184" s="38" t="n">
        <f aca="false">Q!$P$24</f>
        <v>30.782</v>
      </c>
      <c r="F184" s="38" t="n">
        <f aca="false">Sens!$F$182+Sens!$F$183</f>
        <v>35.9653375227289</v>
      </c>
      <c r="G184" s="38" t="n">
        <f aca="false">Sens!$G$182+Sens!$G$183</f>
        <v>66.7473375227289</v>
      </c>
      <c r="H184" s="38" t="n">
        <f aca="false">Sens!$H$182+Sens!$H$183</f>
        <v>87.0822229666888</v>
      </c>
      <c r="I184" s="38" t="n">
        <f aca="false">Sens!$I$182+Sens!$I$183</f>
        <v>109.092877437472</v>
      </c>
      <c r="J184" s="38" t="n">
        <f aca="false">Sens!$J$182+Sens!$J$183</f>
        <v>128.96121506117</v>
      </c>
      <c r="K184" s="38" t="n">
        <f aca="false">Sens!$K$182+Sens!$K$183</f>
        <v>145.770907140632</v>
      </c>
      <c r="L184" s="38" t="n">
        <f aca="false">Sens!$L$182+Sens!$L$183</f>
        <v>164.791350396533</v>
      </c>
      <c r="M184" s="38" t="n">
        <f aca="false">Sens!$M$182+Sens!$M$183</f>
        <v>183.865739034062</v>
      </c>
      <c r="N184" s="38" t="n">
        <f aca="false">Q!$N$24</f>
        <v>21.707</v>
      </c>
      <c r="O184" s="38" t="n">
        <f aca="false">Q!$O$24</f>
        <v>23.899</v>
      </c>
    </row>
    <row r="185" customFormat="false" ht="17.15" hidden="false" customHeight="false" outlineLevel="0" collapsed="false">
      <c r="A185" s="5" t="s">
        <v>686</v>
      </c>
      <c r="B185" s="0" t="s">
        <v>73</v>
      </c>
      <c r="C185" s="38" t="n">
        <f aca="false">Q!$D$26</f>
        <v>0</v>
      </c>
      <c r="D185" s="38" t="n">
        <f aca="false">Q!$E$26</f>
        <v>0</v>
      </c>
      <c r="E185" s="38" t="n">
        <f aca="false">Q!$P$26</f>
        <v>0</v>
      </c>
      <c r="F185" s="41" t="n">
        <v>0</v>
      </c>
      <c r="G185" s="38" t="n">
        <f aca="false">Sens!$E$185+Sens!$F$185</f>
        <v>0</v>
      </c>
      <c r="H185" s="41" t="n">
        <v>0</v>
      </c>
      <c r="I185" s="41" t="n">
        <v>0</v>
      </c>
      <c r="J185" s="41" t="n">
        <v>0</v>
      </c>
      <c r="K185" s="41" t="n">
        <v>0</v>
      </c>
      <c r="L185" s="41" t="n">
        <v>0</v>
      </c>
      <c r="M185" s="41" t="n">
        <v>0</v>
      </c>
      <c r="N185" s="38" t="n">
        <f aca="false">Q!$N$26</f>
        <v>0</v>
      </c>
      <c r="O185" s="38" t="n">
        <f aca="false">Q!$O$26</f>
        <v>0</v>
      </c>
    </row>
    <row r="186" customFormat="false" ht="15" hidden="false" customHeight="false" outlineLevel="0" collapsed="false">
      <c r="A186" s="3" t="s">
        <v>494</v>
      </c>
      <c r="B186" s="8" t="s">
        <v>73</v>
      </c>
      <c r="C186" s="38" t="n">
        <f aca="false">Q!$D$25</f>
        <v>68.593</v>
      </c>
      <c r="D186" s="38" t="n">
        <f aca="false">Q!$E$25</f>
        <v>79.975</v>
      </c>
      <c r="E186" s="38" t="n">
        <f aca="false">Q!$P$25</f>
        <v>51.313</v>
      </c>
      <c r="F186" s="38" t="n">
        <f aca="false">Sens!$F$176+Sens!$F$181+Sens!$F$184+Sens!$F$185</f>
        <v>59.8825772328462</v>
      </c>
      <c r="G186" s="38" t="n">
        <f aca="false">Sens!$G$176+Sens!$G$181+Sens!$G$184+Sens!$G$185</f>
        <v>111.195577232846</v>
      </c>
      <c r="H186" s="38" t="n">
        <f aca="false">Sens!$H$176+Sens!$H$181+Sens!$H$184+Sens!$H$185</f>
        <v>135.638701042513</v>
      </c>
      <c r="I186" s="38" t="n">
        <f aca="false">Sens!$I$176+Sens!$I$181+Sens!$I$184+Sens!$I$185</f>
        <v>160.668634334764</v>
      </c>
      <c r="J186" s="38" t="n">
        <f aca="false">Sens!$J$176+Sens!$J$181+Sens!$J$184+Sens!$J$185</f>
        <v>182.936501499731</v>
      </c>
      <c r="K186" s="38" t="n">
        <f aca="false">Sens!$K$176+Sens!$K$181+Sens!$K$184+Sens!$K$185</f>
        <v>200.911616858058</v>
      </c>
      <c r="L186" s="38" t="n">
        <f aca="false">Sens!$L$176+Sens!$L$181+Sens!$L$184+Sens!$L$185</f>
        <v>220.650126048945</v>
      </c>
      <c r="M186" s="38" t="n">
        <f aca="false">Sens!$M$176+Sens!$M$181+Sens!$M$184+Sens!$M$185</f>
        <v>241.09409709983</v>
      </c>
      <c r="N186" s="38" t="n">
        <f aca="false">Q!$N$25</f>
        <v>37.576</v>
      </c>
      <c r="O186" s="38" t="n">
        <f aca="false">Q!$O$25</f>
        <v>42.399</v>
      </c>
    </row>
    <row r="187" customFormat="false" ht="17.15" hidden="false" customHeight="false" outlineLevel="0" collapsed="false">
      <c r="A187" s="24" t="s">
        <v>712</v>
      </c>
      <c r="B187" s="25" t="s">
        <v>73</v>
      </c>
      <c r="C187" s="39" t="n">
        <f aca="false">Sens!$C$176+Sens!$C$181+Sens!$C$184+Sens!$C$185-Sens!$C$186</f>
        <v>0</v>
      </c>
      <c r="D187" s="39" t="n">
        <f aca="false">Sens!$D$176+Sens!$D$181+Sens!$D$184+Sens!$D$185-Sens!$D$186</f>
        <v>0</v>
      </c>
      <c r="E187" s="39" t="n">
        <f aca="false">Sens!$E$176+Sens!$E$181+Sens!$E$184+Sens!$E$185-Sens!$E$186</f>
        <v>0</v>
      </c>
      <c r="F187" s="39" t="n">
        <f aca="false">Sens!$F$176+Sens!$F$181+Sens!$F$184+Sens!$F$185-Sens!$F$186</f>
        <v>0</v>
      </c>
      <c r="G187" s="39" t="n">
        <f aca="false">Sens!$G$176+Sens!$G$181+Sens!$G$184+Sens!$G$185-Sens!$G$186</f>
        <v>0</v>
      </c>
      <c r="H187" s="39" t="n">
        <f aca="false">Sens!$H$176+Sens!$H$181+Sens!$H$184+Sens!$H$185-Sens!$H$186</f>
        <v>0</v>
      </c>
      <c r="I187" s="39" t="n">
        <f aca="false">Sens!$I$176+Sens!$I$181+Sens!$I$184+Sens!$I$185-Sens!$I$186</f>
        <v>0</v>
      </c>
      <c r="J187" s="39" t="n">
        <f aca="false">Sens!$J$176+Sens!$J$181+Sens!$J$184+Sens!$J$185-Sens!$J$186</f>
        <v>0</v>
      </c>
      <c r="K187" s="39" t="n">
        <f aca="false">Sens!$K$176+Sens!$K$181+Sens!$K$184+Sens!$K$185-Sens!$K$186</f>
        <v>0</v>
      </c>
      <c r="L187" s="39" t="n">
        <f aca="false">Sens!$L$176+Sens!$L$181+Sens!$L$184+Sens!$L$185-Sens!$L$186</f>
        <v>0</v>
      </c>
      <c r="M187" s="39" t="n">
        <f aca="false">Sens!$M$176+Sens!$M$181+Sens!$M$184+Sens!$M$185-Sens!$M$186</f>
        <v>0</v>
      </c>
      <c r="N187" s="39" t="n">
        <f aca="false">Sens!$N$176+Sens!$N$181+Sens!$N$184+Sens!$N$185-Sens!$N$186</f>
        <v>0</v>
      </c>
      <c r="O187" s="39" t="n">
        <f aca="false">Sens!$O$176+Sens!$O$181+Sens!$O$184+Sens!$O$185-Sens!$O$186</f>
        <v>0</v>
      </c>
    </row>
    <row r="188" customFormat="false" ht="17.15" hidden="false" customHeight="false" outlineLevel="0" collapsed="false">
      <c r="A188" s="0" t="s">
        <v>688</v>
      </c>
      <c r="B188" s="0" t="s">
        <v>52</v>
      </c>
      <c r="C188" s="12" t="n">
        <f aca="false">Sens!$C$176/Sens!$C$161</f>
        <v>0.0644314665661928</v>
      </c>
      <c r="D188" s="12" t="n">
        <f aca="false">Sens!$D$176/Sens!$D$161</f>
        <v>0.0694784250712518</v>
      </c>
      <c r="E188" s="12" t="n">
        <f aca="false">Sens!$E$176/Sens!$E$161</f>
        <v>0.0789306463326071</v>
      </c>
      <c r="F188" s="12" t="n">
        <f aca="false">Sens!$F$176/Sens!$F$161</f>
        <v>0.0816338957078875</v>
      </c>
      <c r="G188" s="12" t="n">
        <f aca="false">Sens!$G$176/Sens!$G$161</f>
        <v>0.080384315570057</v>
      </c>
      <c r="H188" s="12" t="n">
        <f aca="false">Sens!$H$176/Sens!$H$161</f>
        <v>0.080035122355679</v>
      </c>
      <c r="I188" s="12" t="n">
        <f aca="false">Sens!$I$176/Sens!$I$161</f>
        <v>0.0786798687862144</v>
      </c>
      <c r="J188" s="12" t="n">
        <f aca="false">Sens!$J$176/Sens!$J$161</f>
        <v>0.0772846370095153</v>
      </c>
      <c r="K188" s="12" t="n">
        <f aca="false">Sens!$K$176/Sens!$K$161</f>
        <v>0.0753502227686655</v>
      </c>
      <c r="L188" s="12" t="n">
        <f aca="false">Sens!$L$176/Sens!$L$161</f>
        <v>0.0723154067793922</v>
      </c>
      <c r="M188" s="12" t="n">
        <f aca="false">Sens!$M$176/Sens!$M$161</f>
        <v>0.070022386735876</v>
      </c>
      <c r="N188" s="12" t="n">
        <f aca="false">Sens!$N$176/Sens!$N$161</f>
        <v>0.069228576611127</v>
      </c>
      <c r="O188" s="12" t="n">
        <f aca="false">Sens!$O$176/Sens!$O$161</f>
        <v>0.069685022498393</v>
      </c>
    </row>
    <row r="189" customFormat="false" ht="17.15" hidden="false" customHeight="false" outlineLevel="0" collapsed="false">
      <c r="A189" s="0" t="s">
        <v>689</v>
      </c>
      <c r="B189" s="0" t="s">
        <v>52</v>
      </c>
      <c r="C189" s="12" t="n">
        <f aca="false">Sens!$C$181/Sens!$C$162</f>
        <v>0.026534925055631</v>
      </c>
      <c r="D189" s="12" t="n">
        <f aca="false">Sens!$D$181/Sens!$D$162</f>
        <v>0.0293401855535103</v>
      </c>
      <c r="E189" s="12" t="n">
        <f aca="false">Sens!$E$181/Sens!$E$162</f>
        <v>0.03831141902276</v>
      </c>
      <c r="F189" s="12" t="n">
        <f aca="false">Sens!$F$181/Sens!$F$162</f>
        <v>0.0297532808235678</v>
      </c>
      <c r="G189" s="12" t="n">
        <f aca="false">Sens!$G$181/Sens!$G$162</f>
        <v>0.0335954317997163</v>
      </c>
      <c r="H189" s="12" t="n">
        <f aca="false">Sens!$H$181/Sens!$H$162</f>
        <v>0.0312519754292078</v>
      </c>
      <c r="I189" s="12" t="n">
        <f aca="false">Sens!$I$181/Sens!$I$162</f>
        <v>0.0278788303191397</v>
      </c>
      <c r="J189" s="12" t="n">
        <f aca="false">Sens!$J$181/Sens!$J$162</f>
        <v>0.0244019313573061</v>
      </c>
      <c r="K189" s="12" t="n">
        <f aca="false">Sens!$K$181/Sens!$K$162</f>
        <v>0.020280070641524</v>
      </c>
      <c r="L189" s="12" t="n">
        <f aca="false">Sens!$L$181/Sens!$L$162</f>
        <v>0.0175947312030086</v>
      </c>
      <c r="M189" s="12" t="n">
        <f aca="false">Sens!$M$181/Sens!$M$162</f>
        <v>0.0156592172424565</v>
      </c>
      <c r="N189" s="12" t="n">
        <f aca="false">Sens!$N$181/Sens!$N$162</f>
        <v>0.0357315650169337</v>
      </c>
      <c r="O189" s="12" t="n">
        <f aca="false">Sens!$O$181/Sens!$O$162</f>
        <v>0.0244378956559703</v>
      </c>
    </row>
    <row r="190" customFormat="false" ht="17.15" hidden="false" customHeight="false" outlineLevel="0" collapsed="false">
      <c r="A190" s="13" t="s">
        <v>690</v>
      </c>
      <c r="B190" s="13" t="s">
        <v>52</v>
      </c>
      <c r="C190" s="16" t="n">
        <f aca="false">Sens!$C$184/Sens!$C$163</f>
        <v>0.370355907620217</v>
      </c>
      <c r="D190" s="16" t="n">
        <f aca="false">Sens!$D$184/Sens!$D$163</f>
        <v>0.35429015342785</v>
      </c>
      <c r="E190" s="16" t="n">
        <f aca="false">Sens!$E$184/Sens!$E$163</f>
        <v>0.385647527531039</v>
      </c>
      <c r="F190" s="16" t="n">
        <f aca="false">Sens!$F$184/Sens!$F$163</f>
        <v>0.384415729470259</v>
      </c>
      <c r="G190" s="16" t="n">
        <f aca="false">Sens!$G$184/Sens!$G$163</f>
        <v>0.38498282105443</v>
      </c>
      <c r="H190" s="16" t="n">
        <f aca="false">Sens!$H$184/Sens!$H$163</f>
        <v>0.361247909668527</v>
      </c>
      <c r="I190" s="16" t="n">
        <f aca="false">Sens!$I$184/Sens!$I$163</f>
        <v>0.349486287974975</v>
      </c>
      <c r="J190" s="16" t="n">
        <f aca="false">Sens!$J$184/Sens!$J$163</f>
        <v>0.339886531832068</v>
      </c>
      <c r="K190" s="16" t="n">
        <f aca="false">Sens!$K$184/Sens!$K$163</f>
        <v>0.33135833762061</v>
      </c>
      <c r="L190" s="16" t="n">
        <f aca="false">Sens!$L$184/Sens!$L$163</f>
        <v>0.328299068185284</v>
      </c>
      <c r="M190" s="16" t="n">
        <f aca="false">Sens!$M$184/Sens!$M$163</f>
        <v>0.325058049465166</v>
      </c>
      <c r="N190" s="16" t="n">
        <f aca="false">Sens!$N$184/Sens!$N$163</f>
        <v>0.360941137346192</v>
      </c>
      <c r="O190" s="16" t="n">
        <f aca="false">Sens!$O$184/Sens!$O$163</f>
        <v>0.348458117664212</v>
      </c>
    </row>
    <row r="191" customFormat="false" ht="17.15" hidden="false" customHeight="false" outlineLevel="0" collapsed="false">
      <c r="A191" s="0" t="s">
        <v>691</v>
      </c>
      <c r="B191" s="0" t="s">
        <v>52</v>
      </c>
      <c r="C191" s="12" t="n">
        <f aca="false">Sens!$C$182/Sens!$C$164</f>
        <v>0.708390794789371</v>
      </c>
      <c r="D191" s="12" t="n">
        <f aca="false">Sens!$D$182/Sens!$D$164</f>
        <v>0.445565630441968</v>
      </c>
      <c r="E191" s="12" t="n">
        <f aca="false">Sens!$E$182/Sens!$E$164</f>
        <v>0.165998118402711</v>
      </c>
      <c r="F191" s="12" t="n">
        <f aca="false">Sens!$F$182/Sens!$F$164</f>
        <v>0.434878595403858</v>
      </c>
      <c r="G191" s="12" t="n">
        <f aca="false">Sens!$G$182/Sens!$G$164</f>
        <v>0.3373967615381</v>
      </c>
      <c r="H191" s="12" t="n">
        <f aca="false">Sens!$H$182/Sens!$H$164</f>
        <v>0.320477578041224</v>
      </c>
      <c r="I191" s="12" t="n">
        <f aca="false">Sens!$I$182/Sens!$I$164</f>
        <v>0.296936118226494</v>
      </c>
      <c r="J191" s="12" t="n">
        <f aca="false">Sens!$J$182/Sens!$J$164</f>
        <v>0.282166278613001</v>
      </c>
      <c r="K191" s="12" t="n">
        <f aca="false">Sens!$K$182/Sens!$K$164</f>
        <v>0.271267685694333</v>
      </c>
      <c r="L191" s="12" t="n">
        <f aca="false">Sens!$L$182/Sens!$L$164</f>
        <v>0.27160960915653</v>
      </c>
      <c r="M191" s="12" t="n">
        <f aca="false">Sens!$M$182/Sens!$M$164</f>
        <v>0.26974494804234</v>
      </c>
      <c r="N191" s="12" t="n">
        <f aca="false">Sens!$N$182/Sens!$N$164</f>
        <v>0.302870734830849</v>
      </c>
      <c r="O191" s="12" t="n">
        <f aca="false">Sens!$O$182/Sens!$O$164</f>
        <v>0.52240134346334</v>
      </c>
    </row>
    <row r="192" customFormat="false" ht="15" hidden="false" customHeight="false" outlineLevel="0" collapsed="false">
      <c r="A192" s="5" t="s">
        <v>692</v>
      </c>
      <c r="B192" s="0" t="s">
        <v>52</v>
      </c>
      <c r="C192" s="12" t="n">
        <f aca="false">Sens!$C$186/Sens!$C$166</f>
        <v>0.107519448742004</v>
      </c>
      <c r="D192" s="12" t="n">
        <f aca="false">Sens!$D$186/Sens!$D$166</f>
        <v>0.111552967957552</v>
      </c>
      <c r="E192" s="12" t="n">
        <f aca="false">Sens!$E$186/Sens!$E$166</f>
        <v>0.13428328426562</v>
      </c>
      <c r="F192" s="12" t="n">
        <f aca="false">Sens!$F$186/Sens!$F$166</f>
        <v>0.132926212451512</v>
      </c>
      <c r="G192" s="12" t="n">
        <f aca="false">Sens!$G$186/Sens!$G$166</f>
        <v>0.133549030959228</v>
      </c>
      <c r="H192" s="12" t="n">
        <f aca="false">Sens!$H$186/Sens!$H$166</f>
        <v>0.139690394514416</v>
      </c>
      <c r="I192" s="12" t="n">
        <f aca="false">Sens!$I$186/Sens!$I$166</f>
        <v>0.144688164284573</v>
      </c>
      <c r="J192" s="12" t="n">
        <f aca="false">Sens!$J$186/Sens!$J$166</f>
        <v>0.147391419021054</v>
      </c>
      <c r="K192" s="12" t="n">
        <f aca="false">Sens!$K$186/Sens!$K$166</f>
        <v>0.148003728177944</v>
      </c>
      <c r="L192" s="12" t="n">
        <f aca="false">Sens!$L$186/Sens!$L$166</f>
        <v>0.149164514525979</v>
      </c>
      <c r="M192" s="12" t="n">
        <f aca="false">Sens!$M$186/Sens!$M$166</f>
        <v>0.150041098108262</v>
      </c>
      <c r="N192" s="12" t="n">
        <f aca="false">Sens!$N$186/Sens!$N$166</f>
        <v>0.116201614873411</v>
      </c>
      <c r="O192" s="12" t="n">
        <f aca="false">Sens!$O$186/Sens!$O$166</f>
        <v>0.107733353660861</v>
      </c>
    </row>
    <row r="193" customFormat="false" ht="17.15" hidden="false" customHeight="false" outlineLevel="0" collapsed="false">
      <c r="A193" s="1" t="s">
        <v>693</v>
      </c>
    </row>
    <row r="194" customFormat="false" ht="17.15" hidden="false" customHeight="false" outlineLevel="0" collapsed="false">
      <c r="A194" s="5" t="s">
        <v>694</v>
      </c>
      <c r="B194" s="0" t="s">
        <v>52</v>
      </c>
      <c r="D194" s="28" t="n">
        <f aca="false">(Q!$E$29+Q!$E$30-(1-ext_sh)*Sens!$D$118)/Sens!$D$75</f>
        <v>0.0334674312393194</v>
      </c>
    </row>
    <row r="195" customFormat="false" ht="17.15" hidden="false" customHeight="false" outlineLevel="0" collapsed="false">
      <c r="A195" s="0" t="s">
        <v>498</v>
      </c>
      <c r="B195" s="0" t="s">
        <v>73</v>
      </c>
      <c r="C195" s="38" t="n">
        <f aca="false">Q!$D$29</f>
        <v>14.285</v>
      </c>
      <c r="D195" s="38" t="n">
        <f aca="false">Q!$E$29</f>
        <v>15.503</v>
      </c>
      <c r="E195" s="38" t="n">
        <f aca="false">Q!$P$29</f>
        <v>8.78</v>
      </c>
      <c r="F195" s="38" t="n">
        <f aca="false">(Sens!$D$194*Sens!$F$75+(1-ext_sh)*Sens!$F$118)*Sens!$F$76</f>
        <v>9.51361751569285</v>
      </c>
      <c r="G195" s="38" t="n">
        <f aca="false">Sens!$E$195+Sens!$F$195</f>
        <v>18.2936175156929</v>
      </c>
      <c r="H195" s="38" t="n">
        <f aca="false">(Sens!$D$194*Sens!$H$75+(1-ext_sh)*Sens!$H$118)*Sens!$H$76</f>
        <v>22.7653661801943</v>
      </c>
      <c r="I195" s="38" t="n">
        <f aca="false">(Sens!$D$194*Sens!$I$75+(1-ext_sh)*Sens!$I$118)*Sens!$I$76</f>
        <v>28.4281317305062</v>
      </c>
      <c r="J195" s="38" t="n">
        <f aca="false">(Sens!$D$194*Sens!$J$75+(1-ext_sh)*Sens!$J$118)*Sens!$J$76</f>
        <v>34.1182922009732</v>
      </c>
      <c r="K195" s="38" t="n">
        <f aca="false">(Sens!$D$194*Sens!$K$75+(1-ext_sh)*Sens!$K$118)*Sens!$K$76</f>
        <v>39.7237727987046</v>
      </c>
      <c r="L195" s="38" t="n">
        <f aca="false">(Sens!$D$194*Sens!$L$75+(1-ext_sh)*Sens!$L$118)*Sens!$L$76</f>
        <v>45.1313127180263</v>
      </c>
      <c r="M195" s="38" t="n">
        <f aca="false">(Sens!$D$194*Sens!$M$75+(1-ext_sh)*Sens!$M$118)*Sens!$M$76</f>
        <v>50.743940615442</v>
      </c>
      <c r="N195" s="38" t="n">
        <f aca="false">Q!$N$29</f>
        <v>7.272</v>
      </c>
      <c r="O195" s="38" t="n">
        <f aca="false">Q!$O$29</f>
        <v>8.231</v>
      </c>
    </row>
    <row r="196" customFormat="false" ht="17.15" hidden="false" customHeight="false" outlineLevel="0" collapsed="false">
      <c r="A196" s="0" t="s">
        <v>500</v>
      </c>
      <c r="B196" s="0" t="s">
        <v>73</v>
      </c>
      <c r="C196" s="38" t="n">
        <f aca="false">Q!$D$30</f>
        <v>4.462</v>
      </c>
      <c r="D196" s="38" t="n">
        <f aca="false">Q!$E$30</f>
        <v>4.907</v>
      </c>
      <c r="E196" s="38" t="n">
        <f aca="false">Q!$P$30</f>
        <v>2.57</v>
      </c>
      <c r="F196" s="38" t="n">
        <f aca="false">(Sens!$D$194*Sens!$F$75+(1-ext_sh)*Sens!$F$118)*(1-Sens!$F$76)</f>
        <v>3.7353230631574</v>
      </c>
      <c r="G196" s="38" t="n">
        <f aca="false">Sens!$E$196+Sens!$F$196</f>
        <v>6.3053230631574</v>
      </c>
      <c r="H196" s="38" t="n">
        <f aca="false">(Sens!$D$194*Sens!$H$75+(1-ext_sh)*Sens!$H$118)*(1-Sens!$H$76)</f>
        <v>8.72254636724805</v>
      </c>
      <c r="I196" s="38" t="n">
        <f aca="false">(Sens!$D$194*Sens!$I$75+(1-ext_sh)*Sens!$I$118)*(1-Sens!$I$76)</f>
        <v>10.8922340713019</v>
      </c>
      <c r="J196" s="38" t="n">
        <f aca="false">(Sens!$D$194*Sens!$J$75+(1-ext_sh)*Sens!$J$118)*(1-Sens!$J$76)</f>
        <v>13.0724181345791</v>
      </c>
      <c r="K196" s="38" t="n">
        <f aca="false">(Sens!$D$194*Sens!$K$75+(1-ext_sh)*Sens!$K$118)*(1-Sens!$K$76)</f>
        <v>15.2201571183236</v>
      </c>
      <c r="L196" s="38" t="n">
        <f aca="false">(Sens!$D$194*Sens!$L$75+(1-ext_sh)*Sens!$L$118)*(1-Sens!$L$76)</f>
        <v>17.2920551631732</v>
      </c>
      <c r="M196" s="38" t="n">
        <f aca="false">(Sens!$D$194*Sens!$M$75+(1-ext_sh)*Sens!$M$118)*(1-Sens!$M$76)</f>
        <v>19.4425326336348</v>
      </c>
      <c r="N196" s="38" t="n">
        <f aca="false">Q!$N$30</f>
        <v>2.316</v>
      </c>
      <c r="O196" s="38" t="n">
        <f aca="false">Q!$O$30</f>
        <v>2.591</v>
      </c>
    </row>
    <row r="197" customFormat="false" ht="17.15" hidden="false" customHeight="false" outlineLevel="0" collapsed="false">
      <c r="A197" s="0" t="s">
        <v>501</v>
      </c>
      <c r="B197" s="0" t="s">
        <v>73</v>
      </c>
      <c r="C197" s="38" t="n">
        <f aca="false">Sens!$C$130</f>
        <v>13.32</v>
      </c>
      <c r="D197" s="38" t="n">
        <f aca="false">Sens!$D$130</f>
        <v>21.45</v>
      </c>
      <c r="E197" s="38" t="n">
        <f aca="false">Sens!$E$130</f>
        <v>15.353</v>
      </c>
      <c r="F197" s="38" t="n">
        <f aca="false">Sens!$F$130</f>
        <v>17.3614451462707</v>
      </c>
      <c r="G197" s="38" t="n">
        <f aca="false">Sens!$G$130</f>
        <v>32.7144451462707</v>
      </c>
      <c r="H197" s="38" t="n">
        <f aca="false">Sens!$H$130</f>
        <v>56.1966092719415</v>
      </c>
      <c r="I197" s="38" t="n">
        <f aca="false">Sens!$I$130</f>
        <v>82.9744039068297</v>
      </c>
      <c r="J197" s="38" t="n">
        <f aca="false">Sens!$J$130</f>
        <v>109.943252237669</v>
      </c>
      <c r="K197" s="38" t="n">
        <f aca="false">Sens!$K$130</f>
        <v>136.406703436571</v>
      </c>
      <c r="L197" s="38" t="n">
        <f aca="false">Sens!$L$130</f>
        <v>161.485870454155</v>
      </c>
      <c r="M197" s="38" t="n">
        <f aca="false">Sens!$M$130</f>
        <v>187.389846618199</v>
      </c>
      <c r="N197" s="38" t="n">
        <f aca="false">Sens!$N$130</f>
        <v>9.234</v>
      </c>
      <c r="O197" s="38" t="n">
        <f aca="false">Sens!$O$130</f>
        <v>12.216</v>
      </c>
    </row>
    <row r="198" customFormat="false" ht="17.15" hidden="false" customHeight="false" outlineLevel="0" collapsed="false">
      <c r="A198" s="5" t="s">
        <v>695</v>
      </c>
      <c r="B198" s="0" t="s">
        <v>73</v>
      </c>
      <c r="C198" s="38" t="n">
        <f aca="false">Sens!$C$195+Sens!$C$196+Sens!$C$197</f>
        <v>32.067</v>
      </c>
      <c r="D198" s="38" t="n">
        <f aca="false">Sens!$D$195+Sens!$D$196+Sens!$D$197</f>
        <v>41.86</v>
      </c>
      <c r="E198" s="38" t="n">
        <f aca="false">Sens!$E$195+Sens!$E$196+Sens!$E$197</f>
        <v>26.703</v>
      </c>
      <c r="F198" s="38" t="n">
        <f aca="false">Sens!$F$195+Sens!$F$196+Sens!$F$197</f>
        <v>30.6103857251209</v>
      </c>
      <c r="G198" s="38" t="n">
        <f aca="false">Sens!$G$195+Sens!$G$196+Sens!$G$197</f>
        <v>57.3133857251209</v>
      </c>
      <c r="H198" s="38" t="n">
        <f aca="false">Sens!$H$195+Sens!$H$196+Sens!$H$197</f>
        <v>87.6845218193838</v>
      </c>
      <c r="I198" s="38" t="n">
        <f aca="false">Sens!$I$195+Sens!$I$196+Sens!$I$197</f>
        <v>122.294769708638</v>
      </c>
      <c r="J198" s="38" t="n">
        <f aca="false">Sens!$J$195+Sens!$J$196+Sens!$J$197</f>
        <v>157.133962573221</v>
      </c>
      <c r="K198" s="38" t="n">
        <f aca="false">Sens!$K$195+Sens!$K$196+Sens!$K$197</f>
        <v>191.350633353599</v>
      </c>
      <c r="L198" s="38" t="n">
        <f aca="false">Sens!$L$195+Sens!$L$196+Sens!$L$197</f>
        <v>223.909238335354</v>
      </c>
      <c r="M198" s="38" t="n">
        <f aca="false">Sens!$M$195+Sens!$M$196+Sens!$M$197</f>
        <v>257.576319867276</v>
      </c>
      <c r="N198" s="38" t="n">
        <f aca="false">Sens!$N$195+Sens!$N$196+Sens!$N$197</f>
        <v>18.822</v>
      </c>
      <c r="O198" s="38" t="n">
        <f aca="false">Sens!$O$195+Sens!$O$196+Sens!$O$197</f>
        <v>23.038</v>
      </c>
    </row>
    <row r="199" customFormat="false" ht="17.15" hidden="false" customHeight="false" outlineLevel="0" collapsed="false">
      <c r="A199" s="0" t="s">
        <v>696</v>
      </c>
      <c r="B199" s="0" t="s">
        <v>73</v>
      </c>
      <c r="C199" s="38" t="n">
        <f aca="false">Sens!$C$172+Sens!$C$177</f>
        <v>28.107</v>
      </c>
      <c r="D199" s="38" t="n">
        <f aca="false">Sens!$D$172+Sens!$D$177</f>
        <v>34.3175</v>
      </c>
      <c r="E199" s="38" t="n">
        <f aca="false">Sens!$E$172+Sens!$E$177</f>
        <v>18.526</v>
      </c>
      <c r="F199" s="38" t="n">
        <f aca="false">Sens!$F$172+Sens!$F$177</f>
        <v>24.0766690913691</v>
      </c>
      <c r="G199" s="38" t="n">
        <f aca="false">Sens!$G$172+Sens!$G$177</f>
        <v>42.6026690913691</v>
      </c>
      <c r="H199" s="38" t="n">
        <f aca="false">Sens!$H$172+Sens!$H$177</f>
        <v>51.1466809294702</v>
      </c>
      <c r="I199" s="38" t="n">
        <f aca="false">Sens!$I$172+Sens!$I$177</f>
        <v>59.6899187926205</v>
      </c>
      <c r="J199" s="38" t="n">
        <f aca="false">Sens!$J$172+Sens!$J$177</f>
        <v>67.6595395244221</v>
      </c>
      <c r="K199" s="38" t="n">
        <f aca="false">Sens!$K$172+Sens!$K$177</f>
        <v>74.4254934768643</v>
      </c>
      <c r="L199" s="38" t="n">
        <f aca="false">Sens!$L$172+Sens!$L$177</f>
        <v>81.8680428245508</v>
      </c>
      <c r="M199" s="38" t="n">
        <f aca="false">Sens!$M$172+Sens!$M$177</f>
        <v>90.0548471070059</v>
      </c>
      <c r="N199" s="38" t="n">
        <f aca="false">Sens!$N$172+Sens!$N$177</f>
        <v>14.8075</v>
      </c>
      <c r="O199" s="38" t="n">
        <f aca="false">Sens!$O$172+Sens!$O$177</f>
        <v>19.51</v>
      </c>
    </row>
    <row r="200" customFormat="false" ht="17.15" hidden="false" customHeight="false" outlineLevel="0" collapsed="false">
      <c r="A200" s="0" t="s">
        <v>697</v>
      </c>
      <c r="B200" s="0" t="s">
        <v>73</v>
      </c>
      <c r="C200" s="38" t="n">
        <f aca="false">Sens!$C$176+Sens!$C$181+Sens!$C$195+Sens!$C$196-Sens!$C$199</f>
        <v>19.399</v>
      </c>
      <c r="D200" s="38" t="n">
        <f aca="false">Sens!$D$176+Sens!$D$181+Sens!$D$195+Sens!$D$196-Sens!$D$199</f>
        <v>20.4615</v>
      </c>
      <c r="E200" s="38" t="n">
        <f aca="false">Sens!$E$176+Sens!$E$181+Sens!$E$195+Sens!$E$196-Sens!$E$199</f>
        <v>13.355</v>
      </c>
      <c r="F200" s="38" t="n">
        <f aca="false">Sens!$F$176+Sens!$F$181+Sens!$F$195+Sens!$F$196-Sens!$F$199</f>
        <v>13.0895111975985</v>
      </c>
      <c r="G200" s="38" t="n">
        <f aca="false">Sens!$G$176+Sens!$G$181+Sens!$G$195+Sens!$G$196-Sens!$G$199</f>
        <v>26.4445111975985</v>
      </c>
      <c r="H200" s="38" t="n">
        <f aca="false">Sens!$H$176+Sens!$H$181+Sens!$H$195+Sens!$H$196-Sens!$H$199</f>
        <v>28.8977096937968</v>
      </c>
      <c r="I200" s="38" t="n">
        <f aca="false">Sens!$I$176+Sens!$I$181+Sens!$I$195+Sens!$I$196-Sens!$I$199</f>
        <v>31.2062039064791</v>
      </c>
      <c r="J200" s="38" t="n">
        <f aca="false">Sens!$J$176+Sens!$J$181+Sens!$J$195+Sens!$J$196-Sens!$J$199</f>
        <v>33.5064572496913</v>
      </c>
      <c r="K200" s="38" t="n">
        <f aca="false">Sens!$K$176+Sens!$K$181+Sens!$K$195+Sens!$K$196-Sens!$K$199</f>
        <v>35.6591461575899</v>
      </c>
      <c r="L200" s="38" t="n">
        <f aca="false">Sens!$L$176+Sens!$L$181+Sens!$L$195+Sens!$L$196-Sens!$L$199</f>
        <v>36.4141007090604</v>
      </c>
      <c r="M200" s="38" t="n">
        <f aca="false">Sens!$M$176+Sens!$M$181+Sens!$M$195+Sens!$M$196-Sens!$M$199</f>
        <v>37.359984207839</v>
      </c>
      <c r="N200" s="38" t="n">
        <f aca="false">Sens!$N$176+Sens!$N$181+Sens!$N$195+Sens!$N$196-Sens!$N$199</f>
        <v>10.6495</v>
      </c>
      <c r="O200" s="38" t="n">
        <f aca="false">Sens!$O$176+Sens!$O$181+Sens!$O$195+Sens!$O$196-Sens!$O$199</f>
        <v>9.81200000000001</v>
      </c>
    </row>
    <row r="201" customFormat="false" ht="17.15" hidden="false" customHeight="false" outlineLevel="0" collapsed="false">
      <c r="A201" s="0" t="s">
        <v>698</v>
      </c>
      <c r="B201" s="0" t="s">
        <v>73</v>
      </c>
      <c r="C201" s="38" t="n">
        <f aca="false">Sens!$C$183+Sens!$C$197-ext_sh*Sens!$C$118</f>
        <v>51.3470500115664</v>
      </c>
      <c r="D201" s="38" t="n">
        <f aca="false">Sens!$D$183+Sens!$D$197-ext_sh*Sens!$D$118</f>
        <v>60.2799375433739</v>
      </c>
      <c r="E201" s="38" t="n">
        <f aca="false">Sens!$E$183+Sens!$E$197-ext_sh*Sens!$E$118</f>
        <v>39.5095167090767</v>
      </c>
      <c r="F201" s="38" t="n">
        <f aca="false">Sens!$F$183+Sens!$F$197-ext_sh*Sens!$F$118</f>
        <v>41.606724953129</v>
      </c>
      <c r="G201" s="38" t="n">
        <f aca="false">Sens!$G$183+Sens!$G$197-ext_sh*Sens!$G$118</f>
        <v>81.1162416622057</v>
      </c>
      <c r="H201" s="38" t="n">
        <f aca="false">Sens!$H$183+Sens!$H$197-ext_sh*Sens!$H$118</f>
        <v>95.7616595325849</v>
      </c>
      <c r="I201" s="38" t="n">
        <f aca="false">Sens!$I$183+Sens!$I$197-ext_sh*Sens!$I$118</f>
        <v>111.513312079935</v>
      </c>
      <c r="J201" s="38" t="n">
        <f aca="false">Sens!$J$183+Sens!$J$197-ext_sh*Sens!$J$118</f>
        <v>125.145150463955</v>
      </c>
      <c r="K201" s="38" t="n">
        <f aca="false">Sens!$K$183+Sens!$K$197-ext_sh*Sens!$K$118</f>
        <v>135.156762501071</v>
      </c>
      <c r="L201" s="38" t="n">
        <f aca="false">Sens!$L$183+Sens!$L$197-ext_sh*Sens!$L$118</f>
        <v>145.969303501157</v>
      </c>
      <c r="M201" s="38" t="n">
        <f aca="false">Sens!$M$183+Sens!$M$197-ext_sh*Sens!$M$118</f>
        <v>157.646847781249</v>
      </c>
      <c r="N201" s="38" t="n">
        <f aca="false">Sens!$N$183+Sens!$N$197-ext_sh*Sens!$N$118</f>
        <v>28.5693781401809</v>
      </c>
      <c r="O201" s="38" t="n">
        <f aca="false">Sens!$O$183+Sens!$O$197-ext_sh*Sens!$O$118</f>
        <v>31.7105594031931</v>
      </c>
    </row>
    <row r="202" customFormat="false" ht="17.15" hidden="false" customHeight="false" outlineLevel="0" collapsed="false">
      <c r="A202" s="0" t="s">
        <v>699</v>
      </c>
      <c r="B202" s="0" t="s">
        <v>73</v>
      </c>
      <c r="C202" s="38" t="n">
        <f aca="false">Sens!$C$121</f>
        <v>1.80694998843362</v>
      </c>
      <c r="D202" s="38" t="n">
        <f aca="false">Sens!$D$121</f>
        <v>6.77606245662607</v>
      </c>
      <c r="E202" s="38" t="n">
        <f aca="false">Sens!$E$121</f>
        <v>6.62548329092326</v>
      </c>
      <c r="F202" s="38" t="n">
        <f aca="false">Sens!$F$121</f>
        <v>11.7200577158706</v>
      </c>
      <c r="G202" s="38" t="n">
        <f aca="false">Sens!$G$121</f>
        <v>18.3455410067939</v>
      </c>
      <c r="H202" s="38" t="n">
        <f aca="false">Sens!$H$121</f>
        <v>47.5171727060453</v>
      </c>
      <c r="I202" s="38" t="n">
        <f aca="false">Sens!$I$121</f>
        <v>80.5539692643667</v>
      </c>
      <c r="J202" s="38" t="n">
        <f aca="false">Sens!$J$121</f>
        <v>113.759316834883</v>
      </c>
      <c r="K202" s="38" t="n">
        <f aca="false">Sens!$K$121</f>
        <v>147.020848076132</v>
      </c>
      <c r="L202" s="38" t="n">
        <f aca="false">Sens!$L$121</f>
        <v>180.307917349531</v>
      </c>
      <c r="M202" s="38" t="n">
        <f aca="false">Sens!$M$121</f>
        <v>213.608737871012</v>
      </c>
      <c r="N202" s="38" t="n">
        <f aca="false">Sens!$N$121</f>
        <v>2.37162185981912</v>
      </c>
      <c r="O202" s="38" t="n">
        <f aca="false">Sens!$O$121</f>
        <v>4.40444059680694</v>
      </c>
    </row>
    <row r="203" customFormat="false" ht="17.15" hidden="false" customHeight="false" outlineLevel="0" collapsed="false">
      <c r="A203" s="0" t="s">
        <v>700</v>
      </c>
      <c r="B203" s="0" t="s">
        <v>73</v>
      </c>
      <c r="C203" s="38" t="n">
        <f aca="false">Sens!$C$186+Sens!$C$198</f>
        <v>100.66</v>
      </c>
      <c r="D203" s="38" t="n">
        <f aca="false">Sens!$D$186+Sens!$D$198</f>
        <v>121.835</v>
      </c>
      <c r="E203" s="38" t="n">
        <f aca="false">Sens!$E$186+Sens!$E$198</f>
        <v>78.016</v>
      </c>
      <c r="F203" s="38" t="n">
        <f aca="false">Sens!$F$186+Sens!$F$198</f>
        <v>90.4929629579672</v>
      </c>
      <c r="G203" s="38" t="n">
        <f aca="false">Sens!$G$186+Sens!$G$198</f>
        <v>168.508962957967</v>
      </c>
      <c r="H203" s="38" t="n">
        <f aca="false">Sens!$H$186+Sens!$H$198</f>
        <v>223.323222861897</v>
      </c>
      <c r="I203" s="38" t="n">
        <f aca="false">Sens!$I$186+Sens!$I$198</f>
        <v>282.963404043402</v>
      </c>
      <c r="J203" s="38" t="n">
        <f aca="false">Sens!$J$186+Sens!$J$198</f>
        <v>340.070464072952</v>
      </c>
      <c r="K203" s="38" t="n">
        <f aca="false">Sens!$K$186+Sens!$K$198</f>
        <v>392.262250211657</v>
      </c>
      <c r="L203" s="38" t="n">
        <f aca="false">Sens!$L$186+Sens!$L$198</f>
        <v>444.559364384299</v>
      </c>
      <c r="M203" s="38" t="n">
        <f aca="false">Sens!$M$186+Sens!$M$198</f>
        <v>498.670416967106</v>
      </c>
      <c r="N203" s="38" t="n">
        <f aca="false">Sens!$N$186+Sens!$N$198</f>
        <v>56.398</v>
      </c>
      <c r="O203" s="38" t="n">
        <f aca="false">Sens!$O$186+Sens!$O$198</f>
        <v>65.437</v>
      </c>
    </row>
    <row r="204" customFormat="false" ht="17.15" hidden="false" customHeight="false" outlineLevel="0" collapsed="false">
      <c r="A204" s="1" t="s">
        <v>701</v>
      </c>
    </row>
    <row r="205" customFormat="false" ht="15" hidden="false" customHeight="false" outlineLevel="0" collapsed="false">
      <c r="A205" s="5" t="s">
        <v>504</v>
      </c>
      <c r="B205" s="0" t="s">
        <v>73</v>
      </c>
      <c r="C205" s="38" t="n">
        <f aca="false">Q!$D$34</f>
        <v>2.406</v>
      </c>
      <c r="D205" s="38" t="n">
        <f aca="false">Q!$E$34</f>
        <v>2.274</v>
      </c>
      <c r="E205" s="38" t="n">
        <f aca="false">Q!$P$34</f>
        <v>2.114</v>
      </c>
      <c r="F205" s="38" t="n">
        <f aca="false">Sens!$F$241</f>
        <v>3.24888964316061</v>
      </c>
      <c r="G205" s="38" t="n">
        <f aca="false">Sens!$E$205+Sens!$F$205</f>
        <v>5.36288964316061</v>
      </c>
      <c r="H205" s="38" t="n">
        <f aca="false">Sens!$H$241</f>
        <v>7.42354178632123</v>
      </c>
      <c r="I205" s="38" t="n">
        <f aca="false">Sens!$I$241</f>
        <v>7.51827597635917</v>
      </c>
      <c r="J205" s="38" t="n">
        <f aca="false">Sens!$J$241</f>
        <v>7.76994062068418</v>
      </c>
      <c r="K205" s="38" t="n">
        <f aca="false">Sens!$K$241</f>
        <v>7.76994062068418</v>
      </c>
      <c r="L205" s="38" t="n">
        <f aca="false">Sens!$L$241</f>
        <v>7.76994062068418</v>
      </c>
      <c r="M205" s="38" t="n">
        <f aca="false">Sens!$M$241</f>
        <v>7.76994062068418</v>
      </c>
      <c r="N205" s="38" t="n">
        <f aca="false">Q!$N$34</f>
        <v>1.057</v>
      </c>
      <c r="O205" s="38" t="n">
        <f aca="false">Q!$O$34</f>
        <v>1.217</v>
      </c>
    </row>
    <row r="206" customFormat="false" ht="15" hidden="false" customHeight="false" outlineLevel="0" collapsed="false">
      <c r="A206" s="5" t="s">
        <v>702</v>
      </c>
      <c r="B206" s="0" t="s">
        <v>73</v>
      </c>
      <c r="F206" s="38" t="n">
        <f aca="false">Sens!$F$242</f>
        <v>2.59</v>
      </c>
      <c r="H206" s="38" t="n">
        <f aca="false">Sens!$H$242</f>
        <v>4.00971603121774</v>
      </c>
      <c r="I206" s="38" t="n">
        <f aca="false">Sens!$I$242</f>
        <v>2.10589651022864</v>
      </c>
      <c r="J206" s="38" t="n">
        <f aca="false">Sens!$J$242</f>
        <v>2.10589651022864</v>
      </c>
      <c r="K206" s="38" t="n">
        <f aca="false">Sens!$K$242</f>
        <v>3.77985822695893</v>
      </c>
      <c r="L206" s="38" t="n">
        <f aca="false">Sens!$L$242</f>
        <v>7.24081936505971</v>
      </c>
      <c r="M206" s="38" t="n">
        <f aca="false">Sens!$M$242</f>
        <v>11.205150593419</v>
      </c>
    </row>
    <row r="207" customFormat="false" ht="17.15" hidden="false" customHeight="false" outlineLevel="0" collapsed="false">
      <c r="A207" s="5" t="s">
        <v>703</v>
      </c>
      <c r="B207" s="0" t="s">
        <v>73</v>
      </c>
      <c r="C207" s="38" t="n">
        <f aca="false">Q!$D$39</f>
        <v>2.427</v>
      </c>
      <c r="D207" s="38" t="n">
        <f aca="false">Q!$E$39</f>
        <v>19.61</v>
      </c>
      <c r="E207" s="38" t="n">
        <f aca="false">Q!$P$39</f>
        <v>71.492</v>
      </c>
      <c r="F207" s="41" t="n">
        <v>0</v>
      </c>
      <c r="G207" s="38" t="n">
        <f aca="false">Sens!$E$207+Sens!$F$207</f>
        <v>71.492</v>
      </c>
      <c r="H207" s="41" t="n">
        <v>0</v>
      </c>
      <c r="I207" s="41" t="n">
        <v>0</v>
      </c>
      <c r="J207" s="41" t="n">
        <v>0</v>
      </c>
      <c r="K207" s="41" t="n">
        <v>0</v>
      </c>
      <c r="L207" s="41" t="n">
        <v>0</v>
      </c>
      <c r="M207" s="41" t="n">
        <v>0</v>
      </c>
      <c r="N207" s="38" t="n">
        <f aca="false">Q!$N$39</f>
        <v>6.017</v>
      </c>
      <c r="O207" s="38" t="n">
        <f aca="false">Q!$O$39</f>
        <v>13.593</v>
      </c>
      <c r="P207" s="5" t="s">
        <v>704</v>
      </c>
    </row>
    <row r="208" customFormat="false" ht="15" hidden="false" customHeight="false" outlineLevel="0" collapsed="false">
      <c r="A208" s="5" t="s">
        <v>507</v>
      </c>
      <c r="B208" s="0" t="s">
        <v>73</v>
      </c>
      <c r="C208" s="38" t="n">
        <f aca="false">Q!$D$36</f>
        <v>68.614</v>
      </c>
      <c r="D208" s="38" t="n">
        <f aca="false">Q!$E$36</f>
        <v>97.311</v>
      </c>
      <c r="E208" s="38" t="n">
        <f aca="false">Q!$P$36</f>
        <v>120.691</v>
      </c>
      <c r="F208" s="38" t="n">
        <f aca="false">Sens!$F$186-Sens!$F$205+Sens!$F$206+Sens!$F$207</f>
        <v>59.2236875896856</v>
      </c>
      <c r="G208" s="38" t="n">
        <f aca="false">Sens!$E$208+Sens!$F$208</f>
        <v>179.914687589686</v>
      </c>
      <c r="H208" s="38" t="n">
        <f aca="false">Sens!$H$186-Sens!$H$205+Sens!$H$206+Sens!$H$207</f>
        <v>132.22487528741</v>
      </c>
      <c r="I208" s="38" t="n">
        <f aca="false">Sens!$I$186-Sens!$I$205+Sens!$I$206+Sens!$I$207</f>
        <v>155.256254868633</v>
      </c>
      <c r="J208" s="38" t="n">
        <f aca="false">Sens!$J$186-Sens!$J$205+Sens!$J$206+Sens!$J$207</f>
        <v>177.272457389275</v>
      </c>
      <c r="K208" s="38" t="n">
        <f aca="false">Sens!$K$186-Sens!$K$205+Sens!$K$206+Sens!$K$207</f>
        <v>196.921534464333</v>
      </c>
      <c r="L208" s="38" t="n">
        <f aca="false">Sens!$L$186-Sens!$L$205+Sens!$L$206+Sens!$L$207</f>
        <v>220.12100479332</v>
      </c>
      <c r="M208" s="38" t="n">
        <f aca="false">Sens!$M$186-Sens!$M$205+Sens!$M$206+Sens!$M$207</f>
        <v>244.529307072564</v>
      </c>
      <c r="N208" s="38" t="n">
        <f aca="false">Q!$N$36</f>
        <v>42.536</v>
      </c>
      <c r="O208" s="38" t="n">
        <f aca="false">Q!$O$36</f>
        <v>54.775</v>
      </c>
    </row>
    <row r="209" customFormat="false" ht="15" hidden="false" customHeight="false" outlineLevel="0" collapsed="false">
      <c r="A209" s="5" t="s">
        <v>508</v>
      </c>
      <c r="B209" s="0" t="s">
        <v>73</v>
      </c>
      <c r="C209" s="38" t="n">
        <f aca="false">Q!$D$37</f>
        <v>9.265</v>
      </c>
      <c r="D209" s="38" t="n">
        <f aca="false">Q!$E$37</f>
        <v>19.087</v>
      </c>
      <c r="E209" s="38" t="n">
        <f aca="false">Q!$P$37</f>
        <v>27.759</v>
      </c>
      <c r="F209" s="38" t="n">
        <f aca="false">Sens!$F$208*tax</f>
        <v>10.2803157750071</v>
      </c>
      <c r="G209" s="38" t="n">
        <f aca="false">Sens!$E$209+Sens!$F$209</f>
        <v>38.0393157750071</v>
      </c>
      <c r="H209" s="38" t="n">
        <f aca="false">Sens!$H$208*tax</f>
        <v>22.9521923842892</v>
      </c>
      <c r="I209" s="38" t="n">
        <f aca="false">Sens!$I$208*tax</f>
        <v>26.9500835063251</v>
      </c>
      <c r="J209" s="38" t="n">
        <f aca="false">Sens!$J$208*tax</f>
        <v>30.7717555988633</v>
      </c>
      <c r="K209" s="38" t="n">
        <f aca="false">Sens!$K$208*tax</f>
        <v>34.1825313414772</v>
      </c>
      <c r="L209" s="38" t="n">
        <f aca="false">Sens!$L$208*tax</f>
        <v>38.209600416393</v>
      </c>
      <c r="M209" s="38" t="n">
        <f aca="false">Sens!$M$208*tax</f>
        <v>42.4465040131586</v>
      </c>
      <c r="N209" s="38" t="n">
        <f aca="false">Q!$N$37</f>
        <v>7.231</v>
      </c>
      <c r="O209" s="38" t="n">
        <f aca="false">Q!$O$37</f>
        <v>11.856</v>
      </c>
    </row>
    <row r="210" customFormat="false" ht="15" hidden="false" customHeight="false" outlineLevel="0" collapsed="false">
      <c r="A210" s="3" t="s">
        <v>509</v>
      </c>
      <c r="B210" s="8" t="s">
        <v>73</v>
      </c>
      <c r="C210" s="38" t="n">
        <f aca="false">Q!$D$38</f>
        <v>59.248</v>
      </c>
      <c r="D210" s="38" t="n">
        <f aca="false">Q!$E$38</f>
        <v>77.67</v>
      </c>
      <c r="E210" s="38" t="n">
        <f aca="false">Q!$P$38</f>
        <v>92.902</v>
      </c>
      <c r="F210" s="38" t="n">
        <f aca="false">Sens!$F$208-Sens!$F$209</f>
        <v>48.9433718146785</v>
      </c>
      <c r="G210" s="38" t="n">
        <f aca="false">Sens!$E$210+Sens!$F$210</f>
        <v>141.845371814679</v>
      </c>
      <c r="H210" s="38" t="n">
        <f aca="false">Sens!$H$208-Sens!$H$209</f>
        <v>109.272682903121</v>
      </c>
      <c r="I210" s="38" t="n">
        <f aca="false">Sens!$I$208-Sens!$I$209</f>
        <v>128.306171362308</v>
      </c>
      <c r="J210" s="38" t="n">
        <f aca="false">Sens!$J$208-Sens!$J$209</f>
        <v>146.500701790412</v>
      </c>
      <c r="K210" s="38" t="n">
        <f aca="false">Sens!$K$208-Sens!$K$209</f>
        <v>162.739003122855</v>
      </c>
      <c r="L210" s="38" t="n">
        <f aca="false">Sens!$L$208-Sens!$L$209</f>
        <v>181.911404376927</v>
      </c>
      <c r="M210" s="38" t="n">
        <f aca="false">Sens!$M$208-Sens!$M$209</f>
        <v>202.082803059406</v>
      </c>
      <c r="N210" s="38" t="n">
        <f aca="false">Q!$N$38</f>
        <v>35.291</v>
      </c>
      <c r="O210" s="38" t="n">
        <f aca="false">Q!$O$38</f>
        <v>42.379</v>
      </c>
    </row>
    <row r="211" customFormat="false" ht="17.15" hidden="false" customHeight="false" outlineLevel="0" collapsed="false">
      <c r="A211" s="5" t="s">
        <v>512</v>
      </c>
      <c r="B211" s="5" t="s">
        <v>33</v>
      </c>
      <c r="C211" s="22" t="n">
        <f aca="false">Q!$D$41</f>
        <v>10.721</v>
      </c>
      <c r="D211" s="22" t="n">
        <f aca="false">Q!$E$41</f>
        <v>10.827</v>
      </c>
      <c r="E211" s="22" t="n">
        <f aca="false">(Q!$L$41+Q!$M$41)/2</f>
        <v>10.8885</v>
      </c>
      <c r="F211" s="22" t="n">
        <f aca="false">Sens!$G$211</f>
        <v>10.924806</v>
      </c>
      <c r="G211" s="22" t="n">
        <f aca="false">Q!$M$41*(1+sh_g*0.25)</f>
        <v>10.924806</v>
      </c>
      <c r="H211" s="22" t="n">
        <f aca="false">Sens!$G$211*(1+sh_g)</f>
        <v>11.012204448</v>
      </c>
      <c r="I211" s="22" t="n">
        <f aca="false">Sens!$H$211*(1+sh_g)</f>
        <v>11.100302083584</v>
      </c>
      <c r="J211" s="22" t="n">
        <f aca="false">Sens!$I$211*(1+sh_g)</f>
        <v>11.1891045002527</v>
      </c>
      <c r="K211" s="22" t="n">
        <f aca="false">Sens!$J$211*(1+sh_g)</f>
        <v>11.2786173362547</v>
      </c>
      <c r="L211" s="22" t="n">
        <f aca="false">Sens!$K$211*(1+sh_g)</f>
        <v>11.3688462749447</v>
      </c>
      <c r="M211" s="22" t="n">
        <f aca="false">Sens!$L$211*(1+sh_g)</f>
        <v>11.4597970451443</v>
      </c>
      <c r="P211" s="5" t="s">
        <v>705</v>
      </c>
    </row>
    <row r="212" customFormat="false" ht="17.15" hidden="false" customHeight="false" outlineLevel="0" collapsed="false">
      <c r="A212" s="42" t="s">
        <v>706</v>
      </c>
      <c r="B212" s="13" t="s">
        <v>27</v>
      </c>
      <c r="C212" s="43" t="n">
        <f aca="false">Sens!$C$210/Sens!$C$211</f>
        <v>5.52635015390355</v>
      </c>
      <c r="D212" s="43" t="n">
        <f aca="false">Sens!$D$210/Sens!$D$211</f>
        <v>7.1737323358271</v>
      </c>
      <c r="E212" s="43" t="n">
        <f aca="false">Sens!$E$210/Sens!$E$211</f>
        <v>8.53212104513937</v>
      </c>
      <c r="F212" s="13"/>
      <c r="G212" s="43" t="n">
        <f aca="false">Sens!$G$210/Sens!$G$211</f>
        <v>12.9837886196495</v>
      </c>
      <c r="H212" s="43" t="n">
        <f aca="false">Sens!$H$210/Sens!$H$211</f>
        <v>9.92287088558062</v>
      </c>
      <c r="I212" s="43" t="n">
        <f aca="false">Sens!$I$210/Sens!$I$211</f>
        <v>11.5587999674403</v>
      </c>
      <c r="J212" s="43" t="n">
        <f aca="false">Sens!$J$210/Sens!$J$211</f>
        <v>13.0931569892035</v>
      </c>
      <c r="K212" s="43" t="n">
        <f aca="false">Sens!$K$210/Sens!$K$211</f>
        <v>14.4289852444711</v>
      </c>
      <c r="L212" s="43" t="n">
        <f aca="false">Sens!$L$210/Sens!$L$211</f>
        <v>16.0008676322621</v>
      </c>
      <c r="M212" s="43" t="n">
        <f aca="false">Sens!$M$210/Sens!$M$211</f>
        <v>17.6340647450673</v>
      </c>
      <c r="N212" s="13"/>
      <c r="O212" s="13"/>
    </row>
    <row r="213" customFormat="false" ht="17.15" hidden="false" customHeight="false" outlineLevel="0" collapsed="false">
      <c r="A213" s="0" t="s">
        <v>707</v>
      </c>
      <c r="B213" s="0" t="s">
        <v>27</v>
      </c>
      <c r="C213" s="30" t="n">
        <f aca="false">(Sens!$C$210-Sens!$C$207*(1-tax))/Sens!$C$211</f>
        <v>5.33926775917445</v>
      </c>
      <c r="D213" s="30" t="n">
        <f aca="false">(Sens!$D$210-Sens!$D$207*(1-tax))/Sens!$D$211</f>
        <v>5.67691812755503</v>
      </c>
      <c r="E213" s="30" t="n">
        <f aca="false">(Sens!$E$210-Sens!$E$207*(1-tax))/Sens!$E$211</f>
        <v>3.10602057006846</v>
      </c>
      <c r="G213" s="30" t="n">
        <f aca="false">(Sens!$G$210-Sens!$G$207*(1-tax))/Sens!$G$211</f>
        <v>7.57572050175252</v>
      </c>
      <c r="H213" s="30" t="n">
        <f aca="false">(Sens!$H$210-Sens!$H$207*(1-tax))/Sens!$H$211</f>
        <v>9.92287088558062</v>
      </c>
      <c r="I213" s="30" t="n">
        <f aca="false">(Sens!$I$210-Sens!$I$207*(1-tax))/Sens!$I$211</f>
        <v>11.5587999674403</v>
      </c>
      <c r="J213" s="30" t="n">
        <f aca="false">(Sens!$J$210-Sens!$J$207*(1-tax))/Sens!$J$211</f>
        <v>13.0931569892035</v>
      </c>
      <c r="K213" s="30" t="n">
        <f aca="false">(Sens!$K$210-Sens!$K$207*(1-tax))/Sens!$K$211</f>
        <v>14.4289852444711</v>
      </c>
      <c r="L213" s="30" t="n">
        <f aca="false">(Sens!$L$210-Sens!$L$207*(1-tax))/Sens!$L$211</f>
        <v>16.0008676322621</v>
      </c>
      <c r="M213" s="30" t="n">
        <f aca="false">(Sens!$M$210-Sens!$M$207*(1-tax))/Sens!$M$211</f>
        <v>17.6340647450673</v>
      </c>
      <c r="P213" s="5" t="s">
        <v>708</v>
      </c>
    </row>
    <row r="214" customFormat="false" ht="17.15" hidden="false" customHeight="false" outlineLevel="0" collapsed="false">
      <c r="A214" s="0" t="s">
        <v>709</v>
      </c>
      <c r="B214" s="0" t="s">
        <v>52</v>
      </c>
      <c r="H214" s="12" t="n">
        <f aca="false">Sens!$H$212/Sens!$G$212-1</f>
        <v>-0.23574919645846</v>
      </c>
      <c r="I214" s="12" t="n">
        <f aca="false">Sens!$I$212/Sens!$H$212-1</f>
        <v>0.164864493423664</v>
      </c>
      <c r="J214" s="12" t="n">
        <f aca="false">Sens!$J$212/Sens!$I$212-1</f>
        <v>0.132743626162345</v>
      </c>
      <c r="K214" s="12" t="n">
        <f aca="false">Sens!$K$212/Sens!$J$212-1</f>
        <v>0.102024917013454</v>
      </c>
      <c r="L214" s="12" t="n">
        <f aca="false">Sens!$L$212/Sens!$K$212-1</f>
        <v>0.108939219297719</v>
      </c>
      <c r="M214" s="12" t="n">
        <f aca="false">Sens!$M$212/Sens!$L$212-1</f>
        <v>0.102069284637555</v>
      </c>
    </row>
    <row r="217" customFormat="false" ht="19.4" hidden="false" customHeight="false" outlineLevel="0" collapsed="false">
      <c r="A217" s="31" t="s">
        <v>1048</v>
      </c>
    </row>
    <row r="218" customFormat="false" ht="17.15" hidden="false" customHeight="false" outlineLevel="0" collapsed="false">
      <c r="A218" s="6" t="s">
        <v>16</v>
      </c>
      <c r="B218" s="6" t="s">
        <v>17</v>
      </c>
      <c r="C218" s="20" t="s">
        <v>457</v>
      </c>
      <c r="D218" s="20" t="s">
        <v>458</v>
      </c>
      <c r="E218" s="20" t="s">
        <v>540</v>
      </c>
      <c r="F218" s="20" t="s">
        <v>541</v>
      </c>
      <c r="G218" s="20" t="s">
        <v>542</v>
      </c>
      <c r="H218" s="20" t="s">
        <v>543</v>
      </c>
      <c r="I218" s="20" t="s">
        <v>544</v>
      </c>
      <c r="J218" s="20" t="s">
        <v>545</v>
      </c>
      <c r="K218" s="20" t="s">
        <v>546</v>
      </c>
      <c r="L218" s="20" t="s">
        <v>547</v>
      </c>
      <c r="M218" s="20" t="s">
        <v>548</v>
      </c>
      <c r="N218" s="20" t="s">
        <v>549</v>
      </c>
      <c r="O218" s="20" t="s">
        <v>550</v>
      </c>
      <c r="P218" s="6" t="s">
        <v>23</v>
      </c>
      <c r="R218" s="20" t="n">
        <v>2023</v>
      </c>
      <c r="S218" s="20" t="n">
        <v>2024</v>
      </c>
      <c r="T218" s="20" t="n">
        <v>2025</v>
      </c>
      <c r="U218" s="20" t="n">
        <v>2026</v>
      </c>
      <c r="V218" s="20" t="n">
        <v>2027</v>
      </c>
      <c r="W218" s="20" t="n">
        <v>2028</v>
      </c>
      <c r="X218" s="20" t="n">
        <v>2029</v>
      </c>
      <c r="Y218" s="20" t="n">
        <v>2030</v>
      </c>
      <c r="Z218" s="20" t="n">
        <v>2031</v>
      </c>
      <c r="AA218" s="20" t="n">
        <v>2032</v>
      </c>
    </row>
    <row r="219" customFormat="false" ht="15" hidden="false" customHeight="false" outlineLevel="0" collapsed="false">
      <c r="A219" s="5" t="s">
        <v>509</v>
      </c>
      <c r="B219" s="0" t="s">
        <v>73</v>
      </c>
      <c r="C219" s="38" t="n">
        <f aca="false">Sens!$C$210</f>
        <v>59.248</v>
      </c>
      <c r="D219" s="38" t="n">
        <f aca="false">Sens!$D$210</f>
        <v>77.67</v>
      </c>
      <c r="E219" s="38" t="n">
        <f aca="false">Sens!$E$210</f>
        <v>92.902</v>
      </c>
      <c r="F219" s="38" t="n">
        <f aca="false">Sens!$F$210</f>
        <v>48.9433718146785</v>
      </c>
      <c r="G219" s="38" t="n">
        <f aca="false">Sens!$G$210</f>
        <v>141.845371814679</v>
      </c>
      <c r="H219" s="38" t="n">
        <f aca="false">Sens!$H$210</f>
        <v>109.272682903121</v>
      </c>
      <c r="I219" s="38" t="n">
        <f aca="false">Sens!$I$210</f>
        <v>128.306171362308</v>
      </c>
      <c r="J219" s="38" t="n">
        <f aca="false">Sens!$J$210</f>
        <v>146.500701790412</v>
      </c>
      <c r="K219" s="38" t="n">
        <f aca="false">Sens!$K$210</f>
        <v>162.739003122855</v>
      </c>
      <c r="L219" s="38" t="n">
        <f aca="false">Sens!$L$210</f>
        <v>181.911404376927</v>
      </c>
      <c r="M219" s="38" t="n">
        <f aca="false">Sens!$M$210</f>
        <v>202.082803059406</v>
      </c>
    </row>
    <row r="220" customFormat="false" ht="17.15" hidden="false" customHeight="false" outlineLevel="0" collapsed="false">
      <c r="A220" s="5" t="s">
        <v>731</v>
      </c>
      <c r="B220" s="0" t="s">
        <v>73</v>
      </c>
      <c r="C220" s="38" t="n">
        <f aca="false">Sens!$C$198</f>
        <v>32.067</v>
      </c>
      <c r="D220" s="38" t="n">
        <f aca="false">Sens!$D$198</f>
        <v>41.86</v>
      </c>
      <c r="E220" s="38" t="n">
        <f aca="false">Sens!$E$198</f>
        <v>26.703</v>
      </c>
      <c r="F220" s="38" t="n">
        <f aca="false">Sens!$F$198</f>
        <v>30.6103857251209</v>
      </c>
      <c r="G220" s="38" t="n">
        <f aca="false">Sens!$G$198</f>
        <v>57.3133857251209</v>
      </c>
      <c r="H220" s="38" t="n">
        <f aca="false">Sens!$H$198</f>
        <v>87.6845218193838</v>
      </c>
      <c r="I220" s="38" t="n">
        <f aca="false">Sens!$I$198</f>
        <v>122.294769708638</v>
      </c>
      <c r="J220" s="38" t="n">
        <f aca="false">Sens!$J$198</f>
        <v>157.133962573221</v>
      </c>
      <c r="K220" s="38" t="n">
        <f aca="false">Sens!$K$198</f>
        <v>191.350633353599</v>
      </c>
      <c r="L220" s="38" t="n">
        <f aca="false">Sens!$L$198</f>
        <v>223.909238335354</v>
      </c>
      <c r="M220" s="38" t="n">
        <f aca="false">Sens!$M$198</f>
        <v>257.576319867276</v>
      </c>
    </row>
    <row r="221" customFormat="false" ht="15" hidden="false" customHeight="false" outlineLevel="0" collapsed="false">
      <c r="A221" s="5" t="s">
        <v>732</v>
      </c>
      <c r="B221" s="0" t="s">
        <v>73</v>
      </c>
      <c r="C221" s="38" t="n">
        <f aca="false">Q!$D$48</f>
        <v>22.011</v>
      </c>
      <c r="D221" s="38" t="n">
        <f aca="false">Q!$E$48</f>
        <v>19.467</v>
      </c>
      <c r="E221" s="38" t="n">
        <f aca="false">Q!$P$48</f>
        <v>10.07</v>
      </c>
      <c r="F221" s="38" t="n">
        <f aca="false">sbc_r*Sens!$F$142</f>
        <v>11.2170714500462</v>
      </c>
      <c r="G221" s="38" t="n">
        <f aca="false">Sens!$E$221+Sens!$F$221</f>
        <v>21.2870714500462</v>
      </c>
      <c r="H221" s="38" t="n">
        <f aca="false">sbc_r*Sens!$H$142</f>
        <v>24.1772394325528</v>
      </c>
      <c r="I221" s="38" t="n">
        <f aca="false">sbc_r*Sens!$I$142</f>
        <v>27.6495284422397</v>
      </c>
      <c r="J221" s="38" t="n">
        <f aca="false">sbc_r*Sens!$J$142</f>
        <v>30.9042211184633</v>
      </c>
      <c r="K221" s="38" t="n">
        <f aca="false">sbc_r*Sens!$K$142</f>
        <v>33.8004145402678</v>
      </c>
      <c r="L221" s="38" t="n">
        <f aca="false">sbc_r*Sens!$L$142</f>
        <v>36.8322537652494</v>
      </c>
      <c r="M221" s="38" t="n">
        <f aca="false">sbc_r*Sens!$M$142</f>
        <v>40.0097627968013</v>
      </c>
    </row>
    <row r="222" customFormat="false" ht="17.15" hidden="false" customHeight="false" outlineLevel="0" collapsed="false">
      <c r="A222" s="5" t="s">
        <v>733</v>
      </c>
      <c r="B222" s="0" t="s">
        <v>73</v>
      </c>
      <c r="C222" s="38" t="n">
        <f aca="false">Q!$D$44-Sens!$C$219-Sens!$C$220-Sens!$C$221</f>
        <v>2.551</v>
      </c>
      <c r="D222" s="38" t="n">
        <f aca="false">Q!$E$44-Sens!$D$219-Sens!$D$220-Sens!$D$221</f>
        <v>0.51700000000001</v>
      </c>
      <c r="E222" s="38" t="n">
        <f aca="false">Q!$P$44-Sens!$E$219-Sens!$E$220-Sens!$E$221</f>
        <v>-58.256</v>
      </c>
      <c r="F222" s="38" t="n">
        <f aca="false">wc_2h26+oth_r*Sens!$F$142</f>
        <v>7.34599241893378</v>
      </c>
      <c r="G222" s="38" t="n">
        <f aca="false">Sens!$E$222+Sens!$F$222</f>
        <v>-50.9100075810662</v>
      </c>
      <c r="H222" s="38" t="n">
        <f aca="false">oth_r*Sens!$H$142</f>
        <v>11.6369707537667</v>
      </c>
      <c r="I222" s="38" t="n">
        <f aca="false">oth_r*Sens!$I$142</f>
        <v>13.3082502961262</v>
      </c>
      <c r="J222" s="38" t="n">
        <f aca="false">oth_r*Sens!$J$142</f>
        <v>14.8747965344332</v>
      </c>
      <c r="K222" s="38" t="n">
        <f aca="false">oth_r*Sens!$K$142</f>
        <v>16.2687901804328</v>
      </c>
      <c r="L222" s="38" t="n">
        <f aca="false">oth_r*Sens!$L$142</f>
        <v>17.7280727627002</v>
      </c>
      <c r="M222" s="38" t="n">
        <f aca="false">oth_r*Sens!$M$142</f>
        <v>19.2574690270319</v>
      </c>
      <c r="P222" s="8" t="s">
        <v>734</v>
      </c>
    </row>
    <row r="223" customFormat="false" ht="15" hidden="false" customHeight="false" outlineLevel="0" collapsed="false">
      <c r="A223" s="3" t="s">
        <v>515</v>
      </c>
      <c r="B223" s="8" t="s">
        <v>73</v>
      </c>
      <c r="C223" s="38" t="n">
        <f aca="false">Q!$D$44</f>
        <v>115.877</v>
      </c>
      <c r="D223" s="38" t="n">
        <f aca="false">Q!$E$44</f>
        <v>139.514</v>
      </c>
      <c r="E223" s="38" t="n">
        <f aca="false">Q!$P$44</f>
        <v>71.419</v>
      </c>
      <c r="F223" s="38" t="n">
        <f aca="false">Sens!$F$219+Sens!$F$220+Sens!$F$221+Sens!$F$222</f>
        <v>98.1168214087795</v>
      </c>
      <c r="G223" s="38" t="n">
        <f aca="false">Sens!$E$223+Sens!$F$223</f>
        <v>169.535821408779</v>
      </c>
      <c r="H223" s="38" t="n">
        <f aca="false">Sens!$H$219+Sens!$H$220+Sens!$H$221+Sens!$H$222</f>
        <v>232.771414908824</v>
      </c>
      <c r="I223" s="38" t="n">
        <f aca="false">Sens!$I$219+Sens!$I$220+Sens!$I$221+Sens!$I$222</f>
        <v>291.558719809312</v>
      </c>
      <c r="J223" s="38" t="n">
        <f aca="false">Sens!$J$219+Sens!$J$220+Sens!$J$221+Sens!$J$222</f>
        <v>349.413682016529</v>
      </c>
      <c r="K223" s="38" t="n">
        <f aca="false">Sens!$K$219+Sens!$K$220+Sens!$K$221+Sens!$K$222</f>
        <v>404.158841197156</v>
      </c>
      <c r="L223" s="38" t="n">
        <f aca="false">Sens!$L$219+Sens!$L$220+Sens!$L$221+Sens!$L$222</f>
        <v>460.380969240231</v>
      </c>
      <c r="M223" s="38" t="n">
        <f aca="false">Sens!$M$219+Sens!$M$220+Sens!$M$221+Sens!$M$222</f>
        <v>518.926354750515</v>
      </c>
    </row>
    <row r="224" customFormat="false" ht="17.15" hidden="false" customHeight="false" outlineLevel="0" collapsed="false">
      <c r="A224" s="5" t="s">
        <v>735</v>
      </c>
      <c r="B224" s="0" t="s">
        <v>73</v>
      </c>
      <c r="C224" s="38" t="n">
        <f aca="false">Sens!$C$111</f>
        <v>25.2781053077374</v>
      </c>
      <c r="D224" s="38" t="n">
        <f aca="false">Sens!$D$111</f>
        <v>69.5686316310026</v>
      </c>
      <c r="E224" s="38" t="n">
        <f aca="false">Sens!$E$111</f>
        <v>64.1899206485108</v>
      </c>
      <c r="F224" s="38" t="n">
        <f aca="false">Sens!$F$111</f>
        <v>96.2481299895</v>
      </c>
      <c r="G224" s="38" t="n">
        <f aca="false">Sens!$G$111</f>
        <v>160.438050638011</v>
      </c>
      <c r="H224" s="38" t="n">
        <f aca="false">Sens!$H$111</f>
        <v>198.57136494475</v>
      </c>
      <c r="I224" s="38" t="n">
        <f aca="false">Sens!$I$111</f>
        <v>204.6464699105</v>
      </c>
      <c r="J224" s="38" t="n">
        <f aca="false">Sens!$J$111</f>
        <v>209.8832381105</v>
      </c>
      <c r="K224" s="38" t="n">
        <f aca="false">Sens!$K$111</f>
        <v>215.1200063105</v>
      </c>
      <c r="L224" s="38" t="n">
        <f aca="false">Sens!$L$111</f>
        <v>251.7773837105</v>
      </c>
      <c r="M224" s="38" t="n">
        <f aca="false">Sens!$M$111</f>
        <v>311.87584476575</v>
      </c>
    </row>
    <row r="225" customFormat="false" ht="17.15" hidden="false" customHeight="false" outlineLevel="0" collapsed="false">
      <c r="A225" s="5" t="s">
        <v>736</v>
      </c>
      <c r="B225" s="0" t="s">
        <v>73</v>
      </c>
      <c r="C225" s="38" t="n">
        <f aca="false">cx_awso*Sens!$C$140</f>
        <v>21.0469989286053</v>
      </c>
      <c r="D225" s="38" t="n">
        <f aca="false">cx_awso*Sens!$D$140</f>
        <v>24.0042459822698</v>
      </c>
      <c r="E225" s="38" t="n">
        <f aca="false">cx_awso*Sens!$E$140</f>
        <v>14.261729404886</v>
      </c>
      <c r="F225" s="38" t="n">
        <f aca="false">cx_awso*Sens!$F$140</f>
        <v>15.7190020837331</v>
      </c>
      <c r="G225" s="38" t="n">
        <f aca="false">Sens!$E$225+Sens!$F$225</f>
        <v>29.9807314886191</v>
      </c>
      <c r="H225" s="38" t="n">
        <f aca="false">cx_awso*Sens!$H$140</f>
        <v>36.1787121536283</v>
      </c>
      <c r="I225" s="38" t="n">
        <f aca="false">cx_awso*Sens!$I$140</f>
        <v>42.1296794430021</v>
      </c>
      <c r="J225" s="38" t="n">
        <f aca="false">cx_awso*Sens!$J$140</f>
        <v>47.279781889299</v>
      </c>
      <c r="K225" s="38" t="n">
        <f aca="false">cx_awso*Sens!$K$140</f>
        <v>51.0621644404429</v>
      </c>
      <c r="L225" s="38" t="n">
        <f aca="false">cx_awso*Sens!$L$140</f>
        <v>55.1471375956783</v>
      </c>
      <c r="M225" s="38" t="n">
        <f aca="false">cx_awso*Sens!$M$140</f>
        <v>59.5589086033326</v>
      </c>
    </row>
    <row r="226" customFormat="false" ht="17.15" hidden="false" customHeight="false" outlineLevel="0" collapsed="false">
      <c r="A226" s="5" t="s">
        <v>737</v>
      </c>
      <c r="B226" s="0" t="s">
        <v>73</v>
      </c>
      <c r="C226" s="38" t="n">
        <f aca="false">Q!$D$46-Sens!$C$224-Sens!$C$225</f>
        <v>31.3328957636573</v>
      </c>
      <c r="D226" s="38" t="n">
        <f aca="false">Q!$E$46-Sens!$D$224-Sens!$D$225</f>
        <v>34.7471223867276</v>
      </c>
      <c r="E226" s="38" t="n">
        <f aca="false">Q!$P$46-Sens!$E$224-Sens!$E$225</f>
        <v>17.8583499466032</v>
      </c>
      <c r="F226" s="38" t="n">
        <f aca="false">cx_rt*Sens!$F$75</f>
        <v>21.0855744229195</v>
      </c>
      <c r="G226" s="38" t="n">
        <f aca="false">Sens!$E$226+Sens!$F$226</f>
        <v>38.9439243695228</v>
      </c>
      <c r="H226" s="38" t="n">
        <f aca="false">cx_rt*Sens!$H$75</f>
        <v>43.1200434029767</v>
      </c>
      <c r="I226" s="38" t="n">
        <f aca="false">cx_rt*Sens!$I$75</f>
        <v>47.1583152318763</v>
      </c>
      <c r="J226" s="38" t="n">
        <f aca="false">cx_rt*Sens!$J$75</f>
        <v>50.9060281137911</v>
      </c>
      <c r="K226" s="38" t="n">
        <f aca="false">cx_rt*Sens!$K$75</f>
        <v>54.2035645673053</v>
      </c>
      <c r="L226" s="38" t="n">
        <f aca="false">cx_rt*Sens!$L$75</f>
        <v>57.7318979121519</v>
      </c>
      <c r="M226" s="38" t="n">
        <f aca="false">cx_rt*Sens!$M$75</f>
        <v>61.5084196557756</v>
      </c>
    </row>
    <row r="227" customFormat="false" ht="15" hidden="false" customHeight="false" outlineLevel="0" collapsed="false">
      <c r="A227" s="3" t="s">
        <v>738</v>
      </c>
      <c r="B227" s="8" t="s">
        <v>73</v>
      </c>
      <c r="C227" s="38" t="n">
        <f aca="false">Q!$D$46</f>
        <v>77.658</v>
      </c>
      <c r="D227" s="38" t="n">
        <f aca="false">Q!$E$46</f>
        <v>128.32</v>
      </c>
      <c r="E227" s="38" t="n">
        <f aca="false">Q!$P$46</f>
        <v>96.31</v>
      </c>
      <c r="F227" s="38" t="n">
        <f aca="false">Sens!$F$224+Sens!$F$225+Sens!$F$226</f>
        <v>133.052706496153</v>
      </c>
      <c r="G227" s="38" t="n">
        <f aca="false">Sens!$E$227+Sens!$F$227</f>
        <v>229.362706496153</v>
      </c>
      <c r="H227" s="38" t="n">
        <f aca="false">Sens!$H$224+Sens!$H$225+Sens!$H$226</f>
        <v>277.870120501355</v>
      </c>
      <c r="I227" s="38" t="n">
        <f aca="false">Sens!$I$224+Sens!$I$225+Sens!$I$226</f>
        <v>293.934464585378</v>
      </c>
      <c r="J227" s="38" t="n">
        <f aca="false">Sens!$J$224+Sens!$J$225+Sens!$J$226</f>
        <v>308.06904811359</v>
      </c>
      <c r="K227" s="38" t="n">
        <f aca="false">Sens!$K$224+Sens!$K$225+Sens!$K$226</f>
        <v>320.385735318248</v>
      </c>
      <c r="L227" s="38" t="n">
        <f aca="false">Sens!$L$224+Sens!$L$225+Sens!$L$226</f>
        <v>364.65641921833</v>
      </c>
      <c r="M227" s="38" t="n">
        <f aca="false">Sens!$M$224+Sens!$M$225+Sens!$M$226</f>
        <v>432.943173024858</v>
      </c>
    </row>
    <row r="228" customFormat="false" ht="17.15" hidden="false" customHeight="false" outlineLevel="0" collapsed="false">
      <c r="A228" s="5" t="s">
        <v>523</v>
      </c>
      <c r="B228" s="0" t="s">
        <v>73</v>
      </c>
      <c r="C228" s="38" t="n">
        <f aca="false">Q!$D$50</f>
        <v>2.043</v>
      </c>
      <c r="D228" s="38" t="n">
        <f aca="false">Q!$E$50</f>
        <v>1.557</v>
      </c>
      <c r="E228" s="38" t="n">
        <f aca="false">lease_pr/2</f>
        <v>0.8</v>
      </c>
      <c r="F228" s="38" t="n">
        <f aca="false">lease_pr/2</f>
        <v>0.8</v>
      </c>
      <c r="G228" s="38" t="n">
        <f aca="false">Sens!$E$228+Sens!$F$228</f>
        <v>1.6</v>
      </c>
      <c r="H228" s="38" t="n">
        <f aca="false">lease_pr</f>
        <v>1.6</v>
      </c>
      <c r="I228" s="38" t="n">
        <f aca="false">lease_pr</f>
        <v>1.6</v>
      </c>
      <c r="J228" s="38" t="n">
        <f aca="false">lease_pr</f>
        <v>1.6</v>
      </c>
      <c r="K228" s="38" t="n">
        <f aca="false">lease_pr</f>
        <v>1.6</v>
      </c>
      <c r="L228" s="38" t="n">
        <f aca="false">lease_pr</f>
        <v>1.6</v>
      </c>
      <c r="M228" s="38" t="n">
        <f aca="false">lease_pr</f>
        <v>1.6</v>
      </c>
      <c r="P228" s="8" t="s">
        <v>739</v>
      </c>
    </row>
    <row r="229" customFormat="false" ht="15" hidden="false" customHeight="false" outlineLevel="0" collapsed="false">
      <c r="A229" s="46" t="s">
        <v>740</v>
      </c>
      <c r="B229" s="13" t="s">
        <v>73</v>
      </c>
      <c r="C229" s="47" t="n">
        <f aca="false">Sens!$C$223-Sens!$C$227-Sens!$C$228</f>
        <v>36.176</v>
      </c>
      <c r="D229" s="47" t="n">
        <f aca="false">Sens!$D$223-Sens!$D$227-Sens!$D$228</f>
        <v>9.63700000000002</v>
      </c>
      <c r="E229" s="47" t="n">
        <f aca="false">Sens!$E$223-Sens!$E$227-Sens!$E$228</f>
        <v>-25.691</v>
      </c>
      <c r="F229" s="47" t="n">
        <f aca="false">Sens!$F$223-Sens!$F$227-Sens!$F$228</f>
        <v>-35.7358850873731</v>
      </c>
      <c r="G229" s="47" t="n">
        <f aca="false">Sens!$G$223-Sens!$G$227-Sens!$G$228</f>
        <v>-61.4268850873731</v>
      </c>
      <c r="H229" s="47" t="n">
        <f aca="false">Sens!$H$223-Sens!$H$227-Sens!$H$228</f>
        <v>-46.6987055925312</v>
      </c>
      <c r="I229" s="47" t="n">
        <f aca="false">Sens!$I$223-Sens!$I$227-Sens!$I$228</f>
        <v>-3.97574477606648</v>
      </c>
      <c r="J229" s="47" t="n">
        <f aca="false">Sens!$J$223-Sens!$J$227-Sens!$J$228</f>
        <v>39.7446339029391</v>
      </c>
      <c r="K229" s="47" t="n">
        <f aca="false">Sens!$K$223-Sens!$K$227-Sens!$K$228</f>
        <v>82.1731058789073</v>
      </c>
      <c r="L229" s="47" t="n">
        <f aca="false">Sens!$L$223-Sens!$L$227-Sens!$L$228</f>
        <v>94.1245500219009</v>
      </c>
      <c r="M229" s="47" t="n">
        <f aca="false">Sens!$M$223-Sens!$M$227-Sens!$M$228</f>
        <v>84.3831817256571</v>
      </c>
      <c r="N229" s="13"/>
      <c r="O229" s="13"/>
    </row>
    <row r="230" customFormat="false" ht="17.15" hidden="false" customHeight="false" outlineLevel="0" collapsed="false">
      <c r="A230" s="5" t="s">
        <v>741</v>
      </c>
      <c r="B230" s="0" t="s">
        <v>73</v>
      </c>
      <c r="C230" s="38" t="n">
        <f aca="false">dps*Sens!$C$211</f>
        <v>0</v>
      </c>
      <c r="D230" s="38" t="n">
        <f aca="false">dps*Sens!$D$211</f>
        <v>0</v>
      </c>
      <c r="E230" s="38" t="n">
        <f aca="false">dps*Sens!$E$211</f>
        <v>0</v>
      </c>
      <c r="F230" s="38" t="n">
        <f aca="false">0</f>
        <v>0</v>
      </c>
      <c r="G230" s="38" t="n">
        <f aca="false">dps*Sens!$G$211</f>
        <v>0</v>
      </c>
      <c r="H230" s="38" t="n">
        <f aca="false">dps*Sens!$H$211</f>
        <v>0</v>
      </c>
      <c r="I230" s="38" t="n">
        <f aca="false">dps*Sens!$I$211</f>
        <v>0</v>
      </c>
      <c r="J230" s="38" t="n">
        <f aca="false">dps*Sens!$J$211</f>
        <v>0</v>
      </c>
      <c r="K230" s="38" t="n">
        <f aca="false">dps*Sens!$K$211</f>
        <v>0</v>
      </c>
      <c r="L230" s="38" t="n">
        <f aca="false">dps*Sens!$L$211</f>
        <v>0</v>
      </c>
      <c r="M230" s="38" t="n">
        <f aca="false">dps*Sens!$M$211</f>
        <v>0</v>
      </c>
      <c r="P230" s="8" t="s">
        <v>742</v>
      </c>
    </row>
    <row r="231" customFormat="false" ht="17.15" hidden="false" customHeight="false" outlineLevel="0" collapsed="false">
      <c r="A231" s="5" t="s">
        <v>743</v>
      </c>
      <c r="B231" s="0" t="s">
        <v>73</v>
      </c>
      <c r="C231" s="38" t="n">
        <f aca="false">0</f>
        <v>0</v>
      </c>
      <c r="D231" s="38" t="n">
        <f aca="false">0</f>
        <v>0</v>
      </c>
      <c r="E231" s="38" t="n">
        <f aca="false">0</f>
        <v>0</v>
      </c>
      <c r="F231" s="38" t="n">
        <f aca="false">0</f>
        <v>0</v>
      </c>
      <c r="G231" s="38" t="n">
        <f aca="false">0</f>
        <v>0</v>
      </c>
      <c r="H231" s="38" t="n">
        <f aca="false">0</f>
        <v>0</v>
      </c>
      <c r="I231" s="38" t="n">
        <f aca="false">0</f>
        <v>0</v>
      </c>
      <c r="J231" s="38" t="n">
        <f aca="false">0</f>
        <v>0</v>
      </c>
      <c r="K231" s="38" t="n">
        <f aca="false">0</f>
        <v>0</v>
      </c>
      <c r="L231" s="38" t="n">
        <f aca="false">0</f>
        <v>0</v>
      </c>
      <c r="M231" s="38" t="n">
        <f aca="false">0</f>
        <v>0</v>
      </c>
      <c r="P231" s="8" t="s">
        <v>744</v>
      </c>
    </row>
    <row r="232" customFormat="false" ht="15" hidden="false" customHeight="false" outlineLevel="0" collapsed="false">
      <c r="A232" s="3" t="s">
        <v>745</v>
      </c>
      <c r="B232" s="8" t="s">
        <v>73</v>
      </c>
      <c r="C232" s="38" t="n">
        <f aca="false">Sens!$C$229-Sens!$C$230</f>
        <v>36.176</v>
      </c>
      <c r="D232" s="38" t="n">
        <f aca="false">Sens!$D$229-Sens!$D$230</f>
        <v>9.63700000000002</v>
      </c>
      <c r="E232" s="38" t="n">
        <f aca="false">Sens!$E$229-Sens!$E$230</f>
        <v>-25.691</v>
      </c>
      <c r="F232" s="38" t="n">
        <f aca="false">Sens!$F$229-Sens!$F$230</f>
        <v>-35.7358850873731</v>
      </c>
      <c r="G232" s="38" t="n">
        <f aca="false">Sens!$G$229-Sens!$G$230</f>
        <v>-61.4268850873731</v>
      </c>
      <c r="H232" s="38" t="n">
        <f aca="false">Sens!$H$229-Sens!$H$230</f>
        <v>-46.6987055925312</v>
      </c>
      <c r="I232" s="38" t="n">
        <f aca="false">Sens!$I$229-Sens!$I$230</f>
        <v>-3.97574477606648</v>
      </c>
      <c r="J232" s="38" t="n">
        <f aca="false">Sens!$J$229-Sens!$J$230</f>
        <v>39.7446339029391</v>
      </c>
      <c r="K232" s="38" t="n">
        <f aca="false">Sens!$K$229-Sens!$K$230</f>
        <v>82.1731058789073</v>
      </c>
      <c r="L232" s="38" t="n">
        <f aca="false">Sens!$L$229-Sens!$L$230</f>
        <v>94.1245500219009</v>
      </c>
      <c r="M232" s="38" t="n">
        <f aca="false">Sens!$M$229-Sens!$M$230</f>
        <v>84.3831817256571</v>
      </c>
    </row>
    <row r="233" customFormat="false" ht="17.15" hidden="false" customHeight="false" outlineLevel="0" collapsed="false">
      <c r="A233" s="5" t="s">
        <v>746</v>
      </c>
      <c r="B233" s="0" t="s">
        <v>73</v>
      </c>
      <c r="E233" s="38" t="n">
        <f aca="false">Q!$P$53</f>
        <v>39.767</v>
      </c>
      <c r="F233" s="38" t="n">
        <f aca="false">inv_2h26</f>
        <v>21.3</v>
      </c>
      <c r="G233" s="38" t="n">
        <f aca="false">Sens!$E$233+Sens!$F$233</f>
        <v>61.067</v>
      </c>
      <c r="H233" s="41" t="n">
        <v>0</v>
      </c>
      <c r="I233" s="41" t="n">
        <v>0</v>
      </c>
      <c r="J233" s="41" t="n">
        <v>0</v>
      </c>
      <c r="K233" s="41" t="n">
        <v>0</v>
      </c>
      <c r="L233" s="41" t="n">
        <v>0</v>
      </c>
      <c r="M233" s="41" t="n">
        <v>0</v>
      </c>
    </row>
    <row r="234" customFormat="false" ht="17.15" hidden="false" customHeight="false" outlineLevel="0" collapsed="false">
      <c r="A234" s="5" t="s">
        <v>747</v>
      </c>
      <c r="B234" s="0" t="s">
        <v>73</v>
      </c>
      <c r="F234" s="38" t="n">
        <f aca="false">iss_2h26</f>
        <v>29.25</v>
      </c>
      <c r="G234" s="38" t="n">
        <f aca="false">Sens!$F$234</f>
        <v>29.25</v>
      </c>
      <c r="H234" s="41" t="n">
        <v>0</v>
      </c>
      <c r="I234" s="41" t="n">
        <v>0</v>
      </c>
      <c r="J234" s="41" t="n">
        <v>0</v>
      </c>
      <c r="K234" s="41" t="n">
        <v>0</v>
      </c>
      <c r="L234" s="41" t="n">
        <v>0</v>
      </c>
      <c r="M234" s="41" t="n">
        <v>0</v>
      </c>
    </row>
    <row r="235" customFormat="false" ht="17.15" hidden="false" customHeight="false" outlineLevel="0" collapsed="false">
      <c r="A235" s="5" t="s">
        <v>748</v>
      </c>
      <c r="B235" s="0" t="s">
        <v>73</v>
      </c>
      <c r="F235" s="38" t="n">
        <f aca="false">cash_q2</f>
        <v>122.988</v>
      </c>
      <c r="G235" s="38" t="n">
        <f aca="false">cash_q2</f>
        <v>122.988</v>
      </c>
      <c r="H235" s="38" t="n">
        <f aca="false">Sens!$G$238</f>
        <v>95.2021149126269</v>
      </c>
      <c r="I235" s="38" t="n">
        <f aca="false">Sens!$H$238</f>
        <v>50</v>
      </c>
      <c r="J235" s="38" t="n">
        <f aca="false">Sens!$I$238</f>
        <v>50</v>
      </c>
      <c r="K235" s="38" t="n">
        <f aca="false">Sens!$J$238</f>
        <v>89.7446339029391</v>
      </c>
      <c r="L235" s="38" t="n">
        <f aca="false">Sens!$K$238</f>
        <v>171.917739781846</v>
      </c>
      <c r="M235" s="38" t="n">
        <f aca="false">Sens!$L$238</f>
        <v>266.042289803747</v>
      </c>
    </row>
    <row r="236" customFormat="false" ht="15" hidden="false" customHeight="false" outlineLevel="0" collapsed="false">
      <c r="A236" s="5" t="s">
        <v>749</v>
      </c>
      <c r="B236" s="0" t="s">
        <v>73</v>
      </c>
      <c r="F236" s="38" t="n">
        <f aca="false">Sens!$F$235+Sens!$F$232-Sens!$F$231-Sens!$F$233+Sens!$F$234</f>
        <v>95.2021149126269</v>
      </c>
      <c r="H236" s="38" t="n">
        <f aca="false">Sens!$H$235+Sens!$H$232-Sens!$H$231-Sens!$H$233+Sens!$H$234</f>
        <v>48.5034093200957</v>
      </c>
      <c r="I236" s="38" t="n">
        <f aca="false">Sens!$I$235+Sens!$I$232-Sens!$I$231-Sens!$I$233+Sens!$I$234</f>
        <v>46.0242552239335</v>
      </c>
      <c r="J236" s="38" t="n">
        <f aca="false">Sens!$J$235+Sens!$J$232-Sens!$J$231-Sens!$J$233+Sens!$J$234</f>
        <v>89.7446339029391</v>
      </c>
      <c r="K236" s="38" t="n">
        <f aca="false">Sens!$K$235+Sens!$K$232-Sens!$K$231-Sens!$K$233+Sens!$K$234</f>
        <v>171.917739781846</v>
      </c>
      <c r="L236" s="38" t="n">
        <f aca="false">Sens!$L$235+Sens!$L$232-Sens!$L$231-Sens!$L$233+Sens!$L$234</f>
        <v>266.042289803747</v>
      </c>
      <c r="M236" s="38" t="n">
        <f aca="false">Sens!$M$235+Sens!$M$232-Sens!$M$231-Sens!$M$233+Sens!$M$234</f>
        <v>350.425471529404</v>
      </c>
    </row>
    <row r="237" customFormat="false" ht="17.15" hidden="false" customHeight="false" outlineLevel="0" collapsed="false">
      <c r="A237" s="5" t="s">
        <v>750</v>
      </c>
      <c r="B237" s="0" t="s">
        <v>73</v>
      </c>
      <c r="F237" s="38" t="n">
        <f aca="false">MAX(0,min_cash-Sens!$F$236)</f>
        <v>0</v>
      </c>
      <c r="G237" s="38" t="n">
        <f aca="false">Sens!$F$237</f>
        <v>0</v>
      </c>
      <c r="H237" s="38" t="n">
        <f aca="false">MAX(0,min_cash-Sens!$H$236)</f>
        <v>1.49659067990431</v>
      </c>
      <c r="I237" s="38" t="n">
        <f aca="false">MAX(0,min_cash-Sens!$I$236)</f>
        <v>3.97574477606648</v>
      </c>
      <c r="J237" s="38" t="n">
        <f aca="false">MAX(0,min_cash-Sens!$J$236)</f>
        <v>0</v>
      </c>
      <c r="K237" s="38" t="n">
        <f aca="false">MAX(0,min_cash-Sens!$K$236)</f>
        <v>0</v>
      </c>
      <c r="L237" s="38" t="n">
        <f aca="false">MAX(0,min_cash-Sens!$L$236)</f>
        <v>0</v>
      </c>
      <c r="M237" s="38" t="n">
        <f aca="false">MAX(0,min_cash-Sens!$M$236)</f>
        <v>0</v>
      </c>
      <c r="P237" s="5" t="s">
        <v>751</v>
      </c>
    </row>
    <row r="238" customFormat="false" ht="15" hidden="false" customHeight="false" outlineLevel="0" collapsed="false">
      <c r="A238" s="5" t="s">
        <v>752</v>
      </c>
      <c r="B238" s="0" t="s">
        <v>73</v>
      </c>
      <c r="D238" s="38" t="n">
        <f aca="false">Q!$E$61</f>
        <v>123.029</v>
      </c>
      <c r="E238" s="38" t="n">
        <f aca="false">Q!$M$61</f>
        <v>122.988</v>
      </c>
      <c r="F238" s="38" t="n">
        <f aca="false">Sens!$F$236+Sens!$F$237</f>
        <v>95.2021149126269</v>
      </c>
      <c r="G238" s="38" t="n">
        <f aca="false">Sens!$F$238</f>
        <v>95.2021149126269</v>
      </c>
      <c r="H238" s="38" t="n">
        <f aca="false">Sens!$H$236+Sens!$H$237</f>
        <v>50</v>
      </c>
      <c r="I238" s="38" t="n">
        <f aca="false">Sens!$I$236+Sens!$I$237</f>
        <v>50</v>
      </c>
      <c r="J238" s="38" t="n">
        <f aca="false">Sens!$J$236+Sens!$J$237</f>
        <v>89.7446339029391</v>
      </c>
      <c r="K238" s="38" t="n">
        <f aca="false">Sens!$K$236+Sens!$K$237</f>
        <v>171.917739781846</v>
      </c>
      <c r="L238" s="38" t="n">
        <f aca="false">Sens!$L$236+Sens!$L$237</f>
        <v>266.042289803747</v>
      </c>
      <c r="M238" s="38" t="n">
        <f aca="false">Sens!$M$236+Sens!$M$237</f>
        <v>350.425471529404</v>
      </c>
    </row>
    <row r="239" customFormat="false" ht="15" hidden="false" customHeight="false" outlineLevel="0" collapsed="false">
      <c r="A239" s="5" t="s">
        <v>753</v>
      </c>
      <c r="B239" s="0" t="s">
        <v>73</v>
      </c>
      <c r="D239" s="38" t="n">
        <f aca="false">Q!$E$62</f>
        <v>68.836</v>
      </c>
      <c r="E239" s="38" t="n">
        <f aca="false">Q!$M$62</f>
        <v>132.995</v>
      </c>
      <c r="F239" s="38" t="n">
        <f aca="false">debt_q2+Sens!$F$234+Sens!$F$237</f>
        <v>162.245</v>
      </c>
      <c r="G239" s="38" t="n">
        <f aca="false">Sens!$F$239</f>
        <v>162.245</v>
      </c>
      <c r="H239" s="38" t="n">
        <f aca="false">Sens!$G$239+Sens!$H$237</f>
        <v>163.741590679904</v>
      </c>
      <c r="I239" s="38" t="n">
        <f aca="false">Sens!$H$239+Sens!$I$237</f>
        <v>167.717335455971</v>
      </c>
      <c r="J239" s="38" t="n">
        <f aca="false">Sens!$I$239+Sens!$J$237</f>
        <v>167.717335455971</v>
      </c>
      <c r="K239" s="38" t="n">
        <f aca="false">Sens!$J$239+Sens!$K$237</f>
        <v>167.717335455971</v>
      </c>
      <c r="L239" s="38" t="n">
        <f aca="false">Sens!$K$239+Sens!$L$237</f>
        <v>167.717335455971</v>
      </c>
      <c r="M239" s="38" t="n">
        <f aca="false">Sens!$L$239+Sens!$M$237</f>
        <v>167.717335455971</v>
      </c>
    </row>
    <row r="240" customFormat="false" ht="15" hidden="false" customHeight="false" outlineLevel="0" collapsed="false">
      <c r="A240" s="5" t="s">
        <v>754</v>
      </c>
      <c r="B240" s="0" t="s">
        <v>73</v>
      </c>
      <c r="D240" s="38" t="n">
        <f aca="false">Sens!$D$239-Sens!$D$238</f>
        <v>-54.193</v>
      </c>
      <c r="E240" s="38" t="n">
        <f aca="false">Sens!$E$239-Sens!$E$238</f>
        <v>10.007</v>
      </c>
      <c r="F240" s="38" t="n">
        <f aca="false">Sens!$F$239-Sens!$F$238</f>
        <v>67.0428850873731</v>
      </c>
      <c r="G240" s="38" t="n">
        <f aca="false">Sens!$G$239-Sens!$G$238</f>
        <v>67.0428850873731</v>
      </c>
      <c r="H240" s="38" t="n">
        <f aca="false">Sens!$H$239-Sens!$H$238</f>
        <v>113.741590679904</v>
      </c>
      <c r="I240" s="38" t="n">
        <f aca="false">Sens!$I$239-Sens!$I$238</f>
        <v>117.717335455971</v>
      </c>
      <c r="J240" s="38" t="n">
        <f aca="false">Sens!$J$239-Sens!$J$238</f>
        <v>77.9727015530317</v>
      </c>
      <c r="K240" s="38" t="n">
        <f aca="false">Sens!$K$239-Sens!$K$238</f>
        <v>-4.20040432587558</v>
      </c>
      <c r="L240" s="38" t="n">
        <f aca="false">Sens!$L$239-Sens!$L$238</f>
        <v>-98.3249543477765</v>
      </c>
      <c r="M240" s="38" t="n">
        <f aca="false">Sens!$M$239-Sens!$M$238</f>
        <v>-182.708136073434</v>
      </c>
    </row>
    <row r="241" customFormat="false" ht="17.15" hidden="false" customHeight="false" outlineLevel="0" collapsed="false">
      <c r="A241" s="5" t="s">
        <v>755</v>
      </c>
      <c r="B241" s="0" t="s">
        <v>73</v>
      </c>
      <c r="F241" s="38" t="n">
        <f aca="false">debt_q2*kd_book*0.5+iss_2h26*kd_new*0.25</f>
        <v>3.24888964316061</v>
      </c>
      <c r="H241" s="38" t="n">
        <f aca="false">debt_q2*kd_book+(Sens!$G$239-debt_q2)*kd_new</f>
        <v>7.42354178632123</v>
      </c>
      <c r="I241" s="38" t="n">
        <f aca="false">debt_q2*kd_book+(Sens!$H$239-debt_q2)*kd_new</f>
        <v>7.51827597635917</v>
      </c>
      <c r="J241" s="38" t="n">
        <f aca="false">debt_q2*kd_book+(Sens!$I$239-debt_q2)*kd_new</f>
        <v>7.76994062068418</v>
      </c>
      <c r="K241" s="38" t="n">
        <f aca="false">debt_q2*kd_book+(Sens!$J$239-debt_q2)*kd_new</f>
        <v>7.76994062068418</v>
      </c>
      <c r="L241" s="38" t="n">
        <f aca="false">debt_q2*kd_book+(Sens!$K$239-debt_q2)*kd_new</f>
        <v>7.76994062068418</v>
      </c>
      <c r="M241" s="38" t="n">
        <f aca="false">debt_q2*kd_book+(Sens!$L$239-debt_q2)*kd_new</f>
        <v>7.76994062068418</v>
      </c>
    </row>
    <row r="242" customFormat="false" ht="17.15" hidden="false" customHeight="false" outlineLevel="0" collapsed="false">
      <c r="A242" s="5" t="s">
        <v>756</v>
      </c>
      <c r="B242" s="0" t="s">
        <v>73</v>
      </c>
      <c r="F242" s="38" t="n">
        <f aca="false">cash_q2*y_cash*0.5</f>
        <v>2.59</v>
      </c>
      <c r="H242" s="38" t="n">
        <f aca="false">Sens!$G$238*y_cash</f>
        <v>4.00971603121774</v>
      </c>
      <c r="I242" s="38" t="n">
        <f aca="false">Sens!$H$238*y_cash</f>
        <v>2.10589651022864</v>
      </c>
      <c r="J242" s="38" t="n">
        <f aca="false">Sens!$I$238*y_cash</f>
        <v>2.10589651022864</v>
      </c>
      <c r="K242" s="38" t="n">
        <f aca="false">Sens!$J$238*y_cash</f>
        <v>3.77985822695893</v>
      </c>
      <c r="L242" s="38" t="n">
        <f aca="false">Sens!$K$238*y_cash</f>
        <v>7.24081936505971</v>
      </c>
      <c r="M242" s="38" t="n">
        <f aca="false">Sens!$L$238*y_cash</f>
        <v>11.205150593419</v>
      </c>
    </row>
    <row r="243" customFormat="false" ht="17.15" hidden="false" customHeight="false" outlineLevel="0" collapsed="false">
      <c r="A243" s="46" t="s">
        <v>757</v>
      </c>
      <c r="B243" s="13" t="s">
        <v>73</v>
      </c>
      <c r="C243" s="13"/>
      <c r="D243" s="13"/>
      <c r="E243" s="13"/>
      <c r="F243" s="13"/>
      <c r="G243" s="47" t="n">
        <f aca="false">SUM(Sens!$G$232:$K$232)</f>
        <v>9.81640432587554</v>
      </c>
      <c r="H243" s="13"/>
      <c r="I243" s="13"/>
      <c r="J243" s="13"/>
      <c r="K243" s="13"/>
      <c r="L243" s="13"/>
      <c r="M243" s="13"/>
      <c r="N243" s="13"/>
      <c r="O243" s="13"/>
    </row>
    <row r="244" customFormat="false" ht="17.15" hidden="false" customHeight="false" outlineLevel="0" collapsed="false">
      <c r="A244" s="0" t="s">
        <v>724</v>
      </c>
      <c r="B244" s="0" t="s">
        <v>73</v>
      </c>
      <c r="G244" s="38" t="n">
        <f aca="false">SUM(Sens!$G$237:$K$237)</f>
        <v>5.47233545597079</v>
      </c>
    </row>
    <row r="247" customFormat="false" ht="19.4" hidden="false" customHeight="false" outlineLevel="0" collapsed="false">
      <c r="A247" s="31" t="s">
        <v>1049</v>
      </c>
    </row>
    <row r="248" customFormat="false" ht="17.15" hidden="false" customHeight="false" outlineLevel="0" collapsed="false">
      <c r="A248" s="6" t="s">
        <v>16</v>
      </c>
      <c r="B248" s="6" t="s">
        <v>17</v>
      </c>
      <c r="C248" s="20" t="s">
        <v>457</v>
      </c>
      <c r="D248" s="20" t="s">
        <v>458</v>
      </c>
      <c r="E248" s="20" t="s">
        <v>540</v>
      </c>
      <c r="F248" s="20" t="s">
        <v>541</v>
      </c>
      <c r="G248" s="20" t="s">
        <v>542</v>
      </c>
      <c r="H248" s="20" t="s">
        <v>543</v>
      </c>
      <c r="I248" s="20" t="s">
        <v>544</v>
      </c>
      <c r="J248" s="20" t="s">
        <v>545</v>
      </c>
      <c r="K248" s="20" t="s">
        <v>546</v>
      </c>
      <c r="L248" s="20" t="s">
        <v>547</v>
      </c>
      <c r="M248" s="20" t="s">
        <v>548</v>
      </c>
      <c r="N248" s="20" t="s">
        <v>549</v>
      </c>
      <c r="O248" s="20" t="s">
        <v>550</v>
      </c>
      <c r="P248" s="6" t="s">
        <v>23</v>
      </c>
      <c r="R248" s="20" t="n">
        <v>2023</v>
      </c>
      <c r="S248" s="20" t="n">
        <v>2024</v>
      </c>
      <c r="T248" s="20" t="n">
        <v>2025</v>
      </c>
      <c r="U248" s="20" t="n">
        <v>2026</v>
      </c>
      <c r="V248" s="20" t="n">
        <v>2027</v>
      </c>
      <c r="W248" s="20" t="n">
        <v>2028</v>
      </c>
      <c r="X248" s="20" t="n">
        <v>2029</v>
      </c>
      <c r="Y248" s="20" t="n">
        <v>2030</v>
      </c>
      <c r="Z248" s="20" t="n">
        <v>2031</v>
      </c>
      <c r="AA248" s="20" t="n">
        <v>2032</v>
      </c>
    </row>
    <row r="249" customFormat="false" ht="17.15" hidden="false" customHeight="false" outlineLevel="0" collapsed="false">
      <c r="A249" s="1" t="s">
        <v>852</v>
      </c>
    </row>
    <row r="250" customFormat="false" ht="17.15" hidden="false" customHeight="false" outlineLevel="0" collapsed="false">
      <c r="A250" s="0" t="s">
        <v>853</v>
      </c>
      <c r="B250" s="0" t="s">
        <v>73</v>
      </c>
      <c r="H250" s="38" t="n">
        <f aca="false">Sens!$H$186*(1-tax)</f>
        <v>112.093921330558</v>
      </c>
      <c r="I250" s="38" t="n">
        <f aca="false">Sens!$I$186*(1-tax)</f>
        <v>132.779045500917</v>
      </c>
      <c r="J250" s="38" t="n">
        <f aca="false">Sens!$J$186*(1-tax)</f>
        <v>151.181555485193</v>
      </c>
      <c r="K250" s="38" t="n">
        <f aca="false">Sens!$K$186*(1-tax)</f>
        <v>166.036468953087</v>
      </c>
      <c r="L250" s="38" t="n">
        <f aca="false">Sens!$L$186*(1-tax)</f>
        <v>182.348678369869</v>
      </c>
      <c r="M250" s="38" t="n">
        <f aca="false">Sens!$M$186*(1-tax)</f>
        <v>199.243892383632</v>
      </c>
    </row>
    <row r="251" customFormat="false" ht="15" hidden="false" customHeight="false" outlineLevel="0" collapsed="false">
      <c r="A251" s="5" t="s">
        <v>854</v>
      </c>
      <c r="B251" s="0" t="s">
        <v>73</v>
      </c>
      <c r="H251" s="38" t="n">
        <f aca="false">Sens!$H$198</f>
        <v>87.6845218193838</v>
      </c>
      <c r="I251" s="38" t="n">
        <f aca="false">Sens!$I$198</f>
        <v>122.294769708638</v>
      </c>
      <c r="J251" s="38" t="n">
        <f aca="false">Sens!$J$198</f>
        <v>157.133962573221</v>
      </c>
      <c r="K251" s="38" t="n">
        <f aca="false">Sens!$K$198</f>
        <v>191.350633353599</v>
      </c>
      <c r="L251" s="38" t="n">
        <f aca="false">Sens!$L$198</f>
        <v>223.909238335354</v>
      </c>
      <c r="M251" s="38" t="n">
        <f aca="false">Sens!$M$198</f>
        <v>257.576319867276</v>
      </c>
    </row>
    <row r="252" customFormat="false" ht="15" hidden="false" customHeight="false" outlineLevel="0" collapsed="false">
      <c r="A252" s="5" t="s">
        <v>855</v>
      </c>
      <c r="B252" s="0" t="s">
        <v>73</v>
      </c>
      <c r="H252" s="38" t="n">
        <f aca="false">Sens!$H$227</f>
        <v>277.870120501355</v>
      </c>
      <c r="I252" s="38" t="n">
        <f aca="false">Sens!$I$227</f>
        <v>293.934464585378</v>
      </c>
      <c r="J252" s="38" t="n">
        <f aca="false">Sens!$J$227</f>
        <v>308.06904811359</v>
      </c>
      <c r="K252" s="38" t="n">
        <f aca="false">Sens!$K$227</f>
        <v>320.385735318248</v>
      </c>
      <c r="L252" s="38" t="n">
        <f aca="false">Sens!$L$227</f>
        <v>364.65641921833</v>
      </c>
      <c r="M252" s="38" t="n">
        <f aca="false">Sens!$M$227</f>
        <v>432.943173024858</v>
      </c>
    </row>
    <row r="253" customFormat="false" ht="15" hidden="false" customHeight="false" outlineLevel="0" collapsed="false">
      <c r="A253" s="5" t="s">
        <v>856</v>
      </c>
      <c r="B253" s="0" t="s">
        <v>73</v>
      </c>
      <c r="H253" s="38" t="n">
        <f aca="false">Sens!$H$228</f>
        <v>1.6</v>
      </c>
      <c r="I253" s="38" t="n">
        <f aca="false">Sens!$I$228</f>
        <v>1.6</v>
      </c>
      <c r="J253" s="38" t="n">
        <f aca="false">Sens!$J$228</f>
        <v>1.6</v>
      </c>
      <c r="K253" s="38" t="n">
        <f aca="false">Sens!$K$228</f>
        <v>1.6</v>
      </c>
      <c r="L253" s="38" t="n">
        <f aca="false">Sens!$L$228</f>
        <v>1.6</v>
      </c>
      <c r="M253" s="38" t="n">
        <f aca="false">Sens!$M$228</f>
        <v>1.6</v>
      </c>
    </row>
    <row r="254" customFormat="false" ht="15" hidden="false" customHeight="false" outlineLevel="0" collapsed="false">
      <c r="A254" s="5" t="s">
        <v>857</v>
      </c>
      <c r="B254" s="0" t="s">
        <v>73</v>
      </c>
      <c r="H254" s="38" t="n">
        <f aca="false">Sens!$H$222</f>
        <v>11.6369707537667</v>
      </c>
      <c r="I254" s="38" t="n">
        <f aca="false">Sens!$I$222</f>
        <v>13.3082502961262</v>
      </c>
      <c r="J254" s="38" t="n">
        <f aca="false">Sens!$J$222</f>
        <v>14.8747965344332</v>
      </c>
      <c r="K254" s="38" t="n">
        <f aca="false">Sens!$K$222</f>
        <v>16.2687901804328</v>
      </c>
      <c r="L254" s="38" t="n">
        <f aca="false">Sens!$L$222</f>
        <v>17.7280727627002</v>
      </c>
      <c r="M254" s="38" t="n">
        <f aca="false">Sens!$M$222</f>
        <v>19.2574690270319</v>
      </c>
    </row>
    <row r="255" customFormat="false" ht="17.15" hidden="false" customHeight="false" outlineLevel="0" collapsed="false">
      <c r="A255" s="1" t="s">
        <v>858</v>
      </c>
      <c r="B255" s="8" t="s">
        <v>73</v>
      </c>
      <c r="H255" s="38" t="n">
        <f aca="false">Sens!$H$250+Sens!$H$251-Sens!$H$252-Sens!$H$253+Sens!$H$254</f>
        <v>-68.0547065976468</v>
      </c>
      <c r="I255" s="38" t="n">
        <f aca="false">Sens!$I$250+Sens!$I$251-Sens!$I$252-Sens!$I$253+Sens!$I$254</f>
        <v>-27.1523990796972</v>
      </c>
      <c r="J255" s="38" t="n">
        <f aca="false">Sens!$J$250+Sens!$J$251-Sens!$J$252-Sens!$J$253+Sens!$J$254</f>
        <v>13.5212664792573</v>
      </c>
      <c r="K255" s="38" t="n">
        <f aca="false">Sens!$K$250+Sens!$K$251-Sens!$K$252-Sens!$K$253+Sens!$K$254</f>
        <v>51.6701571688709</v>
      </c>
      <c r="L255" s="38" t="n">
        <f aca="false">Sens!$L$250+Sens!$L$251-Sens!$L$252-Sens!$L$253+Sens!$L$254</f>
        <v>57.7295702495933</v>
      </c>
      <c r="M255" s="38" t="n">
        <f aca="false">Sens!$M$250+Sens!$M$251-Sens!$M$252-Sens!$M$253+Sens!$M$254</f>
        <v>41.534508253082</v>
      </c>
    </row>
    <row r="256" customFormat="false" ht="15" hidden="false" customHeight="false" outlineLevel="0" collapsed="false">
      <c r="A256" s="5" t="s">
        <v>859</v>
      </c>
      <c r="B256" s="0" t="s">
        <v>57</v>
      </c>
      <c r="H256" s="51" t="n">
        <f aca="false">1/(1+wacc)^(2027-2026-0.5)</f>
        <v>0.942858177653364</v>
      </c>
      <c r="I256" s="51" t="n">
        <f aca="false">1/(1+wacc)^(2028-2026-0.5)</f>
        <v>0.838183517758688</v>
      </c>
      <c r="J256" s="51" t="n">
        <f aca="false">1/(1+wacc)^(2029-2026-0.5)</f>
        <v>0.745129677074952</v>
      </c>
      <c r="K256" s="51" t="n">
        <f aca="false">1/(1+wacc)^(2030-2026-0.5)</f>
        <v>0.662406530186232</v>
      </c>
      <c r="L256" s="51" t="n">
        <f aca="false">1/(1+wacc)^(2031-2026-0.5)</f>
        <v>0.588867179409399</v>
      </c>
      <c r="M256" s="51" t="n">
        <f aca="false">1/(1+wacc)^(2032-2026-0.5)</f>
        <v>0.52349205387225</v>
      </c>
    </row>
    <row r="257" customFormat="false" ht="15" hidden="false" customHeight="false" outlineLevel="0" collapsed="false">
      <c r="A257" s="5" t="s">
        <v>860</v>
      </c>
      <c r="B257" s="0" t="s">
        <v>73</v>
      </c>
      <c r="H257" s="38" t="n">
        <f aca="false">Sens!$H$255*Sens!$H$256</f>
        <v>-64.1659366433916</v>
      </c>
      <c r="I257" s="38" t="n">
        <f aca="false">Sens!$I$255*Sens!$I$256</f>
        <v>-22.7586933762084</v>
      </c>
      <c r="J257" s="38" t="n">
        <f aca="false">Sens!$J$255*Sens!$J$256</f>
        <v>10.0750969253334</v>
      </c>
      <c r="K257" s="38" t="n">
        <f aca="false">Sens!$K$255*Sens!$K$256</f>
        <v>34.226649524409</v>
      </c>
      <c r="L257" s="38" t="n">
        <f aca="false">Sens!$L$255*Sens!$L$256</f>
        <v>33.9950492013948</v>
      </c>
      <c r="M257" s="38" t="n">
        <f aca="false">Sens!$M$255*Sens!$M$256</f>
        <v>21.7429850319798</v>
      </c>
    </row>
    <row r="258" customFormat="false" ht="15" hidden="false" customHeight="false" outlineLevel="0" collapsed="false">
      <c r="A258" s="5" t="s">
        <v>861</v>
      </c>
      <c r="B258" s="0" t="s">
        <v>73</v>
      </c>
      <c r="C258" s="38" t="n">
        <f aca="false">SUM(Sens!$H$257:$M$257)</f>
        <v>13.115150663517</v>
      </c>
    </row>
    <row r="259" customFormat="false" ht="17.15" hidden="false" customHeight="false" outlineLevel="0" collapsed="false">
      <c r="A259" s="5" t="s">
        <v>862</v>
      </c>
      <c r="B259" s="0" t="s">
        <v>73</v>
      </c>
      <c r="C259" s="38" t="n">
        <f aca="false">Sens!$M$250*(1+tg)*(1-tg/ronic)/(wacc-tg)</f>
        <v>1643.3111431308</v>
      </c>
    </row>
    <row r="260" customFormat="false" ht="15" hidden="false" customHeight="false" outlineLevel="0" collapsed="false">
      <c r="A260" s="5" t="s">
        <v>863</v>
      </c>
      <c r="B260" s="0" t="s">
        <v>73</v>
      </c>
      <c r="C260" s="38" t="n">
        <f aca="false">Sens!$C$259/(1+wacc)^6</f>
        <v>811.103482778908</v>
      </c>
    </row>
    <row r="261" customFormat="false" ht="17.15" hidden="false" customHeight="false" outlineLevel="0" collapsed="false">
      <c r="A261" s="5" t="s">
        <v>864</v>
      </c>
      <c r="B261" s="0" t="s">
        <v>73</v>
      </c>
      <c r="C261" s="38" t="n">
        <f aca="false">Sens!$C$258+Sens!$C$260</f>
        <v>824.218633442425</v>
      </c>
    </row>
    <row r="262" customFormat="false" ht="17.15" hidden="false" customHeight="false" outlineLevel="0" collapsed="false">
      <c r="A262" s="5" t="s">
        <v>865</v>
      </c>
      <c r="B262" s="0" t="s">
        <v>52</v>
      </c>
      <c r="C262" s="12" t="n">
        <f aca="false">Sens!$C$260/Sens!$C$261</f>
        <v>0.984087777039521</v>
      </c>
    </row>
    <row r="263" customFormat="false" ht="17.15" hidden="false" customHeight="false" outlineLevel="0" collapsed="false">
      <c r="A263" s="5" t="s">
        <v>866</v>
      </c>
      <c r="B263" s="0" t="s">
        <v>73</v>
      </c>
      <c r="C263" s="38" t="n">
        <f aca="false">Sens!$G$240</f>
        <v>67.0428850873731</v>
      </c>
    </row>
    <row r="264" customFormat="false" ht="17.15" hidden="false" customHeight="false" outlineLevel="0" collapsed="false">
      <c r="A264" s="5" t="s">
        <v>867</v>
      </c>
      <c r="B264" s="0" t="s">
        <v>73</v>
      </c>
      <c r="C264" s="38" t="n">
        <f aca="false">(ant_val*ant_sh+oai_val*oai_sh)*(1-liq_disc)</f>
        <v>178.944</v>
      </c>
    </row>
    <row r="265" customFormat="false" ht="15" hidden="false" customHeight="false" outlineLevel="0" collapsed="false">
      <c r="A265" s="5" t="s">
        <v>868</v>
      </c>
      <c r="B265" s="0" t="s">
        <v>73</v>
      </c>
      <c r="C265" s="38" t="n">
        <f aca="false">Sens!$C$261-Sens!$C$263+Sens!$C$264</f>
        <v>936.119748355051</v>
      </c>
    </row>
    <row r="266" customFormat="false" ht="17.15" hidden="false" customHeight="false" outlineLevel="0" collapsed="false">
      <c r="A266" s="5" t="s">
        <v>869</v>
      </c>
      <c r="B266" s="0" t="s">
        <v>27</v>
      </c>
      <c r="C266" s="30" t="n">
        <f aca="false">Sens!$C$265/sh_val</f>
        <v>84.8679147624493</v>
      </c>
    </row>
    <row r="267" customFormat="false" ht="17.15" hidden="false" customHeight="false" outlineLevel="0" collapsed="false">
      <c r="A267" s="1" t="s">
        <v>870</v>
      </c>
      <c r="B267" s="8" t="s">
        <v>27</v>
      </c>
      <c r="C267" s="30" t="n">
        <f aca="false">Sens!$C$266*(1+ke)^tp_yf</f>
        <v>93.7319373662158</v>
      </c>
    </row>
    <row r="268" customFormat="false" ht="17.15" hidden="false" customHeight="false" outlineLevel="0" collapsed="false">
      <c r="A268" s="3" t="s">
        <v>871</v>
      </c>
    </row>
    <row r="269" customFormat="false" ht="17.15" hidden="false" customHeight="false" outlineLevel="0" collapsed="false">
      <c r="A269" s="5" t="s">
        <v>872</v>
      </c>
      <c r="B269" s="0" t="s">
        <v>73</v>
      </c>
      <c r="C269" s="38" t="n">
        <f aca="false">0.25*Sens!$H$199+0.75*Sens!$I$199</f>
        <v>57.5541093268329</v>
      </c>
    </row>
    <row r="270" customFormat="false" ht="15" hidden="false" customHeight="false" outlineLevel="0" collapsed="false">
      <c r="A270" s="5" t="s">
        <v>873</v>
      </c>
      <c r="B270" s="0" t="s">
        <v>57</v>
      </c>
      <c r="C270" s="30" t="n">
        <f aca="false">m_ads*m_x</f>
        <v>9.11</v>
      </c>
    </row>
    <row r="271" customFormat="false" ht="17.15" hidden="false" customHeight="false" outlineLevel="0" collapsed="false">
      <c r="A271" s="5" t="s">
        <v>874</v>
      </c>
      <c r="B271" s="0" t="s">
        <v>73</v>
      </c>
      <c r="C271" s="38" t="n">
        <f aca="false">Sens!$C$269*Sens!$C$270</f>
        <v>524.317935967448</v>
      </c>
    </row>
    <row r="272" customFormat="false" ht="17.15" hidden="false" customHeight="false" outlineLevel="0" collapsed="false">
      <c r="A272" s="5" t="s">
        <v>875</v>
      </c>
      <c r="B272" s="0" t="s">
        <v>73</v>
      </c>
      <c r="C272" s="38" t="n">
        <f aca="false">0.25*Sens!$H$200+0.75*Sens!$I$200</f>
        <v>30.6290803533085</v>
      </c>
    </row>
    <row r="273" customFormat="false" ht="15" hidden="false" customHeight="false" outlineLevel="0" collapsed="false">
      <c r="A273" s="5" t="s">
        <v>876</v>
      </c>
      <c r="B273" s="0" t="s">
        <v>57</v>
      </c>
      <c r="C273" s="30" t="n">
        <f aca="false">m_retail*m_x</f>
        <v>17.72</v>
      </c>
    </row>
    <row r="274" customFormat="false" ht="17.15" hidden="false" customHeight="false" outlineLevel="0" collapsed="false">
      <c r="A274" s="5" t="s">
        <v>877</v>
      </c>
      <c r="B274" s="0" t="s">
        <v>73</v>
      </c>
      <c r="C274" s="38" t="n">
        <f aca="false">Sens!$C$272*Sens!$C$273</f>
        <v>542.747303860627</v>
      </c>
    </row>
    <row r="275" customFormat="false" ht="17.15" hidden="false" customHeight="false" outlineLevel="0" collapsed="false">
      <c r="A275" s="0" t="s">
        <v>878</v>
      </c>
      <c r="B275" s="0" t="s">
        <v>73</v>
      </c>
      <c r="C275" s="38" t="n">
        <f aca="false">0.25*Sens!$H$201+0.75*Sens!$I$201</f>
        <v>107.575398943098</v>
      </c>
    </row>
    <row r="276" customFormat="false" ht="17.15" hidden="false" customHeight="false" outlineLevel="0" collapsed="false">
      <c r="A276" s="0" t="s">
        <v>879</v>
      </c>
      <c r="B276" s="0" t="s">
        <v>57</v>
      </c>
      <c r="C276" s="30" t="n">
        <f aca="false">m_cloud*m_x</f>
        <v>13.82</v>
      </c>
    </row>
    <row r="277" customFormat="false" ht="17.15" hidden="false" customHeight="false" outlineLevel="0" collapsed="false">
      <c r="A277" s="0" t="s">
        <v>880</v>
      </c>
      <c r="B277" s="0" t="s">
        <v>73</v>
      </c>
      <c r="C277" s="38" t="n">
        <f aca="false">Sens!$C$275*Sens!$C$276</f>
        <v>1486.69201339361</v>
      </c>
    </row>
    <row r="278" customFormat="false" ht="17.15" hidden="false" customHeight="false" outlineLevel="0" collapsed="false">
      <c r="A278" s="0" t="s">
        <v>881</v>
      </c>
      <c r="B278" s="0" t="s">
        <v>73</v>
      </c>
      <c r="C278" s="38" t="n">
        <f aca="false">0.25*Sens!$H$202+0.75*Sens!$I$202</f>
        <v>72.2947701247864</v>
      </c>
    </row>
    <row r="279" customFormat="false" ht="17.15" hidden="false" customHeight="false" outlineLevel="0" collapsed="false">
      <c r="A279" s="0" t="s">
        <v>882</v>
      </c>
      <c r="B279" s="0" t="s">
        <v>57</v>
      </c>
      <c r="C279" s="30" t="n">
        <f aca="false">m_ai</f>
        <v>6</v>
      </c>
    </row>
    <row r="280" customFormat="false" ht="17.15" hidden="false" customHeight="false" outlineLevel="0" collapsed="false">
      <c r="A280" s="0" t="s">
        <v>883</v>
      </c>
      <c r="B280" s="0" t="s">
        <v>73</v>
      </c>
      <c r="C280" s="38" t="n">
        <f aca="false">Sens!$C$278*Sens!$C$279</f>
        <v>433.768620748718</v>
      </c>
    </row>
    <row r="281" customFormat="false" ht="17.15" hidden="false" customHeight="false" outlineLevel="0" collapsed="false">
      <c r="A281" s="5" t="s">
        <v>884</v>
      </c>
      <c r="B281" s="0" t="s">
        <v>73</v>
      </c>
      <c r="C281" s="38" t="n">
        <f aca="false">Sens!$C$271+Sens!$C$274+Sens!$C$277+Sens!$C$280</f>
        <v>2987.5258739704</v>
      </c>
    </row>
    <row r="282" customFormat="false" ht="17.15" hidden="false" customHeight="false" outlineLevel="0" collapsed="false">
      <c r="A282" s="5" t="s">
        <v>885</v>
      </c>
      <c r="B282" s="0" t="s">
        <v>73</v>
      </c>
      <c r="C282" s="38" t="n">
        <f aca="false">Sens!$H$240</f>
        <v>113.741590679904</v>
      </c>
    </row>
    <row r="283" customFormat="false" ht="15" hidden="false" customHeight="false" outlineLevel="0" collapsed="false">
      <c r="A283" s="5" t="s">
        <v>886</v>
      </c>
      <c r="B283" s="0" t="s">
        <v>73</v>
      </c>
      <c r="C283" s="38" t="n">
        <f aca="false">Sens!$C$281-Sens!$C$282+Sens!$C$264</f>
        <v>3052.7282832905</v>
      </c>
    </row>
    <row r="284" customFormat="false" ht="15" hidden="false" customHeight="false" outlineLevel="0" collapsed="false">
      <c r="A284" s="3" t="s">
        <v>887</v>
      </c>
      <c r="B284" s="8" t="s">
        <v>27</v>
      </c>
      <c r="C284" s="30" t="n">
        <f aca="false">Sens!$C$283/sh_val</f>
        <v>276.758058137828</v>
      </c>
    </row>
    <row r="285" customFormat="false" ht="17.15" hidden="false" customHeight="false" outlineLevel="0" collapsed="false">
      <c r="A285" s="46" t="s">
        <v>888</v>
      </c>
      <c r="B285" s="13" t="s">
        <v>27</v>
      </c>
      <c r="C285" s="43" t="n">
        <f aca="false">w_dcf*Sens!$C$267+(1-w_dcf)*Sens!$C$284</f>
        <v>185.244997752022</v>
      </c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</row>
    <row r="286" customFormat="false" ht="17.15" hidden="false" customHeight="false" outlineLevel="0" collapsed="false">
      <c r="A286" s="5" t="s">
        <v>889</v>
      </c>
      <c r="B286" s="0" t="s">
        <v>27</v>
      </c>
      <c r="C286" s="30" t="n">
        <f aca="false">0.45*Sens!$C$267+0.55*Sens!$C$284</f>
        <v>194.396303790603</v>
      </c>
    </row>
    <row r="289" customFormat="false" ht="19.4" hidden="false" customHeight="false" outlineLevel="0" collapsed="false">
      <c r="A289" s="31" t="s">
        <v>1050</v>
      </c>
    </row>
    <row r="290" customFormat="false" ht="17.15" hidden="false" customHeight="false" outlineLevel="0" collapsed="false">
      <c r="A290" s="6" t="s">
        <v>16</v>
      </c>
      <c r="B290" s="6" t="s">
        <v>17</v>
      </c>
      <c r="C290" s="20" t="s">
        <v>457</v>
      </c>
      <c r="D290" s="20" t="s">
        <v>458</v>
      </c>
      <c r="E290" s="20" t="s">
        <v>540</v>
      </c>
      <c r="F290" s="20" t="s">
        <v>541</v>
      </c>
      <c r="G290" s="20" t="s">
        <v>542</v>
      </c>
      <c r="H290" s="20" t="s">
        <v>543</v>
      </c>
      <c r="I290" s="20" t="s">
        <v>544</v>
      </c>
      <c r="J290" s="20" t="s">
        <v>545</v>
      </c>
      <c r="K290" s="20" t="s">
        <v>546</v>
      </c>
      <c r="L290" s="20" t="s">
        <v>547</v>
      </c>
      <c r="M290" s="20" t="s">
        <v>548</v>
      </c>
      <c r="N290" s="20" t="s">
        <v>549</v>
      </c>
      <c r="O290" s="20" t="s">
        <v>550</v>
      </c>
      <c r="P290" s="6" t="s">
        <v>23</v>
      </c>
      <c r="R290" s="20" t="n">
        <v>2023</v>
      </c>
      <c r="S290" s="20" t="n">
        <v>2024</v>
      </c>
      <c r="T290" s="20" t="n">
        <v>2025</v>
      </c>
      <c r="U290" s="20" t="n">
        <v>2026</v>
      </c>
      <c r="V290" s="20" t="n">
        <v>2027</v>
      </c>
      <c r="W290" s="20" t="n">
        <v>2028</v>
      </c>
      <c r="X290" s="20" t="n">
        <v>2029</v>
      </c>
      <c r="Y290" s="20" t="n">
        <v>2030</v>
      </c>
      <c r="Z290" s="20" t="n">
        <v>2031</v>
      </c>
      <c r="AA290" s="20" t="n">
        <v>2032</v>
      </c>
    </row>
    <row r="291" customFormat="false" ht="17.15" hidden="false" customHeight="false" outlineLevel="0" collapsed="false">
      <c r="A291" s="1" t="s">
        <v>621</v>
      </c>
    </row>
    <row r="292" customFormat="false" ht="17.15" hidden="false" customHeight="false" outlineLevel="0" collapsed="false">
      <c r="A292" s="0" t="s">
        <v>479</v>
      </c>
      <c r="B292" s="0" t="s">
        <v>73</v>
      </c>
      <c r="C292" s="38" t="n">
        <f aca="false">Q!$D$10</f>
        <v>247.029</v>
      </c>
      <c r="D292" s="38" t="n">
        <f aca="false">Q!$E$10</f>
        <v>269.287</v>
      </c>
      <c r="E292" s="38" t="n">
        <f aca="false">Q!$P$10</f>
        <v>134.686</v>
      </c>
      <c r="F292" s="38" t="n">
        <f aca="false">Sens!$O$292*(1+Sens!$F$293)-pd_amt*Q!$O$10/(Q!$O$10+Q!$O$12)</f>
        <v>160.728085930082</v>
      </c>
      <c r="G292" s="38" t="n">
        <f aca="false">Sens!$E$292+Sens!$F$292</f>
        <v>295.414085930082</v>
      </c>
      <c r="H292" s="38" t="n">
        <f aca="false">Sens!$G$292*(1+Sens!$H$293)</f>
        <v>320.828163943375</v>
      </c>
      <c r="I292" s="38" t="n">
        <f aca="false">Sens!$H$292*(1+Sens!$I$293)</f>
        <v>344.575578072228</v>
      </c>
      <c r="J292" s="38" t="n">
        <f aca="false">Sens!$I$292*(1+Sens!$J$293)</f>
        <v>365.942555779681</v>
      </c>
      <c r="K292" s="38" t="n">
        <f aca="false">Sens!$J$292*(1+Sens!$K$293)</f>
        <v>384.239683568665</v>
      </c>
      <c r="L292" s="38" t="n">
        <f aca="false">Sens!$K$292*(1+Sens!$L$293)</f>
        <v>403.451667747098</v>
      </c>
      <c r="M292" s="38" t="n">
        <f aca="false">Sens!$L$292*(1+Sens!$M$293)</f>
        <v>423.624251134453</v>
      </c>
      <c r="N292" s="38" t="n">
        <f aca="false">Q!$N$10</f>
        <v>118.892</v>
      </c>
      <c r="O292" s="38" t="n">
        <f aca="false">Q!$O$10</f>
        <v>150.395</v>
      </c>
      <c r="P292" s="8" t="s">
        <v>622</v>
      </c>
    </row>
    <row r="293" customFormat="false" ht="17.15" hidden="false" customHeight="false" outlineLevel="0" collapsed="false">
      <c r="A293" s="0" t="s">
        <v>623</v>
      </c>
      <c r="B293" s="0" t="s">
        <v>52</v>
      </c>
      <c r="E293" s="12" t="n">
        <f aca="false">Sens!$E$292/Sens!$N$292-1</f>
        <v>0.132843252699929</v>
      </c>
      <c r="F293" s="12" t="n">
        <f aca="false">Sens!$O$292/(Q!$F$10+Q!$G$10)-1</f>
        <v>0.0980382135842941</v>
      </c>
      <c r="G293" s="12" t="n">
        <f aca="false">Sens!$G$292/Sens!$D$292-1</f>
        <v>0.0970231980380869</v>
      </c>
      <c r="H293" s="12" t="n">
        <f aca="false">Sens!$F$293+(g_os-Sens!$F$293)*1/4</f>
        <v>0.0860286601882206</v>
      </c>
      <c r="I293" s="12" t="n">
        <f aca="false">Sens!$F$293+(g_os-Sens!$F$293)*2/4</f>
        <v>0.074019106792147</v>
      </c>
      <c r="J293" s="12" t="n">
        <f aca="false">Sens!$F$293+(g_os-Sens!$F$293)*3/4</f>
        <v>0.0620095533960735</v>
      </c>
      <c r="K293" s="12" t="n">
        <f aca="false">Sens!$F$293+(g_os-Sens!$F$293)*4/4</f>
        <v>0.05</v>
      </c>
      <c r="L293" s="12" t="n">
        <f aca="false">g_os</f>
        <v>0.05</v>
      </c>
      <c r="M293" s="12" t="n">
        <f aca="false">g_os</f>
        <v>0.05</v>
      </c>
      <c r="P293" s="8" t="s">
        <v>624</v>
      </c>
    </row>
    <row r="294" customFormat="false" ht="17.15" hidden="false" customHeight="false" outlineLevel="0" collapsed="false">
      <c r="A294" s="0" t="s">
        <v>480</v>
      </c>
      <c r="B294" s="0" t="s">
        <v>73</v>
      </c>
      <c r="C294" s="38" t="n">
        <f aca="false">Q!$D$11</f>
        <v>21.215</v>
      </c>
      <c r="D294" s="38" t="n">
        <f aca="false">Q!$E$11</f>
        <v>22.561</v>
      </c>
      <c r="E294" s="38" t="n">
        <f aca="false">Q!$P$11</f>
        <v>11.579</v>
      </c>
      <c r="F294" s="38" t="n">
        <f aca="false">Sens!$O$294*(1+Sens!$F$295)</f>
        <v>12.0952613121125</v>
      </c>
      <c r="G294" s="38" t="n">
        <f aca="false">Sens!$E$294+Sens!$F$294</f>
        <v>23.6742613121125</v>
      </c>
      <c r="H294" s="38" t="n">
        <f aca="false">Sens!$G$294*(1+Sens!$H$295)</f>
        <v>24.8803243963206</v>
      </c>
      <c r="I294" s="38" t="n">
        <f aca="false">Sens!$H$294*(1+Sens!$I$295)</f>
        <v>25.9741308664154</v>
      </c>
      <c r="J294" s="38" t="n">
        <f aca="false">Sens!$I$294*(1+Sens!$J$295)</f>
        <v>26.9346894124267</v>
      </c>
      <c r="K294" s="38" t="n">
        <f aca="false">Sens!$J$294*(1+Sens!$K$295)</f>
        <v>27.7427300947995</v>
      </c>
      <c r="L294" s="38" t="n">
        <f aca="false">Sens!$K$294*(1+Sens!$L$295)</f>
        <v>28.5750119976435</v>
      </c>
      <c r="M294" s="38" t="n">
        <f aca="false">Sens!$L$294*(1+Sens!$M$295)</f>
        <v>29.4322623575728</v>
      </c>
      <c r="N294" s="38" t="n">
        <f aca="false">Q!$N$11</f>
        <v>11.128</v>
      </c>
      <c r="O294" s="38" t="n">
        <f aca="false">Q!$O$11</f>
        <v>11.433</v>
      </c>
      <c r="P294" s="8" t="s">
        <v>622</v>
      </c>
    </row>
    <row r="295" customFormat="false" ht="17.15" hidden="false" customHeight="false" outlineLevel="0" collapsed="false">
      <c r="A295" s="0" t="s">
        <v>625</v>
      </c>
      <c r="B295" s="0" t="s">
        <v>52</v>
      </c>
      <c r="E295" s="12" t="n">
        <f aca="false">Sens!$E$294/Sens!$N$294-1</f>
        <v>0.0405283968368082</v>
      </c>
      <c r="F295" s="12" t="n">
        <f aca="false">Sens!$O$294/(Q!$F$11+Q!$G$11)-1</f>
        <v>0.0579254187100955</v>
      </c>
      <c r="G295" s="12" t="n">
        <f aca="false">Sens!$G$294/Sens!$D$294-1</f>
        <v>0.0493445021103904</v>
      </c>
      <c r="H295" s="12" t="n">
        <f aca="false">Sens!$F$295+(g_ps-Sens!$F$295)*1/4</f>
        <v>0.0509440640325716</v>
      </c>
      <c r="I295" s="12" t="n">
        <f aca="false">Sens!$F$295+(g_ps-Sens!$F$295)*2/4</f>
        <v>0.0439627093550477</v>
      </c>
      <c r="J295" s="12" t="n">
        <f aca="false">Sens!$F$295+(g_ps-Sens!$F$295)*3/4</f>
        <v>0.0369813546775239</v>
      </c>
      <c r="K295" s="12" t="n">
        <f aca="false">Sens!$F$295+(g_ps-Sens!$F$295)*4/4</f>
        <v>0.03</v>
      </c>
      <c r="L295" s="12" t="n">
        <f aca="false">g_ps</f>
        <v>0.03</v>
      </c>
      <c r="M295" s="12" t="n">
        <f aca="false">g_ps</f>
        <v>0.03</v>
      </c>
      <c r="P295" s="8" t="s">
        <v>626</v>
      </c>
    </row>
    <row r="296" customFormat="false" ht="17.15" hidden="false" customHeight="false" outlineLevel="0" collapsed="false">
      <c r="A296" s="0" t="s">
        <v>481</v>
      </c>
      <c r="B296" s="0" t="s">
        <v>73</v>
      </c>
      <c r="C296" s="38" t="n">
        <f aca="false">Q!$D$12</f>
        <v>156.146</v>
      </c>
      <c r="D296" s="38" t="n">
        <f aca="false">Q!$E$12</f>
        <v>172.162</v>
      </c>
      <c r="E296" s="38" t="n">
        <f aca="false">Q!$P$12</f>
        <v>88.358</v>
      </c>
      <c r="F296" s="38" t="n">
        <f aca="false">Sens!$O$296*(1+Sens!$F$297)-pd_amt*Q!$O$12/(Q!$O$10+Q!$O$12)</f>
        <v>103.62028337149</v>
      </c>
      <c r="G296" s="38" t="n">
        <f aca="false">Sens!$E$296+Sens!$F$296</f>
        <v>191.97828337149</v>
      </c>
      <c r="H296" s="38" t="n">
        <f aca="false">Sens!$G$296*(1+Sens!$H$297)</f>
        <v>212.128608444755</v>
      </c>
      <c r="I296" s="38" t="n">
        <f aca="false">Sens!$H$296*(1+Sens!$I$297)</f>
        <v>231.92183134134</v>
      </c>
      <c r="J296" s="38" t="n">
        <f aca="false">Sens!$I$296*(1+Sens!$J$297)</f>
        <v>250.859136487863</v>
      </c>
      <c r="K296" s="38" t="n">
        <f aca="false">Sens!$J$296*(1+Sens!$K$297)</f>
        <v>268.419276042014</v>
      </c>
      <c r="L296" s="38" t="n">
        <f aca="false">Sens!$K$296*(1+Sens!$L$297)</f>
        <v>287.208625364954</v>
      </c>
      <c r="M296" s="38" t="n">
        <f aca="false">Sens!$L$296*(1+Sens!$M$297)</f>
        <v>307.313229140501</v>
      </c>
      <c r="N296" s="38" t="n">
        <f aca="false">Q!$N$12</f>
        <v>76.86</v>
      </c>
      <c r="O296" s="38" t="n">
        <f aca="false">Q!$O$12</f>
        <v>95.302</v>
      </c>
      <c r="P296" s="8" t="s">
        <v>622</v>
      </c>
    </row>
    <row r="297" customFormat="false" ht="17.15" hidden="false" customHeight="false" outlineLevel="0" collapsed="false">
      <c r="A297" s="0" t="s">
        <v>627</v>
      </c>
      <c r="B297" s="0" t="s">
        <v>52</v>
      </c>
      <c r="E297" s="12" t="n">
        <f aca="false">Sens!$E$296/Sens!$N$296-1</f>
        <v>0.1495966692688</v>
      </c>
      <c r="F297" s="12" t="n">
        <f aca="false">Sens!$O$296/(Q!$F$12+Q!$G$12)-1</f>
        <v>0.11661530890813</v>
      </c>
      <c r="G297" s="12" t="n">
        <f aca="false">Sens!$G$296/Sens!$D$296-1</f>
        <v>0.115102539303041</v>
      </c>
      <c r="H297" s="12" t="n">
        <f aca="false">Sens!$F$297+(g_sp-Sens!$F$297)*1/4</f>
        <v>0.104961481681098</v>
      </c>
      <c r="I297" s="12" t="n">
        <f aca="false">Sens!$F$297+(g_sp-Sens!$F$297)*2/4</f>
        <v>0.0933076544540651</v>
      </c>
      <c r="J297" s="12" t="n">
        <f aca="false">Sens!$F$297+(g_sp-Sens!$F$297)*3/4</f>
        <v>0.0816538272270325</v>
      </c>
      <c r="K297" s="12" t="n">
        <f aca="false">Sens!$F$297+(g_sp-Sens!$F$297)*4/4</f>
        <v>0.07</v>
      </c>
      <c r="L297" s="12" t="n">
        <f aca="false">g_sp</f>
        <v>0.07</v>
      </c>
      <c r="M297" s="12" t="n">
        <f aca="false">g_sp</f>
        <v>0.07</v>
      </c>
      <c r="P297" s="8" t="s">
        <v>628</v>
      </c>
    </row>
    <row r="298" customFormat="false" ht="17.15" hidden="false" customHeight="false" outlineLevel="0" collapsed="false">
      <c r="A298" s="0" t="s">
        <v>482</v>
      </c>
      <c r="B298" s="0" t="s">
        <v>73</v>
      </c>
      <c r="C298" s="38" t="n">
        <f aca="false">Q!$D$13</f>
        <v>56.214</v>
      </c>
      <c r="D298" s="38" t="n">
        <f aca="false">Q!$E$13</f>
        <v>68.635</v>
      </c>
      <c r="E298" s="38" t="n">
        <f aca="false">Q!$P$13</f>
        <v>37.052</v>
      </c>
      <c r="F298" s="38" t="n">
        <f aca="false">Sens!$O$298*(1+Sens!$F$299)</f>
        <v>48.1533381827382</v>
      </c>
      <c r="G298" s="38" t="n">
        <f aca="false">Sens!$E$298+Sens!$F$298</f>
        <v>85.2053381827382</v>
      </c>
      <c r="H298" s="38" t="n">
        <f aca="false">Sens!$G$298*(1+Sens!$H$299)</f>
        <v>102.29336185894</v>
      </c>
      <c r="I298" s="38" t="n">
        <f aca="false">Sens!$H$298*(1+Sens!$I$299)</f>
        <v>119.379837585241</v>
      </c>
      <c r="J298" s="38" t="n">
        <f aca="false">Sens!$I$298*(1+Sens!$J$299)</f>
        <v>135.319079048844</v>
      </c>
      <c r="K298" s="38" t="n">
        <f aca="false">Sens!$J$298*(1+Sens!$K$299)</f>
        <v>148.850986953729</v>
      </c>
      <c r="L298" s="38" t="n">
        <f aca="false">Sens!$K$298*(1+Sens!$L$299)</f>
        <v>163.736085649102</v>
      </c>
      <c r="M298" s="38" t="n">
        <f aca="false">Sens!$L$298*(1+Sens!$M$299)</f>
        <v>180.109694214012</v>
      </c>
      <c r="N298" s="38" t="n">
        <f aca="false">Q!$N$13</f>
        <v>29.615</v>
      </c>
      <c r="O298" s="38" t="n">
        <f aca="false">Q!$O$13</f>
        <v>39.02</v>
      </c>
      <c r="P298" s="8" t="s">
        <v>622</v>
      </c>
    </row>
    <row r="299" customFormat="false" ht="17.15" hidden="false" customHeight="false" outlineLevel="0" collapsed="false">
      <c r="A299" s="0" t="s">
        <v>629</v>
      </c>
      <c r="B299" s="0" t="s">
        <v>52</v>
      </c>
      <c r="E299" s="12" t="n">
        <f aca="false">Sens!$E$298/Sens!$N$298-1</f>
        <v>0.25112274185379</v>
      </c>
      <c r="F299" s="12" t="n">
        <f aca="false">Sens!$O$298/(Q!$F$13+Q!$G$13)-1</f>
        <v>0.234068123596572</v>
      </c>
      <c r="G299" s="12" t="n">
        <f aca="false">Sens!$G$298/Sens!$D$298-1</f>
        <v>0.241426942270536</v>
      </c>
      <c r="H299" s="12" t="n">
        <f aca="false">Sens!$F$299+(g_ad-Sens!$F$299)*1/4</f>
        <v>0.200551092697429</v>
      </c>
      <c r="I299" s="12" t="n">
        <f aca="false">Sens!$F$299+(g_ad-Sens!$F$299)*2/4</f>
        <v>0.167034061798286</v>
      </c>
      <c r="J299" s="12" t="n">
        <f aca="false">Sens!$F$299+(g_ad-Sens!$F$299)*3/4</f>
        <v>0.133517030899143</v>
      </c>
      <c r="K299" s="12" t="n">
        <f aca="false">Sens!$F$299+(g_ad-Sens!$F$299)*4/4</f>
        <v>0.1</v>
      </c>
      <c r="L299" s="12" t="n">
        <f aca="false">g_ad</f>
        <v>0.1</v>
      </c>
      <c r="M299" s="12" t="n">
        <f aca="false">g_ad</f>
        <v>0.1</v>
      </c>
      <c r="P299" s="8" t="s">
        <v>630</v>
      </c>
    </row>
    <row r="300" customFormat="false" ht="17.15" hidden="false" customHeight="false" outlineLevel="0" collapsed="false">
      <c r="A300" s="0" t="s">
        <v>483</v>
      </c>
      <c r="B300" s="0" t="s">
        <v>73</v>
      </c>
      <c r="C300" s="38" t="n">
        <f aca="false">Q!$D$14</f>
        <v>44.374</v>
      </c>
      <c r="D300" s="38" t="n">
        <f aca="false">Q!$E$14</f>
        <v>49.619</v>
      </c>
      <c r="E300" s="38" t="n">
        <f aca="false">Q!$P$14</f>
        <v>27.157</v>
      </c>
      <c r="F300" s="38" t="n">
        <f aca="false">Sens!$O$300*(1+Sens!$F$301)</f>
        <v>28.9776360923374</v>
      </c>
      <c r="G300" s="38" t="n">
        <f aca="false">Sens!$E$300+Sens!$F$300</f>
        <v>56.1346360923374</v>
      </c>
      <c r="H300" s="38" t="n">
        <f aca="false">Sens!$G$300*(1+Sens!$H$301)</f>
        <v>62.4937078946075</v>
      </c>
      <c r="I300" s="38" t="n">
        <f aca="false">Sens!$H$300*(1+Sens!$I$301)</f>
        <v>68.6715233062498</v>
      </c>
      <c r="J300" s="38" t="n">
        <f aca="false">Sens!$I$300*(1+Sens!$J$301)</f>
        <v>74.4692882949818</v>
      </c>
      <c r="K300" s="38" t="n">
        <f aca="false">Sens!$J$300*(1+Sens!$K$301)</f>
        <v>79.6821384756306</v>
      </c>
      <c r="L300" s="38" t="n">
        <f aca="false">Sens!$K$300*(1+Sens!$L$301)</f>
        <v>85.2598881689247</v>
      </c>
      <c r="M300" s="38" t="n">
        <f aca="false">Sens!$L$300*(1+Sens!$M$301)</f>
        <v>91.2280803407494</v>
      </c>
      <c r="N300" s="38" t="n">
        <f aca="false">Q!$N$14</f>
        <v>23.923</v>
      </c>
      <c r="O300" s="38" t="n">
        <f aca="false">Q!$O$14</f>
        <v>25.696</v>
      </c>
      <c r="P300" s="8" t="s">
        <v>622</v>
      </c>
    </row>
    <row r="301" customFormat="false" ht="17.15" hidden="false" customHeight="false" outlineLevel="0" collapsed="false">
      <c r="A301" s="0" t="s">
        <v>631</v>
      </c>
      <c r="B301" s="0" t="s">
        <v>52</v>
      </c>
      <c r="E301" s="12" t="n">
        <f aca="false">Sens!$E$300/Sens!$N$300-1</f>
        <v>0.135183714417088</v>
      </c>
      <c r="F301" s="12" t="n">
        <f aca="false">Sens!$O$300/(Q!$F$14+Q!$G$14)-1</f>
        <v>0.127709997366804</v>
      </c>
      <c r="G301" s="12" t="n">
        <f aca="false">Sens!$G$300/Sens!$D$300-1</f>
        <v>0.131313329416905</v>
      </c>
      <c r="H301" s="12" t="n">
        <f aca="false">Sens!$F$301+(g_sub-Sens!$F$301)*1/4</f>
        <v>0.113282498025103</v>
      </c>
      <c r="I301" s="12" t="n">
        <f aca="false">Sens!$F$301+(g_sub-Sens!$F$301)*2/4</f>
        <v>0.0988549986834021</v>
      </c>
      <c r="J301" s="12" t="n">
        <f aca="false">Sens!$F$301+(g_sub-Sens!$F$301)*3/4</f>
        <v>0.084427499341701</v>
      </c>
      <c r="K301" s="12" t="n">
        <f aca="false">Sens!$F$301+(g_sub-Sens!$F$301)*4/4</f>
        <v>0.07</v>
      </c>
      <c r="L301" s="12" t="n">
        <f aca="false">g_sub</f>
        <v>0.07</v>
      </c>
      <c r="M301" s="12" t="n">
        <f aca="false">g_sub</f>
        <v>0.07</v>
      </c>
      <c r="P301" s="8" t="s">
        <v>632</v>
      </c>
    </row>
    <row r="302" customFormat="false" ht="17.15" hidden="false" customHeight="false" outlineLevel="0" collapsed="false">
      <c r="A302" s="0" t="s">
        <v>484</v>
      </c>
      <c r="B302" s="0" t="s">
        <v>73</v>
      </c>
      <c r="C302" s="38" t="n">
        <f aca="false">Q!$D$15</f>
        <v>5.425</v>
      </c>
      <c r="D302" s="38" t="n">
        <f aca="false">Q!$E$15</f>
        <v>5.935</v>
      </c>
      <c r="E302" s="38" t="n">
        <f aca="false">Q!$P$15</f>
        <v>3.474</v>
      </c>
      <c r="F302" s="38" t="n">
        <f aca="false">Sens!$O$302*(1+Sens!$F$303)</f>
        <v>3.36182431966931</v>
      </c>
      <c r="G302" s="38" t="n">
        <f aca="false">Sens!$E$302+Sens!$F$302</f>
        <v>6.83582431966931</v>
      </c>
      <c r="H302" s="38" t="n">
        <f aca="false">Sens!$G$302*(1+Sens!$H$303)</f>
        <v>7.31157108370141</v>
      </c>
      <c r="I302" s="38" t="n">
        <f aca="false">Sens!$H$302*(1+Sens!$I$303)</f>
        <v>7.77266852639815</v>
      </c>
      <c r="J302" s="38" t="n">
        <f aca="false">Sens!$I$302*(1+Sens!$J$303)</f>
        <v>8.2120733019884</v>
      </c>
      <c r="K302" s="38" t="n">
        <f aca="false">Sens!$J$302*(1+Sens!$K$303)</f>
        <v>8.62267696708783</v>
      </c>
      <c r="L302" s="38" t="n">
        <f aca="false">Sens!$K$302*(1+Sens!$L$303)</f>
        <v>9.05381081544222</v>
      </c>
      <c r="M302" s="38" t="n">
        <f aca="false">Sens!$L$302*(1+Sens!$M$303)</f>
        <v>9.50650135621433</v>
      </c>
      <c r="N302" s="38" t="n">
        <f aca="false">Q!$N$15</f>
        <v>2.811</v>
      </c>
      <c r="O302" s="38" t="n">
        <f aca="false">Q!$O$15</f>
        <v>3.124</v>
      </c>
      <c r="P302" s="8" t="s">
        <v>622</v>
      </c>
    </row>
    <row r="303" customFormat="false" ht="17.15" hidden="false" customHeight="false" outlineLevel="0" collapsed="false">
      <c r="A303" s="0" t="s">
        <v>633</v>
      </c>
      <c r="B303" s="0" t="s">
        <v>52</v>
      </c>
      <c r="E303" s="12" t="n">
        <f aca="false">Sens!$E$302/Sens!$N$302-1</f>
        <v>0.235859124866596</v>
      </c>
      <c r="F303" s="12" t="n">
        <f aca="false">Sens!$O$302/(Q!$F$15+Q!$G$15)-1</f>
        <v>0.0761281433000345</v>
      </c>
      <c r="G303" s="12" t="n">
        <f aca="false">Sens!$G$302/Sens!$D$302-1</f>
        <v>0.151781688234087</v>
      </c>
      <c r="H303" s="12" t="n">
        <f aca="false">Sens!$F$303+(g_ot-Sens!$F$303)*1/4</f>
        <v>0.0695961074750259</v>
      </c>
      <c r="I303" s="12" t="n">
        <f aca="false">Sens!$F$303+(g_ot-Sens!$F$303)*2/4</f>
        <v>0.0630640716500172</v>
      </c>
      <c r="J303" s="12" t="n">
        <f aca="false">Sens!$F$303+(g_ot-Sens!$F$303)*3/4</f>
        <v>0.0565320358250086</v>
      </c>
      <c r="K303" s="12" t="n">
        <f aca="false">Sens!$F$303+(g_ot-Sens!$F$303)*4/4</f>
        <v>0.05</v>
      </c>
      <c r="L303" s="12" t="n">
        <f aca="false">g_ot</f>
        <v>0.05</v>
      </c>
      <c r="M303" s="12" t="n">
        <f aca="false">g_ot</f>
        <v>0.05</v>
      </c>
      <c r="P303" s="8" t="s">
        <v>634</v>
      </c>
    </row>
    <row r="304" customFormat="false" ht="17.15" hidden="false" customHeight="false" outlineLevel="0" collapsed="false">
      <c r="A304" s="3" t="s">
        <v>635</v>
      </c>
      <c r="B304" s="8" t="s">
        <v>73</v>
      </c>
      <c r="C304" s="38" t="n">
        <f aca="false">Sens!$C$292+Sens!$C$294+Sens!$C$296+Sens!$C$298+Sens!$C$300+Sens!$C$302</f>
        <v>530.403</v>
      </c>
      <c r="D304" s="38" t="n">
        <f aca="false">Sens!$D$292+Sens!$D$294+Sens!$D$296+Sens!$D$298+Sens!$D$300+Sens!$D$302</f>
        <v>588.199</v>
      </c>
      <c r="E304" s="38" t="n">
        <f aca="false">Sens!$E$292+Sens!$E$294+Sens!$E$296+Sens!$E$298+Sens!$E$300+Sens!$E$302</f>
        <v>302.306</v>
      </c>
      <c r="F304" s="38" t="n">
        <f aca="false">Sens!$F$292+Sens!$F$294+Sens!$F$296+Sens!$F$298+Sens!$F$300+Sens!$F$302</f>
        <v>356.93642920843</v>
      </c>
      <c r="G304" s="38" t="n">
        <f aca="false">Sens!$G$292+Sens!$G$294+Sens!$G$296+Sens!$G$298+Sens!$G$300+Sens!$G$302</f>
        <v>659.24242920843</v>
      </c>
      <c r="H304" s="38" t="n">
        <f aca="false">Sens!$H$292+Sens!$H$294+Sens!$H$296+Sens!$H$298+Sens!$H$300+Sens!$H$302</f>
        <v>729.935737621701</v>
      </c>
      <c r="I304" s="38" t="n">
        <f aca="false">Sens!$I$292+Sens!$I$294+Sens!$I$296+Sens!$I$298+Sens!$I$300+Sens!$I$302</f>
        <v>798.295569697873</v>
      </c>
      <c r="J304" s="38" t="n">
        <f aca="false">Sens!$J$292+Sens!$J$294+Sens!$J$296+Sens!$J$298+Sens!$J$300+Sens!$J$302</f>
        <v>861.736822325785</v>
      </c>
      <c r="K304" s="38" t="n">
        <f aca="false">Sens!$K$292+Sens!$K$294+Sens!$K$296+Sens!$K$298+Sens!$K$300+Sens!$K$302</f>
        <v>917.557492101925</v>
      </c>
      <c r="L304" s="38" t="n">
        <f aca="false">Sens!$L$292+Sens!$L$294+Sens!$L$296+Sens!$L$298+Sens!$L$300+Sens!$L$302</f>
        <v>977.285089743165</v>
      </c>
      <c r="M304" s="38" t="n">
        <f aca="false">Sens!$M$292+Sens!$M$294+Sens!$M$296+Sens!$M$298+Sens!$M$300+Sens!$M$302</f>
        <v>1041.2140185435</v>
      </c>
      <c r="N304" s="38" t="n">
        <f aca="false">Sens!$N$292+Sens!$N$294+Sens!$N$296+Sens!$N$298+Sens!$N$300+Sens!$N$302</f>
        <v>263.229</v>
      </c>
      <c r="O304" s="38" t="n">
        <f aca="false">Sens!$O$292+Sens!$O$294+Sens!$O$296+Sens!$O$298+Sens!$O$300+Sens!$O$302</f>
        <v>324.97</v>
      </c>
    </row>
    <row r="305" customFormat="false" ht="17.15" hidden="false" customHeight="false" outlineLevel="0" collapsed="false">
      <c r="A305" s="5" t="s">
        <v>636</v>
      </c>
      <c r="B305" s="0" t="s">
        <v>52</v>
      </c>
      <c r="C305" s="12" t="n">
        <f aca="false">Q!$D$5/(Q!$D$5+Q!$D$6)</f>
        <v>0.730570905519011</v>
      </c>
      <c r="D305" s="12" t="n">
        <f aca="false">Q!$E$5/(Q!$E$5+Q!$E$6)</f>
        <v>0.724763217890544</v>
      </c>
      <c r="E305" s="12" t="n">
        <f aca="false">Q!$P$5/(Q!$P$5+Q!$P$6)</f>
        <v>0.728797972914861</v>
      </c>
      <c r="F305" s="12" t="n">
        <f aca="false">Sens!$O$305</f>
        <v>0.718066283041511</v>
      </c>
      <c r="G305" s="12" t="n">
        <f aca="false">Sens!$G$306/Sens!$G$304</f>
        <v>0.722987468473627</v>
      </c>
      <c r="H305" s="12" t="n">
        <f aca="false">Sens!$G$305</f>
        <v>0.722987468473627</v>
      </c>
      <c r="I305" s="12" t="n">
        <f aca="false">Sens!$G$305</f>
        <v>0.722987468473627</v>
      </c>
      <c r="J305" s="12" t="n">
        <f aca="false">Sens!$G$305</f>
        <v>0.722987468473627</v>
      </c>
      <c r="K305" s="12" t="n">
        <f aca="false">Sens!$G$305</f>
        <v>0.722987468473627</v>
      </c>
      <c r="L305" s="12" t="n">
        <f aca="false">Sens!$G$305</f>
        <v>0.722987468473627</v>
      </c>
      <c r="M305" s="12" t="n">
        <f aca="false">Sens!$G$305</f>
        <v>0.722987468473627</v>
      </c>
      <c r="N305" s="12" t="n">
        <f aca="false">Q!$N$5/(Q!$N$5+Q!$N$6)</f>
        <v>0.733030935041352</v>
      </c>
      <c r="O305" s="12" t="n">
        <f aca="false">Q!$O$5/(Q!$O$5+Q!$O$6)</f>
        <v>0.718066283041511</v>
      </c>
      <c r="P305" s="8" t="s">
        <v>637</v>
      </c>
    </row>
    <row r="306" customFormat="false" ht="17.15" hidden="false" customHeight="false" outlineLevel="0" collapsed="false">
      <c r="A306" s="1" t="s">
        <v>472</v>
      </c>
      <c r="B306" s="8" t="s">
        <v>73</v>
      </c>
      <c r="C306" s="38" t="n">
        <f aca="false">Q!$D$5</f>
        <v>387.497</v>
      </c>
      <c r="D306" s="38" t="n">
        <f aca="false">Q!$E$5</f>
        <v>426.305</v>
      </c>
      <c r="E306" s="38" t="n">
        <f aca="false">Q!$P$5</f>
        <v>220.32</v>
      </c>
      <c r="F306" s="38" t="n">
        <f aca="false">Sens!$F$304*Sens!$F$305</f>
        <v>256.304015003807</v>
      </c>
      <c r="G306" s="38" t="n">
        <f aca="false">Sens!$E$306+Sens!$F$306</f>
        <v>476.624015003807</v>
      </c>
      <c r="H306" s="38" t="n">
        <f aca="false">Sens!$H$304*Sens!$H$305</f>
        <v>527.734391091543</v>
      </c>
      <c r="I306" s="38" t="n">
        <f aca="false">Sens!$I$304*Sens!$I$305</f>
        <v>577.157693029577</v>
      </c>
      <c r="J306" s="38" t="n">
        <f aca="false">Sens!$J$304*Sens!$J$305</f>
        <v>623.024923663827</v>
      </c>
      <c r="K306" s="38" t="n">
        <f aca="false">Sens!$K$304*Sens!$K$305</f>
        <v>663.382568393781</v>
      </c>
      <c r="L306" s="38" t="n">
        <f aca="false">Sens!$L$304*Sens!$L$305</f>
        <v>706.564873010432</v>
      </c>
      <c r="M306" s="38" t="n">
        <f aca="false">Sens!$M$304*Sens!$M$305</f>
        <v>752.784687406019</v>
      </c>
      <c r="N306" s="38" t="n">
        <f aca="false">Q!$N$5</f>
        <v>192.955</v>
      </c>
      <c r="O306" s="38" t="n">
        <f aca="false">Q!$O$5</f>
        <v>233.35</v>
      </c>
      <c r="P306" s="5" t="s">
        <v>638</v>
      </c>
    </row>
    <row r="307" customFormat="false" ht="17.15" hidden="false" customHeight="false" outlineLevel="0" collapsed="false">
      <c r="A307" s="1" t="s">
        <v>475</v>
      </c>
      <c r="B307" s="8" t="s">
        <v>73</v>
      </c>
      <c r="C307" s="38" t="n">
        <f aca="false">Q!$D$6</f>
        <v>142.906</v>
      </c>
      <c r="D307" s="38" t="n">
        <f aca="false">Q!$E$6</f>
        <v>161.894</v>
      </c>
      <c r="E307" s="38" t="n">
        <f aca="false">Q!$P$6</f>
        <v>81.986</v>
      </c>
      <c r="F307" s="38" t="n">
        <f aca="false">Sens!$F$304*(1-Sens!$F$305)</f>
        <v>100.632414204623</v>
      </c>
      <c r="G307" s="38" t="n">
        <f aca="false">Sens!$E$307+Sens!$F$307</f>
        <v>182.618414204623</v>
      </c>
      <c r="H307" s="38" t="n">
        <f aca="false">Sens!$H$304*(1-Sens!$H$305)</f>
        <v>202.201346530158</v>
      </c>
      <c r="I307" s="38" t="n">
        <f aca="false">Sens!$I$304*(1-Sens!$I$305)</f>
        <v>221.137876668296</v>
      </c>
      <c r="J307" s="38" t="n">
        <f aca="false">Sens!$J$304*(1-Sens!$J$305)</f>
        <v>238.711898661958</v>
      </c>
      <c r="K307" s="38" t="n">
        <f aca="false">Sens!$K$304*(1-Sens!$K$305)</f>
        <v>254.174923708144</v>
      </c>
      <c r="L307" s="38" t="n">
        <f aca="false">Sens!$L$304*(1-Sens!$L$305)</f>
        <v>270.720216732733</v>
      </c>
      <c r="M307" s="38" t="n">
        <f aca="false">Sens!$M$304*(1-Sens!$M$305)</f>
        <v>288.429331137484</v>
      </c>
      <c r="N307" s="38" t="n">
        <f aca="false">Q!$N$6</f>
        <v>70.274</v>
      </c>
      <c r="O307" s="38" t="n">
        <f aca="false">Q!$O$6</f>
        <v>91.62</v>
      </c>
      <c r="P307" s="5" t="s">
        <v>639</v>
      </c>
    </row>
    <row r="308" customFormat="false" ht="17.15" hidden="false" customHeight="false" outlineLevel="0" collapsed="false">
      <c r="A308" s="5" t="s">
        <v>640</v>
      </c>
      <c r="B308" s="0" t="s">
        <v>73</v>
      </c>
      <c r="C308" s="38" t="n">
        <f aca="false">Sens!$C$298*Sens!$C$305</f>
        <v>41.0683128828457</v>
      </c>
      <c r="D308" s="38" t="n">
        <f aca="false">Sens!$D$298*Sens!$D$305</f>
        <v>49.7441234599175</v>
      </c>
      <c r="E308" s="38" t="n">
        <f aca="false">Sens!$E$298*Sens!$E$305</f>
        <v>27.0034224924414</v>
      </c>
      <c r="F308" s="38" t="n">
        <f aca="false">Sens!$F$298*Sens!$F$305</f>
        <v>34.5772885649197</v>
      </c>
      <c r="G308" s="38" t="n">
        <f aca="false">Sens!$G$298*Sens!$G$305</f>
        <v>61.6023917531772</v>
      </c>
      <c r="H308" s="38" t="n">
        <f aca="false">Sens!$H$298*Sens!$H$305</f>
        <v>73.9568187320519</v>
      </c>
      <c r="I308" s="38" t="n">
        <f aca="false">Sens!$I$298*Sens!$I$305</f>
        <v>86.3101265625461</v>
      </c>
      <c r="J308" s="38" t="n">
        <f aca="false">Sens!$J$298*Sens!$J$305</f>
        <v>97.8339983977065</v>
      </c>
      <c r="K308" s="38" t="n">
        <f aca="false">Sens!$K$298*Sens!$K$305</f>
        <v>107.617398237477</v>
      </c>
      <c r="L308" s="38" t="n">
        <f aca="false">Sens!$L$298*Sens!$L$305</f>
        <v>118.379138061225</v>
      </c>
      <c r="M308" s="38" t="n">
        <f aca="false">Sens!$M$298*Sens!$M$305</f>
        <v>130.217051867347</v>
      </c>
      <c r="N308" s="38" t="n">
        <f aca="false">Sens!$N$298*Sens!$N$305</f>
        <v>21.7087111412496</v>
      </c>
      <c r="O308" s="38" t="n">
        <f aca="false">Sens!$O$298*Sens!$O$305</f>
        <v>28.0189463642798</v>
      </c>
      <c r="P308" s="5" t="s">
        <v>641</v>
      </c>
    </row>
    <row r="309" customFormat="false" ht="15" hidden="false" customHeight="false" outlineLevel="0" collapsed="false">
      <c r="A309" s="5" t="s">
        <v>642</v>
      </c>
      <c r="B309" s="0" t="s">
        <v>73</v>
      </c>
      <c r="C309" s="38" t="n">
        <f aca="false">Sens!$C$298-Sens!$C$308</f>
        <v>15.1456871171543</v>
      </c>
      <c r="D309" s="38" t="n">
        <f aca="false">Sens!$D$298-Sens!$D$308</f>
        <v>18.8908765400825</v>
      </c>
      <c r="E309" s="38" t="n">
        <f aca="false">Sens!$E$298-Sens!$E$308</f>
        <v>10.0485775075586</v>
      </c>
      <c r="F309" s="38" t="n">
        <f aca="false">Sens!$F$298-Sens!$F$308</f>
        <v>13.5760496178185</v>
      </c>
      <c r="G309" s="38" t="n">
        <f aca="false">Sens!$G$298-Sens!$G$308</f>
        <v>23.6029464295611</v>
      </c>
      <c r="H309" s="38" t="n">
        <f aca="false">Sens!$H$298-Sens!$H$308</f>
        <v>28.3365431268884</v>
      </c>
      <c r="I309" s="38" t="n">
        <f aca="false">Sens!$I$298-Sens!$I$308</f>
        <v>33.0697110226949</v>
      </c>
      <c r="J309" s="38" t="n">
        <f aca="false">Sens!$J$298-Sens!$J$308</f>
        <v>37.4850806511378</v>
      </c>
      <c r="K309" s="38" t="n">
        <f aca="false">Sens!$K$298-Sens!$K$308</f>
        <v>41.2335887162515</v>
      </c>
      <c r="L309" s="38" t="n">
        <f aca="false">Sens!$L$298-Sens!$L$308</f>
        <v>45.3569475878767</v>
      </c>
      <c r="M309" s="38" t="n">
        <f aca="false">Sens!$M$298-Sens!$M$308</f>
        <v>49.8926423466644</v>
      </c>
      <c r="N309" s="38" t="n">
        <f aca="false">Sens!$N$298-Sens!$N$308</f>
        <v>7.90628885875037</v>
      </c>
      <c r="O309" s="38" t="n">
        <f aca="false">Sens!$O$298-Sens!$O$308</f>
        <v>11.0010536357202</v>
      </c>
    </row>
    <row r="310" customFormat="false" ht="19.4" hidden="false" customHeight="false" outlineLevel="0" collapsed="false">
      <c r="A310" s="31" t="s">
        <v>1051</v>
      </c>
    </row>
    <row r="311" customFormat="false" ht="17.15" hidden="false" customHeight="false" outlineLevel="0" collapsed="false">
      <c r="A311" s="6" t="s">
        <v>16</v>
      </c>
      <c r="B311" s="6" t="s">
        <v>17</v>
      </c>
      <c r="C311" s="20" t="s">
        <v>457</v>
      </c>
      <c r="D311" s="20" t="s">
        <v>458</v>
      </c>
      <c r="E311" s="20" t="s">
        <v>540</v>
      </c>
      <c r="F311" s="20" t="s">
        <v>541</v>
      </c>
      <c r="G311" s="20" t="s">
        <v>542</v>
      </c>
      <c r="H311" s="20" t="s">
        <v>543</v>
      </c>
      <c r="I311" s="20" t="s">
        <v>544</v>
      </c>
      <c r="J311" s="20" t="s">
        <v>545</v>
      </c>
      <c r="K311" s="20" t="s">
        <v>546</v>
      </c>
      <c r="L311" s="20" t="s">
        <v>547</v>
      </c>
      <c r="M311" s="20" t="s">
        <v>548</v>
      </c>
      <c r="N311" s="20" t="s">
        <v>549</v>
      </c>
      <c r="O311" s="20" t="s">
        <v>550</v>
      </c>
      <c r="P311" s="6" t="s">
        <v>23</v>
      </c>
      <c r="R311" s="20" t="n">
        <v>2023</v>
      </c>
      <c r="S311" s="20" t="n">
        <v>2024</v>
      </c>
      <c r="T311" s="20" t="n">
        <v>2025</v>
      </c>
      <c r="U311" s="20" t="n">
        <v>2026</v>
      </c>
      <c r="V311" s="20" t="n">
        <v>2027</v>
      </c>
      <c r="W311" s="20" t="n">
        <v>2028</v>
      </c>
      <c r="X311" s="20" t="n">
        <v>2029</v>
      </c>
      <c r="Y311" s="20" t="n">
        <v>2030</v>
      </c>
      <c r="Z311" s="20" t="n">
        <v>2031</v>
      </c>
      <c r="AA311" s="20" t="n">
        <v>2032</v>
      </c>
    </row>
    <row r="312" customFormat="false" ht="17.15" hidden="false" customHeight="false" outlineLevel="0" collapsed="false">
      <c r="A312" s="1" t="s">
        <v>551</v>
      </c>
    </row>
    <row r="313" customFormat="false" ht="17.15" hidden="false" customHeight="false" outlineLevel="0" collapsed="false">
      <c r="A313" s="14" t="s">
        <v>552</v>
      </c>
      <c r="B313" s="13" t="s">
        <v>108</v>
      </c>
      <c r="C313" s="32" t="n">
        <f aca="false">mw_ye24</f>
        <v>360</v>
      </c>
      <c r="D313" s="32" t="n">
        <f aca="false">mw_ye25</f>
        <v>1440</v>
      </c>
      <c r="E313" s="32" t="n">
        <f aca="false">mw_open</f>
        <v>2080</v>
      </c>
      <c r="F313" s="32" t="n">
        <f aca="false">Sens!$E$313+pace_B*0.5</f>
        <v>3897.15</v>
      </c>
      <c r="G313" s="32" t="n">
        <f aca="false">Sens!$F$313</f>
        <v>3897.15</v>
      </c>
      <c r="H313" s="32" t="n">
        <f aca="false">Sens!$G$313+pace_B</f>
        <v>7531.45</v>
      </c>
      <c r="I313" s="32" t="n">
        <f aca="false">Sens!$H$313+pace_B</f>
        <v>11165.75</v>
      </c>
      <c r="J313" s="32" t="n">
        <f aca="false">Sens!$I$313+pace_B</f>
        <v>14800.05</v>
      </c>
      <c r="K313" s="32" t="n">
        <f aca="false">Sens!$J$313+pace_B</f>
        <v>18434.35</v>
      </c>
      <c r="L313" s="32" t="n">
        <f aca="false">Sens!$K$313+pace_B</f>
        <v>22068.65</v>
      </c>
      <c r="M313" s="32" t="n">
        <f aca="false">Sens!$L$313+pace_B</f>
        <v>25702.95</v>
      </c>
      <c r="N313" s="32" t="n">
        <f aca="false">(mw_ye24+mw_ye25)/2</f>
        <v>900</v>
      </c>
      <c r="O313" s="32" t="n">
        <f aca="false">mw_ye25</f>
        <v>1440</v>
      </c>
      <c r="P313" s="5" t="s">
        <v>553</v>
      </c>
    </row>
    <row r="314" customFormat="false" ht="17.15" hidden="false" customHeight="false" outlineLevel="0" collapsed="false">
      <c r="A314" s="5" t="s">
        <v>554</v>
      </c>
      <c r="B314" s="0" t="s">
        <v>108</v>
      </c>
      <c r="C314" s="33" t="n">
        <f aca="false">(mw_ye23+mw_ye24)/2</f>
        <v>240</v>
      </c>
      <c r="D314" s="33" t="n">
        <f aca="false">(Sens!$C$313+Sens!$D$313)/2</f>
        <v>900</v>
      </c>
      <c r="E314" s="33" t="n">
        <f aca="false">(Sens!$D$313+Sens!$E$313)/2</f>
        <v>1760</v>
      </c>
      <c r="F314" s="33" t="n">
        <f aca="false">(Sens!$E$313+Sens!$F$313)/2</f>
        <v>2988.575</v>
      </c>
      <c r="G314" s="33" t="n">
        <f aca="false">(Sens!$E$314+Sens!$F$314)/2</f>
        <v>2374.2875</v>
      </c>
      <c r="H314" s="33" t="n">
        <f aca="false">(Sens!$G$313+Sens!$H$313)/2</f>
        <v>5714.3</v>
      </c>
      <c r="I314" s="33" t="n">
        <f aca="false">(Sens!$H$313+Sens!$I$313)/2</f>
        <v>9348.6</v>
      </c>
      <c r="J314" s="33" t="n">
        <f aca="false">(Sens!$I$313+Sens!$J$313)/2</f>
        <v>12982.9</v>
      </c>
      <c r="K314" s="33" t="n">
        <f aca="false">(Sens!$J$313+Sens!$K$313)/2</f>
        <v>16617.2</v>
      </c>
      <c r="L314" s="33" t="n">
        <f aca="false">(Sens!$K$313+Sens!$L$313)/2</f>
        <v>20251.5</v>
      </c>
      <c r="M314" s="33" t="n">
        <f aca="false">(Sens!$L$313+Sens!$M$313)/2</f>
        <v>23885.8</v>
      </c>
      <c r="N314" s="33" t="n">
        <f aca="false">(Sens!$C$313+Sens!$N$313)/2</f>
        <v>630</v>
      </c>
      <c r="O314" s="33" t="n">
        <f aca="false">(Sens!$N$313+Sens!$O$313)/2</f>
        <v>1170</v>
      </c>
    </row>
    <row r="315" customFormat="false" ht="15" hidden="false" customHeight="false" outlineLevel="0" collapsed="false">
      <c r="A315" s="5" t="s">
        <v>555</v>
      </c>
      <c r="B315" s="5" t="s">
        <v>102</v>
      </c>
      <c r="C315" s="34" t="n">
        <v>1</v>
      </c>
      <c r="D315" s="34" t="n">
        <v>1</v>
      </c>
      <c r="E315" s="34" t="n">
        <v>0.5</v>
      </c>
      <c r="F315" s="34" t="n">
        <v>0.5</v>
      </c>
      <c r="G315" s="34" t="n">
        <v>1</v>
      </c>
      <c r="H315" s="34" t="n">
        <v>1</v>
      </c>
      <c r="I315" s="34" t="n">
        <v>1</v>
      </c>
      <c r="J315" s="34" t="n">
        <v>1</v>
      </c>
      <c r="K315" s="34" t="n">
        <v>1</v>
      </c>
      <c r="L315" s="34" t="n">
        <v>1</v>
      </c>
      <c r="M315" s="34" t="n">
        <v>1</v>
      </c>
      <c r="N315" s="34" t="n">
        <v>0.5</v>
      </c>
      <c r="O315" s="34" t="n">
        <v>0.5</v>
      </c>
    </row>
    <row r="316" customFormat="false" ht="17.15" hidden="false" customHeight="false" outlineLevel="0" collapsed="false">
      <c r="A316" s="5" t="s">
        <v>556</v>
      </c>
      <c r="B316" s="0" t="s">
        <v>108</v>
      </c>
      <c r="C316" s="33" t="n">
        <f aca="false">Sens!$C$313-mw_ye23</f>
        <v>240</v>
      </c>
      <c r="D316" s="33" t="n">
        <f aca="false">Sens!$D$313-Sens!$C$313</f>
        <v>1080</v>
      </c>
      <c r="E316" s="33" t="n">
        <f aca="false">Sens!$E$313-Sens!$D$313</f>
        <v>640</v>
      </c>
      <c r="F316" s="33" t="n">
        <f aca="false">Sens!$F$313-Sens!$E$313</f>
        <v>1817.15</v>
      </c>
      <c r="G316" s="33" t="n">
        <f aca="false">Sens!$E$316+Sens!$F$316</f>
        <v>2457.15</v>
      </c>
      <c r="H316" s="33" t="n">
        <f aca="false">Sens!$H$313-Sens!$G$313</f>
        <v>3634.3</v>
      </c>
      <c r="I316" s="33" t="n">
        <f aca="false">Sens!$I$313-Sens!$H$313</f>
        <v>3634.3</v>
      </c>
      <c r="J316" s="33" t="n">
        <f aca="false">Sens!$J$313-Sens!$I$313</f>
        <v>3634.3</v>
      </c>
      <c r="K316" s="33" t="n">
        <f aca="false">Sens!$K$313-Sens!$J$313</f>
        <v>3634.3</v>
      </c>
      <c r="L316" s="33" t="n">
        <f aca="false">Sens!$L$313-Sens!$K$313</f>
        <v>3634.3</v>
      </c>
      <c r="M316" s="33" t="n">
        <f aca="false">Sens!$M$313-Sens!$L$313</f>
        <v>3634.3</v>
      </c>
      <c r="N316" s="33" t="n">
        <f aca="false">Sens!$N$313-Sens!$C$313</f>
        <v>540</v>
      </c>
      <c r="O316" s="33" t="n">
        <f aca="false">Sens!$O$313-Sens!$N$313</f>
        <v>540</v>
      </c>
    </row>
    <row r="317" customFormat="false" ht="17.15" hidden="false" customHeight="false" outlineLevel="0" collapsed="false">
      <c r="A317" s="5" t="s">
        <v>557</v>
      </c>
      <c r="B317" s="0" t="s">
        <v>108</v>
      </c>
      <c r="C317" s="33" t="n">
        <f aca="false">Sens!$C$316/ext_sh</f>
        <v>300</v>
      </c>
      <c r="D317" s="33" t="n">
        <f aca="false">Sens!$D$316/ext_sh</f>
        <v>1350</v>
      </c>
      <c r="E317" s="33" t="n">
        <f aca="false">Sens!$E$316/ext_sh</f>
        <v>800</v>
      </c>
      <c r="F317" s="33" t="n">
        <f aca="false">Sens!$F$316/ext_sh</f>
        <v>2271.4375</v>
      </c>
      <c r="G317" s="33" t="n">
        <f aca="false">Sens!$G$316/ext_sh</f>
        <v>3071.4375</v>
      </c>
      <c r="H317" s="33" t="n">
        <f aca="false">Sens!$H$316/ext_sh</f>
        <v>4542.875</v>
      </c>
      <c r="I317" s="33" t="n">
        <f aca="false">Sens!$I$316/ext_sh</f>
        <v>4542.875</v>
      </c>
      <c r="J317" s="33" t="n">
        <f aca="false">Sens!$J$316/ext_sh</f>
        <v>4542.875</v>
      </c>
      <c r="K317" s="33" t="n">
        <f aca="false">Sens!$K$316/ext_sh</f>
        <v>4542.875</v>
      </c>
      <c r="L317" s="33" t="n">
        <f aca="false">Sens!$L$316/ext_sh</f>
        <v>4542.875</v>
      </c>
      <c r="M317" s="33" t="n">
        <f aca="false">Sens!$M$316/ext_sh</f>
        <v>4542.875</v>
      </c>
      <c r="N317" s="33" t="n">
        <f aca="false">Sens!$N$316/ext_sh</f>
        <v>675</v>
      </c>
      <c r="O317" s="33" t="n">
        <f aca="false">Sens!$O$316/ext_sh</f>
        <v>675</v>
      </c>
      <c r="P317" s="8" t="s">
        <v>558</v>
      </c>
      <c r="R317" s="33" t="n">
        <f aca="false">mw_ye23/ext_sh</f>
        <v>150</v>
      </c>
      <c r="S317" s="33" t="n">
        <f aca="false">Sens!$C$317</f>
        <v>300</v>
      </c>
      <c r="T317" s="33" t="n">
        <f aca="false">Sens!$D$317</f>
        <v>1350</v>
      </c>
      <c r="U317" s="33" t="n">
        <f aca="false">Sens!$G$317</f>
        <v>3071.4375</v>
      </c>
      <c r="V317" s="33" t="n">
        <f aca="false">Sens!$H$317</f>
        <v>4542.875</v>
      </c>
      <c r="W317" s="33" t="n">
        <f aca="false">Sens!$I$317</f>
        <v>4542.875</v>
      </c>
      <c r="X317" s="33" t="n">
        <f aca="false">Sens!$J$317</f>
        <v>4542.875</v>
      </c>
      <c r="Y317" s="33" t="n">
        <f aca="false">Sens!$K$317</f>
        <v>4542.875</v>
      </c>
      <c r="Z317" s="33" t="n">
        <f aca="false">Sens!$L$317</f>
        <v>4542.875</v>
      </c>
      <c r="AA317" s="33" t="n">
        <f aca="false">Sens!$M$317</f>
        <v>4542.875</v>
      </c>
    </row>
    <row r="318" customFormat="false" ht="17.15" hidden="false" customHeight="false" outlineLevel="0" collapsed="false">
      <c r="A318" s="1" t="s">
        <v>559</v>
      </c>
    </row>
    <row r="319" customFormat="false" ht="17.15" hidden="false" customHeight="false" outlineLevel="0" collapsed="false">
      <c r="A319" s="0" t="s">
        <v>560</v>
      </c>
      <c r="B319" s="0" t="s">
        <v>52</v>
      </c>
      <c r="F319" s="35" t="n">
        <f aca="false">na_vr26</f>
        <v>0</v>
      </c>
      <c r="G319" s="35" t="n">
        <f aca="false">na_vr26</f>
        <v>0</v>
      </c>
      <c r="H319" s="35" t="n">
        <f aca="false">na_vr27</f>
        <v>0.5</v>
      </c>
      <c r="I319" s="35" t="n">
        <f aca="false">na_vr28</f>
        <v>1</v>
      </c>
      <c r="J319" s="35" t="n">
        <f aca="false">na_vr28</f>
        <v>1</v>
      </c>
      <c r="K319" s="35" t="n">
        <f aca="false">na_vr28</f>
        <v>1</v>
      </c>
      <c r="L319" s="35" t="n">
        <f aca="false">na_vr28</f>
        <v>1</v>
      </c>
      <c r="M319" s="35" t="n">
        <f aca="false">na_vr28</f>
        <v>1</v>
      </c>
    </row>
    <row r="320" customFormat="false" ht="17.15" hidden="false" customHeight="false" outlineLevel="0" collapsed="false">
      <c r="A320" s="5" t="s">
        <v>561</v>
      </c>
      <c r="B320" s="0" t="s">
        <v>151</v>
      </c>
      <c r="F320" s="36" t="n">
        <f aca="false">cust_sh*tk_he_gb300*cf_chip+(1-cust_sh)*((1-Sens!$F$319)*tk_he_gb300+Sens!$F$319*tk_he_vr200)</f>
        <v>10.8864110021101</v>
      </c>
      <c r="G320" s="36" t="n">
        <f aca="false">cust_sh*tk_he_gb300*cf_chip+(1-cust_sh)*((1-Sens!$G$319)*tk_he_gb300+Sens!$G$319*tk_he_vr200)</f>
        <v>10.8864110021101</v>
      </c>
      <c r="H320" s="36" t="n">
        <f aca="false">cust_sh*tk_he_gb300*cf_chip+(1-cust_sh)*((1-Sens!$H$319)*tk_he_gb300+Sens!$H$319*tk_he_vr200)</f>
        <v>11.2211760027286</v>
      </c>
      <c r="I320" s="36" t="n">
        <f aca="false">cust_sh*tk_he_gb300*cf_chip+(1-cust_sh)*((1-Sens!$I$319)*tk_he_gb300+Sens!$I$319*tk_he_vr200)</f>
        <v>11.5559410033471</v>
      </c>
      <c r="J320" s="36" t="n">
        <f aca="false">cust_sh*tk_he_gb300*cf_chip+(1-cust_sh)*((1-Sens!$J$319)*tk_he_gb300+Sens!$J$319*tk_he_vr200)</f>
        <v>11.5559410033471</v>
      </c>
      <c r="K320" s="36" t="n">
        <f aca="false">cust_sh*tk_he_gb300*cf_chip+(1-cust_sh)*((1-Sens!$K$319)*tk_he_gb300+Sens!$K$319*tk_he_vr200)</f>
        <v>11.5559410033471</v>
      </c>
      <c r="L320" s="36" t="n">
        <f aca="false">cust_sh*tk_he_gb300*cf_chip+(1-cust_sh)*((1-Sens!$L$319)*tk_he_gb300+Sens!$L$319*tk_he_vr200)</f>
        <v>11.5559410033471</v>
      </c>
      <c r="M320" s="36" t="n">
        <f aca="false">cust_sh*tk_he_gb300*cf_chip+(1-cust_sh)*((1-Sens!$M$319)*tk_he_gb300+Sens!$M$319*tk_he_vr200)</f>
        <v>11.5559410033471</v>
      </c>
    </row>
    <row r="321" customFormat="false" ht="17.15" hidden="false" customHeight="false" outlineLevel="0" collapsed="false">
      <c r="A321" s="5" t="s">
        <v>562</v>
      </c>
      <c r="B321" s="0" t="s">
        <v>151</v>
      </c>
      <c r="F321" s="36" t="n">
        <f aca="false">cust_sh*tk_ox_gb300+(1-cust_sh)*((1-Sens!$F$319)*tk_ox_gb300+Sens!$F$319*tk_ox_vr200)</f>
        <v>1.98263481314457</v>
      </c>
      <c r="G321" s="36" t="n">
        <f aca="false">cust_sh*tk_ox_gb300+(1-cust_sh)*((1-Sens!$G$319)*tk_ox_gb300+Sens!$G$319*tk_ox_vr200)</f>
        <v>1.98263481314457</v>
      </c>
      <c r="H321" s="36" t="n">
        <f aca="false">cust_sh*tk_ox_gb300+(1-cust_sh)*((1-Sens!$H$319)*tk_ox_gb300+Sens!$H$319*tk_ox_vr200)</f>
        <v>2.01034999693694</v>
      </c>
      <c r="I321" s="36" t="n">
        <f aca="false">cust_sh*tk_ox_gb300+(1-cust_sh)*((1-Sens!$I$319)*tk_ox_gb300+Sens!$I$319*tk_ox_vr200)</f>
        <v>2.0380651807293</v>
      </c>
      <c r="J321" s="36" t="n">
        <f aca="false">cust_sh*tk_ox_gb300+(1-cust_sh)*((1-Sens!$J$319)*tk_ox_gb300+Sens!$J$319*tk_ox_vr200)</f>
        <v>2.0380651807293</v>
      </c>
      <c r="K321" s="36" t="n">
        <f aca="false">cust_sh*tk_ox_gb300+(1-cust_sh)*((1-Sens!$K$319)*tk_ox_gb300+Sens!$K$319*tk_ox_vr200)</f>
        <v>2.0380651807293</v>
      </c>
      <c r="L321" s="36" t="n">
        <f aca="false">cust_sh*tk_ox_gb300+(1-cust_sh)*((1-Sens!$L$319)*tk_ox_gb300+Sens!$L$319*tk_ox_vr200)</f>
        <v>2.0380651807293</v>
      </c>
      <c r="M321" s="36" t="n">
        <f aca="false">cust_sh*tk_ox_gb300+(1-cust_sh)*((1-Sens!$M$319)*tk_ox_gb300+Sens!$M$319*tk_ox_vr200)</f>
        <v>2.0380651807293</v>
      </c>
    </row>
    <row r="322" customFormat="false" ht="17.15" hidden="false" customHeight="false" outlineLevel="0" collapsed="false">
      <c r="A322" s="5" t="s">
        <v>563</v>
      </c>
      <c r="B322" s="0" t="s">
        <v>170</v>
      </c>
      <c r="F322" s="36" t="n">
        <f aca="false">cust_sh*tk_cx_gb300*cf_cx+(1-cust_sh)*((1-Sens!$F$319)*tk_cx_gb300+Sens!$F$319*tk_cx_vr200)</f>
        <v>32.237224</v>
      </c>
      <c r="G322" s="36" t="n">
        <f aca="false">cust_sh*tk_cx_gb300*cf_cx+(1-cust_sh)*((1-Sens!$G$319)*tk_cx_gb300+Sens!$G$319*tk_cx_vr200)</f>
        <v>32.237224</v>
      </c>
      <c r="H322" s="36" t="n">
        <f aca="false">cust_sh*tk_cx_gb300*cf_cx+(1-cust_sh)*((1-Sens!$H$319)*tk_cx_gb300+Sens!$H$319*tk_cx_vr200)</f>
        <v>33.574506</v>
      </c>
      <c r="I322" s="36" t="n">
        <f aca="false">cust_sh*tk_cx_gb300*cf_cx+(1-cust_sh)*((1-Sens!$I$319)*tk_cx_gb300+Sens!$I$319*tk_cx_vr200)</f>
        <v>34.911788</v>
      </c>
      <c r="J322" s="36" t="n">
        <f aca="false">cust_sh*tk_cx_gb300*cf_cx+(1-cust_sh)*((1-Sens!$J$319)*tk_cx_gb300+Sens!$J$319*tk_cx_vr200)</f>
        <v>34.911788</v>
      </c>
      <c r="K322" s="36" t="n">
        <f aca="false">cust_sh*tk_cx_gb300*cf_cx+(1-cust_sh)*((1-Sens!$K$319)*tk_cx_gb300+Sens!$K$319*tk_cx_vr200)</f>
        <v>34.911788</v>
      </c>
      <c r="L322" s="36" t="n">
        <f aca="false">cust_sh*tk_cx_gb300*cf_cx+(1-cust_sh)*((1-Sens!$L$319)*tk_cx_gb300+Sens!$L$319*tk_cx_vr200)</f>
        <v>34.911788</v>
      </c>
      <c r="M322" s="36" t="n">
        <f aca="false">cust_sh*tk_cx_gb300*cf_cx+(1-cust_sh)*((1-Sens!$M$319)*tk_cx_gb300+Sens!$M$319*tk_cx_vr200)</f>
        <v>34.911788</v>
      </c>
    </row>
    <row r="323" customFormat="false" ht="17.15" hidden="false" customHeight="false" outlineLevel="0" collapsed="false">
      <c r="A323" s="5" t="s">
        <v>564</v>
      </c>
      <c r="B323" s="0" t="s">
        <v>108</v>
      </c>
      <c r="F323" s="33" t="n">
        <f aca="false">Sens!$F$313-mw_open</f>
        <v>1817.15</v>
      </c>
      <c r="G323" s="33" t="n">
        <f aca="false">Sens!$F$323</f>
        <v>1817.15</v>
      </c>
      <c r="H323" s="33" t="n">
        <f aca="false">Sens!$H$313-mw_open</f>
        <v>5451.45</v>
      </c>
      <c r="I323" s="33" t="n">
        <f aca="false">Sens!$I$313-mw_open</f>
        <v>9085.75</v>
      </c>
      <c r="J323" s="33" t="n">
        <f aca="false">Sens!$J$313-mw_open</f>
        <v>12720.05</v>
      </c>
      <c r="K323" s="33" t="n">
        <f aca="false">Sens!$K$313-mw_open</f>
        <v>16354.35</v>
      </c>
      <c r="L323" s="33" t="n">
        <f aca="false">Sens!$L$313-mw_open</f>
        <v>19988.65</v>
      </c>
      <c r="M323" s="33" t="n">
        <f aca="false">Sens!$M$313-mw_open</f>
        <v>23622.95</v>
      </c>
    </row>
    <row r="324" customFormat="false" ht="17.15" hidden="false" customHeight="false" outlineLevel="0" collapsed="false">
      <c r="A324" s="0" t="s">
        <v>565</v>
      </c>
      <c r="B324" s="0" t="s">
        <v>566</v>
      </c>
      <c r="F324" s="33" t="n">
        <f aca="false">Sens!$F$316*Sens!$F$320</f>
        <v>19782.2417524844</v>
      </c>
      <c r="G324" s="33" t="n">
        <f aca="false">Sens!$F$324</f>
        <v>19782.2417524844</v>
      </c>
      <c r="H324" s="33" t="n">
        <f aca="false">Sens!$G$324+Sens!$H$316*Sens!$H$320</f>
        <v>60563.3616992009</v>
      </c>
      <c r="I324" s="33" t="n">
        <f aca="false">Sens!$H$324+Sens!$I$316*Sens!$I$320</f>
        <v>102561.118087665</v>
      </c>
      <c r="J324" s="33" t="n">
        <f aca="false">Sens!$I$324+Sens!$J$316*Sens!$J$320</f>
        <v>144558.87447613</v>
      </c>
      <c r="K324" s="33" t="n">
        <f aca="false">Sens!$J$324+Sens!$K$316*Sens!$K$320</f>
        <v>186556.630864594</v>
      </c>
      <c r="L324" s="33" t="n">
        <f aca="false">Sens!$K$324+Sens!$L$316*Sens!$L$320</f>
        <v>228554.387253058</v>
      </c>
      <c r="M324" s="33" t="n">
        <f aca="false">Sens!$L$324+Sens!$M$316*Sens!$M$320</f>
        <v>270552.143641523</v>
      </c>
    </row>
    <row r="325" customFormat="false" ht="17.15" hidden="false" customHeight="false" outlineLevel="0" collapsed="false">
      <c r="A325" s="0" t="s">
        <v>567</v>
      </c>
      <c r="B325" s="0" t="s">
        <v>566</v>
      </c>
      <c r="F325" s="33" t="n">
        <f aca="false">Sens!$F$316*Sens!$F$321</f>
        <v>3602.74485070566</v>
      </c>
      <c r="G325" s="33" t="n">
        <f aca="false">Sens!$F$325</f>
        <v>3602.74485070566</v>
      </c>
      <c r="H325" s="33" t="n">
        <f aca="false">Sens!$G$325+Sens!$H$316*Sens!$H$321</f>
        <v>10908.9598445736</v>
      </c>
      <c r="I325" s="33" t="n">
        <f aca="false">Sens!$H$325+Sens!$I$316*Sens!$I$321</f>
        <v>18315.9001308981</v>
      </c>
      <c r="J325" s="33" t="n">
        <f aca="false">Sens!$I$325+Sens!$J$316*Sens!$J$321</f>
        <v>25722.8404172225</v>
      </c>
      <c r="K325" s="33" t="n">
        <f aca="false">Sens!$J$325+Sens!$K$316*Sens!$K$321</f>
        <v>33129.780703547</v>
      </c>
      <c r="L325" s="33" t="n">
        <f aca="false">Sens!$K$325+Sens!$L$316*Sens!$L$321</f>
        <v>40536.7209898715</v>
      </c>
      <c r="M325" s="33" t="n">
        <f aca="false">Sens!$L$325+Sens!$M$316*Sens!$M$321</f>
        <v>47943.661276196</v>
      </c>
    </row>
    <row r="326" customFormat="false" ht="17.15" hidden="false" customHeight="false" outlineLevel="0" collapsed="false">
      <c r="A326" s="5" t="s">
        <v>568</v>
      </c>
      <c r="B326" s="0" t="s">
        <v>151</v>
      </c>
      <c r="F326" s="36" t="n">
        <f aca="false">IF(Sens!$F$323&gt;0,Sens!$F$324/Sens!$F$323,Sens!$F$320)</f>
        <v>10.8864110021101</v>
      </c>
      <c r="G326" s="36" t="n">
        <f aca="false">IF(Sens!$G$323&gt;0,Sens!$G$324/Sens!$G$323,Sens!$G$320)</f>
        <v>10.8864110021101</v>
      </c>
      <c r="H326" s="36" t="n">
        <f aca="false">IF(Sens!$H$323&gt;0,Sens!$H$324/Sens!$H$323,Sens!$H$320)</f>
        <v>11.1095876691891</v>
      </c>
      <c r="I326" s="36" t="n">
        <f aca="false">IF(Sens!$I$323&gt;0,Sens!$I$324/Sens!$I$323,Sens!$I$320)</f>
        <v>11.2881290028523</v>
      </c>
      <c r="J326" s="36" t="n">
        <f aca="false">IF(Sens!$J$323&gt;0,Sens!$J$324/Sens!$J$323,Sens!$J$320)</f>
        <v>11.3646467172794</v>
      </c>
      <c r="K326" s="36" t="n">
        <f aca="false">IF(Sens!$K$323&gt;0,Sens!$K$324/Sens!$K$323,Sens!$K$320)</f>
        <v>11.4071565586278</v>
      </c>
      <c r="L326" s="36" t="n">
        <f aca="false">IF(Sens!$L$323&gt;0,Sens!$L$324/Sens!$L$323,Sens!$L$320)</f>
        <v>11.4342082758495</v>
      </c>
      <c r="M326" s="36" t="n">
        <f aca="false">IF(Sens!$M$323&gt;0,Sens!$M$324/Sens!$M$323,Sens!$M$320)</f>
        <v>11.4529363877722</v>
      </c>
    </row>
    <row r="327" customFormat="false" ht="17.15" hidden="false" customHeight="false" outlineLevel="0" collapsed="false">
      <c r="A327" s="5" t="s">
        <v>569</v>
      </c>
      <c r="B327" s="0" t="s">
        <v>151</v>
      </c>
      <c r="F327" s="36" t="n">
        <f aca="false">IF(Sens!$F$323&gt;0,Sens!$F$325/Sens!$F$323,Sens!$F$321)</f>
        <v>1.98263481314457</v>
      </c>
      <c r="G327" s="36" t="n">
        <f aca="false">IF(Sens!$G$323&gt;0,Sens!$G$325/Sens!$G$323,Sens!$G$321)</f>
        <v>1.98263481314457</v>
      </c>
      <c r="H327" s="36" t="n">
        <f aca="false">IF(Sens!$H$323&gt;0,Sens!$H$325/Sens!$H$323,Sens!$H$321)</f>
        <v>2.00111160233948</v>
      </c>
      <c r="I327" s="36" t="n">
        <f aca="false">IF(Sens!$I$323&gt;0,Sens!$I$325/Sens!$I$323,Sens!$I$321)</f>
        <v>2.01589303369541</v>
      </c>
      <c r="J327" s="36" t="n">
        <f aca="false">IF(Sens!$J$323&gt;0,Sens!$J$325/Sens!$J$323,Sens!$J$321)</f>
        <v>2.02222793284795</v>
      </c>
      <c r="K327" s="36" t="n">
        <f aca="false">IF(Sens!$K$323&gt;0,Sens!$K$325/Sens!$K$323,Sens!$K$321)</f>
        <v>2.02574732126603</v>
      </c>
      <c r="L327" s="36" t="n">
        <f aca="false">IF(Sens!$L$323&gt;0,Sens!$L$325/Sens!$L$323,Sens!$L$321)</f>
        <v>2.02798693207753</v>
      </c>
      <c r="M327" s="36" t="n">
        <f aca="false">IF(Sens!$M$323&gt;0,Sens!$M$325/Sens!$M$323,Sens!$M$321)</f>
        <v>2.02953743187011</v>
      </c>
    </row>
    <row r="328" customFormat="false" ht="17.15" hidden="false" customHeight="false" outlineLevel="0" collapsed="false">
      <c r="A328" s="14" t="s">
        <v>570</v>
      </c>
      <c r="B328" s="13" t="s">
        <v>151</v>
      </c>
      <c r="C328" s="13"/>
      <c r="D328" s="13"/>
      <c r="E328" s="13"/>
      <c r="F328" s="37" t="n">
        <f aca="false">Sens!$F$326*k_C</f>
        <v>8.98049677377134</v>
      </c>
      <c r="G328" s="37" t="n">
        <f aca="false">Sens!$G$326*k_C</f>
        <v>8.98049677377134</v>
      </c>
      <c r="H328" s="37" t="n">
        <f aca="false">Sens!$H$326*k_C</f>
        <v>9.16460128151917</v>
      </c>
      <c r="I328" s="37" t="n">
        <f aca="false">Sens!$I$326*k_C</f>
        <v>9.31188488771743</v>
      </c>
      <c r="J328" s="37" t="n">
        <f aca="false">Sens!$J$326*k_C</f>
        <v>9.37500643323097</v>
      </c>
      <c r="K328" s="37" t="n">
        <f aca="false">Sens!$K$326*k_C</f>
        <v>9.41007395851627</v>
      </c>
      <c r="L328" s="37" t="n">
        <f aca="false">Sens!$L$326*k_C</f>
        <v>9.43238965642509</v>
      </c>
      <c r="M328" s="37" t="n">
        <f aca="false">Sens!$M$326*k_C</f>
        <v>9.44783898574659</v>
      </c>
      <c r="N328" s="13"/>
      <c r="O328" s="13"/>
      <c r="P328" s="5" t="s">
        <v>571</v>
      </c>
    </row>
    <row r="329" customFormat="false" ht="17.15" hidden="false" customHeight="false" outlineLevel="0" collapsed="false">
      <c r="A329" s="5" t="s">
        <v>572</v>
      </c>
      <c r="B329" s="0" t="s">
        <v>108</v>
      </c>
      <c r="F329" s="33" t="n">
        <f aca="false">Sens!$F$323/2</f>
        <v>908.575</v>
      </c>
      <c r="H329" s="33" t="n">
        <f aca="false">(Sens!$G$323+Sens!$H$323)/2</f>
        <v>3634.3</v>
      </c>
      <c r="I329" s="33" t="n">
        <f aca="false">(Sens!$H$323+Sens!$I$323)/2</f>
        <v>7268.6</v>
      </c>
      <c r="J329" s="33" t="n">
        <f aca="false">(Sens!$I$323+Sens!$J$323)/2</f>
        <v>10902.9</v>
      </c>
      <c r="K329" s="33" t="n">
        <f aca="false">(Sens!$J$323+Sens!$K$323)/2</f>
        <v>14537.2</v>
      </c>
      <c r="L329" s="33" t="n">
        <f aca="false">(Sens!$K$323+Sens!$L$323)/2</f>
        <v>18171.5</v>
      </c>
      <c r="M329" s="33" t="n">
        <f aca="false">(Sens!$L$323+Sens!$M$323)/2</f>
        <v>21805.8</v>
      </c>
    </row>
    <row r="330" customFormat="false" ht="17.15" hidden="false" customHeight="false" outlineLevel="0" collapsed="false">
      <c r="A330" s="1" t="s">
        <v>573</v>
      </c>
    </row>
    <row r="331" customFormat="false" ht="17.15" hidden="false" customHeight="false" outlineLevel="0" collapsed="false">
      <c r="A331" s="1" t="s">
        <v>574</v>
      </c>
      <c r="B331" s="8" t="s">
        <v>73</v>
      </c>
      <c r="C331" s="38" t="n">
        <f aca="false">Sens!$C$314*rpm_open*Sens!$C$315/1000</f>
        <v>2.32100535697364</v>
      </c>
      <c r="D331" s="38" t="n">
        <f aca="false">Sens!$D$314*rpm_open*Sens!$D$315/1000</f>
        <v>8.70377008865116</v>
      </c>
      <c r="E331" s="38" t="n">
        <f aca="false">Sens!$E$314*rpm_open*Sens!$E$315/1000</f>
        <v>8.51035297557002</v>
      </c>
      <c r="F331" s="38" t="n">
        <f aca="false">(mw_open*rpm_open+Sens!$F$329*Sens!$F$328)*Sens!$F$315/1000</f>
        <v>14.1374173083338</v>
      </c>
      <c r="G331" s="38" t="n">
        <f aca="false">Sens!$E$331+Sens!$F$331</f>
        <v>22.6477702839038</v>
      </c>
      <c r="H331" s="38" t="n">
        <f aca="false">(mw_open*rpm_open+Sens!$H$329*Sens!$H$328)/1000</f>
        <v>53.4222901978634</v>
      </c>
      <c r="I331" s="38" t="n">
        <f aca="false">(mw_open*rpm_open+Sens!$I$329*Sens!$I$328)/1000</f>
        <v>87.7997462553011</v>
      </c>
      <c r="J331" s="38" t="n">
        <f aca="false">(mw_open*rpm_open+Sens!$J$329*Sens!$J$328)/1000</f>
        <v>122.330137401312</v>
      </c>
      <c r="K331" s="38" t="n">
        <f aca="false">(mw_open*rpm_open+Sens!$K$329*Sens!$K$328)/1000</f>
        <v>156.911506910181</v>
      </c>
      <c r="L331" s="38" t="n">
        <f aca="false">(mw_open*rpm_open+Sens!$L$329*Sens!$L$328)/1000</f>
        <v>191.516048402167</v>
      </c>
      <c r="M331" s="38" t="n">
        <f aca="false">(mw_open*rpm_open+Sens!$M$329*Sens!$M$328)/1000</f>
        <v>226.133067115831</v>
      </c>
      <c r="N331" s="38" t="n">
        <f aca="false">Sens!$N$314*rpm_open*Sens!$N$315/1000</f>
        <v>3.04631953102791</v>
      </c>
      <c r="O331" s="38" t="n">
        <f aca="false">Sens!$O$314*rpm_open*Sens!$O$315/1000</f>
        <v>5.65745055762326</v>
      </c>
      <c r="P331" s="5" t="s">
        <v>575</v>
      </c>
    </row>
    <row r="332" customFormat="false" ht="17.15" hidden="false" customHeight="false" outlineLevel="0" collapsed="false">
      <c r="A332" s="5" t="s">
        <v>576</v>
      </c>
      <c r="B332" s="0" t="s">
        <v>151</v>
      </c>
      <c r="C332" s="36" t="n">
        <f aca="false">Sens!$C$331*1000/(Sens!$C$314*Sens!$C$315)</f>
        <v>9.67085565405685</v>
      </c>
      <c r="D332" s="36" t="n">
        <f aca="false">Sens!$D$331*1000/(Sens!$D$314*Sens!$D$315)</f>
        <v>9.67085565405685</v>
      </c>
      <c r="E332" s="36" t="n">
        <f aca="false">Sens!$E$331*1000/(Sens!$E$314*Sens!$E$315)</f>
        <v>9.67085565405685</v>
      </c>
      <c r="F332" s="36" t="n">
        <f aca="false">Sens!$F$331*1000/(Sens!$F$314*Sens!$F$315)</f>
        <v>9.46097542028142</v>
      </c>
      <c r="G332" s="36" t="n">
        <f aca="false">Sens!$G$331*1000/(Sens!$G$314*Sens!$G$315)</f>
        <v>9.53876490690525</v>
      </c>
      <c r="H332" s="36" t="n">
        <f aca="false">Sens!$H$331*1000/(Sens!$H$314*Sens!$H$315)</f>
        <v>9.34887741243255</v>
      </c>
      <c r="I332" s="36" t="n">
        <f aca="false">Sens!$I$331*1000/(Sens!$I$314*Sens!$I$315)</f>
        <v>9.39175344493305</v>
      </c>
      <c r="J332" s="36" t="n">
        <f aca="false">Sens!$J$331*1000/(Sens!$J$314*Sens!$J$315)</f>
        <v>9.42240465545542</v>
      </c>
      <c r="K332" s="36" t="n">
        <f aca="false">Sens!$K$331*1000/(Sens!$K$314*Sens!$K$315)</f>
        <v>9.44271639687679</v>
      </c>
      <c r="L332" s="36" t="n">
        <f aca="false">Sens!$L$331*1000/(Sens!$L$314*Sens!$L$315)</f>
        <v>9.45688212735683</v>
      </c>
      <c r="M332" s="36" t="n">
        <f aca="false">Sens!$M$331*1000/(Sens!$M$314*Sens!$M$315)</f>
        <v>9.4672595063105</v>
      </c>
      <c r="N332" s="36" t="n">
        <f aca="false">Sens!$N$331*1000/(Sens!$N$314*Sens!$N$315)</f>
        <v>9.67085565405685</v>
      </c>
      <c r="O332" s="36" t="n">
        <f aca="false">Sens!$O$331*1000/(Sens!$O$314*Sens!$O$315)</f>
        <v>9.67085565405685</v>
      </c>
    </row>
    <row r="333" customFormat="false" ht="17.15" hidden="false" customHeight="false" outlineLevel="0" collapsed="false">
      <c r="A333" s="0" t="s">
        <v>577</v>
      </c>
      <c r="B333" s="0" t="s">
        <v>73</v>
      </c>
      <c r="C333" s="38" t="n">
        <f aca="false">Sens!$C$314/ext_sh*(ox_open+rent_mw)*Sens!$C$315/1000</f>
        <v>0.642569210675032</v>
      </c>
      <c r="D333" s="38" t="n">
        <f aca="false">Sens!$D$314/ext_sh*(ox_open+rent_mw)*Sens!$D$315/1000</f>
        <v>2.40963454003137</v>
      </c>
      <c r="E333" s="38" t="n">
        <f aca="false">Sens!$E$314/ext_sh*(ox_open+rent_mw)*Sens!$E$315/1000</f>
        <v>2.35608710580845</v>
      </c>
      <c r="F333" s="38" t="n">
        <f aca="false">((mw_open*ox_open+Sens!$F$329*Sens!$F$327)/ext_sh+Sens!$F$314/ext_sh*rent_mw)*Sens!$F$315/1000</f>
        <v>4.05421991106232</v>
      </c>
      <c r="G333" s="38" t="n">
        <f aca="false">Sens!$E$333+Sens!$F$333</f>
        <v>6.41030701687077</v>
      </c>
      <c r="H333" s="38" t="n">
        <f aca="false">((mw_open*ox_open+Sens!$H$329*Sens!$H$327)/ext_sh+Sens!$H$314/ext_sh*rent_mw)*Sens!$H$315/1000</f>
        <v>15.8108975546616</v>
      </c>
      <c r="I333" s="38" t="n">
        <f aca="false">((mw_open*ox_open+Sens!$I$329*Sens!$I$327)/ext_sh+Sens!$I$314/ext_sh*rent_mw)*Sens!$I$315/1000</f>
        <v>26.1871623400817</v>
      </c>
      <c r="J333" s="38" t="n">
        <f aca="false">((mw_open*ox_open+Sens!$J$329*Sens!$J$327)/ext_sh+Sens!$J$314/ext_sh*rent_mw)*Sens!$J$315/1000</f>
        <v>36.5826128954935</v>
      </c>
      <c r="K333" s="38" t="n">
        <f aca="false">((mw_open*ox_open+Sens!$K$329*Sens!$K$327)/ext_sh+Sens!$K$314/ext_sh*rent_mw)*Sens!$K$315/1000</f>
        <v>46.9844587075692</v>
      </c>
      <c r="L333" s="38" t="n">
        <f aca="false">((mw_open*ox_open+Sens!$L$329*Sens!$L$327)/ext_sh+Sens!$L$314/ext_sh*rent_mw)*Sens!$L$315/1000</f>
        <v>57.3892114544922</v>
      </c>
      <c r="M333" s="38" t="n">
        <f aca="false">((mw_open*ox_open+Sens!$M$329*Sens!$M$327)/ext_sh+Sens!$M$314/ext_sh*rent_mw)*Sens!$M$315/1000</f>
        <v>67.7955294740252</v>
      </c>
      <c r="N333" s="38" t="n">
        <f aca="false">Sens!$N$314/ext_sh*(ox_open+rent_mw)*Sens!$N$315/1000</f>
        <v>0.84337208901098</v>
      </c>
      <c r="O333" s="38" t="n">
        <f aca="false">Sens!$O$314/ext_sh*(ox_open+rent_mw)*Sens!$O$315/1000</f>
        <v>1.56626245102039</v>
      </c>
    </row>
    <row r="334" customFormat="false" ht="17.15" hidden="false" customHeight="false" outlineLevel="0" collapsed="false">
      <c r="A334" s="0" t="s">
        <v>578</v>
      </c>
      <c r="B334" s="0" t="s">
        <v>73</v>
      </c>
      <c r="C334" s="38" t="n">
        <f aca="false">Q!$D$7</f>
        <v>107.556</v>
      </c>
      <c r="D334" s="38" t="n">
        <f aca="false">Q!$E$7</f>
        <v>128.725</v>
      </c>
      <c r="E334" s="38" t="n">
        <f aca="false">Q!$P$7</f>
        <v>79.819</v>
      </c>
      <c r="N334" s="38" t="n">
        <f aca="false">Q!$N$7</f>
        <v>60.14</v>
      </c>
      <c r="O334" s="38" t="n">
        <f aca="false">Q!$O$7</f>
        <v>68.585</v>
      </c>
    </row>
    <row r="335" customFormat="false" ht="17.15" hidden="false" customHeight="false" outlineLevel="0" collapsed="false">
      <c r="A335" s="1" t="s">
        <v>579</v>
      </c>
      <c r="B335" s="8" t="s">
        <v>73</v>
      </c>
      <c r="C335" s="38" t="n">
        <f aca="false">Sens!$C$334-Sens!$C$331</f>
        <v>105.234994643026</v>
      </c>
      <c r="D335" s="38" t="n">
        <f aca="false">Sens!$D$334-Sens!$D$331</f>
        <v>120.021229911349</v>
      </c>
      <c r="E335" s="38" t="n">
        <f aca="false">Sens!$E$334-Sens!$E$331</f>
        <v>71.30864702443</v>
      </c>
      <c r="F335" s="38" t="n">
        <f aca="false">Sens!$O$335*(1+Sens!$F$336)</f>
        <v>78.5950104186653</v>
      </c>
      <c r="G335" s="38" t="n">
        <f aca="false">Sens!$E$335+Sens!$F$335</f>
        <v>149.903657443095</v>
      </c>
      <c r="H335" s="38" t="n">
        <f aca="false">Sens!$G$335*(1+Sens!$H$336)</f>
        <v>180.893560768142</v>
      </c>
      <c r="I335" s="38" t="n">
        <f aca="false">Sens!$H$335*(1+Sens!$I$336)</f>
        <v>210.64839721501</v>
      </c>
      <c r="J335" s="38" t="n">
        <f aca="false">Sens!$I$335*(1+Sens!$J$336)</f>
        <v>236.398909446495</v>
      </c>
      <c r="K335" s="38" t="n">
        <f aca="false">Sens!$J$335*(1+Sens!$K$336)</f>
        <v>255.310822202215</v>
      </c>
      <c r="L335" s="38" t="n">
        <f aca="false">Sens!$K$335*(1+Sens!$L$336)</f>
        <v>275.735687978392</v>
      </c>
      <c r="M335" s="38" t="n">
        <f aca="false">Sens!$L$335*(1+Sens!$M$336)</f>
        <v>297.794543016663</v>
      </c>
      <c r="N335" s="38" t="n">
        <f aca="false">Sens!$N$334-Sens!$N$331</f>
        <v>57.0936804689721</v>
      </c>
      <c r="O335" s="38" t="n">
        <f aca="false">Sens!$O$334-Sens!$O$331</f>
        <v>62.9275494423768</v>
      </c>
      <c r="P335" s="5" t="s">
        <v>580</v>
      </c>
    </row>
    <row r="336" customFormat="false" ht="17.15" hidden="false" customHeight="false" outlineLevel="0" collapsed="false">
      <c r="A336" s="0" t="s">
        <v>581</v>
      </c>
      <c r="B336" s="0" t="s">
        <v>52</v>
      </c>
      <c r="E336" s="12" t="n">
        <f aca="false">Sens!$E$335/Sens!$N$335-1</f>
        <v>0.248976181579029</v>
      </c>
      <c r="F336" s="12" t="n">
        <f aca="false">Sens!$E$336</f>
        <v>0.248976181579029</v>
      </c>
      <c r="G336" s="12" t="n">
        <f aca="false">Sens!$G$335/Sens!$D$335-1</f>
        <v>0.248976181579029</v>
      </c>
      <c r="H336" s="12" t="n">
        <f aca="false">Sens!$E$336+(g_awso_lt-Sens!$E$336)*1/4</f>
        <v>0.206732136184272</v>
      </c>
      <c r="I336" s="12" t="n">
        <f aca="false">Sens!$E$336+(g_awso_lt-Sens!$E$336)*2/4</f>
        <v>0.164488090789515</v>
      </c>
      <c r="J336" s="12" t="n">
        <f aca="false">Sens!$E$336+(g_awso_lt-Sens!$E$336)*3/4</f>
        <v>0.122244045394757</v>
      </c>
      <c r="K336" s="12" t="n">
        <f aca="false">Sens!$E$336+(g_awso_lt-Sens!$E$336)*4/4</f>
        <v>0.08</v>
      </c>
      <c r="L336" s="12" t="n">
        <f aca="false">g_awso_lt</f>
        <v>0.08</v>
      </c>
      <c r="M336" s="12" t="n">
        <f aca="false">g_awso_lt</f>
        <v>0.08</v>
      </c>
      <c r="P336" s="8" t="s">
        <v>582</v>
      </c>
    </row>
    <row r="337" customFormat="false" ht="17.15" hidden="false" customHeight="false" outlineLevel="0" collapsed="false">
      <c r="A337" s="1" t="s">
        <v>583</v>
      </c>
    </row>
    <row r="338" customFormat="false" ht="17.15" hidden="false" customHeight="false" outlineLevel="0" collapsed="false">
      <c r="A338" s="0" t="s">
        <v>584</v>
      </c>
      <c r="B338" s="0" t="s">
        <v>73</v>
      </c>
      <c r="F338" s="38" t="n">
        <f aca="false">cx_rt*Sens!$F$304+cx_awso*Sens!$F$335</f>
        <v>36.8045765066526</v>
      </c>
    </row>
    <row r="339" customFormat="false" ht="17.15" hidden="false" customHeight="false" outlineLevel="0" collapsed="false">
      <c r="A339" s="0" t="s">
        <v>585</v>
      </c>
      <c r="B339" s="0" t="s">
        <v>52</v>
      </c>
      <c r="C339" s="12" t="n">
        <f aca="false">tk_cx_h100/(tk_cx_h100+tk_fac*(1-colo_sh))</f>
        <v>0.730756458006641</v>
      </c>
      <c r="D339" s="12" t="n">
        <f aca="false">tk_cx_h100/(tk_cx_h100+tk_fac*(1-colo_sh))</f>
        <v>0.730756458006641</v>
      </c>
      <c r="E339" s="12" t="n">
        <f aca="false">Sens!$F$339</f>
        <v>0.760792334328868</v>
      </c>
      <c r="F339" s="12" t="n">
        <f aca="false">Sens!$F$322/(Sens!$F$322+tk_fac*(1-colo_sh))</f>
        <v>0.760792334328868</v>
      </c>
      <c r="G339" s="12" t="n">
        <f aca="false">Sens!$G$322/(Sens!$G$322+tk_fac*(1-colo_sh))</f>
        <v>0.760792334328868</v>
      </c>
      <c r="H339" s="12" t="n">
        <f aca="false">Sens!$H$322/(Sens!$H$322+tk_fac*(1-colo_sh))</f>
        <v>0.768110668862996</v>
      </c>
      <c r="I339" s="12" t="n">
        <f aca="false">Sens!$I$322/(Sens!$I$322+tk_fac*(1-colo_sh))</f>
        <v>0.77499450139483</v>
      </c>
      <c r="J339" s="12" t="n">
        <f aca="false">Sens!$J$322/(Sens!$J$322+tk_fac*(1-colo_sh))</f>
        <v>0.77499450139483</v>
      </c>
      <c r="K339" s="12" t="n">
        <f aca="false">Sens!$K$322/(Sens!$K$322+tk_fac*(1-colo_sh))</f>
        <v>0.77499450139483</v>
      </c>
      <c r="L339" s="12" t="n">
        <f aca="false">Sens!$L$322/(Sens!$L$322+tk_fac*(1-colo_sh))</f>
        <v>0.77499450139483</v>
      </c>
      <c r="M339" s="12" t="n">
        <f aca="false">Sens!$M$322/(Sens!$M$322+tk_fac*(1-colo_sh))</f>
        <v>0.77499450139483</v>
      </c>
    </row>
    <row r="340" customFormat="false" ht="17.15" hidden="false" customHeight="false" outlineLevel="0" collapsed="false">
      <c r="A340" s="1" t="s">
        <v>586</v>
      </c>
      <c r="B340" s="8" t="s">
        <v>73</v>
      </c>
      <c r="C340" s="38" t="n">
        <f aca="false">Q!$D$46-cx_rt*Q!$D$16-cx_awso*Sens!$C$335</f>
        <v>25.2781053077374</v>
      </c>
      <c r="D340" s="38" t="n">
        <f aca="false">Q!$E$46-cx_rt*Q!$E$16-cx_awso*Sens!$D$335</f>
        <v>69.5686316310026</v>
      </c>
      <c r="E340" s="38" t="n">
        <f aca="false">Q!$P$46-cx_rt*Q!$P$16-cx_awso*Sens!$E$335</f>
        <v>64.1899206485108</v>
      </c>
      <c r="F340" s="38" t="n">
        <f aca="false">MAX(Sens!$F$317*(Sens!$F$322+tk_fac*(1-colo_sh))/1000,capex_g26-Q!$P$46-Sens!$F$338)</f>
        <v>96.2481299895</v>
      </c>
      <c r="G340" s="38" t="n">
        <f aca="false">Sens!$E$340+Sens!$F$340</f>
        <v>160.438050638011</v>
      </c>
      <c r="H340" s="38" t="n">
        <f aca="false">Sens!$H$317*(Sens!$H$322+tk_fac*(1-colo_sh))/1000+Sens!$H$341</f>
        <v>198.57136494475</v>
      </c>
      <c r="I340" s="38" t="n">
        <f aca="false">Sens!$I$317*(Sens!$I$322+tk_fac*(1-colo_sh))/1000+Sens!$I$341</f>
        <v>204.6464699105</v>
      </c>
      <c r="J340" s="38" t="n">
        <f aca="false">Sens!$J$317*(Sens!$J$322+tk_fac*(1-colo_sh))/1000+Sens!$J$341</f>
        <v>209.8832381105</v>
      </c>
      <c r="K340" s="38" t="n">
        <f aca="false">Sens!$K$317*(Sens!$K$322+tk_fac*(1-colo_sh))/1000+Sens!$K$341</f>
        <v>215.1200063105</v>
      </c>
      <c r="L340" s="38" t="n">
        <f aca="false">Sens!$L$317*(Sens!$L$322+tk_fac*(1-colo_sh))/1000+Sens!$L$341</f>
        <v>251.7773837105</v>
      </c>
      <c r="M340" s="38" t="n">
        <f aca="false">Sens!$M$317*(Sens!$M$322+tk_fac*(1-colo_sh))/1000+Sens!$M$341</f>
        <v>311.87584476575</v>
      </c>
      <c r="P340" s="5" t="s">
        <v>587</v>
      </c>
      <c r="R340" s="38" t="n">
        <f aca="false">Q!$C$46-cx_rt*Q!$C$16-cx_awso*(Q!$C$7-mw_ye23/2*rpm_open/1000)</f>
        <v>1.50429979529945</v>
      </c>
      <c r="S340" s="38" t="n">
        <f aca="false">Sens!$C$340</f>
        <v>25.2781053077374</v>
      </c>
      <c r="T340" s="38" t="n">
        <f aca="false">Sens!$D$340</f>
        <v>69.5686316310026</v>
      </c>
      <c r="U340" s="38" t="n">
        <f aca="false">Sens!$G$340</f>
        <v>160.438050638011</v>
      </c>
      <c r="V340" s="38" t="n">
        <f aca="false">Sens!$H$340</f>
        <v>198.57136494475</v>
      </c>
      <c r="W340" s="38" t="n">
        <f aca="false">Sens!$I$340</f>
        <v>204.6464699105</v>
      </c>
      <c r="X340" s="38" t="n">
        <f aca="false">Sens!$J$340</f>
        <v>209.8832381105</v>
      </c>
      <c r="Y340" s="38" t="n">
        <f aca="false">Sens!$K$340</f>
        <v>215.1200063105</v>
      </c>
      <c r="Z340" s="38" t="n">
        <f aca="false">Sens!$L$340</f>
        <v>251.7773837105</v>
      </c>
      <c r="AA340" s="38" t="n">
        <f aca="false">Sens!$M$340</f>
        <v>311.87584476575</v>
      </c>
    </row>
    <row r="341" customFormat="false" ht="17.15" hidden="false" customHeight="false" outlineLevel="0" collapsed="false">
      <c r="A341" s="0" t="s">
        <v>588</v>
      </c>
      <c r="B341" s="0" t="s">
        <v>73</v>
      </c>
      <c r="H341" s="38" t="n">
        <f aca="false">SUMPRODUCT(--(Sens!$R$311:$AA$311=2027-tk_life),Sens!$R$317:$AA$317)*Sens!$H$322/1000</f>
        <v>0</v>
      </c>
      <c r="I341" s="38" t="n">
        <f aca="false">SUMPRODUCT(--(Sens!$R$311:$AA$311=2028-tk_life),Sens!$R$317:$AA$317)*Sens!$I$322/1000</f>
        <v>0</v>
      </c>
      <c r="J341" s="38" t="n">
        <f aca="false">SUMPRODUCT(--(Sens!$R$311:$AA$311=2029-tk_life),Sens!$R$317:$AA$317)*Sens!$J$322/1000</f>
        <v>5.2367682</v>
      </c>
      <c r="K341" s="38" t="n">
        <f aca="false">SUMPRODUCT(--(Sens!$R$311:$AA$311=2030-tk_life),Sens!$R$317:$AA$317)*Sens!$K$322/1000</f>
        <v>10.4735364</v>
      </c>
      <c r="L341" s="38" t="n">
        <f aca="false">SUMPRODUCT(--(Sens!$R$311:$AA$311=2031-tk_life),Sens!$R$317:$AA$317)*Sens!$L$322/1000</f>
        <v>47.1309138</v>
      </c>
      <c r="M341" s="38" t="n">
        <f aca="false">SUMPRODUCT(--(Sens!$R$311:$AA$311=2032-tk_life),Sens!$R$317:$AA$317)*Sens!$M$322/1000</f>
        <v>107.22937485525</v>
      </c>
    </row>
    <row r="342" customFormat="false" ht="17.15" hidden="false" customHeight="false" outlineLevel="0" collapsed="false">
      <c r="A342" s="5" t="s">
        <v>589</v>
      </c>
      <c r="B342" s="0" t="s">
        <v>73</v>
      </c>
      <c r="C342" s="38" t="n">
        <f aca="false">Sens!$C$340*Sens!$C$339</f>
        <v>18.472138699801</v>
      </c>
      <c r="D342" s="38" t="n">
        <f aca="false">Sens!$D$340*Sens!$D$339</f>
        <v>50.8377268390402</v>
      </c>
      <c r="E342" s="38" t="n">
        <f aca="false">Sens!$E$340*Sens!$E$339</f>
        <v>48.8351995705653</v>
      </c>
      <c r="F342" s="38" t="n">
        <f aca="false">Sens!$F$340*Sens!$F$339</f>
        <v>73.2248394895</v>
      </c>
      <c r="G342" s="38" t="n">
        <f aca="false">Sens!$E$342+Sens!$F$342</f>
        <v>122.060039060065</v>
      </c>
      <c r="H342" s="38" t="n">
        <f aca="false">(Sens!$H$340-Sens!$H$341)*Sens!$H$339+Sens!$H$341</f>
        <v>152.52478394475</v>
      </c>
      <c r="I342" s="38" t="n">
        <f aca="false">(Sens!$I$340-Sens!$I$341)*Sens!$I$339+Sens!$I$341</f>
        <v>158.5998889105</v>
      </c>
      <c r="J342" s="38" t="n">
        <f aca="false">(Sens!$J$340-Sens!$J$341)*Sens!$J$339+Sens!$J$341</f>
        <v>163.8366571105</v>
      </c>
      <c r="K342" s="38" t="n">
        <f aca="false">(Sens!$K$340-Sens!$K$341)*Sens!$K$339+Sens!$K$341</f>
        <v>169.0734253105</v>
      </c>
      <c r="L342" s="38" t="n">
        <f aca="false">(Sens!$L$340-Sens!$L$341)*Sens!$L$339+Sens!$L$341</f>
        <v>205.7308027105</v>
      </c>
      <c r="M342" s="38" t="n">
        <f aca="false">(Sens!$M$340-Sens!$M$341)*Sens!$M$339+Sens!$M$341</f>
        <v>265.82926376575</v>
      </c>
      <c r="R342" s="38" t="n">
        <f aca="false">Sens!$R$340*Sens!$C$339</f>
        <v>1.09927679019314</v>
      </c>
      <c r="S342" s="38" t="n">
        <f aca="false">Sens!$C$342</f>
        <v>18.472138699801</v>
      </c>
      <c r="T342" s="38" t="n">
        <f aca="false">Sens!$D$342</f>
        <v>50.8377268390402</v>
      </c>
      <c r="U342" s="38" t="n">
        <f aca="false">Sens!$G$342</f>
        <v>122.060039060065</v>
      </c>
      <c r="V342" s="38" t="n">
        <f aca="false">Sens!$H$342</f>
        <v>152.52478394475</v>
      </c>
      <c r="W342" s="38" t="n">
        <f aca="false">Sens!$I$342</f>
        <v>158.5998889105</v>
      </c>
      <c r="X342" s="38" t="n">
        <f aca="false">Sens!$J$342</f>
        <v>163.8366571105</v>
      </c>
      <c r="Y342" s="38" t="n">
        <f aca="false">Sens!$K$342</f>
        <v>169.0734253105</v>
      </c>
      <c r="Z342" s="38" t="n">
        <f aca="false">Sens!$L$342</f>
        <v>205.7308027105</v>
      </c>
      <c r="AA342" s="38" t="n">
        <f aca="false">Sens!$M$342</f>
        <v>265.82926376575</v>
      </c>
    </row>
    <row r="343" customFormat="false" ht="15" hidden="false" customHeight="false" outlineLevel="0" collapsed="false">
      <c r="A343" s="5" t="s">
        <v>590</v>
      </c>
      <c r="B343" s="0" t="s">
        <v>73</v>
      </c>
      <c r="C343" s="38" t="n">
        <f aca="false">Sens!$C$340-Sens!$C$342</f>
        <v>6.80596660793636</v>
      </c>
      <c r="D343" s="38" t="n">
        <f aca="false">Sens!$D$340-Sens!$D$342</f>
        <v>18.7309047919624</v>
      </c>
      <c r="E343" s="38" t="n">
        <f aca="false">Sens!$E$340-Sens!$E$342</f>
        <v>15.3547210779455</v>
      </c>
      <c r="F343" s="38" t="n">
        <f aca="false">Sens!$F$340-Sens!$F$342</f>
        <v>23.0232905</v>
      </c>
      <c r="G343" s="38" t="n">
        <f aca="false">Sens!$G$340-Sens!$G$342</f>
        <v>38.3780115779455</v>
      </c>
      <c r="H343" s="38" t="n">
        <f aca="false">Sens!$H$340-Sens!$H$342</f>
        <v>46.046581</v>
      </c>
      <c r="I343" s="38" t="n">
        <f aca="false">Sens!$I$340-Sens!$I$342</f>
        <v>46.046581</v>
      </c>
      <c r="J343" s="38" t="n">
        <f aca="false">Sens!$J$340-Sens!$J$342</f>
        <v>46.046581</v>
      </c>
      <c r="K343" s="38" t="n">
        <f aca="false">Sens!$K$340-Sens!$K$342</f>
        <v>46.046581</v>
      </c>
      <c r="L343" s="38" t="n">
        <f aca="false">Sens!$L$340-Sens!$L$342</f>
        <v>46.046581</v>
      </c>
      <c r="M343" s="38" t="n">
        <f aca="false">Sens!$M$340-Sens!$M$342</f>
        <v>46.046581</v>
      </c>
      <c r="R343" s="38" t="n">
        <f aca="false">Sens!$R$340-Sens!$R$342</f>
        <v>0.405023005106309</v>
      </c>
      <c r="S343" s="38" t="n">
        <f aca="false">Sens!$S$340-Sens!$S$342</f>
        <v>6.80596660793636</v>
      </c>
      <c r="T343" s="38" t="n">
        <f aca="false">Sens!$T$340-Sens!$T$342</f>
        <v>18.7309047919624</v>
      </c>
      <c r="U343" s="38" t="n">
        <f aca="false">Sens!$U$340-Sens!$U$342</f>
        <v>38.3780115779455</v>
      </c>
      <c r="V343" s="38" t="n">
        <f aca="false">Sens!$V$340-Sens!$V$342</f>
        <v>46.046581</v>
      </c>
      <c r="W343" s="38" t="n">
        <f aca="false">Sens!$W$340-Sens!$W$342</f>
        <v>46.046581</v>
      </c>
      <c r="X343" s="38" t="n">
        <f aca="false">Sens!$X$340-Sens!$X$342</f>
        <v>46.046581</v>
      </c>
      <c r="Y343" s="38" t="n">
        <f aca="false">Sens!$Y$340-Sens!$Y$342</f>
        <v>46.046581</v>
      </c>
      <c r="Z343" s="38" t="n">
        <f aca="false">Sens!$Z$340-Sens!$Z$342</f>
        <v>46.046581</v>
      </c>
      <c r="AA343" s="38" t="n">
        <f aca="false">Sens!$AA$340-Sens!$AA$342</f>
        <v>46.046581</v>
      </c>
    </row>
    <row r="344" customFormat="false" ht="17.15" hidden="false" customHeight="false" outlineLevel="0" collapsed="false">
      <c r="A344" s="0" t="s">
        <v>591</v>
      </c>
      <c r="B344" s="0" t="s">
        <v>52</v>
      </c>
      <c r="C344" s="12" t="n">
        <f aca="false">Sens!$C$340/Sens!$C$456</f>
        <v>0.325505489553393</v>
      </c>
      <c r="D344" s="12" t="n">
        <f aca="false">Sens!$D$340/Sens!$D$456</f>
        <v>0.54214956071542</v>
      </c>
      <c r="E344" s="12" t="n">
        <f aca="false">Sens!$E$340/Sens!$E$456</f>
        <v>0.666492790452817</v>
      </c>
      <c r="F344" s="12" t="n">
        <f aca="false">Sens!$F$340/Sens!$F$456</f>
        <v>0.723383481058938</v>
      </c>
      <c r="G344" s="12" t="n">
        <f aca="false">Sens!$G$340/Sens!$G$456</f>
        <v>0.699494931364102</v>
      </c>
      <c r="H344" s="12" t="n">
        <f aca="false">Sens!$H$340/Sens!$H$456</f>
        <v>0.714619350171483</v>
      </c>
      <c r="I344" s="12" t="n">
        <f aca="false">Sens!$I$340/Sens!$I$456</f>
        <v>0.696231624961614</v>
      </c>
      <c r="J344" s="12" t="n">
        <f aca="false">Sens!$J$340/Sens!$J$456</f>
        <v>0.681286352509885</v>
      </c>
      <c r="K344" s="12" t="n">
        <f aca="false">Sens!$K$340/Sens!$K$456</f>
        <v>0.671440649805508</v>
      </c>
      <c r="L344" s="12" t="n">
        <f aca="false">Sens!$L$340/Sens!$L$456</f>
        <v>0.6904509846562</v>
      </c>
      <c r="M344" s="12" t="n">
        <f aca="false">Sens!$M$340/Sens!$M$456</f>
        <v>0.720362080285865</v>
      </c>
    </row>
    <row r="345" customFormat="false" ht="17.15" hidden="false" customHeight="false" outlineLevel="0" collapsed="false">
      <c r="A345" s="0" t="s">
        <v>592</v>
      </c>
      <c r="B345" s="0" t="s">
        <v>73</v>
      </c>
      <c r="C345" s="38" t="n">
        <f aca="false">Sens!$S$345</f>
        <v>0.183212798365523</v>
      </c>
      <c r="D345" s="38" t="n">
        <f aca="false">Sens!$T$345</f>
        <v>3.2619025816657</v>
      </c>
      <c r="E345" s="38" t="n">
        <f aca="false">Sens!$G$345/2</f>
        <v>5.86742852741953</v>
      </c>
      <c r="F345" s="38" t="n">
        <f aca="false">Sens!$G$345/2</f>
        <v>5.86742852741953</v>
      </c>
      <c r="G345" s="38" t="n">
        <f aca="false">Sens!$U$345</f>
        <v>11.7348570548391</v>
      </c>
      <c r="H345" s="38" t="n">
        <f aca="false">Sens!$V$345</f>
        <v>32.0781968981833</v>
      </c>
      <c r="I345" s="38" t="n">
        <f aca="false">Sens!$W$345</f>
        <v>57.4989942223083</v>
      </c>
      <c r="J345" s="38" t="n">
        <f aca="false">Sens!$X$345</f>
        <v>83.932309040725</v>
      </c>
      <c r="K345" s="38" t="n">
        <f aca="false">Sens!$Y$345</f>
        <v>111.055205760776</v>
      </c>
      <c r="L345" s="38" t="n">
        <f aca="false">Sens!$Z$345</f>
        <v>136.155420195893</v>
      </c>
      <c r="M345" s="38" t="n">
        <f aca="false">Sens!$AA$345</f>
        <v>161.970932841136</v>
      </c>
      <c r="N345" s="38" t="n">
        <f aca="false">Sens!$D$345/2</f>
        <v>1.63095129083285</v>
      </c>
      <c r="O345" s="38" t="n">
        <f aca="false">Sens!$D$345/2</f>
        <v>1.63095129083285</v>
      </c>
      <c r="R345" s="38" t="n">
        <f aca="false">SUMPRODUCT(--(Sens!$R$311:$AA$311&lt;Sens!R$311),--(Sens!$R$311:$AA$311&gt;=Sens!R$311-tk_life),Sens!$R$342:$AA$342)/tk_life</f>
        <v>0</v>
      </c>
      <c r="S345" s="38" t="n">
        <f aca="false">SUMPRODUCT(--(Sens!$R$311:$AA$311&lt;Sens!S$311),--(Sens!$R$311:$AA$311&gt;=Sens!S$311-tk_life),Sens!$R$342:$AA$342)/tk_life</f>
        <v>0.183212798365523</v>
      </c>
      <c r="T345" s="38" t="n">
        <f aca="false">SUMPRODUCT(--(Sens!$R$311:$AA$311&lt;Sens!T$311),--(Sens!$R$311:$AA$311&gt;=Sens!T$311-tk_life),Sens!$R$342:$AA$342)/tk_life</f>
        <v>3.2619025816657</v>
      </c>
      <c r="U345" s="38" t="n">
        <f aca="false">SUMPRODUCT(--(Sens!$R$311:$AA$311&lt;Sens!U$311),--(Sens!$R$311:$AA$311&gt;=Sens!U$311-tk_life),Sens!$R$342:$AA$342)/tk_life</f>
        <v>11.7348570548391</v>
      </c>
      <c r="V345" s="38" t="n">
        <f aca="false">SUMPRODUCT(--(Sens!$R$311:$AA$311&lt;Sens!V$311),--(Sens!$R$311:$AA$311&gt;=Sens!V$311-tk_life),Sens!$R$342:$AA$342)/tk_life</f>
        <v>32.0781968981833</v>
      </c>
      <c r="W345" s="38" t="n">
        <f aca="false">SUMPRODUCT(--(Sens!$R$311:$AA$311&lt;Sens!W$311),--(Sens!$R$311:$AA$311&gt;=Sens!W$311-tk_life),Sens!$R$342:$AA$342)/tk_life</f>
        <v>57.4989942223083</v>
      </c>
      <c r="X345" s="38" t="n">
        <f aca="false">SUMPRODUCT(--(Sens!$R$311:$AA$311&lt;Sens!X$311),--(Sens!$R$311:$AA$311&gt;=Sens!X$311-tk_life),Sens!$R$342:$AA$342)/tk_life</f>
        <v>83.932309040725</v>
      </c>
      <c r="Y345" s="38" t="n">
        <f aca="false">SUMPRODUCT(--(Sens!$R$311:$AA$311&lt;Sens!Y$311),--(Sens!$R$311:$AA$311&gt;=Sens!Y$311-tk_life),Sens!$R$342:$AA$342)/tk_life</f>
        <v>111.055205760776</v>
      </c>
      <c r="Z345" s="38" t="n">
        <f aca="false">SUMPRODUCT(--(Sens!$R$311:$AA$311&lt;Sens!Z$311),--(Sens!$R$311:$AA$311&gt;=Sens!Z$311-tk_life),Sens!$R$342:$AA$342)/tk_life</f>
        <v>136.155420195893</v>
      </c>
      <c r="AA345" s="38" t="n">
        <f aca="false">SUMPRODUCT(--(Sens!$R$311:$AA$311&lt;Sens!AA$311),--(Sens!$R$311:$AA$311&gt;=Sens!AA$311-tk_life),Sens!$R$342:$AA$342)/tk_life</f>
        <v>161.970932841136</v>
      </c>
    </row>
    <row r="346" customFormat="false" ht="17.15" hidden="false" customHeight="false" outlineLevel="0" collapsed="false">
      <c r="A346" s="0" t="s">
        <v>593</v>
      </c>
      <c r="B346" s="0" t="s">
        <v>73</v>
      </c>
      <c r="C346" s="38" t="n">
        <f aca="false">Sens!$S$346</f>
        <v>0.0202511502553155</v>
      </c>
      <c r="D346" s="38" t="n">
        <f aca="false">Sens!$T$346</f>
        <v>0.360549480652134</v>
      </c>
      <c r="E346" s="38" t="n">
        <f aca="false">Sens!$G$346/2</f>
        <v>0.648547360125127</v>
      </c>
      <c r="F346" s="38" t="n">
        <f aca="false">Sens!$G$346/2</f>
        <v>0.648547360125127</v>
      </c>
      <c r="G346" s="38" t="n">
        <f aca="false">Sens!$U$346</f>
        <v>1.29709472025025</v>
      </c>
      <c r="H346" s="38" t="n">
        <f aca="false">Sens!$V$346</f>
        <v>3.21599529914753</v>
      </c>
      <c r="I346" s="38" t="n">
        <f aca="false">Sens!$W$346</f>
        <v>5.51832434914753</v>
      </c>
      <c r="J346" s="38" t="n">
        <f aca="false">Sens!$X$346</f>
        <v>7.82065339914753</v>
      </c>
      <c r="K346" s="38" t="n">
        <f aca="false">Sens!$Y$346</f>
        <v>10.1229824491475</v>
      </c>
      <c r="L346" s="38" t="n">
        <f aca="false">Sens!$Z$346</f>
        <v>12.4253114991475</v>
      </c>
      <c r="M346" s="38" t="n">
        <f aca="false">Sens!$AA$346</f>
        <v>14.7276405491475</v>
      </c>
      <c r="N346" s="38" t="n">
        <f aca="false">Sens!$D$346/2</f>
        <v>0.180274740326067</v>
      </c>
      <c r="O346" s="38" t="n">
        <f aca="false">Sens!$D$346/2</f>
        <v>0.180274740326067</v>
      </c>
      <c r="R346" s="38" t="n">
        <f aca="false">SUMPRODUCT(--(Sens!$R$311:$AA$311&lt;Sens!R$311),Sens!$R$343:$AA$343)/fac_life</f>
        <v>0</v>
      </c>
      <c r="S346" s="38" t="n">
        <f aca="false">SUMPRODUCT(--(Sens!$R$311:$AA$311&lt;Sens!S$311),Sens!$R$343:$AA$343)/fac_life</f>
        <v>0.0202511502553155</v>
      </c>
      <c r="T346" s="38" t="n">
        <f aca="false">SUMPRODUCT(--(Sens!$R$311:$AA$311&lt;Sens!T$311),Sens!$R$343:$AA$343)/fac_life</f>
        <v>0.360549480652134</v>
      </c>
      <c r="U346" s="38" t="n">
        <f aca="false">SUMPRODUCT(--(Sens!$R$311:$AA$311&lt;Sens!U$311),Sens!$R$343:$AA$343)/fac_life</f>
        <v>1.29709472025025</v>
      </c>
      <c r="V346" s="38" t="n">
        <f aca="false">SUMPRODUCT(--(Sens!$R$311:$AA$311&lt;Sens!V$311),Sens!$R$343:$AA$343)/fac_life</f>
        <v>3.21599529914753</v>
      </c>
      <c r="W346" s="38" t="n">
        <f aca="false">SUMPRODUCT(--(Sens!$R$311:$AA$311&lt;Sens!W$311),Sens!$R$343:$AA$343)/fac_life</f>
        <v>5.51832434914753</v>
      </c>
      <c r="X346" s="38" t="n">
        <f aca="false">SUMPRODUCT(--(Sens!$R$311:$AA$311&lt;Sens!X$311),Sens!$R$343:$AA$343)/fac_life</f>
        <v>7.82065339914753</v>
      </c>
      <c r="Y346" s="38" t="n">
        <f aca="false">SUMPRODUCT(--(Sens!$R$311:$AA$311&lt;Sens!Y$311),Sens!$R$343:$AA$343)/fac_life</f>
        <v>10.1229824491475</v>
      </c>
      <c r="Z346" s="38" t="n">
        <f aca="false">SUMPRODUCT(--(Sens!$R$311:$AA$311&lt;Sens!Z$311),Sens!$R$343:$AA$343)/fac_life</f>
        <v>12.4253114991475</v>
      </c>
      <c r="AA346" s="38" t="n">
        <f aca="false">SUMPRODUCT(--(Sens!$R$311:$AA$311&lt;Sens!AA$311),Sens!$R$343:$AA$343)/fac_life</f>
        <v>14.7276405491475</v>
      </c>
    </row>
    <row r="347" customFormat="false" ht="17.15" hidden="false" customHeight="false" outlineLevel="0" collapsed="false">
      <c r="A347" s="1" t="s">
        <v>594</v>
      </c>
      <c r="B347" s="8" t="s">
        <v>73</v>
      </c>
      <c r="C347" s="38" t="n">
        <f aca="false">Sens!$C$345+Sens!$C$346</f>
        <v>0.203463948620839</v>
      </c>
      <c r="D347" s="38" t="n">
        <f aca="false">Sens!$D$345+Sens!$D$346</f>
        <v>3.62245206231783</v>
      </c>
      <c r="E347" s="38" t="n">
        <f aca="false">Sens!$E$345+Sens!$E$346</f>
        <v>6.51597588754466</v>
      </c>
      <c r="F347" s="38" t="n">
        <f aca="false">Sens!$F$345+Sens!$F$346</f>
        <v>6.51597588754466</v>
      </c>
      <c r="G347" s="38" t="n">
        <f aca="false">Sens!$G$345+Sens!$G$346</f>
        <v>13.0319517750893</v>
      </c>
      <c r="H347" s="38" t="n">
        <f aca="false">Sens!$H$345+Sens!$H$346</f>
        <v>35.2941921973308</v>
      </c>
      <c r="I347" s="38" t="n">
        <f aca="false">Sens!$I$345+Sens!$I$346</f>
        <v>63.0173185714558</v>
      </c>
      <c r="J347" s="38" t="n">
        <f aca="false">Sens!$J$345+Sens!$J$346</f>
        <v>91.7529624398725</v>
      </c>
      <c r="K347" s="38" t="n">
        <f aca="false">Sens!$K$345+Sens!$K$346</f>
        <v>121.178188209924</v>
      </c>
      <c r="L347" s="38" t="n">
        <f aca="false">Sens!$L$345+Sens!$L$346</f>
        <v>148.58073169504</v>
      </c>
      <c r="M347" s="38" t="n">
        <f aca="false">Sens!$M$345+Sens!$M$346</f>
        <v>176.698573390283</v>
      </c>
      <c r="N347" s="38" t="n">
        <f aca="false">Sens!$N$345+Sens!$N$346</f>
        <v>1.81122603115892</v>
      </c>
      <c r="O347" s="38" t="n">
        <f aca="false">Sens!$O$345+Sens!$O$346</f>
        <v>1.81122603115892</v>
      </c>
      <c r="R347" s="38" t="n">
        <f aca="false">Sens!$R$345+Sens!$R$346</f>
        <v>0</v>
      </c>
      <c r="S347" s="38" t="n">
        <f aca="false">Sens!$S$345+Sens!$S$346</f>
        <v>0.203463948620839</v>
      </c>
      <c r="T347" s="38" t="n">
        <f aca="false">Sens!$T$345+Sens!$T$346</f>
        <v>3.62245206231783</v>
      </c>
      <c r="U347" s="38" t="n">
        <f aca="false">Sens!$U$345+Sens!$U$346</f>
        <v>13.0319517750893</v>
      </c>
      <c r="V347" s="38" t="n">
        <f aca="false">Sens!$V$345+Sens!$V$346</f>
        <v>35.2941921973308</v>
      </c>
      <c r="W347" s="38" t="n">
        <f aca="false">Sens!$W$345+Sens!$W$346</f>
        <v>63.0173185714558</v>
      </c>
      <c r="X347" s="38" t="n">
        <f aca="false">Sens!$X$345+Sens!$X$346</f>
        <v>91.7529624398725</v>
      </c>
      <c r="Y347" s="38" t="n">
        <f aca="false">Sens!$Y$345+Sens!$Y$346</f>
        <v>121.178188209924</v>
      </c>
      <c r="Z347" s="38" t="n">
        <f aca="false">Sens!$Z$345+Sens!$Z$346</f>
        <v>148.58073169504</v>
      </c>
      <c r="AA347" s="38" t="n">
        <f aca="false">Sens!$AA$345+Sens!$AA$346</f>
        <v>176.698573390283</v>
      </c>
    </row>
    <row r="348" customFormat="false" ht="17.15" hidden="false" customHeight="false" outlineLevel="0" collapsed="false">
      <c r="A348" s="0" t="s">
        <v>595</v>
      </c>
      <c r="B348" s="0" t="s">
        <v>73</v>
      </c>
      <c r="C348" s="38" t="n">
        <f aca="false">Sens!$S$348</f>
        <v>26.578941154416</v>
      </c>
      <c r="D348" s="38" t="n">
        <f aca="false">Sens!$T$348</f>
        <v>92.5251207231008</v>
      </c>
      <c r="G348" s="38" t="n">
        <f aca="false">Sens!$U$348</f>
        <v>239.931219586022</v>
      </c>
      <c r="H348" s="38" t="n">
        <f aca="false">Sens!$V$348</f>
        <v>403.208392333442</v>
      </c>
      <c r="I348" s="38" t="n">
        <f aca="false">Sens!$W$348</f>
        <v>544.837543672486</v>
      </c>
      <c r="J348" s="38" t="n">
        <f aca="false">Sens!$X$348</f>
        <v>662.967819343113</v>
      </c>
      <c r="K348" s="38" t="n">
        <f aca="false">Sens!$Y$348</f>
        <v>756.90963744369</v>
      </c>
      <c r="L348" s="38" t="n">
        <f aca="false">Sens!$Z$348</f>
        <v>860.10628945915</v>
      </c>
      <c r="M348" s="38" t="n">
        <f aca="false">Sens!$AA$348</f>
        <v>995.283560834616</v>
      </c>
      <c r="R348" s="38" t="n">
        <f aca="false">SUM(Sens!$R$340:$R$340)-SUM(Sens!$R$347:$R$347)</f>
        <v>1.50429979529945</v>
      </c>
      <c r="S348" s="38" t="n">
        <f aca="false">SUM(Sens!$R$340:$S$340)-SUM(Sens!$R$347:$S$347)</f>
        <v>26.578941154416</v>
      </c>
      <c r="T348" s="38" t="n">
        <f aca="false">SUM(Sens!$R$340:$T$340)-SUM(Sens!$R$347:$T$347)</f>
        <v>92.5251207231008</v>
      </c>
      <c r="U348" s="38" t="n">
        <f aca="false">SUM(Sens!$R$340:$U$340)-SUM(Sens!$R$347:$U$347)</f>
        <v>239.931219586022</v>
      </c>
      <c r="V348" s="38" t="n">
        <f aca="false">SUM(Sens!$R$340:$V$340)-SUM(Sens!$R$347:$V$347)</f>
        <v>403.208392333442</v>
      </c>
      <c r="W348" s="38" t="n">
        <f aca="false">SUM(Sens!$R$340:$W$340)-SUM(Sens!$R$347:$W$347)</f>
        <v>544.837543672486</v>
      </c>
      <c r="X348" s="38" t="n">
        <f aca="false">SUM(Sens!$R$340:$X$340)-SUM(Sens!$R$347:$X$347)</f>
        <v>662.967819343113</v>
      </c>
      <c r="Y348" s="38" t="n">
        <f aca="false">SUM(Sens!$R$340:$Y$340)-SUM(Sens!$R$347:$Y$347)</f>
        <v>756.90963744369</v>
      </c>
      <c r="Z348" s="38" t="n">
        <f aca="false">SUM(Sens!$R$340:$Z$340)-SUM(Sens!$R$347:$Z$347)</f>
        <v>860.10628945915</v>
      </c>
      <c r="AA348" s="38" t="n">
        <f aca="false">SUM(Sens!$R$340:$AA$340)-SUM(Sens!$R$347:$AA$347)</f>
        <v>995.283560834616</v>
      </c>
    </row>
    <row r="349" customFormat="false" ht="17.15" hidden="false" customHeight="false" outlineLevel="0" collapsed="false">
      <c r="A349" s="1" t="s">
        <v>596</v>
      </c>
    </row>
    <row r="350" customFormat="false" ht="17.15" hidden="false" customHeight="false" outlineLevel="0" collapsed="false">
      <c r="A350" s="0" t="s">
        <v>597</v>
      </c>
      <c r="B350" s="0" t="s">
        <v>73</v>
      </c>
      <c r="C350" s="38" t="n">
        <f aca="false">Sens!$C$331-ext_sh*Sens!$C$333</f>
        <v>1.80694998843362</v>
      </c>
      <c r="D350" s="38" t="n">
        <f aca="false">Sens!$D$331-ext_sh*Sens!$D$333</f>
        <v>6.77606245662607</v>
      </c>
      <c r="E350" s="38" t="n">
        <f aca="false">Sens!$E$331-ext_sh*Sens!$E$333</f>
        <v>6.62548329092326</v>
      </c>
      <c r="F350" s="38" t="n">
        <f aca="false">Sens!$F$331-ext_sh*Sens!$F$333</f>
        <v>10.8940413794839</v>
      </c>
      <c r="G350" s="38" t="n">
        <f aca="false">Sens!$G$331-ext_sh*Sens!$G$333</f>
        <v>17.5195246704072</v>
      </c>
      <c r="H350" s="38" t="n">
        <f aca="false">Sens!$H$331-ext_sh*Sens!$H$333</f>
        <v>40.7735721541341</v>
      </c>
      <c r="I350" s="38" t="n">
        <f aca="false">Sens!$I$331-ext_sh*Sens!$I$333</f>
        <v>66.8500163832358</v>
      </c>
      <c r="J350" s="38" t="n">
        <f aca="false">Sens!$J$331-ext_sh*Sens!$J$333</f>
        <v>93.0640470849174</v>
      </c>
      <c r="K350" s="38" t="n">
        <f aca="false">Sens!$K$331-ext_sh*Sens!$K$333</f>
        <v>119.323939944126</v>
      </c>
      <c r="L350" s="38" t="n">
        <f aca="false">Sens!$L$331-ext_sh*Sens!$L$333</f>
        <v>145.604679238573</v>
      </c>
      <c r="M350" s="38" t="n">
        <f aca="false">Sens!$M$331-ext_sh*Sens!$M$333</f>
        <v>171.896643536611</v>
      </c>
      <c r="N350" s="38" t="n">
        <f aca="false">Sens!$N$331-ext_sh*Sens!$N$333</f>
        <v>2.37162185981912</v>
      </c>
      <c r="O350" s="38" t="n">
        <f aca="false">Sens!$O$331-ext_sh*Sens!$O$333</f>
        <v>4.40444059680694</v>
      </c>
    </row>
    <row r="351" customFormat="false" ht="17.15" hidden="false" customHeight="false" outlineLevel="0" collapsed="false">
      <c r="A351" s="1" t="s">
        <v>598</v>
      </c>
      <c r="B351" s="8" t="s">
        <v>73</v>
      </c>
      <c r="C351" s="38" t="n">
        <f aca="false">Sens!$C$350-ext_sh*Sens!$C$347</f>
        <v>1.64417882953695</v>
      </c>
      <c r="D351" s="38" t="n">
        <f aca="false">Sens!$D$350-ext_sh*Sens!$D$347</f>
        <v>3.8781008067718</v>
      </c>
      <c r="E351" s="38" t="n">
        <f aca="false">Sens!$E$350-ext_sh*Sens!$E$347</f>
        <v>1.41270258088753</v>
      </c>
      <c r="F351" s="38" t="n">
        <f aca="false">Sens!$F$350-ext_sh*Sens!$F$347</f>
        <v>5.68126066944818</v>
      </c>
      <c r="G351" s="38" t="n">
        <f aca="false">Sens!$G$350-ext_sh*Sens!$G$347</f>
        <v>7.09396325033571</v>
      </c>
      <c r="H351" s="38" t="n">
        <f aca="false">Sens!$H$350-ext_sh*Sens!$H$347</f>
        <v>12.5382183962694</v>
      </c>
      <c r="I351" s="38" t="n">
        <f aca="false">Sens!$I$350-ext_sh*Sens!$I$347</f>
        <v>16.4361615260712</v>
      </c>
      <c r="J351" s="38" t="n">
        <f aca="false">Sens!$J$350-ext_sh*Sens!$J$347</f>
        <v>19.6616771330194</v>
      </c>
      <c r="K351" s="38" t="n">
        <f aca="false">Sens!$K$350-ext_sh*Sens!$K$347</f>
        <v>22.3813893761866</v>
      </c>
      <c r="L351" s="38" t="n">
        <f aca="false">Sens!$L$350-ext_sh*Sens!$L$347</f>
        <v>26.740093882541</v>
      </c>
      <c r="M351" s="38" t="n">
        <f aca="false">Sens!$M$350-ext_sh*Sens!$M$347</f>
        <v>30.5377848243843</v>
      </c>
      <c r="N351" s="38" t="n">
        <f aca="false">Sens!$N$350-ext_sh*Sens!$N$347</f>
        <v>0.92264103489199</v>
      </c>
      <c r="O351" s="38" t="n">
        <f aca="false">Sens!$O$350-ext_sh*Sens!$O$347</f>
        <v>2.95545977187981</v>
      </c>
    </row>
    <row r="352" customFormat="false" ht="17.15" hidden="false" customHeight="false" outlineLevel="0" collapsed="false">
      <c r="A352" s="0" t="s">
        <v>599</v>
      </c>
      <c r="B352" s="0" t="s">
        <v>52</v>
      </c>
      <c r="C352" s="12" t="n">
        <f aca="false">Sens!$C$351/Sens!$C$331</f>
        <v>0.708390794789371</v>
      </c>
      <c r="D352" s="12" t="n">
        <f aca="false">Sens!$D$351/Sens!$D$331</f>
        <v>0.445565630441968</v>
      </c>
      <c r="E352" s="12" t="n">
        <f aca="false">Sens!$E$351/Sens!$E$331</f>
        <v>0.165998118402711</v>
      </c>
      <c r="F352" s="12" t="n">
        <f aca="false">Sens!$F$351/Sens!$F$331</f>
        <v>0.401859869136011</v>
      </c>
      <c r="G352" s="12" t="n">
        <f aca="false">Sens!$G$351/Sens!$G$331</f>
        <v>0.313230095563868</v>
      </c>
      <c r="H352" s="12" t="n">
        <f aca="false">Sens!$H$351/Sens!$H$331</f>
        <v>0.23470012891306</v>
      </c>
      <c r="I352" s="12" t="n">
        <f aca="false">Sens!$I$351/Sens!$I$331</f>
        <v>0.187200558396588</v>
      </c>
      <c r="J352" s="12" t="n">
        <f aca="false">Sens!$J$351/Sens!$J$331</f>
        <v>0.160726355342167</v>
      </c>
      <c r="K352" s="12" t="n">
        <f aca="false">Sens!$K$351/Sens!$K$331</f>
        <v>0.142637017621647</v>
      </c>
      <c r="L352" s="12" t="n">
        <f aca="false">Sens!$L$351/Sens!$L$331</f>
        <v>0.139623254059572</v>
      </c>
      <c r="M352" s="12" t="n">
        <f aca="false">Sens!$M$351/Sens!$M$331</f>
        <v>0.135043429136094</v>
      </c>
      <c r="N352" s="12" t="n">
        <f aca="false">Sens!$N$351/Sens!$N$331</f>
        <v>0.302870734830849</v>
      </c>
      <c r="O352" s="12" t="n">
        <f aca="false">Sens!$O$351/Sens!$O$331</f>
        <v>0.52240134346334</v>
      </c>
    </row>
    <row r="353" customFormat="false" ht="17.15" hidden="false" customHeight="false" outlineLevel="0" collapsed="false">
      <c r="A353" s="5" t="s">
        <v>600</v>
      </c>
      <c r="B353" s="0" t="s">
        <v>73</v>
      </c>
      <c r="C353" s="38" t="n">
        <f aca="false">rd2*(1-ext_sh)/ext_sh*Sens!$C$314*he_open*Sens!$C$315/1000</f>
        <v>0</v>
      </c>
      <c r="D353" s="38" t="n">
        <f aca="false">rd2*(1-ext_sh)/ext_sh*Sens!$D$314*he_open*Sens!$D$315/1000</f>
        <v>0</v>
      </c>
      <c r="E353" s="38" t="n">
        <f aca="false">rd2*(1-ext_sh)/ext_sh*Sens!$E$314*he_open*Sens!$E$315/1000</f>
        <v>0</v>
      </c>
      <c r="F353" s="38" t="n">
        <f aca="false">rd2*(1-ext_sh)/ext_sh*(mw_open*he_open+Sens!$F$329*Sens!$F$326)*Sens!$F$315/1000</f>
        <v>0</v>
      </c>
      <c r="G353" s="38" t="n">
        <f aca="false">Sens!$E$353+Sens!$F$353</f>
        <v>0</v>
      </c>
      <c r="H353" s="38" t="n">
        <f aca="false">rd2*(1-ext_sh)/ext_sh*(mw_open*he_open+Sens!$H$329*Sens!$H$326)*Sens!$H$315/1000</f>
        <v>0</v>
      </c>
      <c r="I353" s="38" t="n">
        <f aca="false">rd2*(1-ext_sh)/ext_sh*(mw_open*he_open+Sens!$I$329*Sens!$I$326)*Sens!$I$315/1000</f>
        <v>0</v>
      </c>
      <c r="J353" s="38" t="n">
        <f aca="false">rd2*(1-ext_sh)/ext_sh*(mw_open*he_open+Sens!$J$329*Sens!$J$326)*Sens!$J$315/1000</f>
        <v>0</v>
      </c>
      <c r="K353" s="38" t="n">
        <f aca="false">rd2*(1-ext_sh)/ext_sh*(mw_open*he_open+Sens!$K$329*Sens!$K$326)*Sens!$K$315/1000</f>
        <v>0</v>
      </c>
      <c r="L353" s="38" t="n">
        <f aca="false">rd2*(1-ext_sh)/ext_sh*(mw_open*he_open+Sens!$L$329*Sens!$L$326)*Sens!$L$315/1000</f>
        <v>0</v>
      </c>
      <c r="M353" s="38" t="n">
        <f aca="false">rd2*(1-ext_sh)/ext_sh*(mw_open*he_open+Sens!$M$329*Sens!$M$326)*Sens!$M$315/1000</f>
        <v>0</v>
      </c>
      <c r="N353" s="38" t="n">
        <f aca="false">rd2*(1-ext_sh)/ext_sh*Sens!$N$314*he_open*Sens!$N$315/1000</f>
        <v>0</v>
      </c>
      <c r="O353" s="38" t="n">
        <f aca="false">rd2*(1-ext_sh)/ext_sh*Sens!$O$314*he_open*Sens!$O$315/1000</f>
        <v>0</v>
      </c>
      <c r="P353" s="8" t="s">
        <v>601</v>
      </c>
    </row>
    <row r="354" customFormat="false" ht="17.15" hidden="false" customHeight="false" outlineLevel="0" collapsed="false">
      <c r="A354" s="5" t="s">
        <v>602</v>
      </c>
      <c r="B354" s="0" t="s">
        <v>73</v>
      </c>
      <c r="C354" s="38" t="n">
        <f aca="false">(1-ext_sh)*(Sens!$C$333+Sens!$C$347)-Sens!$C$353</f>
        <v>0.169206631859174</v>
      </c>
      <c r="D354" s="38" t="n">
        <f aca="false">(1-ext_sh)*(Sens!$D$333+Sens!$D$347)-Sens!$D$353</f>
        <v>1.20641732046984</v>
      </c>
      <c r="E354" s="38" t="n">
        <f aca="false">(1-ext_sh)*(Sens!$E$333+Sens!$E$347)-Sens!$E$353</f>
        <v>1.77441259867062</v>
      </c>
      <c r="F354" s="38" t="n">
        <f aca="false">(1-ext_sh)*(Sens!$F$333+Sens!$F$347)-Sens!$F$353</f>
        <v>2.1140391597214</v>
      </c>
      <c r="G354" s="38" t="n">
        <f aca="false">(1-ext_sh)*(Sens!$G$333+Sens!$G$347)-Sens!$G$353</f>
        <v>3.88845175839202</v>
      </c>
      <c r="H354" s="38" t="n">
        <f aca="false">(1-ext_sh)*(Sens!$H$333+Sens!$H$347)-Sens!$H$353</f>
        <v>10.2210179503985</v>
      </c>
      <c r="I354" s="38" t="n">
        <f aca="false">(1-ext_sh)*(Sens!$I$333+Sens!$I$347)-Sens!$I$353</f>
        <v>17.8408961823075</v>
      </c>
      <c r="J354" s="38" t="n">
        <f aca="false">(1-ext_sh)*(Sens!$J$333+Sens!$J$347)-Sens!$J$353</f>
        <v>25.6671150670732</v>
      </c>
      <c r="K354" s="38" t="n">
        <f aca="false">(1-ext_sh)*(Sens!$K$333+Sens!$K$347)-Sens!$K$353</f>
        <v>33.6325293834986</v>
      </c>
      <c r="L354" s="38" t="n">
        <f aca="false">(1-ext_sh)*(Sens!$L$333+Sens!$L$347)-Sens!$L$353</f>
        <v>41.1939886299065</v>
      </c>
      <c r="M354" s="38" t="n">
        <f aca="false">(1-ext_sh)*(Sens!$M$333+Sens!$M$347)-Sens!$M$353</f>
        <v>48.8988205728617</v>
      </c>
      <c r="N354" s="38" t="n">
        <f aca="false">(1-ext_sh)*(Sens!$N$333+Sens!$N$347)-Sens!$N$353</f>
        <v>0.530919624033979</v>
      </c>
      <c r="O354" s="38" t="n">
        <f aca="false">(1-ext_sh)*(Sens!$O$333+Sens!$O$347)-Sens!$O$353</f>
        <v>0.675497696435861</v>
      </c>
    </row>
    <row r="355" customFormat="false" ht="17.15" hidden="false" customHeight="false" outlineLevel="0" collapsed="false">
      <c r="A355" s="0" t="s">
        <v>603</v>
      </c>
      <c r="B355" s="0" t="s">
        <v>73</v>
      </c>
      <c r="C355" s="38" t="n">
        <f aca="false">Q!$D$24</f>
        <v>39.834</v>
      </c>
      <c r="D355" s="38" t="n">
        <f aca="false">Q!$E$24</f>
        <v>45.606</v>
      </c>
      <c r="E355" s="38" t="n">
        <f aca="false">Q!$P$24</f>
        <v>30.782</v>
      </c>
      <c r="N355" s="38" t="n">
        <f aca="false">Q!$N$24</f>
        <v>21.707</v>
      </c>
      <c r="O355" s="38" t="n">
        <f aca="false">Q!$O$24</f>
        <v>23.899</v>
      </c>
    </row>
    <row r="356" customFormat="false" ht="17.15" hidden="false" customHeight="false" outlineLevel="0" collapsed="false">
      <c r="A356" s="0" t="s">
        <v>604</v>
      </c>
      <c r="B356" s="0" t="s">
        <v>73</v>
      </c>
      <c r="C356" s="38" t="n">
        <f aca="false">Sens!$C$355-Sens!$C$351</f>
        <v>38.1898211704631</v>
      </c>
      <c r="D356" s="38" t="n">
        <f aca="false">Sens!$D$355-Sens!$D$351</f>
        <v>41.7278991932282</v>
      </c>
      <c r="E356" s="38" t="n">
        <f aca="false">Sens!$E$355-Sens!$E$351</f>
        <v>29.3692974191125</v>
      </c>
      <c r="F356" s="38" t="n">
        <f aca="false">Sens!$F$335*Sens!$F$357</f>
        <v>29.458060516894</v>
      </c>
      <c r="G356" s="38" t="n">
        <f aca="false">Sens!$E$356+Sens!$F$356</f>
        <v>58.8273579360065</v>
      </c>
      <c r="H356" s="38" t="n">
        <f aca="false">Sens!$H$335*Sens!$H$357</f>
        <v>67.8004040185081</v>
      </c>
      <c r="I356" s="38" t="n">
        <f aca="false">Sens!$I$335*Sens!$I$357</f>
        <v>78.9527630302702</v>
      </c>
      <c r="J356" s="38" t="n">
        <f aca="false">Sens!$J$335*Sens!$J$357</f>
        <v>88.6042681781841</v>
      </c>
      <c r="K356" s="38" t="n">
        <f aca="false">Sens!$K$335*Sens!$K$357</f>
        <v>95.6926096324389</v>
      </c>
      <c r="L356" s="38" t="n">
        <f aca="false">Sens!$L$335*Sens!$L$357</f>
        <v>103.348018403034</v>
      </c>
      <c r="M356" s="38" t="n">
        <f aca="false">Sens!$M$335*Sens!$M$357</f>
        <v>111.615859875277</v>
      </c>
      <c r="N356" s="38" t="n">
        <f aca="false">Sens!$N$355-Sens!$N$351</f>
        <v>20.784358965108</v>
      </c>
      <c r="O356" s="38" t="n">
        <f aca="false">Sens!$O$355-Sens!$O$351</f>
        <v>20.9435402281202</v>
      </c>
      <c r="P356" s="5" t="s">
        <v>605</v>
      </c>
    </row>
    <row r="357" customFormat="false" ht="17.15" hidden="false" customHeight="false" outlineLevel="0" collapsed="false">
      <c r="A357" s="0" t="s">
        <v>606</v>
      </c>
      <c r="B357" s="0" t="s">
        <v>52</v>
      </c>
      <c r="C357" s="12" t="n">
        <f aca="false">Sens!$C$356/Sens!$C$335</f>
        <v>0.362900395443635</v>
      </c>
      <c r="D357" s="12" t="n">
        <f aca="false">Sens!$D$356/Sens!$D$335</f>
        <v>0.34767098474203</v>
      </c>
      <c r="E357" s="12" t="n">
        <f aca="false">Sens!$E$356/Sens!$E$335</f>
        <v>0.411861655558416</v>
      </c>
      <c r="F357" s="12" t="n">
        <f aca="false">(Sens!$O$356+Sens!$E$356)/(Sens!$O$335+Sens!$E$335)</f>
        <v>0.37480827803158</v>
      </c>
      <c r="G357" s="12" t="n">
        <f aca="false">Sens!$G$356/Sens!$G$335</f>
        <v>0.392434440489471</v>
      </c>
      <c r="H357" s="12" t="n">
        <f aca="false">Sens!$F$357</f>
        <v>0.37480827803158</v>
      </c>
      <c r="I357" s="12" t="n">
        <f aca="false">Sens!$F$357</f>
        <v>0.37480827803158</v>
      </c>
      <c r="J357" s="12" t="n">
        <f aca="false">Sens!$F$357</f>
        <v>0.37480827803158</v>
      </c>
      <c r="K357" s="12" t="n">
        <f aca="false">Sens!$F$357</f>
        <v>0.37480827803158</v>
      </c>
      <c r="L357" s="12" t="n">
        <f aca="false">Sens!$F$357</f>
        <v>0.37480827803158</v>
      </c>
      <c r="M357" s="12" t="n">
        <f aca="false">Sens!$F$357</f>
        <v>0.37480827803158</v>
      </c>
      <c r="N357" s="12" t="n">
        <f aca="false">Sens!$N$356/Sens!$N$335</f>
        <v>0.364039571356823</v>
      </c>
      <c r="O357" s="12" t="n">
        <f aca="false">Sens!$O$356/Sens!$O$335</f>
        <v>0.332819892300086</v>
      </c>
      <c r="P357" s="8" t="s">
        <v>607</v>
      </c>
    </row>
    <row r="358" customFormat="false" ht="17.15" hidden="false" customHeight="false" outlineLevel="0" collapsed="false">
      <c r="A358" s="0" t="s">
        <v>608</v>
      </c>
      <c r="B358" s="0" t="s">
        <v>52</v>
      </c>
      <c r="D358" s="12" t="n">
        <f aca="false">(Q!$E$31-ext_sh*Sens!$D$347)/Sens!$D$335</f>
        <v>0.154572973163571</v>
      </c>
    </row>
    <row r="359" customFormat="false" ht="17.15" hidden="false" customHeight="false" outlineLevel="0" collapsed="false">
      <c r="A359" s="0" t="s">
        <v>609</v>
      </c>
      <c r="B359" s="0" t="s">
        <v>73</v>
      </c>
      <c r="C359" s="38" t="n">
        <f aca="false">Q!$D$31</f>
        <v>13.32</v>
      </c>
      <c r="D359" s="38" t="n">
        <f aca="false">Q!$E$31</f>
        <v>21.45</v>
      </c>
      <c r="E359" s="38" t="n">
        <f aca="false">Q!$P$31</f>
        <v>15.353</v>
      </c>
      <c r="F359" s="38" t="n">
        <f aca="false">ext_sh*Sens!$F$347+Sens!$D$358*Sens!$F$335</f>
        <v>17.3614451462707</v>
      </c>
      <c r="G359" s="38" t="n">
        <f aca="false">Sens!$E$359+Sens!$F$359</f>
        <v>32.7144451462707</v>
      </c>
      <c r="H359" s="38" t="n">
        <f aca="false">ext_sh*Sens!$H$347+Sens!$D$358*Sens!$H$335</f>
        <v>56.1966092719415</v>
      </c>
      <c r="I359" s="38" t="n">
        <f aca="false">ext_sh*Sens!$I$347+Sens!$D$358*Sens!$I$335</f>
        <v>82.9744039068297</v>
      </c>
      <c r="J359" s="38" t="n">
        <f aca="false">ext_sh*Sens!$J$347+Sens!$D$358*Sens!$J$335</f>
        <v>109.943252237669</v>
      </c>
      <c r="K359" s="38" t="n">
        <f aca="false">ext_sh*Sens!$K$347+Sens!$D$358*Sens!$K$335</f>
        <v>136.406703436571</v>
      </c>
      <c r="L359" s="38" t="n">
        <f aca="false">ext_sh*Sens!$L$347+Sens!$D$358*Sens!$L$335</f>
        <v>161.485870454155</v>
      </c>
      <c r="M359" s="38" t="n">
        <f aca="false">ext_sh*Sens!$M$347+Sens!$D$358*Sens!$M$335</f>
        <v>187.389846618199</v>
      </c>
      <c r="N359" s="38" t="n">
        <f aca="false">Q!$N$31</f>
        <v>9.234</v>
      </c>
      <c r="O359" s="38" t="n">
        <f aca="false">Q!$O$31</f>
        <v>12.216</v>
      </c>
    </row>
    <row r="360" customFormat="false" ht="17.15" hidden="false" customHeight="false" outlineLevel="0" collapsed="false">
      <c r="A360" s="1" t="s">
        <v>610</v>
      </c>
    </row>
    <row r="361" customFormat="false" ht="17.15" hidden="false" customHeight="false" outlineLevel="0" collapsed="false">
      <c r="A361" s="14" t="s">
        <v>611</v>
      </c>
      <c r="B361" s="13" t="s">
        <v>52</v>
      </c>
      <c r="C361" s="13"/>
      <c r="D361" s="13"/>
      <c r="E361" s="13"/>
      <c r="F361" s="13"/>
      <c r="G361" s="16" t="n">
        <f aca="false">Sens!$G$351*(1-tax)/(ext_sh*(Sens!$D$348+Sens!$G$348)/2)</f>
        <v>0.0440851947071316</v>
      </c>
      <c r="H361" s="16" t="n">
        <f aca="false">Sens!$H$351*(1-tax)/(ext_sh*(Sens!$G$348+Sens!$H$348)/2)</f>
        <v>0.0402781040820865</v>
      </c>
      <c r="I361" s="16" t="n">
        <f aca="false">Sens!$I$351*(1-tax)/(ext_sh*(Sens!$H$348+Sens!$I$348)/2)</f>
        <v>0.0358186710480674</v>
      </c>
      <c r="J361" s="16" t="n">
        <f aca="false">Sens!$J$351*(1-tax)/(ext_sh*(Sens!$I$348+Sens!$J$348)/2)</f>
        <v>0.0336327249258515</v>
      </c>
      <c r="K361" s="16" t="n">
        <f aca="false">Sens!$K$351*(1-tax)/(ext_sh*(Sens!$J$348+Sens!$K$348)/2)</f>
        <v>0.0325667655468976</v>
      </c>
      <c r="L361" s="16" t="n">
        <f aca="false">Sens!$L$351*(1-tax)/(ext_sh*(Sens!$K$348+Sens!$L$348)/2)</f>
        <v>0.034165444780845</v>
      </c>
      <c r="M361" s="16" t="n">
        <f aca="false">Sens!$M$351*(1-tax)/(ext_sh*(Sens!$L$348+Sens!$M$348)/2)</f>
        <v>0.0340048452587916</v>
      </c>
      <c r="N361" s="13"/>
      <c r="O361" s="13"/>
      <c r="P361" s="8" t="s">
        <v>612</v>
      </c>
    </row>
    <row r="362" customFormat="false" ht="17.15" hidden="false" customHeight="false" outlineLevel="0" collapsed="false">
      <c r="A362" s="5" t="s">
        <v>613</v>
      </c>
      <c r="B362" s="0" t="s">
        <v>57</v>
      </c>
      <c r="H362" s="36" t="n">
        <f aca="false">Sens!$H$331*1000/(mw_open*he_open+Sens!$H$329*Sens!$H$326)</f>
        <v>0.880767940782091</v>
      </c>
      <c r="I362" s="36" t="n">
        <f aca="false">Sens!$I$331*1000/(mw_open*he_open+Sens!$I$329*Sens!$I$326)</f>
        <v>0.858026572758645</v>
      </c>
      <c r="J362" s="36" t="n">
        <f aca="false">Sens!$J$331*1000/(mw_open*he_open+Sens!$J$329*Sens!$J$326)</f>
        <v>0.848417499448742</v>
      </c>
      <c r="K362" s="36" t="n">
        <f aca="false">Sens!$K$331*1000/(mw_open*he_open+Sens!$K$329*Sens!$K$326)</f>
        <v>0.843126318994332</v>
      </c>
      <c r="L362" s="36" t="n">
        <f aca="false">Sens!$L$331*1000/(mw_open*he_open+Sens!$L$329*Sens!$L$326)</f>
        <v>0.839778769178837</v>
      </c>
      <c r="M362" s="36" t="n">
        <f aca="false">Sens!$M$331*1000/(mw_open*he_open+Sens!$M$329*Sens!$M$326)</f>
        <v>0.837470686826078</v>
      </c>
    </row>
    <row r="363" customFormat="false" ht="17.15" hidden="false" customHeight="false" outlineLevel="0" collapsed="false">
      <c r="A363" s="5" t="s">
        <v>614</v>
      </c>
      <c r="B363" s="0" t="s">
        <v>57</v>
      </c>
      <c r="H363" s="36" t="n">
        <f aca="false">Sens!$H$362*(Sens!$H$331+wacc*ext_sh*(Sens!$G$348+Sens!$H$348)/2/(1-tax)-Sens!$H$351)/Sens!$H$331</f>
        <v>1.3149781212103</v>
      </c>
      <c r="I363" s="36" t="n">
        <f aca="false">Sens!$I$362*(Sens!$I$331+wacc*ext_sh*(Sens!$H$348+Sens!$I$348)/2/(1-tax)-Sens!$I$351)/Sens!$I$331</f>
        <v>1.25742005569107</v>
      </c>
      <c r="J363" s="36" t="n">
        <f aca="false">Sens!$J$362*(Sens!$J$331+wacc*ext_sh*(Sens!$I$348+Sens!$J$348)/2/(1-tax)-Sens!$J$351)/Sens!$J$331</f>
        <v>1.21838845868559</v>
      </c>
      <c r="K363" s="36" t="n">
        <f aca="false">Sens!$K$362*(Sens!$K$331+wacc*ext_sh*(Sens!$J$348+Sens!$K$348)/2/(1-tax)-Sens!$K$351)/Sens!$K$331</f>
        <v>1.18402644209548</v>
      </c>
      <c r="L363" s="36" t="n">
        <f aca="false">Sens!$L$362*(Sens!$L$331+wacc*ext_sh*(Sens!$K$348+Sens!$L$348)/2/(1-tax)-Sens!$L$351)/Sens!$L$331</f>
        <v>1.15111215322059</v>
      </c>
      <c r="M363" s="36" t="n">
        <f aca="false">Sens!$M$362*(Sens!$M$331+wacc*ext_sh*(Sens!$L$348+Sens!$M$348)/2/(1-tax)-Sens!$M$351)/Sens!$M$331</f>
        <v>1.1397166845677</v>
      </c>
    </row>
    <row r="364" customFormat="false" ht="17.15" hidden="false" customHeight="false" outlineLevel="0" collapsed="false">
      <c r="A364" s="5" t="s">
        <v>615</v>
      </c>
      <c r="B364" s="0" t="s">
        <v>52</v>
      </c>
      <c r="C364" s="12" t="n">
        <f aca="false">Sens!$C$332/tk_pq</f>
        <v>0.195316432429398</v>
      </c>
      <c r="D364" s="12" t="n">
        <f aca="false">Sens!$D$332/tk_pq</f>
        <v>0.195316432429398</v>
      </c>
      <c r="E364" s="12" t="n">
        <f aca="false">Sens!$E$332/tk_pq</f>
        <v>0.195316432429398</v>
      </c>
      <c r="F364" s="12" t="n">
        <f aca="false">Sens!$F$332/tk_pq</f>
        <v>0.191077608072499</v>
      </c>
      <c r="G364" s="12" t="n">
        <f aca="false">Sens!$G$332/tk_pq</f>
        <v>0.192648675364927</v>
      </c>
      <c r="H364" s="12" t="n">
        <f aca="false">Sens!$H$332/tk_pq</f>
        <v>0.188813632292207</v>
      </c>
      <c r="I364" s="12" t="n">
        <f aca="false">Sens!$I$332/tk_pq</f>
        <v>0.18967957363228</v>
      </c>
      <c r="J364" s="12" t="n">
        <f aca="false">Sens!$J$332/tk_pq</f>
        <v>0.190298617624149</v>
      </c>
      <c r="K364" s="12" t="n">
        <f aca="false">Sens!$K$332/tk_pq</f>
        <v>0.190708841601505</v>
      </c>
      <c r="L364" s="12" t="n">
        <f aca="false">Sens!$L$332/tk_pq</f>
        <v>0.190994938306812</v>
      </c>
      <c r="M364" s="12" t="n">
        <f aca="false">Sens!$M$332/tk_pq</f>
        <v>0.191204523963728</v>
      </c>
      <c r="N364" s="12" t="n">
        <f aca="false">Sens!$N$332/tk_pq</f>
        <v>0.195316432429398</v>
      </c>
      <c r="O364" s="12" t="n">
        <f aca="false">Sens!$O$332/tk_pq</f>
        <v>0.195316432429398</v>
      </c>
      <c r="P364" s="5" t="s">
        <v>616</v>
      </c>
    </row>
    <row r="367" customFormat="false" ht="17.15" hidden="false" customHeight="false" outlineLevel="0" collapsed="false">
      <c r="A367" s="1" t="s">
        <v>643</v>
      </c>
    </row>
    <row r="368" customFormat="false" ht="17.15" hidden="false" customHeight="false" outlineLevel="0" collapsed="false">
      <c r="A368" s="0" t="s">
        <v>644</v>
      </c>
      <c r="B368" s="0" t="s">
        <v>73</v>
      </c>
      <c r="C368" s="38" t="n">
        <f aca="false">Sens!$C$331</f>
        <v>2.32100535697364</v>
      </c>
      <c r="D368" s="38" t="n">
        <f aca="false">Sens!$D$331</f>
        <v>8.70377008865116</v>
      </c>
      <c r="E368" s="38" t="n">
        <f aca="false">Sens!$E$331</f>
        <v>8.51035297557002</v>
      </c>
      <c r="F368" s="38" t="n">
        <f aca="false">Sens!$F$331</f>
        <v>14.1374173083338</v>
      </c>
      <c r="G368" s="38" t="n">
        <f aca="false">Sens!$G$331</f>
        <v>22.6477702839038</v>
      </c>
      <c r="H368" s="38" t="n">
        <f aca="false">Sens!$H$331</f>
        <v>53.4222901978634</v>
      </c>
      <c r="I368" s="38" t="n">
        <f aca="false">Sens!$I$331</f>
        <v>87.7997462553011</v>
      </c>
      <c r="J368" s="38" t="n">
        <f aca="false">Sens!$J$331</f>
        <v>122.330137401312</v>
      </c>
      <c r="K368" s="38" t="n">
        <f aca="false">Sens!$K$331</f>
        <v>156.911506910181</v>
      </c>
      <c r="L368" s="38" t="n">
        <f aca="false">Sens!$L$331</f>
        <v>191.516048402167</v>
      </c>
      <c r="M368" s="38" t="n">
        <f aca="false">Sens!$M$331</f>
        <v>226.133067115831</v>
      </c>
      <c r="N368" s="38" t="n">
        <f aca="false">Sens!$N$331</f>
        <v>3.04631953102791</v>
      </c>
      <c r="O368" s="38" t="n">
        <f aca="false">Sens!$O$331</f>
        <v>5.65745055762326</v>
      </c>
      <c r="P368" s="8" t="s">
        <v>645</v>
      </c>
    </row>
    <row r="369" customFormat="false" ht="17.15" hidden="false" customHeight="false" outlineLevel="0" collapsed="false">
      <c r="A369" s="0" t="s">
        <v>646</v>
      </c>
      <c r="B369" s="0" t="s">
        <v>73</v>
      </c>
      <c r="C369" s="38" t="n">
        <f aca="false">Sens!$C$335</f>
        <v>105.234994643026</v>
      </c>
      <c r="D369" s="38" t="n">
        <f aca="false">Sens!$D$335</f>
        <v>120.021229911349</v>
      </c>
      <c r="E369" s="38" t="n">
        <f aca="false">Sens!$E$335</f>
        <v>71.30864702443</v>
      </c>
      <c r="F369" s="38" t="n">
        <f aca="false">Sens!$F$335</f>
        <v>78.5950104186653</v>
      </c>
      <c r="G369" s="38" t="n">
        <f aca="false">Sens!$G$335</f>
        <v>149.903657443095</v>
      </c>
      <c r="H369" s="38" t="n">
        <f aca="false">Sens!$H$335</f>
        <v>180.893560768142</v>
      </c>
      <c r="I369" s="38" t="n">
        <f aca="false">Sens!$I$335</f>
        <v>210.64839721501</v>
      </c>
      <c r="J369" s="38" t="n">
        <f aca="false">Sens!$J$335</f>
        <v>236.398909446495</v>
      </c>
      <c r="K369" s="38" t="n">
        <f aca="false">Sens!$K$335</f>
        <v>255.310822202215</v>
      </c>
      <c r="L369" s="38" t="n">
        <f aca="false">Sens!$L$335</f>
        <v>275.735687978392</v>
      </c>
      <c r="M369" s="38" t="n">
        <f aca="false">Sens!$M$335</f>
        <v>297.794543016663</v>
      </c>
      <c r="N369" s="38" t="n">
        <f aca="false">Sens!$N$335</f>
        <v>57.0936804689721</v>
      </c>
      <c r="O369" s="38" t="n">
        <f aca="false">Sens!$O$335</f>
        <v>62.9275494423768</v>
      </c>
      <c r="P369" s="8" t="s">
        <v>645</v>
      </c>
    </row>
    <row r="370" customFormat="false" ht="17.15" hidden="false" customHeight="false" outlineLevel="0" collapsed="false">
      <c r="A370" s="1" t="s">
        <v>476</v>
      </c>
      <c r="B370" s="8" t="s">
        <v>73</v>
      </c>
      <c r="C370" s="38" t="n">
        <f aca="false">Q!$D$7</f>
        <v>107.556</v>
      </c>
      <c r="D370" s="38" t="n">
        <f aca="false">Q!$E$7</f>
        <v>128.725</v>
      </c>
      <c r="E370" s="38" t="n">
        <f aca="false">Q!$P$7</f>
        <v>79.819</v>
      </c>
      <c r="F370" s="38" t="n">
        <f aca="false">Sens!$F$368+Sens!$F$369</f>
        <v>92.7324277269991</v>
      </c>
      <c r="G370" s="38" t="n">
        <f aca="false">Sens!$G$368+Sens!$G$369</f>
        <v>172.551427726999</v>
      </c>
      <c r="H370" s="38" t="n">
        <f aca="false">Sens!$H$368+Sens!$H$369</f>
        <v>234.315850966005</v>
      </c>
      <c r="I370" s="38" t="n">
        <f aca="false">Sens!$I$368+Sens!$I$369</f>
        <v>298.448143470312</v>
      </c>
      <c r="J370" s="38" t="n">
        <f aca="false">Sens!$J$368+Sens!$J$369</f>
        <v>358.729046847807</v>
      </c>
      <c r="K370" s="38" t="n">
        <f aca="false">Sens!$K$368+Sens!$K$369</f>
        <v>412.222329112395</v>
      </c>
      <c r="L370" s="38" t="n">
        <f aca="false">Sens!$L$368+Sens!$L$369</f>
        <v>467.251736380559</v>
      </c>
      <c r="M370" s="38" t="n">
        <f aca="false">Sens!$M$368+Sens!$M$369</f>
        <v>523.927610132494</v>
      </c>
      <c r="N370" s="38" t="n">
        <f aca="false">Q!$N$7</f>
        <v>60.14</v>
      </c>
      <c r="O370" s="38" t="n">
        <f aca="false">Q!$O$7</f>
        <v>68.585</v>
      </c>
      <c r="P370" s="5" t="s">
        <v>647</v>
      </c>
    </row>
    <row r="371" customFormat="false" ht="15" hidden="false" customHeight="false" outlineLevel="0" collapsed="false">
      <c r="A371" s="3" t="s">
        <v>648</v>
      </c>
      <c r="B371" s="8" t="s">
        <v>73</v>
      </c>
      <c r="C371" s="38" t="n">
        <f aca="false">Q!$D$8</f>
        <v>637.959</v>
      </c>
      <c r="D371" s="38" t="n">
        <f aca="false">Q!$E$8</f>
        <v>716.924</v>
      </c>
      <c r="E371" s="38" t="n">
        <f aca="false">Q!$P$8</f>
        <v>382.125</v>
      </c>
      <c r="F371" s="38" t="n">
        <f aca="false">Sens!$F$304+Sens!$F$370</f>
        <v>449.668856935429</v>
      </c>
      <c r="G371" s="38" t="n">
        <f aca="false">Sens!$G$304+Sens!$G$370</f>
        <v>831.793856935429</v>
      </c>
      <c r="H371" s="38" t="n">
        <f aca="false">Sens!$H$304+Sens!$H$370</f>
        <v>964.251588587706</v>
      </c>
      <c r="I371" s="38" t="n">
        <f aca="false">Sens!$I$304+Sens!$I$370</f>
        <v>1096.74371316818</v>
      </c>
      <c r="J371" s="38" t="n">
        <f aca="false">Sens!$J$304+Sens!$J$370</f>
        <v>1220.46586917359</v>
      </c>
      <c r="K371" s="38" t="n">
        <f aca="false">Sens!$K$304+Sens!$K$370</f>
        <v>1329.77982121432</v>
      </c>
      <c r="L371" s="38" t="n">
        <f aca="false">Sens!$L$304+Sens!$L$370</f>
        <v>1444.53682612372</v>
      </c>
      <c r="M371" s="38" t="n">
        <f aca="false">Sens!$M$304+Sens!$M$370</f>
        <v>1565.141628676</v>
      </c>
      <c r="N371" s="38" t="n">
        <f aca="false">Q!$N$8</f>
        <v>323.369</v>
      </c>
      <c r="O371" s="38" t="n">
        <f aca="false">Q!$O$8</f>
        <v>393.555</v>
      </c>
    </row>
    <row r="372" customFormat="false" ht="17.15" hidden="false" customHeight="false" outlineLevel="0" collapsed="false">
      <c r="A372" s="24" t="s">
        <v>656</v>
      </c>
      <c r="B372" s="25" t="s">
        <v>73</v>
      </c>
      <c r="C372" s="39" t="n">
        <f aca="false">Sens!$C$304-(Sens!$C$306+Sens!$C$307)</f>
        <v>0</v>
      </c>
      <c r="D372" s="39" t="n">
        <f aca="false">Sens!$D$304-(Sens!$D$306+Sens!$D$307)</f>
        <v>0</v>
      </c>
      <c r="E372" s="39" t="n">
        <f aca="false">Sens!$E$304-(Sens!$E$306+Sens!$E$307)</f>
        <v>0</v>
      </c>
      <c r="F372" s="39" t="n">
        <f aca="false">Sens!$F$304-(Sens!$F$306+Sens!$F$307)</f>
        <v>0</v>
      </c>
      <c r="G372" s="39" t="n">
        <f aca="false">Sens!$G$304-(Sens!$G$306+Sens!$G$307)</f>
        <v>0</v>
      </c>
      <c r="H372" s="39" t="n">
        <f aca="false">Sens!$H$304-(Sens!$H$306+Sens!$H$307)</f>
        <v>0</v>
      </c>
      <c r="I372" s="39" t="n">
        <f aca="false">Sens!$I$304-(Sens!$I$306+Sens!$I$307)</f>
        <v>0</v>
      </c>
      <c r="J372" s="39" t="n">
        <f aca="false">Sens!$J$304-(Sens!$J$306+Sens!$J$307)</f>
        <v>0</v>
      </c>
      <c r="K372" s="39" t="n">
        <f aca="false">Sens!$K$304-(Sens!$K$306+Sens!$K$307)</f>
        <v>0</v>
      </c>
      <c r="L372" s="39" t="n">
        <f aca="false">Sens!$L$304-(Sens!$L$306+Sens!$L$307)</f>
        <v>0</v>
      </c>
      <c r="M372" s="39" t="n">
        <f aca="false">Sens!$M$304-(Sens!$M$306+Sens!$M$307)</f>
        <v>0</v>
      </c>
      <c r="N372" s="39" t="n">
        <f aca="false">Sens!$N$304-(Sens!$N$306+Sens!$N$307)</f>
        <v>0</v>
      </c>
      <c r="O372" s="39" t="n">
        <f aca="false">Sens!$O$304-(Sens!$O$306+Sens!$O$307)</f>
        <v>0</v>
      </c>
    </row>
    <row r="373" customFormat="false" ht="17.15" hidden="false" customHeight="false" outlineLevel="0" collapsed="false">
      <c r="A373" s="24" t="s">
        <v>657</v>
      </c>
      <c r="B373" s="25" t="s">
        <v>73</v>
      </c>
      <c r="C373" s="39" t="n">
        <f aca="false">Sens!$C$368+Sens!$C$369-Sens!$C$370</f>
        <v>0</v>
      </c>
      <c r="D373" s="39" t="n">
        <f aca="false">Sens!$D$368+Sens!$D$369-Sens!$D$370</f>
        <v>0</v>
      </c>
      <c r="E373" s="39" t="n">
        <f aca="false">Sens!$E$368+Sens!$E$369-Sens!$E$370</f>
        <v>0</v>
      </c>
      <c r="F373" s="39" t="n">
        <f aca="false">Sens!$F$368+Sens!$F$369-Sens!$F$370</f>
        <v>0</v>
      </c>
      <c r="G373" s="39" t="n">
        <f aca="false">Sens!$G$368+Sens!$G$369-Sens!$G$370</f>
        <v>0</v>
      </c>
      <c r="H373" s="39" t="n">
        <f aca="false">Sens!$H$368+Sens!$H$369-Sens!$H$370</f>
        <v>0</v>
      </c>
      <c r="I373" s="39" t="n">
        <f aca="false">Sens!$I$368+Sens!$I$369-Sens!$I$370</f>
        <v>0</v>
      </c>
      <c r="J373" s="39" t="n">
        <f aca="false">Sens!$J$368+Sens!$J$369-Sens!$J$370</f>
        <v>0</v>
      </c>
      <c r="K373" s="39" t="n">
        <f aca="false">Sens!$K$368+Sens!$K$369-Sens!$K$370</f>
        <v>0</v>
      </c>
      <c r="L373" s="39" t="n">
        <f aca="false">Sens!$L$368+Sens!$L$369-Sens!$L$370</f>
        <v>0</v>
      </c>
      <c r="M373" s="39" t="n">
        <f aca="false">Sens!$M$368+Sens!$M$369-Sens!$M$370</f>
        <v>0</v>
      </c>
      <c r="N373" s="39" t="n">
        <f aca="false">Sens!$N$368+Sens!$N$369-Sens!$N$370</f>
        <v>0</v>
      </c>
      <c r="O373" s="39" t="n">
        <f aca="false">Sens!$O$368+Sens!$O$369-Sens!$O$370</f>
        <v>0</v>
      </c>
    </row>
    <row r="374" customFormat="false" ht="17.15" hidden="false" customHeight="false" outlineLevel="0" collapsed="false">
      <c r="A374" s="24" t="s">
        <v>658</v>
      </c>
      <c r="B374" s="25" t="s">
        <v>73</v>
      </c>
      <c r="C374" s="39" t="n">
        <f aca="false">Sens!$C$306+Sens!$C$307+Sens!$C$370-Sens!$C$371</f>
        <v>0</v>
      </c>
      <c r="D374" s="39" t="n">
        <f aca="false">Sens!$D$306+Sens!$D$307+Sens!$D$370-Sens!$D$371</f>
        <v>0</v>
      </c>
      <c r="E374" s="39" t="n">
        <f aca="false">Sens!$E$306+Sens!$E$307+Sens!$E$370-Sens!$E$371</f>
        <v>0</v>
      </c>
      <c r="F374" s="39" t="n">
        <f aca="false">Sens!$F$306+Sens!$F$307+Sens!$F$370-Sens!$F$371</f>
        <v>0</v>
      </c>
      <c r="G374" s="39" t="n">
        <f aca="false">Sens!$G$306+Sens!$G$307+Sens!$G$370-Sens!$G$371</f>
        <v>0</v>
      </c>
      <c r="H374" s="39" t="n">
        <f aca="false">Sens!$H$306+Sens!$H$307+Sens!$H$370-Sens!$H$371</f>
        <v>0</v>
      </c>
      <c r="I374" s="39" t="n">
        <f aca="false">Sens!$I$306+Sens!$I$307+Sens!$I$370-Sens!$I$371</f>
        <v>0</v>
      </c>
      <c r="J374" s="39" t="n">
        <f aca="false">Sens!$J$306+Sens!$J$307+Sens!$J$370-Sens!$J$371</f>
        <v>0</v>
      </c>
      <c r="K374" s="39" t="n">
        <f aca="false">Sens!$K$306+Sens!$K$307+Sens!$K$370-Sens!$K$371</f>
        <v>0</v>
      </c>
      <c r="L374" s="39" t="n">
        <f aca="false">Sens!$L$306+Sens!$L$307+Sens!$L$370-Sens!$L$371</f>
        <v>0</v>
      </c>
      <c r="M374" s="39" t="n">
        <f aca="false">Sens!$M$306+Sens!$M$307+Sens!$M$370-Sens!$M$371</f>
        <v>0</v>
      </c>
      <c r="N374" s="39" t="n">
        <f aca="false">Sens!$N$306+Sens!$N$307+Sens!$N$370-Sens!$N$371</f>
        <v>0</v>
      </c>
      <c r="O374" s="39" t="n">
        <f aca="false">Sens!$O$306+Sens!$O$307+Sens!$O$370-Sens!$O$371</f>
        <v>0</v>
      </c>
    </row>
    <row r="375" customFormat="false" ht="15" hidden="false" customHeight="false" outlineLevel="0" collapsed="false">
      <c r="A375" s="5" t="s">
        <v>652</v>
      </c>
      <c r="B375" s="0" t="s">
        <v>52</v>
      </c>
      <c r="G375" s="12" t="n">
        <f aca="false">Sens!$G$371/Sens!$D$371-1</f>
        <v>0.160225988996642</v>
      </c>
      <c r="H375" s="12" t="n">
        <f aca="false">Sens!$H$371/Sens!$G$371-1</f>
        <v>0.159243459840266</v>
      </c>
      <c r="I375" s="12" t="n">
        <f aca="false">Sens!$I$371/Sens!$H$371-1</f>
        <v>0.137404102983676</v>
      </c>
      <c r="J375" s="12" t="n">
        <f aca="false">Sens!$J$371/Sens!$I$371-1</f>
        <v>0.1128086302387</v>
      </c>
      <c r="K375" s="12" t="n">
        <f aca="false">Sens!$K$371/Sens!$J$371-1</f>
        <v>0.0895673978287874</v>
      </c>
      <c r="L375" s="12" t="n">
        <f aca="false">Sens!$L$371/Sens!$K$371-1</f>
        <v>0.0862977487540833</v>
      </c>
      <c r="M375" s="12" t="n">
        <f aca="false">Sens!$M$371/Sens!$L$371-1</f>
        <v>0.0834902927853387</v>
      </c>
    </row>
    <row r="376" customFormat="false" ht="17.15" hidden="false" customHeight="false" outlineLevel="0" collapsed="false">
      <c r="A376" s="0" t="s">
        <v>653</v>
      </c>
      <c r="B376" s="0" t="s">
        <v>52</v>
      </c>
      <c r="C376" s="12" t="n">
        <f aca="false">Sens!$C$370/Sens!$C$371</f>
        <v>0.168593906504964</v>
      </c>
      <c r="D376" s="12" t="n">
        <f aca="false">Sens!$D$370/Sens!$D$371</f>
        <v>0.179551807444025</v>
      </c>
      <c r="E376" s="12" t="n">
        <f aca="false">Sens!$E$370/Sens!$E$371</f>
        <v>0.208881910369643</v>
      </c>
      <c r="F376" s="12" t="n">
        <f aca="false">Sens!$F$370/Sens!$F$371</f>
        <v>0.206223816252223</v>
      </c>
      <c r="G376" s="12" t="n">
        <f aca="false">Sens!$G$370/Sens!$G$371</f>
        <v>0.207444941181375</v>
      </c>
      <c r="H376" s="12" t="n">
        <f aca="false">Sens!$H$370/Sens!$H$371</f>
        <v>0.243002815592139</v>
      </c>
      <c r="I376" s="12" t="n">
        <f aca="false">Sens!$I$370/Sens!$I$371</f>
        <v>0.272122046278413</v>
      </c>
      <c r="J376" s="12" t="n">
        <f aca="false">Sens!$J$370/Sens!$J$371</f>
        <v>0.293927963008676</v>
      </c>
      <c r="K376" s="12" t="n">
        <f aca="false">Sens!$K$370/Sens!$K$371</f>
        <v>0.309992919531569</v>
      </c>
      <c r="L376" s="12" t="n">
        <f aca="false">Sens!$L$370/Sens!$L$371</f>
        <v>0.323461283873519</v>
      </c>
      <c r="M376" s="12" t="n">
        <f aca="false">Sens!$M$370/Sens!$M$371</f>
        <v>0.334747731791979</v>
      </c>
      <c r="N376" s="12" t="n">
        <f aca="false">Sens!$N$370/Sens!$N$371</f>
        <v>0.185979484737251</v>
      </c>
      <c r="O376" s="12" t="n">
        <f aca="false">Sens!$O$370/Sens!$O$371</f>
        <v>0.174270432341096</v>
      </c>
    </row>
    <row r="377" customFormat="false" ht="17.15" hidden="false" customHeight="false" outlineLevel="0" collapsed="false">
      <c r="A377" s="0" t="s">
        <v>654</v>
      </c>
      <c r="B377" s="0" t="s">
        <v>52</v>
      </c>
      <c r="C377" s="12" t="n">
        <f aca="false">Sens!$C$368/Sens!$C$370</f>
        <v>0.0215795060896058</v>
      </c>
      <c r="D377" s="12" t="n">
        <f aca="false">Sens!$D$368/Sens!$D$370</f>
        <v>0.0676152269462122</v>
      </c>
      <c r="E377" s="12" t="n">
        <f aca="false">Sens!$E$368/Sens!$E$370</f>
        <v>0.106620641395783</v>
      </c>
      <c r="F377" s="12" t="n">
        <f aca="false">Sens!$F$368/Sens!$F$370</f>
        <v>0.15245386813288</v>
      </c>
      <c r="G377" s="12" t="n">
        <f aca="false">Sens!$G$368/Sens!$G$370</f>
        <v>0.131252291460235</v>
      </c>
      <c r="H377" s="12" t="n">
        <f aca="false">Sens!$H$368/Sens!$H$370</f>
        <v>0.227992643167849</v>
      </c>
      <c r="I377" s="12" t="n">
        <f aca="false">Sens!$I$368/Sens!$I$370</f>
        <v>0.294187610733237</v>
      </c>
      <c r="J377" s="12" t="n">
        <f aca="false">Sens!$J$368/Sens!$J$370</f>
        <v>0.341009847059336</v>
      </c>
      <c r="K377" s="12" t="n">
        <f aca="false">Sens!$K$368/Sens!$K$370</f>
        <v>0.380647761726168</v>
      </c>
      <c r="L377" s="12" t="n">
        <f aca="false">Sens!$L$368/Sens!$L$370</f>
        <v>0.409877660136044</v>
      </c>
      <c r="M377" s="12" t="n">
        <f aca="false">Sens!$M$368/Sens!$M$370</f>
        <v>0.431611281296371</v>
      </c>
      <c r="N377" s="12" t="n">
        <f aca="false">Sens!$N$368/Sens!$N$370</f>
        <v>0.0506537999838362</v>
      </c>
      <c r="O377" s="12" t="n">
        <f aca="false">Sens!$O$368/Sens!$O$370</f>
        <v>0.0824881615167056</v>
      </c>
    </row>
    <row r="380" customFormat="false" ht="19.4" hidden="false" customHeight="false" outlineLevel="0" collapsed="false">
      <c r="A380" s="31" t="s">
        <v>1052</v>
      </c>
    </row>
    <row r="381" customFormat="false" ht="17.15" hidden="false" customHeight="false" outlineLevel="0" collapsed="false">
      <c r="A381" s="6" t="s">
        <v>16</v>
      </c>
      <c r="B381" s="6" t="s">
        <v>17</v>
      </c>
      <c r="C381" s="20" t="s">
        <v>457</v>
      </c>
      <c r="D381" s="20" t="s">
        <v>458</v>
      </c>
      <c r="E381" s="20" t="s">
        <v>540</v>
      </c>
      <c r="F381" s="20" t="s">
        <v>541</v>
      </c>
      <c r="G381" s="20" t="s">
        <v>542</v>
      </c>
      <c r="H381" s="20" t="s">
        <v>543</v>
      </c>
      <c r="I381" s="20" t="s">
        <v>544</v>
      </c>
      <c r="J381" s="20" t="s">
        <v>545</v>
      </c>
      <c r="K381" s="20" t="s">
        <v>546</v>
      </c>
      <c r="L381" s="20" t="s">
        <v>547</v>
      </c>
      <c r="M381" s="20" t="s">
        <v>548</v>
      </c>
      <c r="N381" s="20" t="s">
        <v>549</v>
      </c>
      <c r="O381" s="20" t="s">
        <v>550</v>
      </c>
      <c r="P381" s="6" t="s">
        <v>23</v>
      </c>
      <c r="R381" s="20" t="n">
        <v>2023</v>
      </c>
      <c r="S381" s="20" t="n">
        <v>2024</v>
      </c>
      <c r="T381" s="20" t="n">
        <v>2025</v>
      </c>
      <c r="U381" s="20" t="n">
        <v>2026</v>
      </c>
      <c r="V381" s="20" t="n">
        <v>2027</v>
      </c>
      <c r="W381" s="20" t="n">
        <v>2028</v>
      </c>
      <c r="X381" s="20" t="n">
        <v>2029</v>
      </c>
      <c r="Y381" s="20" t="n">
        <v>2030</v>
      </c>
      <c r="Z381" s="20" t="n">
        <v>2031</v>
      </c>
      <c r="AA381" s="20" t="n">
        <v>2032</v>
      </c>
    </row>
    <row r="382" customFormat="false" ht="17.15" hidden="false" customHeight="false" outlineLevel="0" collapsed="false">
      <c r="A382" s="1" t="s">
        <v>669</v>
      </c>
    </row>
    <row r="383" customFormat="false" ht="15" hidden="false" customHeight="false" outlineLevel="0" collapsed="false">
      <c r="A383" s="0" t="s">
        <v>479</v>
      </c>
      <c r="B383" s="0" t="s">
        <v>73</v>
      </c>
      <c r="C383" s="38" t="n">
        <f aca="false">Sens!$C$292</f>
        <v>247.029</v>
      </c>
      <c r="D383" s="38" t="n">
        <f aca="false">Sens!$D$292</f>
        <v>269.287</v>
      </c>
      <c r="E383" s="38" t="n">
        <f aca="false">Sens!$E$292</f>
        <v>134.686</v>
      </c>
      <c r="F383" s="38" t="n">
        <f aca="false">Sens!$F$292</f>
        <v>160.728085930082</v>
      </c>
      <c r="G383" s="38" t="n">
        <f aca="false">Sens!$G$292</f>
        <v>295.414085930082</v>
      </c>
      <c r="H383" s="38" t="n">
        <f aca="false">Sens!$H$292</f>
        <v>320.828163943375</v>
      </c>
      <c r="I383" s="38" t="n">
        <f aca="false">Sens!$I$292</f>
        <v>344.575578072228</v>
      </c>
      <c r="J383" s="38" t="n">
        <f aca="false">Sens!$J$292</f>
        <v>365.942555779681</v>
      </c>
      <c r="K383" s="38" t="n">
        <f aca="false">Sens!$K$292</f>
        <v>384.239683568665</v>
      </c>
      <c r="L383" s="38" t="n">
        <f aca="false">Sens!$L$292</f>
        <v>403.451667747098</v>
      </c>
      <c r="M383" s="38" t="n">
        <f aca="false">Sens!$M$292</f>
        <v>423.624251134453</v>
      </c>
      <c r="N383" s="38" t="n">
        <f aca="false">Sens!$N$292</f>
        <v>118.892</v>
      </c>
      <c r="O383" s="38" t="n">
        <f aca="false">Sens!$O$292</f>
        <v>150.395</v>
      </c>
    </row>
    <row r="384" customFormat="false" ht="15" hidden="false" customHeight="false" outlineLevel="0" collapsed="false">
      <c r="A384" s="0" t="s">
        <v>480</v>
      </c>
      <c r="B384" s="0" t="s">
        <v>73</v>
      </c>
      <c r="C384" s="38" t="n">
        <f aca="false">Sens!$C$294</f>
        <v>21.215</v>
      </c>
      <c r="D384" s="38" t="n">
        <f aca="false">Sens!$D$294</f>
        <v>22.561</v>
      </c>
      <c r="E384" s="38" t="n">
        <f aca="false">Sens!$E$294</f>
        <v>11.579</v>
      </c>
      <c r="F384" s="38" t="n">
        <f aca="false">Sens!$F$294</f>
        <v>12.0952613121125</v>
      </c>
      <c r="G384" s="38" t="n">
        <f aca="false">Sens!$G$294</f>
        <v>23.6742613121125</v>
      </c>
      <c r="H384" s="38" t="n">
        <f aca="false">Sens!$H$294</f>
        <v>24.8803243963206</v>
      </c>
      <c r="I384" s="38" t="n">
        <f aca="false">Sens!$I$294</f>
        <v>25.9741308664154</v>
      </c>
      <c r="J384" s="38" t="n">
        <f aca="false">Sens!$J$294</f>
        <v>26.9346894124267</v>
      </c>
      <c r="K384" s="38" t="n">
        <f aca="false">Sens!$K$294</f>
        <v>27.7427300947995</v>
      </c>
      <c r="L384" s="38" t="n">
        <f aca="false">Sens!$L$294</f>
        <v>28.5750119976435</v>
      </c>
      <c r="M384" s="38" t="n">
        <f aca="false">Sens!$M$294</f>
        <v>29.4322623575728</v>
      </c>
      <c r="N384" s="38" t="n">
        <f aca="false">Sens!$N$294</f>
        <v>11.128</v>
      </c>
      <c r="O384" s="38" t="n">
        <f aca="false">Sens!$O$294</f>
        <v>11.433</v>
      </c>
    </row>
    <row r="385" customFormat="false" ht="15" hidden="false" customHeight="false" outlineLevel="0" collapsed="false">
      <c r="A385" s="0" t="s">
        <v>481</v>
      </c>
      <c r="B385" s="0" t="s">
        <v>73</v>
      </c>
      <c r="C385" s="38" t="n">
        <f aca="false">Sens!$C$296</f>
        <v>156.146</v>
      </c>
      <c r="D385" s="38" t="n">
        <f aca="false">Sens!$D$296</f>
        <v>172.162</v>
      </c>
      <c r="E385" s="38" t="n">
        <f aca="false">Sens!$E$296</f>
        <v>88.358</v>
      </c>
      <c r="F385" s="38" t="n">
        <f aca="false">Sens!$F$296</f>
        <v>103.62028337149</v>
      </c>
      <c r="G385" s="38" t="n">
        <f aca="false">Sens!$G$296</f>
        <v>191.97828337149</v>
      </c>
      <c r="H385" s="38" t="n">
        <f aca="false">Sens!$H$296</f>
        <v>212.128608444755</v>
      </c>
      <c r="I385" s="38" t="n">
        <f aca="false">Sens!$I$296</f>
        <v>231.92183134134</v>
      </c>
      <c r="J385" s="38" t="n">
        <f aca="false">Sens!$J$296</f>
        <v>250.859136487863</v>
      </c>
      <c r="K385" s="38" t="n">
        <f aca="false">Sens!$K$296</f>
        <v>268.419276042014</v>
      </c>
      <c r="L385" s="38" t="n">
        <f aca="false">Sens!$L$296</f>
        <v>287.208625364954</v>
      </c>
      <c r="M385" s="38" t="n">
        <f aca="false">Sens!$M$296</f>
        <v>307.313229140501</v>
      </c>
      <c r="N385" s="38" t="n">
        <f aca="false">Sens!$N$296</f>
        <v>76.86</v>
      </c>
      <c r="O385" s="38" t="n">
        <f aca="false">Sens!$O$296</f>
        <v>95.302</v>
      </c>
    </row>
    <row r="386" customFormat="false" ht="15" hidden="false" customHeight="false" outlineLevel="0" collapsed="false">
      <c r="A386" s="0" t="s">
        <v>482</v>
      </c>
      <c r="B386" s="0" t="s">
        <v>73</v>
      </c>
      <c r="C386" s="38" t="n">
        <f aca="false">Sens!$C$298</f>
        <v>56.214</v>
      </c>
      <c r="D386" s="38" t="n">
        <f aca="false">Sens!$D$298</f>
        <v>68.635</v>
      </c>
      <c r="E386" s="38" t="n">
        <f aca="false">Sens!$E$298</f>
        <v>37.052</v>
      </c>
      <c r="F386" s="38" t="n">
        <f aca="false">Sens!$F$298</f>
        <v>48.1533381827382</v>
      </c>
      <c r="G386" s="38" t="n">
        <f aca="false">Sens!$G$298</f>
        <v>85.2053381827382</v>
      </c>
      <c r="H386" s="38" t="n">
        <f aca="false">Sens!$H$298</f>
        <v>102.29336185894</v>
      </c>
      <c r="I386" s="38" t="n">
        <f aca="false">Sens!$I$298</f>
        <v>119.379837585241</v>
      </c>
      <c r="J386" s="38" t="n">
        <f aca="false">Sens!$J$298</f>
        <v>135.319079048844</v>
      </c>
      <c r="K386" s="38" t="n">
        <f aca="false">Sens!$K$298</f>
        <v>148.850986953729</v>
      </c>
      <c r="L386" s="38" t="n">
        <f aca="false">Sens!$L$298</f>
        <v>163.736085649102</v>
      </c>
      <c r="M386" s="38" t="n">
        <f aca="false">Sens!$M$298</f>
        <v>180.109694214012</v>
      </c>
      <c r="N386" s="38" t="n">
        <f aca="false">Sens!$N$298</f>
        <v>29.615</v>
      </c>
      <c r="O386" s="38" t="n">
        <f aca="false">Sens!$O$298</f>
        <v>39.02</v>
      </c>
    </row>
    <row r="387" customFormat="false" ht="15" hidden="false" customHeight="false" outlineLevel="0" collapsed="false">
      <c r="A387" s="0" t="s">
        <v>483</v>
      </c>
      <c r="B387" s="0" t="s">
        <v>73</v>
      </c>
      <c r="C387" s="38" t="n">
        <f aca="false">Sens!$C$300</f>
        <v>44.374</v>
      </c>
      <c r="D387" s="38" t="n">
        <f aca="false">Sens!$D$300</f>
        <v>49.619</v>
      </c>
      <c r="E387" s="38" t="n">
        <f aca="false">Sens!$E$300</f>
        <v>27.157</v>
      </c>
      <c r="F387" s="38" t="n">
        <f aca="false">Sens!$F$300</f>
        <v>28.9776360923374</v>
      </c>
      <c r="G387" s="38" t="n">
        <f aca="false">Sens!$G$300</f>
        <v>56.1346360923374</v>
      </c>
      <c r="H387" s="38" t="n">
        <f aca="false">Sens!$H$300</f>
        <v>62.4937078946075</v>
      </c>
      <c r="I387" s="38" t="n">
        <f aca="false">Sens!$I$300</f>
        <v>68.6715233062498</v>
      </c>
      <c r="J387" s="38" t="n">
        <f aca="false">Sens!$J$300</f>
        <v>74.4692882949818</v>
      </c>
      <c r="K387" s="38" t="n">
        <f aca="false">Sens!$K$300</f>
        <v>79.6821384756306</v>
      </c>
      <c r="L387" s="38" t="n">
        <f aca="false">Sens!$L$300</f>
        <v>85.2598881689247</v>
      </c>
      <c r="M387" s="38" t="n">
        <f aca="false">Sens!$M$300</f>
        <v>91.2280803407494</v>
      </c>
      <c r="N387" s="38" t="n">
        <f aca="false">Sens!$N$300</f>
        <v>23.923</v>
      </c>
      <c r="O387" s="38" t="n">
        <f aca="false">Sens!$O$300</f>
        <v>25.696</v>
      </c>
    </row>
    <row r="388" customFormat="false" ht="15" hidden="false" customHeight="false" outlineLevel="0" collapsed="false">
      <c r="A388" s="0" t="s">
        <v>484</v>
      </c>
      <c r="B388" s="0" t="s">
        <v>73</v>
      </c>
      <c r="C388" s="38" t="n">
        <f aca="false">Sens!$C$302</f>
        <v>5.425</v>
      </c>
      <c r="D388" s="38" t="n">
        <f aca="false">Sens!$D$302</f>
        <v>5.935</v>
      </c>
      <c r="E388" s="38" t="n">
        <f aca="false">Sens!$E$302</f>
        <v>3.474</v>
      </c>
      <c r="F388" s="38" t="n">
        <f aca="false">Sens!$F$302</f>
        <v>3.36182431966931</v>
      </c>
      <c r="G388" s="38" t="n">
        <f aca="false">Sens!$G$302</f>
        <v>6.83582431966931</v>
      </c>
      <c r="H388" s="38" t="n">
        <f aca="false">Sens!$H$302</f>
        <v>7.31157108370141</v>
      </c>
      <c r="I388" s="38" t="n">
        <f aca="false">Sens!$I$302</f>
        <v>7.77266852639815</v>
      </c>
      <c r="J388" s="38" t="n">
        <f aca="false">Sens!$J$302</f>
        <v>8.2120733019884</v>
      </c>
      <c r="K388" s="38" t="n">
        <f aca="false">Sens!$K$302</f>
        <v>8.62267696708783</v>
      </c>
      <c r="L388" s="38" t="n">
        <f aca="false">Sens!$L$302</f>
        <v>9.05381081544222</v>
      </c>
      <c r="M388" s="38" t="n">
        <f aca="false">Sens!$M$302</f>
        <v>9.50650135621433</v>
      </c>
      <c r="N388" s="38" t="n">
        <f aca="false">Sens!$N$302</f>
        <v>2.811</v>
      </c>
      <c r="O388" s="38" t="n">
        <f aca="false">Sens!$O$302</f>
        <v>3.124</v>
      </c>
    </row>
    <row r="389" customFormat="false" ht="17.15" hidden="false" customHeight="false" outlineLevel="0" collapsed="false">
      <c r="A389" s="0" t="s">
        <v>670</v>
      </c>
      <c r="B389" s="0" t="s">
        <v>73</v>
      </c>
      <c r="C389" s="38" t="n">
        <f aca="false">Sens!$C$370</f>
        <v>107.556</v>
      </c>
      <c r="D389" s="38" t="n">
        <f aca="false">Sens!$D$370</f>
        <v>128.725</v>
      </c>
      <c r="E389" s="38" t="n">
        <f aca="false">Sens!$E$370</f>
        <v>79.819</v>
      </c>
      <c r="F389" s="38" t="n">
        <f aca="false">Sens!$F$370</f>
        <v>92.7324277269991</v>
      </c>
      <c r="G389" s="38" t="n">
        <f aca="false">Sens!$G$370</f>
        <v>172.551427726999</v>
      </c>
      <c r="H389" s="38" t="n">
        <f aca="false">Sens!$H$370</f>
        <v>234.315850966005</v>
      </c>
      <c r="I389" s="38" t="n">
        <f aca="false">Sens!$I$370</f>
        <v>298.448143470312</v>
      </c>
      <c r="J389" s="38" t="n">
        <f aca="false">Sens!$J$370</f>
        <v>358.729046847807</v>
      </c>
      <c r="K389" s="38" t="n">
        <f aca="false">Sens!$K$370</f>
        <v>412.222329112395</v>
      </c>
      <c r="L389" s="38" t="n">
        <f aca="false">Sens!$L$370</f>
        <v>467.251736380559</v>
      </c>
      <c r="M389" s="38" t="n">
        <f aca="false">Sens!$M$370</f>
        <v>523.927610132494</v>
      </c>
      <c r="N389" s="38" t="n">
        <f aca="false">Sens!$N$370</f>
        <v>60.14</v>
      </c>
      <c r="O389" s="38" t="n">
        <f aca="false">Sens!$O$370</f>
        <v>68.585</v>
      </c>
    </row>
    <row r="390" customFormat="false" ht="15" hidden="false" customHeight="false" outlineLevel="0" collapsed="false">
      <c r="A390" s="1" t="s">
        <v>472</v>
      </c>
      <c r="B390" s="8" t="s">
        <v>73</v>
      </c>
      <c r="C390" s="38" t="n">
        <f aca="false">Sens!$C$306</f>
        <v>387.497</v>
      </c>
      <c r="D390" s="38" t="n">
        <f aca="false">Sens!$D$306</f>
        <v>426.305</v>
      </c>
      <c r="E390" s="38" t="n">
        <f aca="false">Sens!$E$306</f>
        <v>220.32</v>
      </c>
      <c r="F390" s="38" t="n">
        <f aca="false">Sens!$F$306</f>
        <v>256.304015003807</v>
      </c>
      <c r="G390" s="38" t="n">
        <f aca="false">Sens!$G$306</f>
        <v>476.624015003807</v>
      </c>
      <c r="H390" s="38" t="n">
        <f aca="false">Sens!$H$306</f>
        <v>527.734391091543</v>
      </c>
      <c r="I390" s="38" t="n">
        <f aca="false">Sens!$I$306</f>
        <v>577.157693029577</v>
      </c>
      <c r="J390" s="38" t="n">
        <f aca="false">Sens!$J$306</f>
        <v>623.024923663827</v>
      </c>
      <c r="K390" s="38" t="n">
        <f aca="false">Sens!$K$306</f>
        <v>663.382568393781</v>
      </c>
      <c r="L390" s="38" t="n">
        <f aca="false">Sens!$L$306</f>
        <v>706.564873010432</v>
      </c>
      <c r="M390" s="38" t="n">
        <f aca="false">Sens!$M$306</f>
        <v>752.784687406019</v>
      </c>
      <c r="N390" s="38" t="n">
        <f aca="false">Sens!$N$306</f>
        <v>192.955</v>
      </c>
      <c r="O390" s="38" t="n">
        <f aca="false">Sens!$O$306</f>
        <v>233.35</v>
      </c>
    </row>
    <row r="391" customFormat="false" ht="15" hidden="false" customHeight="false" outlineLevel="0" collapsed="false">
      <c r="A391" s="1" t="s">
        <v>475</v>
      </c>
      <c r="B391" s="8" t="s">
        <v>73</v>
      </c>
      <c r="C391" s="38" t="n">
        <f aca="false">Sens!$C$307</f>
        <v>142.906</v>
      </c>
      <c r="D391" s="38" t="n">
        <f aca="false">Sens!$D$307</f>
        <v>161.894</v>
      </c>
      <c r="E391" s="38" t="n">
        <f aca="false">Sens!$E$307</f>
        <v>81.986</v>
      </c>
      <c r="F391" s="38" t="n">
        <f aca="false">Sens!$F$307</f>
        <v>100.632414204623</v>
      </c>
      <c r="G391" s="38" t="n">
        <f aca="false">Sens!$G$307</f>
        <v>182.618414204623</v>
      </c>
      <c r="H391" s="38" t="n">
        <f aca="false">Sens!$H$307</f>
        <v>202.201346530158</v>
      </c>
      <c r="I391" s="38" t="n">
        <f aca="false">Sens!$I$307</f>
        <v>221.137876668296</v>
      </c>
      <c r="J391" s="38" t="n">
        <f aca="false">Sens!$J$307</f>
        <v>238.711898661958</v>
      </c>
      <c r="K391" s="38" t="n">
        <f aca="false">Sens!$K$307</f>
        <v>254.174923708144</v>
      </c>
      <c r="L391" s="38" t="n">
        <f aca="false">Sens!$L$307</f>
        <v>270.720216732733</v>
      </c>
      <c r="M391" s="38" t="n">
        <f aca="false">Sens!$M$307</f>
        <v>288.429331137484</v>
      </c>
      <c r="N391" s="38" t="n">
        <f aca="false">Sens!$N$307</f>
        <v>70.274</v>
      </c>
      <c r="O391" s="38" t="n">
        <f aca="false">Sens!$O$307</f>
        <v>91.62</v>
      </c>
    </row>
    <row r="392" customFormat="false" ht="15" hidden="false" customHeight="false" outlineLevel="0" collapsed="false">
      <c r="A392" s="1" t="s">
        <v>476</v>
      </c>
      <c r="B392" s="8" t="s">
        <v>73</v>
      </c>
      <c r="C392" s="38" t="n">
        <f aca="false">Sens!$C$370</f>
        <v>107.556</v>
      </c>
      <c r="D392" s="38" t="n">
        <f aca="false">Sens!$D$370</f>
        <v>128.725</v>
      </c>
      <c r="E392" s="38" t="n">
        <f aca="false">Sens!$E$370</f>
        <v>79.819</v>
      </c>
      <c r="F392" s="38" t="n">
        <f aca="false">Sens!$F$370</f>
        <v>92.7324277269991</v>
      </c>
      <c r="G392" s="38" t="n">
        <f aca="false">Sens!$G$370</f>
        <v>172.551427726999</v>
      </c>
      <c r="H392" s="38" t="n">
        <f aca="false">Sens!$H$370</f>
        <v>234.315850966005</v>
      </c>
      <c r="I392" s="38" t="n">
        <f aca="false">Sens!$I$370</f>
        <v>298.448143470312</v>
      </c>
      <c r="J392" s="38" t="n">
        <f aca="false">Sens!$J$370</f>
        <v>358.729046847807</v>
      </c>
      <c r="K392" s="38" t="n">
        <f aca="false">Sens!$K$370</f>
        <v>412.222329112395</v>
      </c>
      <c r="L392" s="38" t="n">
        <f aca="false">Sens!$L$370</f>
        <v>467.251736380559</v>
      </c>
      <c r="M392" s="38" t="n">
        <f aca="false">Sens!$M$370</f>
        <v>523.927610132494</v>
      </c>
      <c r="N392" s="38" t="n">
        <f aca="false">Sens!$N$370</f>
        <v>60.14</v>
      </c>
      <c r="O392" s="38" t="n">
        <f aca="false">Sens!$O$370</f>
        <v>68.585</v>
      </c>
    </row>
    <row r="393" customFormat="false" ht="17.15" hidden="false" customHeight="false" outlineLevel="0" collapsed="false">
      <c r="A393" s="0" t="s">
        <v>644</v>
      </c>
      <c r="B393" s="0" t="s">
        <v>73</v>
      </c>
      <c r="C393" s="38" t="n">
        <f aca="false">Sens!$C$368</f>
        <v>2.32100535697364</v>
      </c>
      <c r="D393" s="38" t="n">
        <f aca="false">Sens!$D$368</f>
        <v>8.70377008865116</v>
      </c>
      <c r="E393" s="38" t="n">
        <f aca="false">Sens!$E$368</f>
        <v>8.51035297557002</v>
      </c>
      <c r="F393" s="38" t="n">
        <f aca="false">Sens!$F$368</f>
        <v>14.1374173083338</v>
      </c>
      <c r="G393" s="38" t="n">
        <f aca="false">Sens!$G$368</f>
        <v>22.6477702839038</v>
      </c>
      <c r="H393" s="38" t="n">
        <f aca="false">Sens!$H$368</f>
        <v>53.4222901978634</v>
      </c>
      <c r="I393" s="38" t="n">
        <f aca="false">Sens!$I$368</f>
        <v>87.7997462553011</v>
      </c>
      <c r="J393" s="38" t="n">
        <f aca="false">Sens!$J$368</f>
        <v>122.330137401312</v>
      </c>
      <c r="K393" s="38" t="n">
        <f aca="false">Sens!$K$368</f>
        <v>156.911506910181</v>
      </c>
      <c r="L393" s="38" t="n">
        <f aca="false">Sens!$L$368</f>
        <v>191.516048402167</v>
      </c>
      <c r="M393" s="38" t="n">
        <f aca="false">Sens!$M$368</f>
        <v>226.133067115831</v>
      </c>
      <c r="N393" s="38" t="n">
        <f aca="false">Sens!$N$368</f>
        <v>3.04631953102791</v>
      </c>
      <c r="O393" s="38" t="n">
        <f aca="false">Sens!$O$368</f>
        <v>5.65745055762326</v>
      </c>
    </row>
    <row r="394" customFormat="false" ht="17.15" hidden="false" customHeight="false" outlineLevel="0" collapsed="false">
      <c r="A394" s="0" t="s">
        <v>646</v>
      </c>
      <c r="B394" s="0" t="s">
        <v>73</v>
      </c>
      <c r="C394" s="38" t="n">
        <f aca="false">Sens!$C$369</f>
        <v>105.234994643026</v>
      </c>
      <c r="D394" s="38" t="n">
        <f aca="false">Sens!$D$369</f>
        <v>120.021229911349</v>
      </c>
      <c r="E394" s="38" t="n">
        <f aca="false">Sens!$E$369</f>
        <v>71.30864702443</v>
      </c>
      <c r="F394" s="38" t="n">
        <f aca="false">Sens!$F$369</f>
        <v>78.5950104186653</v>
      </c>
      <c r="G394" s="38" t="n">
        <f aca="false">Sens!$G$369</f>
        <v>149.903657443095</v>
      </c>
      <c r="H394" s="38" t="n">
        <f aca="false">Sens!$H$369</f>
        <v>180.893560768142</v>
      </c>
      <c r="I394" s="38" t="n">
        <f aca="false">Sens!$I$369</f>
        <v>210.64839721501</v>
      </c>
      <c r="J394" s="38" t="n">
        <f aca="false">Sens!$J$369</f>
        <v>236.398909446495</v>
      </c>
      <c r="K394" s="38" t="n">
        <f aca="false">Sens!$K$369</f>
        <v>255.310822202215</v>
      </c>
      <c r="L394" s="38" t="n">
        <f aca="false">Sens!$L$369</f>
        <v>275.735687978392</v>
      </c>
      <c r="M394" s="38" t="n">
        <f aca="false">Sens!$M$369</f>
        <v>297.794543016663</v>
      </c>
      <c r="N394" s="38" t="n">
        <f aca="false">Sens!$N$369</f>
        <v>57.0936804689721</v>
      </c>
      <c r="O394" s="38" t="n">
        <f aca="false">Sens!$O$369</f>
        <v>62.9275494423768</v>
      </c>
    </row>
    <row r="395" customFormat="false" ht="15" hidden="false" customHeight="false" outlineLevel="0" collapsed="false">
      <c r="A395" s="3" t="s">
        <v>477</v>
      </c>
      <c r="B395" s="8" t="s">
        <v>73</v>
      </c>
      <c r="C395" s="38" t="n">
        <f aca="false">Sens!$C$371</f>
        <v>637.959</v>
      </c>
      <c r="D395" s="38" t="n">
        <f aca="false">Sens!$D$371</f>
        <v>716.924</v>
      </c>
      <c r="E395" s="38" t="n">
        <f aca="false">Sens!$E$371</f>
        <v>382.125</v>
      </c>
      <c r="F395" s="38" t="n">
        <f aca="false">Sens!$F$371</f>
        <v>449.668856935429</v>
      </c>
      <c r="G395" s="38" t="n">
        <f aca="false">Sens!$G$371</f>
        <v>831.793856935429</v>
      </c>
      <c r="H395" s="38" t="n">
        <f aca="false">Sens!$H$371</f>
        <v>964.251588587706</v>
      </c>
      <c r="I395" s="38" t="n">
        <f aca="false">Sens!$I$371</f>
        <v>1096.74371316818</v>
      </c>
      <c r="J395" s="38" t="n">
        <f aca="false">Sens!$J$371</f>
        <v>1220.46586917359</v>
      </c>
      <c r="K395" s="38" t="n">
        <f aca="false">Sens!$K$371</f>
        <v>1329.77982121432</v>
      </c>
      <c r="L395" s="38" t="n">
        <f aca="false">Sens!$L$371</f>
        <v>1444.53682612372</v>
      </c>
      <c r="M395" s="38" t="n">
        <f aca="false">Sens!$M$371</f>
        <v>1565.141628676</v>
      </c>
      <c r="N395" s="38" t="n">
        <f aca="false">Sens!$N$371</f>
        <v>323.369</v>
      </c>
      <c r="O395" s="38" t="n">
        <f aca="false">Sens!$O$371</f>
        <v>393.555</v>
      </c>
    </row>
    <row r="396" customFormat="false" ht="17.15" hidden="false" customHeight="false" outlineLevel="0" collapsed="false">
      <c r="A396" s="24" t="s">
        <v>656</v>
      </c>
      <c r="B396" s="25" t="s">
        <v>73</v>
      </c>
      <c r="C396" s="39" t="n">
        <f aca="false">Sens!$C$383+Sens!$C$384+Sens!$C$385+Sens!$C$386+Sens!$C$387+Sens!$C$388-(Sens!$C$390+Sens!$C$391)</f>
        <v>0</v>
      </c>
      <c r="D396" s="39" t="n">
        <f aca="false">Sens!$D$383+Sens!$D$384+Sens!$D$385+Sens!$D$386+Sens!$D$387+Sens!$D$388-(Sens!$D$390+Sens!$D$391)</f>
        <v>0</v>
      </c>
      <c r="E396" s="39" t="n">
        <f aca="false">Sens!$E$383+Sens!$E$384+Sens!$E$385+Sens!$E$386+Sens!$E$387+Sens!$E$388-(Sens!$E$390+Sens!$E$391)</f>
        <v>0</v>
      </c>
      <c r="F396" s="39" t="n">
        <f aca="false">Sens!$F$383+Sens!$F$384+Sens!$F$385+Sens!$F$386+Sens!$F$387+Sens!$F$388-(Sens!$F$390+Sens!$F$391)</f>
        <v>0</v>
      </c>
      <c r="G396" s="39" t="n">
        <f aca="false">Sens!$G$383+Sens!$G$384+Sens!$G$385+Sens!$G$386+Sens!$G$387+Sens!$G$388-(Sens!$G$390+Sens!$G$391)</f>
        <v>0</v>
      </c>
      <c r="H396" s="39" t="n">
        <f aca="false">Sens!$H$383+Sens!$H$384+Sens!$H$385+Sens!$H$386+Sens!$H$387+Sens!$H$388-(Sens!$H$390+Sens!$H$391)</f>
        <v>0</v>
      </c>
      <c r="I396" s="39" t="n">
        <f aca="false">Sens!$I$383+Sens!$I$384+Sens!$I$385+Sens!$I$386+Sens!$I$387+Sens!$I$388-(Sens!$I$390+Sens!$I$391)</f>
        <v>0</v>
      </c>
      <c r="J396" s="39" t="n">
        <f aca="false">Sens!$J$383+Sens!$J$384+Sens!$J$385+Sens!$J$386+Sens!$J$387+Sens!$J$388-(Sens!$J$390+Sens!$J$391)</f>
        <v>0</v>
      </c>
      <c r="K396" s="39" t="n">
        <f aca="false">Sens!$K$383+Sens!$K$384+Sens!$K$385+Sens!$K$386+Sens!$K$387+Sens!$K$388-(Sens!$K$390+Sens!$K$391)</f>
        <v>0</v>
      </c>
      <c r="L396" s="39" t="n">
        <f aca="false">Sens!$L$383+Sens!$L$384+Sens!$L$385+Sens!$L$386+Sens!$L$387+Sens!$L$388-(Sens!$L$390+Sens!$L$391)</f>
        <v>0</v>
      </c>
      <c r="M396" s="39" t="n">
        <f aca="false">Sens!$M$383+Sens!$M$384+Sens!$M$385+Sens!$M$386+Sens!$M$387+Sens!$M$388-(Sens!$M$390+Sens!$M$391)</f>
        <v>0</v>
      </c>
      <c r="N396" s="39" t="n">
        <f aca="false">Sens!$N$383+Sens!$N$384+Sens!$N$385+Sens!$N$386+Sens!$N$387+Sens!$N$388-(Sens!$N$390+Sens!$N$391)</f>
        <v>0</v>
      </c>
      <c r="O396" s="39" t="n">
        <f aca="false">Sens!$O$383+Sens!$O$384+Sens!$O$385+Sens!$O$386+Sens!$O$387+Sens!$O$388-(Sens!$O$390+Sens!$O$391)</f>
        <v>0</v>
      </c>
    </row>
    <row r="397" customFormat="false" ht="17.15" hidden="false" customHeight="false" outlineLevel="0" collapsed="false">
      <c r="A397" s="24" t="s">
        <v>657</v>
      </c>
      <c r="B397" s="25" t="s">
        <v>73</v>
      </c>
      <c r="C397" s="39" t="n">
        <f aca="false">Sens!$C$393+Sens!$C$394-Sens!$C$392</f>
        <v>0</v>
      </c>
      <c r="D397" s="39" t="n">
        <f aca="false">Sens!$D$393+Sens!$D$394-Sens!$D$392</f>
        <v>0</v>
      </c>
      <c r="E397" s="39" t="n">
        <f aca="false">Sens!$E$393+Sens!$E$394-Sens!$E$392</f>
        <v>0</v>
      </c>
      <c r="F397" s="39" t="n">
        <f aca="false">Sens!$F$393+Sens!$F$394-Sens!$F$392</f>
        <v>0</v>
      </c>
      <c r="G397" s="39" t="n">
        <f aca="false">Sens!$G$393+Sens!$G$394-Sens!$G$392</f>
        <v>0</v>
      </c>
      <c r="H397" s="39" t="n">
        <f aca="false">Sens!$H$393+Sens!$H$394-Sens!$H$392</f>
        <v>0</v>
      </c>
      <c r="I397" s="39" t="n">
        <f aca="false">Sens!$I$393+Sens!$I$394-Sens!$I$392</f>
        <v>0</v>
      </c>
      <c r="J397" s="39" t="n">
        <f aca="false">Sens!$J$393+Sens!$J$394-Sens!$J$392</f>
        <v>0</v>
      </c>
      <c r="K397" s="39" t="n">
        <f aca="false">Sens!$K$393+Sens!$K$394-Sens!$K$392</f>
        <v>0</v>
      </c>
      <c r="L397" s="39" t="n">
        <f aca="false">Sens!$L$393+Sens!$L$394-Sens!$L$392</f>
        <v>0</v>
      </c>
      <c r="M397" s="39" t="n">
        <f aca="false">Sens!$M$393+Sens!$M$394-Sens!$M$392</f>
        <v>0</v>
      </c>
      <c r="N397" s="39" t="n">
        <f aca="false">Sens!$N$393+Sens!$N$394-Sens!$N$392</f>
        <v>0</v>
      </c>
      <c r="O397" s="39" t="n">
        <f aca="false">Sens!$O$393+Sens!$O$394-Sens!$O$392</f>
        <v>0</v>
      </c>
    </row>
    <row r="398" customFormat="false" ht="17.15" hidden="false" customHeight="false" outlineLevel="0" collapsed="false">
      <c r="A398" s="24" t="s">
        <v>711</v>
      </c>
      <c r="B398" s="25" t="s">
        <v>73</v>
      </c>
      <c r="C398" s="39" t="n">
        <f aca="false">Sens!$C$383+Sens!$C$384+Sens!$C$385+Sens!$C$386+Sens!$C$387+Sens!$C$388+Sens!$C$389-Sens!$C$395</f>
        <v>0</v>
      </c>
      <c r="D398" s="39" t="n">
        <f aca="false">Sens!$D$383+Sens!$D$384+Sens!$D$385+Sens!$D$386+Sens!$D$387+Sens!$D$388+Sens!$D$389-Sens!$D$395</f>
        <v>0</v>
      </c>
      <c r="E398" s="39" t="n">
        <f aca="false">Sens!$E$383+Sens!$E$384+Sens!$E$385+Sens!$E$386+Sens!$E$387+Sens!$E$388+Sens!$E$389-Sens!$E$395</f>
        <v>0</v>
      </c>
      <c r="F398" s="39" t="n">
        <f aca="false">Sens!$F$383+Sens!$F$384+Sens!$F$385+Sens!$F$386+Sens!$F$387+Sens!$F$388+Sens!$F$389-Sens!$F$395</f>
        <v>0</v>
      </c>
      <c r="G398" s="39" t="n">
        <f aca="false">Sens!$G$383+Sens!$G$384+Sens!$G$385+Sens!$G$386+Sens!$G$387+Sens!$G$388+Sens!$G$389-Sens!$G$395</f>
        <v>0</v>
      </c>
      <c r="H398" s="39" t="n">
        <f aca="false">Sens!$H$383+Sens!$H$384+Sens!$H$385+Sens!$H$386+Sens!$H$387+Sens!$H$388+Sens!$H$389-Sens!$H$395</f>
        <v>0</v>
      </c>
      <c r="I398" s="39" t="n">
        <f aca="false">Sens!$I$383+Sens!$I$384+Sens!$I$385+Sens!$I$386+Sens!$I$387+Sens!$I$388+Sens!$I$389-Sens!$I$395</f>
        <v>0</v>
      </c>
      <c r="J398" s="39" t="n">
        <f aca="false">Sens!$J$383+Sens!$J$384+Sens!$J$385+Sens!$J$386+Sens!$J$387+Sens!$J$388+Sens!$J$389-Sens!$J$395</f>
        <v>0</v>
      </c>
      <c r="K398" s="39" t="n">
        <f aca="false">Sens!$K$383+Sens!$K$384+Sens!$K$385+Sens!$K$386+Sens!$K$387+Sens!$K$388+Sens!$K$389-Sens!$K$395</f>
        <v>0</v>
      </c>
      <c r="L398" s="39" t="n">
        <f aca="false">Sens!$L$383+Sens!$L$384+Sens!$L$385+Sens!$L$386+Sens!$L$387+Sens!$L$388+Sens!$L$389-Sens!$L$395</f>
        <v>0</v>
      </c>
      <c r="M398" s="39" t="n">
        <f aca="false">Sens!$M$383+Sens!$M$384+Sens!$M$385+Sens!$M$386+Sens!$M$387+Sens!$M$388+Sens!$M$389-Sens!$M$395</f>
        <v>0</v>
      </c>
      <c r="N398" s="39" t="n">
        <f aca="false">Sens!$N$383+Sens!$N$384+Sens!$N$385+Sens!$N$386+Sens!$N$387+Sens!$N$388+Sens!$N$389-Sens!$N$395</f>
        <v>0</v>
      </c>
      <c r="O398" s="39" t="n">
        <f aca="false">Sens!$O$383+Sens!$O$384+Sens!$O$385+Sens!$O$386+Sens!$O$387+Sens!$O$388+Sens!$O$389-Sens!$O$395</f>
        <v>0</v>
      </c>
    </row>
    <row r="399" customFormat="false" ht="17.15" hidden="false" customHeight="false" outlineLevel="0" collapsed="false">
      <c r="A399" s="24" t="s">
        <v>658</v>
      </c>
      <c r="B399" s="25" t="s">
        <v>73</v>
      </c>
      <c r="C399" s="39" t="n">
        <f aca="false">Sens!$C$390+Sens!$C$391+Sens!$C$392-Sens!$C$395</f>
        <v>0</v>
      </c>
      <c r="D399" s="39" t="n">
        <f aca="false">Sens!$D$390+Sens!$D$391+Sens!$D$392-Sens!$D$395</f>
        <v>0</v>
      </c>
      <c r="E399" s="39" t="n">
        <f aca="false">Sens!$E$390+Sens!$E$391+Sens!$E$392-Sens!$E$395</f>
        <v>0</v>
      </c>
      <c r="F399" s="39" t="n">
        <f aca="false">Sens!$F$390+Sens!$F$391+Sens!$F$392-Sens!$F$395</f>
        <v>0</v>
      </c>
      <c r="G399" s="39" t="n">
        <f aca="false">Sens!$G$390+Sens!$G$391+Sens!$G$392-Sens!$G$395</f>
        <v>0</v>
      </c>
      <c r="H399" s="39" t="n">
        <f aca="false">Sens!$H$390+Sens!$H$391+Sens!$H$392-Sens!$H$395</f>
        <v>0</v>
      </c>
      <c r="I399" s="39" t="n">
        <f aca="false">Sens!$I$390+Sens!$I$391+Sens!$I$392-Sens!$I$395</f>
        <v>0</v>
      </c>
      <c r="J399" s="39" t="n">
        <f aca="false">Sens!$J$390+Sens!$J$391+Sens!$J$392-Sens!$J$395</f>
        <v>0</v>
      </c>
      <c r="K399" s="39" t="n">
        <f aca="false">Sens!$K$390+Sens!$K$391+Sens!$K$392-Sens!$K$395</f>
        <v>0</v>
      </c>
      <c r="L399" s="39" t="n">
        <f aca="false">Sens!$L$390+Sens!$L$391+Sens!$L$392-Sens!$L$395</f>
        <v>0</v>
      </c>
      <c r="M399" s="39" t="n">
        <f aca="false">Sens!$M$390+Sens!$M$391+Sens!$M$392-Sens!$M$395</f>
        <v>0</v>
      </c>
      <c r="N399" s="39" t="n">
        <f aca="false">Sens!$N$390+Sens!$N$391+Sens!$N$392-Sens!$N$395</f>
        <v>0</v>
      </c>
      <c r="O399" s="39" t="n">
        <f aca="false">Sens!$O$390+Sens!$O$391+Sens!$O$392-Sens!$O$395</f>
        <v>0</v>
      </c>
    </row>
    <row r="400" customFormat="false" ht="17.15" hidden="false" customHeight="false" outlineLevel="0" collapsed="false">
      <c r="A400" s="1" t="s">
        <v>672</v>
      </c>
    </row>
    <row r="401" customFormat="false" ht="17.15" hidden="false" customHeight="false" outlineLevel="0" collapsed="false">
      <c r="A401" s="0" t="s">
        <v>673</v>
      </c>
      <c r="B401" s="0" t="s">
        <v>73</v>
      </c>
      <c r="C401" s="38" t="n">
        <f aca="false">Sens!$C$308*m_ad</f>
        <v>20.5341564414228</v>
      </c>
      <c r="D401" s="38" t="n">
        <f aca="false">Sens!$D$308*m_ad</f>
        <v>24.8720617299587</v>
      </c>
      <c r="E401" s="38" t="n">
        <f aca="false">Sens!$E$308*m_ad</f>
        <v>13.5017112462207</v>
      </c>
      <c r="F401" s="38" t="n">
        <f aca="false">Sens!$F$308*m_ad</f>
        <v>17.2886442824599</v>
      </c>
      <c r="G401" s="38" t="n">
        <f aca="false">Sens!$G$308*m_ad</f>
        <v>30.8011958765886</v>
      </c>
      <c r="H401" s="38" t="n">
        <f aca="false">Sens!$H$308*m_ad</f>
        <v>36.978409366026</v>
      </c>
      <c r="I401" s="38" t="n">
        <f aca="false">Sens!$I$308*m_ad</f>
        <v>43.155063281273</v>
      </c>
      <c r="J401" s="38" t="n">
        <f aca="false">Sens!$J$308*m_ad</f>
        <v>48.9169991988532</v>
      </c>
      <c r="K401" s="38" t="n">
        <f aca="false">Sens!$K$308*m_ad</f>
        <v>53.8086991187386</v>
      </c>
      <c r="L401" s="38" t="n">
        <f aca="false">Sens!$L$308*m_ad</f>
        <v>59.1895690306124</v>
      </c>
      <c r="M401" s="38" t="n">
        <f aca="false">Sens!$M$308*m_ad</f>
        <v>65.1085259336737</v>
      </c>
      <c r="N401" s="38" t="n">
        <f aca="false">Sens!$N$308*m_ad</f>
        <v>10.8543555706248</v>
      </c>
      <c r="O401" s="38" t="n">
        <f aca="false">Sens!$O$308*m_ad</f>
        <v>14.0094731821399</v>
      </c>
    </row>
    <row r="402" customFormat="false" ht="17.15" hidden="false" customHeight="false" outlineLevel="0" collapsed="false">
      <c r="A402" s="0" t="s">
        <v>674</v>
      </c>
      <c r="B402" s="0" t="s">
        <v>73</v>
      </c>
      <c r="C402" s="38" t="n">
        <f aca="false">Sens!$C$306-Sens!$C$308</f>
        <v>346.428687117154</v>
      </c>
      <c r="D402" s="38" t="n">
        <f aca="false">Sens!$D$306-Sens!$D$308</f>
        <v>376.560876540083</v>
      </c>
      <c r="E402" s="38" t="n">
        <f aca="false">Sens!$E$306-Sens!$E$308</f>
        <v>193.316577507559</v>
      </c>
      <c r="F402" s="38" t="n">
        <f aca="false">Sens!$F$306-Sens!$F$308</f>
        <v>221.726726438887</v>
      </c>
      <c r="G402" s="38" t="n">
        <f aca="false">Sens!$G$306-Sens!$G$308</f>
        <v>415.02162325063</v>
      </c>
      <c r="H402" s="38" t="n">
        <f aca="false">Sens!$H$306-Sens!$H$308</f>
        <v>453.777572359491</v>
      </c>
      <c r="I402" s="38" t="n">
        <f aca="false">Sens!$I$306-Sens!$I$308</f>
        <v>490.847566467031</v>
      </c>
      <c r="J402" s="38" t="n">
        <f aca="false">Sens!$J$306-Sens!$J$308</f>
        <v>525.190925266121</v>
      </c>
      <c r="K402" s="38" t="n">
        <f aca="false">Sens!$K$306-Sens!$K$308</f>
        <v>555.765170156304</v>
      </c>
      <c r="L402" s="38" t="n">
        <f aca="false">Sens!$L$306-Sens!$L$308</f>
        <v>588.185734949207</v>
      </c>
      <c r="M402" s="38" t="n">
        <f aca="false">Sens!$M$306-Sens!$M$308</f>
        <v>622.567635538672</v>
      </c>
      <c r="N402" s="38" t="n">
        <f aca="false">Sens!$N$306-Sens!$N$308</f>
        <v>171.24628885875</v>
      </c>
      <c r="O402" s="38" t="n">
        <f aca="false">Sens!$O$306-Sens!$O$308</f>
        <v>205.33105363572</v>
      </c>
    </row>
    <row r="403" customFormat="false" ht="17.15" hidden="false" customHeight="false" outlineLevel="0" collapsed="false">
      <c r="A403" s="0" t="s">
        <v>675</v>
      </c>
      <c r="B403" s="0" t="s">
        <v>73</v>
      </c>
      <c r="C403" s="38" t="n">
        <f aca="false">Sens!$C$354*Sens!$C$305</f>
        <v>0.123617442257179</v>
      </c>
      <c r="D403" s="38" t="n">
        <f aca="false">Sens!$D$354*Sens!$D$305</f>
        <v>0.874366899302609</v>
      </c>
      <c r="E403" s="38" t="n">
        <f aca="false">Sens!$E$354*Sens!$E$305</f>
        <v>1.29318830502574</v>
      </c>
      <c r="F403" s="38" t="n">
        <f aca="false">Sens!$F$354*Sens!$F$305</f>
        <v>1.51802024162534</v>
      </c>
      <c r="G403" s="38" t="n">
        <f aca="false">Sens!$G$354*Sens!$G$305</f>
        <v>2.81130189308167</v>
      </c>
      <c r="H403" s="38" t="n">
        <f aca="false">Sens!$H$354*Sens!$H$305</f>
        <v>7.38966789318209</v>
      </c>
      <c r="I403" s="38" t="n">
        <f aca="false">Sens!$I$354*Sens!$I$305</f>
        <v>12.8987443661473</v>
      </c>
      <c r="J403" s="38" t="n">
        <f aca="false">Sens!$J$354*Sens!$J$305</f>
        <v>18.5570025453645</v>
      </c>
      <c r="K403" s="38" t="n">
        <f aca="false">Sens!$K$354*Sens!$K$305</f>
        <v>24.3158972773405</v>
      </c>
      <c r="L403" s="38" t="n">
        <f aca="false">Sens!$L$354*Sens!$L$305</f>
        <v>29.7827375558674</v>
      </c>
      <c r="M403" s="38" t="n">
        <f aca="false">Sens!$M$354*Sens!$M$305</f>
        <v>35.3532344973194</v>
      </c>
      <c r="N403" s="38" t="n">
        <f aca="false">Sens!$N$354*Sens!$N$305</f>
        <v>0.389180508437431</v>
      </c>
      <c r="O403" s="38" t="n">
        <f aca="false">Sens!$O$354*Sens!$O$305</f>
        <v>0.485052120082802</v>
      </c>
    </row>
    <row r="404" customFormat="false" ht="17.15" hidden="false" customHeight="false" outlineLevel="0" collapsed="false">
      <c r="A404" s="0" t="s">
        <v>676</v>
      </c>
      <c r="B404" s="0" t="s">
        <v>52</v>
      </c>
      <c r="C404" s="28" t="n">
        <f aca="false">(Sens!$C$405-Sens!$C$401+Sens!$C$403)/Sens!$C$402</f>
        <v>0.0131526665379575</v>
      </c>
      <c r="D404" s="28" t="n">
        <f aca="false">(Sens!$D$405-Sens!$D$401+Sens!$D$403)/Sens!$D$402</f>
        <v>0.0149280116962589</v>
      </c>
      <c r="E404" s="28" t="n">
        <f aca="false">(Sens!$E$405-Sens!$E$401+Sens!$E$403)/Sens!$E$402</f>
        <v>0.0268030663774938</v>
      </c>
      <c r="F404" s="28" t="n">
        <f aca="false">Sens!$O$404+(Sens!$E$404-Sens!$N$404)</f>
        <v>0.0232379346966962</v>
      </c>
      <c r="G404" s="28" t="n">
        <f aca="false">(Sens!$G$405-Sens!$G$401+Sens!$G$403)/Sens!$G$402</f>
        <v>0.0248738876928168</v>
      </c>
      <c r="H404" s="28" t="n">
        <f aca="false">Sens!$G$404+step_na</f>
        <v>0.0278738876928168</v>
      </c>
      <c r="I404" s="28" t="n">
        <f aca="false">Sens!$H$404+step_na</f>
        <v>0.0308738876928168</v>
      </c>
      <c r="J404" s="28" t="n">
        <f aca="false">Sens!$I$404+step_na</f>
        <v>0.0338738876928168</v>
      </c>
      <c r="K404" s="28" t="n">
        <f aca="false">Sens!$J$404+step_na</f>
        <v>0.0368738876928168</v>
      </c>
      <c r="L404" s="28" t="n">
        <f aca="false">Sens!$K$404</f>
        <v>0.0368738876928168</v>
      </c>
      <c r="M404" s="28" t="n">
        <f aca="false">Sens!$L$404</f>
        <v>0.0368738876928168</v>
      </c>
      <c r="N404" s="28" t="n">
        <f aca="false">(Sens!$N$405-Sens!$N$401+Sens!$N$403)/Sens!$N$402</f>
        <v>0.0168927744775755</v>
      </c>
      <c r="O404" s="28" t="n">
        <f aca="false">(Sens!$O$405-Sens!$O$401+Sens!$O$403)/Sens!$O$402</f>
        <v>0.0133276427967779</v>
      </c>
      <c r="P404" s="8" t="s">
        <v>677</v>
      </c>
    </row>
    <row r="405" customFormat="false" ht="17.15" hidden="false" customHeight="false" outlineLevel="0" collapsed="false">
      <c r="A405" s="1" t="s">
        <v>678</v>
      </c>
      <c r="B405" s="8" t="s">
        <v>73</v>
      </c>
      <c r="C405" s="38" t="n">
        <f aca="false">Q!$D$22</f>
        <v>24.967</v>
      </c>
      <c r="D405" s="38" t="n">
        <f aca="false">Q!$E$22</f>
        <v>29.619</v>
      </c>
      <c r="E405" s="38" t="n">
        <f aca="false">Q!$P$22</f>
        <v>17.39</v>
      </c>
      <c r="F405" s="38" t="n">
        <f aca="false">Sens!$F$401+Sens!$F$402*Sens!$F$404-Sens!$F$403</f>
        <v>20.9230952303336</v>
      </c>
      <c r="G405" s="38" t="n">
        <f aca="false">Sens!$E$405+Sens!$F$405</f>
        <v>38.3130952303336</v>
      </c>
      <c r="H405" s="38" t="n">
        <f aca="false">Sens!$H$401+Sens!$H$402*Sens!$H$404-Sens!$H$403</f>
        <v>42.2372865623114</v>
      </c>
      <c r="I405" s="38" t="n">
        <f aca="false">Sens!$I$401+Sens!$I$402*Sens!$I$404-Sens!$I$403</f>
        <v>45.4106915565213</v>
      </c>
      <c r="J405" s="38" t="n">
        <f aca="false">Sens!$J$401+Sens!$J$402*Sens!$J$404-Sens!$J$403</f>
        <v>48.1502550732398</v>
      </c>
      <c r="K405" s="38" t="n">
        <f aca="false">Sens!$K$401+Sens!$K$402*Sens!$K$404-Sens!$K$403</f>
        <v>49.9860243093208</v>
      </c>
      <c r="L405" s="38" t="n">
        <f aca="false">Sens!$L$401+Sens!$L$402*Sens!$L$404-Sens!$L$403</f>
        <v>51.095526207779</v>
      </c>
      <c r="M405" s="38" t="n">
        <f aca="false">Sens!$M$401+Sens!$M$402*Sens!$M$404-Sens!$M$403</f>
        <v>52.7117805103898</v>
      </c>
      <c r="N405" s="38" t="n">
        <f aca="false">Q!$N$22</f>
        <v>13.358</v>
      </c>
      <c r="O405" s="38" t="n">
        <f aca="false">Q!$O$22</f>
        <v>16.261</v>
      </c>
    </row>
    <row r="406" customFormat="false" ht="17.15" hidden="false" customHeight="false" outlineLevel="0" collapsed="false">
      <c r="A406" s="0" t="s">
        <v>679</v>
      </c>
      <c r="B406" s="0" t="s">
        <v>73</v>
      </c>
      <c r="C406" s="38" t="n">
        <f aca="false">Sens!$C$309*m_ad</f>
        <v>7.57284355857716</v>
      </c>
      <c r="D406" s="38" t="n">
        <f aca="false">Sens!$D$309*m_ad</f>
        <v>9.44543827004127</v>
      </c>
      <c r="E406" s="38" t="n">
        <f aca="false">Sens!$E$309*m_ad</f>
        <v>5.02428875377928</v>
      </c>
      <c r="F406" s="38" t="n">
        <f aca="false">Sens!$F$309*m_ad</f>
        <v>6.78802480890925</v>
      </c>
      <c r="G406" s="38" t="n">
        <f aca="false">Sens!$G$309*m_ad</f>
        <v>11.8014732147805</v>
      </c>
      <c r="H406" s="38" t="n">
        <f aca="false">Sens!$H$309*m_ad</f>
        <v>14.1682715634442</v>
      </c>
      <c r="I406" s="38" t="n">
        <f aca="false">Sens!$I$309*m_ad</f>
        <v>16.5348555113474</v>
      </c>
      <c r="J406" s="38" t="n">
        <f aca="false">Sens!$J$309*m_ad</f>
        <v>18.7425403255689</v>
      </c>
      <c r="K406" s="38" t="n">
        <f aca="false">Sens!$K$309*m_ad</f>
        <v>20.6167943581258</v>
      </c>
      <c r="L406" s="38" t="n">
        <f aca="false">Sens!$L$309*m_ad</f>
        <v>22.6784737939383</v>
      </c>
      <c r="M406" s="38" t="n">
        <f aca="false">Sens!$M$309*m_ad</f>
        <v>24.9463211733322</v>
      </c>
      <c r="N406" s="38" t="n">
        <f aca="false">Sens!$N$309*m_ad</f>
        <v>3.95314442937518</v>
      </c>
      <c r="O406" s="38" t="n">
        <f aca="false">Sens!$O$309*m_ad</f>
        <v>5.50052681786011</v>
      </c>
    </row>
    <row r="407" customFormat="false" ht="17.15" hidden="false" customHeight="false" outlineLevel="0" collapsed="false">
      <c r="A407" s="0" t="s">
        <v>680</v>
      </c>
      <c r="B407" s="0" t="s">
        <v>73</v>
      </c>
      <c r="C407" s="38" t="n">
        <f aca="false">Sens!$C$307-Sens!$C$309</f>
        <v>127.760312882846</v>
      </c>
      <c r="D407" s="38" t="n">
        <f aca="false">Sens!$D$307-Sens!$D$309</f>
        <v>143.003123459917</v>
      </c>
      <c r="E407" s="38" t="n">
        <f aca="false">Sens!$E$307-Sens!$E$309</f>
        <v>71.9374224924414</v>
      </c>
      <c r="F407" s="38" t="n">
        <f aca="false">Sens!$F$307-Sens!$F$309</f>
        <v>87.0563645868046</v>
      </c>
      <c r="G407" s="38" t="n">
        <f aca="false">Sens!$G$307-Sens!$G$309</f>
        <v>159.015467775062</v>
      </c>
      <c r="H407" s="38" t="n">
        <f aca="false">Sens!$H$307-Sens!$H$309</f>
        <v>173.864803403269</v>
      </c>
      <c r="I407" s="38" t="n">
        <f aca="false">Sens!$I$307-Sens!$I$309</f>
        <v>188.068165645601</v>
      </c>
      <c r="J407" s="38" t="n">
        <f aca="false">Sens!$J$307-Sens!$J$309</f>
        <v>201.22681801082</v>
      </c>
      <c r="K407" s="38" t="n">
        <f aca="false">Sens!$K$307-Sens!$K$309</f>
        <v>212.941334991893</v>
      </c>
      <c r="L407" s="38" t="n">
        <f aca="false">Sens!$L$307-Sens!$L$309</f>
        <v>225.363269144856</v>
      </c>
      <c r="M407" s="38" t="n">
        <f aca="false">Sens!$M$307-Sens!$M$309</f>
        <v>238.536688790819</v>
      </c>
      <c r="N407" s="38" t="n">
        <f aca="false">Sens!$N$307-Sens!$N$309</f>
        <v>62.3677111412496</v>
      </c>
      <c r="O407" s="38" t="n">
        <f aca="false">Sens!$O$307-Sens!$O$309</f>
        <v>80.6189463642798</v>
      </c>
    </row>
    <row r="408" customFormat="false" ht="17.15" hidden="false" customHeight="false" outlineLevel="0" collapsed="false">
      <c r="A408" s="0" t="s">
        <v>681</v>
      </c>
      <c r="B408" s="0" t="s">
        <v>73</v>
      </c>
      <c r="C408" s="38" t="n">
        <f aca="false">Sens!$C$354*(1-Sens!$C$305)</f>
        <v>0.0455891896019953</v>
      </c>
      <c r="D408" s="38" t="n">
        <f aca="false">Sens!$D$354*(1-Sens!$D$305)</f>
        <v>0.332050421167231</v>
      </c>
      <c r="E408" s="38" t="n">
        <f aca="false">Sens!$E$354*(1-Sens!$E$305)</f>
        <v>0.481224293644882</v>
      </c>
      <c r="F408" s="38" t="n">
        <f aca="false">Sens!$F$354*(1-Sens!$F$305)</f>
        <v>0.596018918096053</v>
      </c>
      <c r="G408" s="38" t="n">
        <f aca="false">Sens!$G$354*(1-Sens!$G$305)</f>
        <v>1.07714986531035</v>
      </c>
      <c r="H408" s="38" t="n">
        <f aca="false">Sens!$H$354*(1-Sens!$H$305)</f>
        <v>2.83135005721638</v>
      </c>
      <c r="I408" s="38" t="n">
        <f aca="false">Sens!$I$354*(1-Sens!$I$305)</f>
        <v>4.9421518161602</v>
      </c>
      <c r="J408" s="38" t="n">
        <f aca="false">Sens!$J$354*(1-Sens!$J$305)</f>
        <v>7.11011252170866</v>
      </c>
      <c r="K408" s="38" t="n">
        <f aca="false">Sens!$K$354*(1-Sens!$K$305)</f>
        <v>9.31663210615807</v>
      </c>
      <c r="L408" s="38" t="n">
        <f aca="false">Sens!$L$354*(1-Sens!$L$305)</f>
        <v>11.411251074039</v>
      </c>
      <c r="M408" s="38" t="n">
        <f aca="false">Sens!$M$354*(1-Sens!$M$305)</f>
        <v>13.5455860755423</v>
      </c>
      <c r="N408" s="38" t="n">
        <f aca="false">Sens!$N$354*(1-Sens!$N$305)</f>
        <v>0.141739115596548</v>
      </c>
      <c r="O408" s="38" t="n">
        <f aca="false">Sens!$O$354*(1-Sens!$O$305)</f>
        <v>0.190445576353059</v>
      </c>
    </row>
    <row r="409" customFormat="false" ht="17.15" hidden="false" customHeight="false" outlineLevel="0" collapsed="false">
      <c r="A409" s="0" t="s">
        <v>682</v>
      </c>
      <c r="B409" s="0" t="s">
        <v>52</v>
      </c>
      <c r="C409" s="28" t="n">
        <f aca="false">(Sens!$C$410-Sens!$C$406+Sens!$C$408)/Sens!$C$407</f>
        <v>-0.0292364215826579</v>
      </c>
      <c r="D409" s="28" t="n">
        <f aca="false">(Sens!$D$410-Sens!$D$406+Sens!$D$408)/Sens!$D$407</f>
        <v>-0.0305125352740778</v>
      </c>
      <c r="E409" s="28" t="n">
        <f aca="false">(Sens!$E$410-Sens!$E$406+Sens!$E$408)/Sens!$E$407</f>
        <v>-0.019490056934994</v>
      </c>
      <c r="F409" s="28" t="n">
        <f aca="false">Sens!$O$409+(Sens!$E$409-Sens!$N$409)</f>
        <v>-0.0367332293992226</v>
      </c>
      <c r="G409" s="28" t="n">
        <f aca="false">(Sens!$G$410-Sens!$G$406+Sens!$G$408)/Sens!$G$407</f>
        <v>-0.0288599526442178</v>
      </c>
      <c r="H409" s="28" t="n">
        <f aca="false">Sens!$G$409+step_in</f>
        <v>-0.0288599526442178</v>
      </c>
      <c r="I409" s="28" t="n">
        <f aca="false">Sens!$H$409+step_in</f>
        <v>-0.0288599526442178</v>
      </c>
      <c r="J409" s="28" t="n">
        <f aca="false">Sens!$I$409+step_in</f>
        <v>-0.0288599526442178</v>
      </c>
      <c r="K409" s="28" t="n">
        <f aca="false">Sens!$J$409+step_in</f>
        <v>-0.0288599526442178</v>
      </c>
      <c r="L409" s="28" t="n">
        <f aca="false">Sens!$K$409</f>
        <v>-0.0288599526442178</v>
      </c>
      <c r="M409" s="28" t="n">
        <f aca="false">Sens!$L$409</f>
        <v>-0.0288599526442178</v>
      </c>
      <c r="N409" s="28" t="n">
        <f aca="false">(Sens!$N$410-Sens!$N$406+Sens!$N$408)/Sens!$N$407</f>
        <v>-0.02085061789158</v>
      </c>
      <c r="O409" s="28" t="n">
        <f aca="false">(Sens!$O$410-Sens!$O$406+Sens!$O$408)/Sens!$O$407</f>
        <v>-0.0380937903558086</v>
      </c>
      <c r="P409" s="8" t="s">
        <v>677</v>
      </c>
    </row>
    <row r="410" customFormat="false" ht="17.15" hidden="false" customHeight="false" outlineLevel="0" collapsed="false">
      <c r="A410" s="1" t="s">
        <v>683</v>
      </c>
      <c r="B410" s="8" t="s">
        <v>73</v>
      </c>
      <c r="C410" s="38" t="n">
        <f aca="false">Q!$D$23</f>
        <v>3.792</v>
      </c>
      <c r="D410" s="38" t="n">
        <f aca="false">Q!$E$23</f>
        <v>4.75</v>
      </c>
      <c r="E410" s="38" t="n">
        <f aca="false">Q!$P$23</f>
        <v>3.141</v>
      </c>
      <c r="F410" s="38" t="n">
        <f aca="false">Sens!$F$406+Sens!$F$407*Sens!$F$409-Sens!$F$408</f>
        <v>2.99414447978375</v>
      </c>
      <c r="G410" s="38" t="n">
        <f aca="false">Sens!$E$410+Sens!$F$410</f>
        <v>6.13514447978375</v>
      </c>
      <c r="H410" s="38" t="n">
        <f aca="false">Sens!$H$406+Sens!$H$407*Sens!$H$409-Sens!$H$408</f>
        <v>6.31919151351322</v>
      </c>
      <c r="I410" s="38" t="n">
        <f aca="false">Sens!$I$406+Sens!$I$407*Sens!$I$409-Sens!$I$408</f>
        <v>6.16506534077027</v>
      </c>
      <c r="J410" s="38" t="n">
        <f aca="false">Sens!$J$406+Sens!$J$407*Sens!$J$409-Sens!$J$408</f>
        <v>5.8250313653213</v>
      </c>
      <c r="K410" s="38" t="n">
        <f aca="false">Sens!$K$406+Sens!$K$407*Sens!$K$409-Sens!$K$408</f>
        <v>5.15468540810514</v>
      </c>
      <c r="L410" s="38" t="n">
        <f aca="false">Sens!$L$406+Sens!$L$407*Sens!$L$409-Sens!$L$408</f>
        <v>4.76324944463266</v>
      </c>
      <c r="M410" s="38" t="n">
        <f aca="false">Sens!$M$406+Sens!$M$407*Sens!$M$409-Sens!$M$408</f>
        <v>4.51657755537829</v>
      </c>
      <c r="N410" s="38" t="n">
        <f aca="false">Q!$N$23</f>
        <v>2.511</v>
      </c>
      <c r="O410" s="38" t="n">
        <f aca="false">Q!$O$23</f>
        <v>2.239</v>
      </c>
    </row>
    <row r="411" customFormat="false" ht="17.15" hidden="false" customHeight="false" outlineLevel="0" collapsed="false">
      <c r="A411" s="0" t="s">
        <v>684</v>
      </c>
      <c r="B411" s="0" t="s">
        <v>73</v>
      </c>
      <c r="C411" s="38" t="n">
        <f aca="false">Sens!$C$351</f>
        <v>1.64417882953695</v>
      </c>
      <c r="D411" s="38" t="n">
        <f aca="false">Sens!$D$351</f>
        <v>3.8781008067718</v>
      </c>
      <c r="E411" s="38" t="n">
        <f aca="false">Sens!$E$351</f>
        <v>1.41270258088753</v>
      </c>
      <c r="F411" s="38" t="n">
        <f aca="false">Sens!$F$351</f>
        <v>5.68126066944818</v>
      </c>
      <c r="G411" s="38" t="n">
        <f aca="false">Sens!$G$351</f>
        <v>7.09396325033571</v>
      </c>
      <c r="H411" s="38" t="n">
        <f aca="false">Sens!$H$351</f>
        <v>12.5382183962694</v>
      </c>
      <c r="I411" s="38" t="n">
        <f aca="false">Sens!$I$351</f>
        <v>16.4361615260712</v>
      </c>
      <c r="J411" s="38" t="n">
        <f aca="false">Sens!$J$351</f>
        <v>19.6616771330194</v>
      </c>
      <c r="K411" s="38" t="n">
        <f aca="false">Sens!$K$351</f>
        <v>22.3813893761866</v>
      </c>
      <c r="L411" s="38" t="n">
        <f aca="false">Sens!$L$351</f>
        <v>26.740093882541</v>
      </c>
      <c r="M411" s="38" t="n">
        <f aca="false">Sens!$M$351</f>
        <v>30.5377848243843</v>
      </c>
      <c r="N411" s="38" t="n">
        <f aca="false">Sens!$N$351</f>
        <v>0.92264103489199</v>
      </c>
      <c r="O411" s="38" t="n">
        <f aca="false">Sens!$O$351</f>
        <v>2.95545977187981</v>
      </c>
    </row>
    <row r="412" customFormat="false" ht="17.15" hidden="false" customHeight="false" outlineLevel="0" collapsed="false">
      <c r="A412" s="0" t="s">
        <v>604</v>
      </c>
      <c r="B412" s="0" t="s">
        <v>73</v>
      </c>
      <c r="C412" s="38" t="n">
        <f aca="false">Sens!$C$356</f>
        <v>38.1898211704631</v>
      </c>
      <c r="D412" s="38" t="n">
        <f aca="false">Sens!$D$356</f>
        <v>41.7278991932282</v>
      </c>
      <c r="E412" s="38" t="n">
        <f aca="false">Sens!$E$356</f>
        <v>29.3692974191125</v>
      </c>
      <c r="F412" s="38" t="n">
        <f aca="false">Sens!$F$356</f>
        <v>29.458060516894</v>
      </c>
      <c r="G412" s="38" t="n">
        <f aca="false">Sens!$G$356</f>
        <v>58.8273579360065</v>
      </c>
      <c r="H412" s="38" t="n">
        <f aca="false">Sens!$H$356</f>
        <v>67.8004040185081</v>
      </c>
      <c r="I412" s="38" t="n">
        <f aca="false">Sens!$I$356</f>
        <v>78.9527630302702</v>
      </c>
      <c r="J412" s="38" t="n">
        <f aca="false">Sens!$J$356</f>
        <v>88.6042681781841</v>
      </c>
      <c r="K412" s="38" t="n">
        <f aca="false">Sens!$K$356</f>
        <v>95.6926096324389</v>
      </c>
      <c r="L412" s="38" t="n">
        <f aca="false">Sens!$L$356</f>
        <v>103.348018403034</v>
      </c>
      <c r="M412" s="38" t="n">
        <f aca="false">Sens!$M$356</f>
        <v>111.615859875277</v>
      </c>
      <c r="N412" s="38" t="n">
        <f aca="false">Sens!$N$356</f>
        <v>20.784358965108</v>
      </c>
      <c r="O412" s="38" t="n">
        <f aca="false">Sens!$O$356</f>
        <v>20.9435402281202</v>
      </c>
    </row>
    <row r="413" customFormat="false" ht="17.15" hidden="false" customHeight="false" outlineLevel="0" collapsed="false">
      <c r="A413" s="1" t="s">
        <v>685</v>
      </c>
      <c r="B413" s="8" t="s">
        <v>73</v>
      </c>
      <c r="C413" s="38" t="n">
        <f aca="false">Q!$D$24</f>
        <v>39.834</v>
      </c>
      <c r="D413" s="38" t="n">
        <f aca="false">Q!$E$24</f>
        <v>45.606</v>
      </c>
      <c r="E413" s="38" t="n">
        <f aca="false">Q!$P$24</f>
        <v>30.782</v>
      </c>
      <c r="F413" s="38" t="n">
        <f aca="false">Sens!$F$411+Sens!$F$412</f>
        <v>35.1393211863422</v>
      </c>
      <c r="G413" s="38" t="n">
        <f aca="false">Sens!$G$411+Sens!$G$412</f>
        <v>65.9213211863422</v>
      </c>
      <c r="H413" s="38" t="n">
        <f aca="false">Sens!$H$411+Sens!$H$412</f>
        <v>80.3386224147775</v>
      </c>
      <c r="I413" s="38" t="n">
        <f aca="false">Sens!$I$411+Sens!$I$412</f>
        <v>95.3889245563414</v>
      </c>
      <c r="J413" s="38" t="n">
        <f aca="false">Sens!$J$411+Sens!$J$412</f>
        <v>108.265945311203</v>
      </c>
      <c r="K413" s="38" t="n">
        <f aca="false">Sens!$K$411+Sens!$K$412</f>
        <v>118.073999008625</v>
      </c>
      <c r="L413" s="38" t="n">
        <f aca="false">Sens!$L$411+Sens!$L$412</f>
        <v>130.088112285575</v>
      </c>
      <c r="M413" s="38" t="n">
        <f aca="false">Sens!$M$411+Sens!$M$412</f>
        <v>142.153644699661</v>
      </c>
      <c r="N413" s="38" t="n">
        <f aca="false">Q!$N$24</f>
        <v>21.707</v>
      </c>
      <c r="O413" s="38" t="n">
        <f aca="false">Q!$O$24</f>
        <v>23.899</v>
      </c>
    </row>
    <row r="414" customFormat="false" ht="17.15" hidden="false" customHeight="false" outlineLevel="0" collapsed="false">
      <c r="A414" s="5" t="s">
        <v>686</v>
      </c>
      <c r="B414" s="0" t="s">
        <v>73</v>
      </c>
      <c r="C414" s="38" t="n">
        <f aca="false">Q!$D$26</f>
        <v>0</v>
      </c>
      <c r="D414" s="38" t="n">
        <f aca="false">Q!$E$26</f>
        <v>0</v>
      </c>
      <c r="E414" s="38" t="n">
        <f aca="false">Q!$P$26</f>
        <v>0</v>
      </c>
      <c r="F414" s="41" t="n">
        <v>0</v>
      </c>
      <c r="G414" s="38" t="n">
        <f aca="false">Sens!$E$414+Sens!$F$414</f>
        <v>0</v>
      </c>
      <c r="H414" s="41" t="n">
        <v>0</v>
      </c>
      <c r="I414" s="41" t="n">
        <v>0</v>
      </c>
      <c r="J414" s="41" t="n">
        <v>0</v>
      </c>
      <c r="K414" s="41" t="n">
        <v>0</v>
      </c>
      <c r="L414" s="41" t="n">
        <v>0</v>
      </c>
      <c r="M414" s="41" t="n">
        <v>0</v>
      </c>
      <c r="N414" s="38" t="n">
        <f aca="false">Q!$N$26</f>
        <v>0</v>
      </c>
      <c r="O414" s="38" t="n">
        <f aca="false">Q!$O$26</f>
        <v>0</v>
      </c>
    </row>
    <row r="415" customFormat="false" ht="15" hidden="false" customHeight="false" outlineLevel="0" collapsed="false">
      <c r="A415" s="3" t="s">
        <v>494</v>
      </c>
      <c r="B415" s="8" t="s">
        <v>73</v>
      </c>
      <c r="C415" s="38" t="n">
        <f aca="false">Q!$D$25</f>
        <v>68.593</v>
      </c>
      <c r="D415" s="38" t="n">
        <f aca="false">Q!$E$25</f>
        <v>79.975</v>
      </c>
      <c r="E415" s="38" t="n">
        <f aca="false">Q!$P$25</f>
        <v>51.313</v>
      </c>
      <c r="F415" s="38" t="n">
        <f aca="false">Sens!$F$405+Sens!$F$410+Sens!$F$413+Sens!$F$414</f>
        <v>59.0565608964595</v>
      </c>
      <c r="G415" s="38" t="n">
        <f aca="false">Sens!$G$405+Sens!$G$410+Sens!$G$413+Sens!$G$414</f>
        <v>110.36956089646</v>
      </c>
      <c r="H415" s="38" t="n">
        <f aca="false">Sens!$H$405+Sens!$H$410+Sens!$H$413+Sens!$H$414</f>
        <v>128.895100490602</v>
      </c>
      <c r="I415" s="38" t="n">
        <f aca="false">Sens!$I$405+Sens!$I$410+Sens!$I$413+Sens!$I$414</f>
        <v>146.964681453633</v>
      </c>
      <c r="J415" s="38" t="n">
        <f aca="false">Sens!$J$405+Sens!$J$410+Sens!$J$413+Sens!$J$414</f>
        <v>162.241231749765</v>
      </c>
      <c r="K415" s="38" t="n">
        <f aca="false">Sens!$K$405+Sens!$K$410+Sens!$K$413+Sens!$K$414</f>
        <v>173.214708726051</v>
      </c>
      <c r="L415" s="38" t="n">
        <f aca="false">Sens!$L$405+Sens!$L$410+Sens!$L$413+Sens!$L$414</f>
        <v>185.946887937987</v>
      </c>
      <c r="M415" s="38" t="n">
        <f aca="false">Sens!$M$405+Sens!$M$410+Sens!$M$413+Sens!$M$414</f>
        <v>199.382002765429</v>
      </c>
      <c r="N415" s="38" t="n">
        <f aca="false">Q!$N$25</f>
        <v>37.576</v>
      </c>
      <c r="O415" s="38" t="n">
        <f aca="false">Q!$O$25</f>
        <v>42.399</v>
      </c>
    </row>
    <row r="416" customFormat="false" ht="17.15" hidden="false" customHeight="false" outlineLevel="0" collapsed="false">
      <c r="A416" s="24" t="s">
        <v>712</v>
      </c>
      <c r="B416" s="25" t="s">
        <v>73</v>
      </c>
      <c r="C416" s="39" t="n">
        <f aca="false">Sens!$C$405+Sens!$C$410+Sens!$C$413+Sens!$C$414-Sens!$C$415</f>
        <v>0</v>
      </c>
      <c r="D416" s="39" t="n">
        <f aca="false">Sens!$D$405+Sens!$D$410+Sens!$D$413+Sens!$D$414-Sens!$D$415</f>
        <v>0</v>
      </c>
      <c r="E416" s="39" t="n">
        <f aca="false">Sens!$E$405+Sens!$E$410+Sens!$E$413+Sens!$E$414-Sens!$E$415</f>
        <v>0</v>
      </c>
      <c r="F416" s="39" t="n">
        <f aca="false">Sens!$F$405+Sens!$F$410+Sens!$F$413+Sens!$F$414-Sens!$F$415</f>
        <v>0</v>
      </c>
      <c r="G416" s="39" t="n">
        <f aca="false">Sens!$G$405+Sens!$G$410+Sens!$G$413+Sens!$G$414-Sens!$G$415</f>
        <v>0</v>
      </c>
      <c r="H416" s="39" t="n">
        <f aca="false">Sens!$H$405+Sens!$H$410+Sens!$H$413+Sens!$H$414-Sens!$H$415</f>
        <v>0</v>
      </c>
      <c r="I416" s="39" t="n">
        <f aca="false">Sens!$I$405+Sens!$I$410+Sens!$I$413+Sens!$I$414-Sens!$I$415</f>
        <v>0</v>
      </c>
      <c r="J416" s="39" t="n">
        <f aca="false">Sens!$J$405+Sens!$J$410+Sens!$J$413+Sens!$J$414-Sens!$J$415</f>
        <v>0</v>
      </c>
      <c r="K416" s="39" t="n">
        <f aca="false">Sens!$K$405+Sens!$K$410+Sens!$K$413+Sens!$K$414-Sens!$K$415</f>
        <v>0</v>
      </c>
      <c r="L416" s="39" t="n">
        <f aca="false">Sens!$L$405+Sens!$L$410+Sens!$L$413+Sens!$L$414-Sens!$L$415</f>
        <v>0</v>
      </c>
      <c r="M416" s="39" t="n">
        <f aca="false">Sens!$M$405+Sens!$M$410+Sens!$M$413+Sens!$M$414-Sens!$M$415</f>
        <v>0</v>
      </c>
      <c r="N416" s="39" t="n">
        <f aca="false">Sens!$N$405+Sens!$N$410+Sens!$N$413+Sens!$N$414-Sens!$N$415</f>
        <v>0</v>
      </c>
      <c r="O416" s="39" t="n">
        <f aca="false">Sens!$O$405+Sens!$O$410+Sens!$O$413+Sens!$O$414-Sens!$O$415</f>
        <v>0</v>
      </c>
    </row>
    <row r="417" customFormat="false" ht="17.15" hidden="false" customHeight="false" outlineLevel="0" collapsed="false">
      <c r="A417" s="0" t="s">
        <v>688</v>
      </c>
      <c r="B417" s="0" t="s">
        <v>52</v>
      </c>
      <c r="C417" s="12" t="n">
        <f aca="false">Sens!$C$405/Sens!$C$390</f>
        <v>0.0644314665661928</v>
      </c>
      <c r="D417" s="12" t="n">
        <f aca="false">Sens!$D$405/Sens!$D$390</f>
        <v>0.0694784250712518</v>
      </c>
      <c r="E417" s="12" t="n">
        <f aca="false">Sens!$E$405/Sens!$E$390</f>
        <v>0.0789306463326071</v>
      </c>
      <c r="F417" s="12" t="n">
        <f aca="false">Sens!$F$405/Sens!$F$390</f>
        <v>0.0816338957078875</v>
      </c>
      <c r="G417" s="12" t="n">
        <f aca="false">Sens!$G$405/Sens!$G$390</f>
        <v>0.080384315570057</v>
      </c>
      <c r="H417" s="12" t="n">
        <f aca="false">Sens!$H$405/Sens!$H$390</f>
        <v>0.080035122355679</v>
      </c>
      <c r="I417" s="12" t="n">
        <f aca="false">Sens!$I$405/Sens!$I$390</f>
        <v>0.0786798687862144</v>
      </c>
      <c r="J417" s="12" t="n">
        <f aca="false">Sens!$J$405/Sens!$J$390</f>
        <v>0.0772846370095153</v>
      </c>
      <c r="K417" s="12" t="n">
        <f aca="false">Sens!$K$405/Sens!$K$390</f>
        <v>0.0753502227686655</v>
      </c>
      <c r="L417" s="12" t="n">
        <f aca="false">Sens!$L$405/Sens!$L$390</f>
        <v>0.0723154067793922</v>
      </c>
      <c r="M417" s="12" t="n">
        <f aca="false">Sens!$M$405/Sens!$M$390</f>
        <v>0.070022386735876</v>
      </c>
      <c r="N417" s="12" t="n">
        <f aca="false">Sens!$N$405/Sens!$N$390</f>
        <v>0.069228576611127</v>
      </c>
      <c r="O417" s="12" t="n">
        <f aca="false">Sens!$O$405/Sens!$O$390</f>
        <v>0.069685022498393</v>
      </c>
    </row>
    <row r="418" customFormat="false" ht="17.15" hidden="false" customHeight="false" outlineLevel="0" collapsed="false">
      <c r="A418" s="0" t="s">
        <v>689</v>
      </c>
      <c r="B418" s="0" t="s">
        <v>52</v>
      </c>
      <c r="C418" s="12" t="n">
        <f aca="false">Sens!$C$410/Sens!$C$391</f>
        <v>0.026534925055631</v>
      </c>
      <c r="D418" s="12" t="n">
        <f aca="false">Sens!$D$410/Sens!$D$391</f>
        <v>0.0293401855535103</v>
      </c>
      <c r="E418" s="12" t="n">
        <f aca="false">Sens!$E$410/Sens!$E$391</f>
        <v>0.03831141902276</v>
      </c>
      <c r="F418" s="12" t="n">
        <f aca="false">Sens!$F$410/Sens!$F$391</f>
        <v>0.0297532808235678</v>
      </c>
      <c r="G418" s="12" t="n">
        <f aca="false">Sens!$G$410/Sens!$G$391</f>
        <v>0.0335954317997163</v>
      </c>
      <c r="H418" s="12" t="n">
        <f aca="false">Sens!$H$410/Sens!$H$391</f>
        <v>0.0312519754292078</v>
      </c>
      <c r="I418" s="12" t="n">
        <f aca="false">Sens!$I$410/Sens!$I$391</f>
        <v>0.0278788303191397</v>
      </c>
      <c r="J418" s="12" t="n">
        <f aca="false">Sens!$J$410/Sens!$J$391</f>
        <v>0.0244019313573061</v>
      </c>
      <c r="K418" s="12" t="n">
        <f aca="false">Sens!$K$410/Sens!$K$391</f>
        <v>0.020280070641524</v>
      </c>
      <c r="L418" s="12" t="n">
        <f aca="false">Sens!$L$410/Sens!$L$391</f>
        <v>0.0175947312030086</v>
      </c>
      <c r="M418" s="12" t="n">
        <f aca="false">Sens!$M$410/Sens!$M$391</f>
        <v>0.0156592172424565</v>
      </c>
      <c r="N418" s="12" t="n">
        <f aca="false">Sens!$N$410/Sens!$N$391</f>
        <v>0.0357315650169337</v>
      </c>
      <c r="O418" s="12" t="n">
        <f aca="false">Sens!$O$410/Sens!$O$391</f>
        <v>0.0244378956559703</v>
      </c>
    </row>
    <row r="419" customFormat="false" ht="17.15" hidden="false" customHeight="false" outlineLevel="0" collapsed="false">
      <c r="A419" s="13" t="s">
        <v>690</v>
      </c>
      <c r="B419" s="13" t="s">
        <v>52</v>
      </c>
      <c r="C419" s="16" t="n">
        <f aca="false">Sens!$C$413/Sens!$C$392</f>
        <v>0.370355907620217</v>
      </c>
      <c r="D419" s="16" t="n">
        <f aca="false">Sens!$D$413/Sens!$D$392</f>
        <v>0.35429015342785</v>
      </c>
      <c r="E419" s="16" t="n">
        <f aca="false">Sens!$E$413/Sens!$E$392</f>
        <v>0.385647527531039</v>
      </c>
      <c r="F419" s="16" t="n">
        <f aca="false">Sens!$F$413/Sens!$F$392</f>
        <v>0.378932397734599</v>
      </c>
      <c r="G419" s="16" t="n">
        <f aca="false">Sens!$G$413/Sens!$G$392</f>
        <v>0.382038688724379</v>
      </c>
      <c r="H419" s="16" t="n">
        <f aca="false">Sens!$H$413/Sens!$H$392</f>
        <v>0.342864650784693</v>
      </c>
      <c r="I419" s="16" t="n">
        <f aca="false">Sens!$I$413/Sens!$I$392</f>
        <v>0.319616411237051</v>
      </c>
      <c r="J419" s="16" t="n">
        <f aca="false">Sens!$J$413/Sens!$J$392</f>
        <v>0.301804234317094</v>
      </c>
      <c r="K419" s="16" t="n">
        <f aca="false">Sens!$K$413/Sens!$K$392</f>
        <v>0.286432807419396</v>
      </c>
      <c r="L419" s="16" t="n">
        <f aca="false">Sens!$L$413/Sens!$L$392</f>
        <v>0.278411190706894</v>
      </c>
      <c r="M419" s="16" t="n">
        <f aca="false">Sens!$M$413/Sens!$M$392</f>
        <v>0.271323064389968</v>
      </c>
      <c r="N419" s="16" t="n">
        <f aca="false">Sens!$N$413/Sens!$N$392</f>
        <v>0.360941137346192</v>
      </c>
      <c r="O419" s="16" t="n">
        <f aca="false">Sens!$O$413/Sens!$O$392</f>
        <v>0.348458117664212</v>
      </c>
    </row>
    <row r="420" customFormat="false" ht="17.15" hidden="false" customHeight="false" outlineLevel="0" collapsed="false">
      <c r="A420" s="0" t="s">
        <v>691</v>
      </c>
      <c r="B420" s="0" t="s">
        <v>52</v>
      </c>
      <c r="C420" s="12" t="n">
        <f aca="false">Sens!$C$411/Sens!$C$393</f>
        <v>0.708390794789371</v>
      </c>
      <c r="D420" s="12" t="n">
        <f aca="false">Sens!$D$411/Sens!$D$393</f>
        <v>0.445565630441968</v>
      </c>
      <c r="E420" s="12" t="n">
        <f aca="false">Sens!$E$411/Sens!$E$393</f>
        <v>0.165998118402711</v>
      </c>
      <c r="F420" s="12" t="n">
        <f aca="false">Sens!$F$411/Sens!$F$393</f>
        <v>0.401859869136011</v>
      </c>
      <c r="G420" s="12" t="n">
        <f aca="false">Sens!$G$411/Sens!$G$393</f>
        <v>0.313230095563868</v>
      </c>
      <c r="H420" s="12" t="n">
        <f aca="false">Sens!$H$411/Sens!$H$393</f>
        <v>0.23470012891306</v>
      </c>
      <c r="I420" s="12" t="n">
        <f aca="false">Sens!$I$411/Sens!$I$393</f>
        <v>0.187200558396588</v>
      </c>
      <c r="J420" s="12" t="n">
        <f aca="false">Sens!$J$411/Sens!$J$393</f>
        <v>0.160726355342167</v>
      </c>
      <c r="K420" s="12" t="n">
        <f aca="false">Sens!$K$411/Sens!$K$393</f>
        <v>0.142637017621647</v>
      </c>
      <c r="L420" s="12" t="n">
        <f aca="false">Sens!$L$411/Sens!$L$393</f>
        <v>0.139623254059572</v>
      </c>
      <c r="M420" s="12" t="n">
        <f aca="false">Sens!$M$411/Sens!$M$393</f>
        <v>0.135043429136094</v>
      </c>
      <c r="N420" s="12" t="n">
        <f aca="false">Sens!$N$411/Sens!$N$393</f>
        <v>0.302870734830849</v>
      </c>
      <c r="O420" s="12" t="n">
        <f aca="false">Sens!$O$411/Sens!$O$393</f>
        <v>0.52240134346334</v>
      </c>
    </row>
    <row r="421" customFormat="false" ht="15" hidden="false" customHeight="false" outlineLevel="0" collapsed="false">
      <c r="A421" s="5" t="s">
        <v>692</v>
      </c>
      <c r="B421" s="0" t="s">
        <v>52</v>
      </c>
      <c r="C421" s="12" t="n">
        <f aca="false">Sens!$C$415/Sens!$C$395</f>
        <v>0.107519448742004</v>
      </c>
      <c r="D421" s="12" t="n">
        <f aca="false">Sens!$D$415/Sens!$D$395</f>
        <v>0.111552967957552</v>
      </c>
      <c r="E421" s="12" t="n">
        <f aca="false">Sens!$E$415/Sens!$E$395</f>
        <v>0.13428328426562</v>
      </c>
      <c r="F421" s="12" t="n">
        <f aca="false">Sens!$F$415/Sens!$F$395</f>
        <v>0.131333446792247</v>
      </c>
      <c r="G421" s="12" t="n">
        <f aca="false">Sens!$G$415/Sens!$G$395</f>
        <v>0.132688598234054</v>
      </c>
      <c r="H421" s="12" t="n">
        <f aca="false">Sens!$H$415/Sens!$H$395</f>
        <v>0.133673723762684</v>
      </c>
      <c r="I421" s="12" t="n">
        <f aca="false">Sens!$I$415/Sens!$I$395</f>
        <v>0.134000933571886</v>
      </c>
      <c r="J421" s="12" t="n">
        <f aca="false">Sens!$J$415/Sens!$J$395</f>
        <v>0.132933854069694</v>
      </c>
      <c r="K421" s="12" t="n">
        <f aca="false">Sens!$K$415/Sens!$K$395</f>
        <v>0.130258187079329</v>
      </c>
      <c r="L421" s="12" t="n">
        <f aca="false">Sens!$L$415/Sens!$L$395</f>
        <v>0.128724228122974</v>
      </c>
      <c r="M421" s="12" t="n">
        <f aca="false">Sens!$M$415/Sens!$M$395</f>
        <v>0.127389112341285</v>
      </c>
      <c r="N421" s="12" t="n">
        <f aca="false">Sens!$N$415/Sens!$N$395</f>
        <v>0.116201614873411</v>
      </c>
      <c r="O421" s="12" t="n">
        <f aca="false">Sens!$O$415/Sens!$O$395</f>
        <v>0.107733353660861</v>
      </c>
    </row>
    <row r="422" customFormat="false" ht="17.15" hidden="false" customHeight="false" outlineLevel="0" collapsed="false">
      <c r="A422" s="1" t="s">
        <v>693</v>
      </c>
    </row>
    <row r="423" customFormat="false" ht="17.15" hidden="false" customHeight="false" outlineLevel="0" collapsed="false">
      <c r="A423" s="5" t="s">
        <v>694</v>
      </c>
      <c r="B423" s="0" t="s">
        <v>52</v>
      </c>
      <c r="D423" s="28" t="n">
        <f aca="false">(Q!$E$29+Q!$E$30-(1-ext_sh)*Sens!$D$347)/Sens!$D$304</f>
        <v>0.0334674312393194</v>
      </c>
    </row>
    <row r="424" customFormat="false" ht="17.15" hidden="false" customHeight="false" outlineLevel="0" collapsed="false">
      <c r="A424" s="0" t="s">
        <v>498</v>
      </c>
      <c r="B424" s="0" t="s">
        <v>73</v>
      </c>
      <c r="C424" s="38" t="n">
        <f aca="false">Q!$D$29</f>
        <v>14.285</v>
      </c>
      <c r="D424" s="38" t="n">
        <f aca="false">Q!$E$29</f>
        <v>15.503</v>
      </c>
      <c r="E424" s="38" t="n">
        <f aca="false">Q!$P$29</f>
        <v>8.78</v>
      </c>
      <c r="F424" s="38" t="n">
        <f aca="false">(Sens!$D$423*Sens!$F$304+(1-ext_sh)*Sens!$F$347)*Sens!$F$305</f>
        <v>9.51361751569285</v>
      </c>
      <c r="G424" s="38" t="n">
        <f aca="false">Sens!$E$424+Sens!$F$424</f>
        <v>18.2936175156929</v>
      </c>
      <c r="H424" s="38" t="n">
        <f aca="false">(Sens!$D$423*Sens!$H$304+(1-ext_sh)*Sens!$H$347)*Sens!$H$305</f>
        <v>22.7653661801943</v>
      </c>
      <c r="I424" s="38" t="n">
        <f aca="false">(Sens!$D$423*Sens!$I$304+(1-ext_sh)*Sens!$I$347)*Sens!$I$305</f>
        <v>28.4281317305062</v>
      </c>
      <c r="J424" s="38" t="n">
        <f aca="false">(Sens!$D$423*Sens!$J$304+(1-ext_sh)*Sens!$J$347)*Sens!$J$305</f>
        <v>34.1182922009732</v>
      </c>
      <c r="K424" s="38" t="n">
        <f aca="false">(Sens!$D$423*Sens!$K$304+(1-ext_sh)*Sens!$K$347)*Sens!$K$305</f>
        <v>39.7237727987046</v>
      </c>
      <c r="L424" s="38" t="n">
        <f aca="false">(Sens!$D$423*Sens!$L$304+(1-ext_sh)*Sens!$L$347)*Sens!$L$305</f>
        <v>45.1313127180263</v>
      </c>
      <c r="M424" s="38" t="n">
        <f aca="false">(Sens!$D$423*Sens!$M$304+(1-ext_sh)*Sens!$M$347)*Sens!$M$305</f>
        <v>50.743940615442</v>
      </c>
      <c r="N424" s="38" t="n">
        <f aca="false">Q!$N$29</f>
        <v>7.272</v>
      </c>
      <c r="O424" s="38" t="n">
        <f aca="false">Q!$O$29</f>
        <v>8.231</v>
      </c>
    </row>
    <row r="425" customFormat="false" ht="17.15" hidden="false" customHeight="false" outlineLevel="0" collapsed="false">
      <c r="A425" s="0" t="s">
        <v>500</v>
      </c>
      <c r="B425" s="0" t="s">
        <v>73</v>
      </c>
      <c r="C425" s="38" t="n">
        <f aca="false">Q!$D$30</f>
        <v>4.462</v>
      </c>
      <c r="D425" s="38" t="n">
        <f aca="false">Q!$E$30</f>
        <v>4.907</v>
      </c>
      <c r="E425" s="38" t="n">
        <f aca="false">Q!$P$30</f>
        <v>2.57</v>
      </c>
      <c r="F425" s="38" t="n">
        <f aca="false">(Sens!$D$423*Sens!$F$304+(1-ext_sh)*Sens!$F$347)*(1-Sens!$F$305)</f>
        <v>3.7353230631574</v>
      </c>
      <c r="G425" s="38" t="n">
        <f aca="false">Sens!$E$425+Sens!$F$425</f>
        <v>6.3053230631574</v>
      </c>
      <c r="H425" s="38" t="n">
        <f aca="false">(Sens!$D$423*Sens!$H$304+(1-ext_sh)*Sens!$H$347)*(1-Sens!$H$305)</f>
        <v>8.72254636724805</v>
      </c>
      <c r="I425" s="38" t="n">
        <f aca="false">(Sens!$D$423*Sens!$I$304+(1-ext_sh)*Sens!$I$347)*(1-Sens!$I$305)</f>
        <v>10.8922340713019</v>
      </c>
      <c r="J425" s="38" t="n">
        <f aca="false">(Sens!$D$423*Sens!$J$304+(1-ext_sh)*Sens!$J$347)*(1-Sens!$J$305)</f>
        <v>13.0724181345791</v>
      </c>
      <c r="K425" s="38" t="n">
        <f aca="false">(Sens!$D$423*Sens!$K$304+(1-ext_sh)*Sens!$K$347)*(1-Sens!$K$305)</f>
        <v>15.2201571183236</v>
      </c>
      <c r="L425" s="38" t="n">
        <f aca="false">(Sens!$D$423*Sens!$L$304+(1-ext_sh)*Sens!$L$347)*(1-Sens!$L$305)</f>
        <v>17.2920551631732</v>
      </c>
      <c r="M425" s="38" t="n">
        <f aca="false">(Sens!$D$423*Sens!$M$304+(1-ext_sh)*Sens!$M$347)*(1-Sens!$M$305)</f>
        <v>19.4425326336348</v>
      </c>
      <c r="N425" s="38" t="n">
        <f aca="false">Q!$N$30</f>
        <v>2.316</v>
      </c>
      <c r="O425" s="38" t="n">
        <f aca="false">Q!$O$30</f>
        <v>2.591</v>
      </c>
    </row>
    <row r="426" customFormat="false" ht="17.15" hidden="false" customHeight="false" outlineLevel="0" collapsed="false">
      <c r="A426" s="0" t="s">
        <v>501</v>
      </c>
      <c r="B426" s="0" t="s">
        <v>73</v>
      </c>
      <c r="C426" s="38" t="n">
        <f aca="false">Sens!$C$359</f>
        <v>13.32</v>
      </c>
      <c r="D426" s="38" t="n">
        <f aca="false">Sens!$D$359</f>
        <v>21.45</v>
      </c>
      <c r="E426" s="38" t="n">
        <f aca="false">Sens!$E$359</f>
        <v>15.353</v>
      </c>
      <c r="F426" s="38" t="n">
        <f aca="false">Sens!$F$359</f>
        <v>17.3614451462707</v>
      </c>
      <c r="G426" s="38" t="n">
        <f aca="false">Sens!$G$359</f>
        <v>32.7144451462707</v>
      </c>
      <c r="H426" s="38" t="n">
        <f aca="false">Sens!$H$359</f>
        <v>56.1966092719415</v>
      </c>
      <c r="I426" s="38" t="n">
        <f aca="false">Sens!$I$359</f>
        <v>82.9744039068297</v>
      </c>
      <c r="J426" s="38" t="n">
        <f aca="false">Sens!$J$359</f>
        <v>109.943252237669</v>
      </c>
      <c r="K426" s="38" t="n">
        <f aca="false">Sens!$K$359</f>
        <v>136.406703436571</v>
      </c>
      <c r="L426" s="38" t="n">
        <f aca="false">Sens!$L$359</f>
        <v>161.485870454155</v>
      </c>
      <c r="M426" s="38" t="n">
        <f aca="false">Sens!$M$359</f>
        <v>187.389846618199</v>
      </c>
      <c r="N426" s="38" t="n">
        <f aca="false">Sens!$N$359</f>
        <v>9.234</v>
      </c>
      <c r="O426" s="38" t="n">
        <f aca="false">Sens!$O$359</f>
        <v>12.216</v>
      </c>
    </row>
    <row r="427" customFormat="false" ht="17.15" hidden="false" customHeight="false" outlineLevel="0" collapsed="false">
      <c r="A427" s="5" t="s">
        <v>695</v>
      </c>
      <c r="B427" s="0" t="s">
        <v>73</v>
      </c>
      <c r="C427" s="38" t="n">
        <f aca="false">Sens!$C$424+Sens!$C$425+Sens!$C$426</f>
        <v>32.067</v>
      </c>
      <c r="D427" s="38" t="n">
        <f aca="false">Sens!$D$424+Sens!$D$425+Sens!$D$426</f>
        <v>41.86</v>
      </c>
      <c r="E427" s="38" t="n">
        <f aca="false">Sens!$E$424+Sens!$E$425+Sens!$E$426</f>
        <v>26.703</v>
      </c>
      <c r="F427" s="38" t="n">
        <f aca="false">Sens!$F$424+Sens!$F$425+Sens!$F$426</f>
        <v>30.6103857251209</v>
      </c>
      <c r="G427" s="38" t="n">
        <f aca="false">Sens!$G$424+Sens!$G$425+Sens!$G$426</f>
        <v>57.3133857251209</v>
      </c>
      <c r="H427" s="38" t="n">
        <f aca="false">Sens!$H$424+Sens!$H$425+Sens!$H$426</f>
        <v>87.6845218193838</v>
      </c>
      <c r="I427" s="38" t="n">
        <f aca="false">Sens!$I$424+Sens!$I$425+Sens!$I$426</f>
        <v>122.294769708638</v>
      </c>
      <c r="J427" s="38" t="n">
        <f aca="false">Sens!$J$424+Sens!$J$425+Sens!$J$426</f>
        <v>157.133962573221</v>
      </c>
      <c r="K427" s="38" t="n">
        <f aca="false">Sens!$K$424+Sens!$K$425+Sens!$K$426</f>
        <v>191.350633353599</v>
      </c>
      <c r="L427" s="38" t="n">
        <f aca="false">Sens!$L$424+Sens!$L$425+Sens!$L$426</f>
        <v>223.909238335354</v>
      </c>
      <c r="M427" s="38" t="n">
        <f aca="false">Sens!$M$424+Sens!$M$425+Sens!$M$426</f>
        <v>257.576319867276</v>
      </c>
      <c r="N427" s="38" t="n">
        <f aca="false">Sens!$N$424+Sens!$N$425+Sens!$N$426</f>
        <v>18.822</v>
      </c>
      <c r="O427" s="38" t="n">
        <f aca="false">Sens!$O$424+Sens!$O$425+Sens!$O$426</f>
        <v>23.038</v>
      </c>
    </row>
    <row r="428" customFormat="false" ht="17.15" hidden="false" customHeight="false" outlineLevel="0" collapsed="false">
      <c r="A428" s="0" t="s">
        <v>696</v>
      </c>
      <c r="B428" s="0" t="s">
        <v>73</v>
      </c>
      <c r="C428" s="38" t="n">
        <f aca="false">Sens!$C$401+Sens!$C$406</f>
        <v>28.107</v>
      </c>
      <c r="D428" s="38" t="n">
        <f aca="false">Sens!$D$401+Sens!$D$406</f>
        <v>34.3175</v>
      </c>
      <c r="E428" s="38" t="n">
        <f aca="false">Sens!$E$401+Sens!$E$406</f>
        <v>18.526</v>
      </c>
      <c r="F428" s="38" t="n">
        <f aca="false">Sens!$F$401+Sens!$F$406</f>
        <v>24.0766690913691</v>
      </c>
      <c r="G428" s="38" t="n">
        <f aca="false">Sens!$G$401+Sens!$G$406</f>
        <v>42.6026690913691</v>
      </c>
      <c r="H428" s="38" t="n">
        <f aca="false">Sens!$H$401+Sens!$H$406</f>
        <v>51.1466809294702</v>
      </c>
      <c r="I428" s="38" t="n">
        <f aca="false">Sens!$I$401+Sens!$I$406</f>
        <v>59.6899187926205</v>
      </c>
      <c r="J428" s="38" t="n">
        <f aca="false">Sens!$J$401+Sens!$J$406</f>
        <v>67.6595395244221</v>
      </c>
      <c r="K428" s="38" t="n">
        <f aca="false">Sens!$K$401+Sens!$K$406</f>
        <v>74.4254934768643</v>
      </c>
      <c r="L428" s="38" t="n">
        <f aca="false">Sens!$L$401+Sens!$L$406</f>
        <v>81.8680428245508</v>
      </c>
      <c r="M428" s="38" t="n">
        <f aca="false">Sens!$M$401+Sens!$M$406</f>
        <v>90.0548471070059</v>
      </c>
      <c r="N428" s="38" t="n">
        <f aca="false">Sens!$N$401+Sens!$N$406</f>
        <v>14.8075</v>
      </c>
      <c r="O428" s="38" t="n">
        <f aca="false">Sens!$O$401+Sens!$O$406</f>
        <v>19.51</v>
      </c>
    </row>
    <row r="429" customFormat="false" ht="17.15" hidden="false" customHeight="false" outlineLevel="0" collapsed="false">
      <c r="A429" s="0" t="s">
        <v>697</v>
      </c>
      <c r="B429" s="0" t="s">
        <v>73</v>
      </c>
      <c r="C429" s="38" t="n">
        <f aca="false">Sens!$C$405+Sens!$C$410+Sens!$C$424+Sens!$C$425-Sens!$C$428</f>
        <v>19.399</v>
      </c>
      <c r="D429" s="38" t="n">
        <f aca="false">Sens!$D$405+Sens!$D$410+Sens!$D$424+Sens!$D$425-Sens!$D$428</f>
        <v>20.4615</v>
      </c>
      <c r="E429" s="38" t="n">
        <f aca="false">Sens!$E$405+Sens!$E$410+Sens!$E$424+Sens!$E$425-Sens!$E$428</f>
        <v>13.355</v>
      </c>
      <c r="F429" s="38" t="n">
        <f aca="false">Sens!$F$405+Sens!$F$410+Sens!$F$424+Sens!$F$425-Sens!$F$428</f>
        <v>13.0895111975985</v>
      </c>
      <c r="G429" s="38" t="n">
        <f aca="false">Sens!$G$405+Sens!$G$410+Sens!$G$424+Sens!$G$425-Sens!$G$428</f>
        <v>26.4445111975985</v>
      </c>
      <c r="H429" s="38" t="n">
        <f aca="false">Sens!$H$405+Sens!$H$410+Sens!$H$424+Sens!$H$425-Sens!$H$428</f>
        <v>28.8977096937968</v>
      </c>
      <c r="I429" s="38" t="n">
        <f aca="false">Sens!$I$405+Sens!$I$410+Sens!$I$424+Sens!$I$425-Sens!$I$428</f>
        <v>31.2062039064791</v>
      </c>
      <c r="J429" s="38" t="n">
        <f aca="false">Sens!$J$405+Sens!$J$410+Sens!$J$424+Sens!$J$425-Sens!$J$428</f>
        <v>33.5064572496913</v>
      </c>
      <c r="K429" s="38" t="n">
        <f aca="false">Sens!$K$405+Sens!$K$410+Sens!$K$424+Sens!$K$425-Sens!$K$428</f>
        <v>35.6591461575899</v>
      </c>
      <c r="L429" s="38" t="n">
        <f aca="false">Sens!$L$405+Sens!$L$410+Sens!$L$424+Sens!$L$425-Sens!$L$428</f>
        <v>36.4141007090604</v>
      </c>
      <c r="M429" s="38" t="n">
        <f aca="false">Sens!$M$405+Sens!$M$410+Sens!$M$424+Sens!$M$425-Sens!$M$428</f>
        <v>37.359984207839</v>
      </c>
      <c r="N429" s="38" t="n">
        <f aca="false">Sens!$N$405+Sens!$N$410+Sens!$N$424+Sens!$N$425-Sens!$N$428</f>
        <v>10.6495</v>
      </c>
      <c r="O429" s="38" t="n">
        <f aca="false">Sens!$O$405+Sens!$O$410+Sens!$O$424+Sens!$O$425-Sens!$O$428</f>
        <v>9.81200000000001</v>
      </c>
    </row>
    <row r="430" customFormat="false" ht="17.15" hidden="false" customHeight="false" outlineLevel="0" collapsed="false">
      <c r="A430" s="0" t="s">
        <v>698</v>
      </c>
      <c r="B430" s="0" t="s">
        <v>73</v>
      </c>
      <c r="C430" s="38" t="n">
        <f aca="false">Sens!$C$412+Sens!$C$426-ext_sh*Sens!$C$347</f>
        <v>51.3470500115664</v>
      </c>
      <c r="D430" s="38" t="n">
        <f aca="false">Sens!$D$412+Sens!$D$426-ext_sh*Sens!$D$347</f>
        <v>60.2799375433739</v>
      </c>
      <c r="E430" s="38" t="n">
        <f aca="false">Sens!$E$412+Sens!$E$426-ext_sh*Sens!$E$347</f>
        <v>39.5095167090767</v>
      </c>
      <c r="F430" s="38" t="n">
        <f aca="false">Sens!$F$412+Sens!$F$426-ext_sh*Sens!$F$347</f>
        <v>41.606724953129</v>
      </c>
      <c r="G430" s="38" t="n">
        <f aca="false">Sens!$G$412+Sens!$G$426-ext_sh*Sens!$G$347</f>
        <v>81.1162416622057</v>
      </c>
      <c r="H430" s="38" t="n">
        <f aca="false">Sens!$H$412+Sens!$H$426-ext_sh*Sens!$H$347</f>
        <v>95.7616595325849</v>
      </c>
      <c r="I430" s="38" t="n">
        <f aca="false">Sens!$I$412+Sens!$I$426-ext_sh*Sens!$I$347</f>
        <v>111.513312079935</v>
      </c>
      <c r="J430" s="38" t="n">
        <f aca="false">Sens!$J$412+Sens!$J$426-ext_sh*Sens!$J$347</f>
        <v>125.145150463955</v>
      </c>
      <c r="K430" s="38" t="n">
        <f aca="false">Sens!$K$412+Sens!$K$426-ext_sh*Sens!$K$347</f>
        <v>135.156762501071</v>
      </c>
      <c r="L430" s="38" t="n">
        <f aca="false">Sens!$L$412+Sens!$L$426-ext_sh*Sens!$L$347</f>
        <v>145.969303501157</v>
      </c>
      <c r="M430" s="38" t="n">
        <f aca="false">Sens!$M$412+Sens!$M$426-ext_sh*Sens!$M$347</f>
        <v>157.646847781249</v>
      </c>
      <c r="N430" s="38" t="n">
        <f aca="false">Sens!$N$412+Sens!$N$426-ext_sh*Sens!$N$347</f>
        <v>28.5693781401809</v>
      </c>
      <c r="O430" s="38" t="n">
        <f aca="false">Sens!$O$412+Sens!$O$426-ext_sh*Sens!$O$347</f>
        <v>31.7105594031931</v>
      </c>
    </row>
    <row r="431" customFormat="false" ht="17.15" hidden="false" customHeight="false" outlineLevel="0" collapsed="false">
      <c r="A431" s="0" t="s">
        <v>699</v>
      </c>
      <c r="B431" s="0" t="s">
        <v>73</v>
      </c>
      <c r="C431" s="38" t="n">
        <f aca="false">Sens!$C$350</f>
        <v>1.80694998843362</v>
      </c>
      <c r="D431" s="38" t="n">
        <f aca="false">Sens!$D$350</f>
        <v>6.77606245662607</v>
      </c>
      <c r="E431" s="38" t="n">
        <f aca="false">Sens!$E$350</f>
        <v>6.62548329092326</v>
      </c>
      <c r="F431" s="38" t="n">
        <f aca="false">Sens!$F$350</f>
        <v>10.8940413794839</v>
      </c>
      <c r="G431" s="38" t="n">
        <f aca="false">Sens!$G$350</f>
        <v>17.5195246704072</v>
      </c>
      <c r="H431" s="38" t="n">
        <f aca="false">Sens!$H$350</f>
        <v>40.7735721541341</v>
      </c>
      <c r="I431" s="38" t="n">
        <f aca="false">Sens!$I$350</f>
        <v>66.8500163832358</v>
      </c>
      <c r="J431" s="38" t="n">
        <f aca="false">Sens!$J$350</f>
        <v>93.0640470849174</v>
      </c>
      <c r="K431" s="38" t="n">
        <f aca="false">Sens!$K$350</f>
        <v>119.323939944126</v>
      </c>
      <c r="L431" s="38" t="n">
        <f aca="false">Sens!$L$350</f>
        <v>145.604679238573</v>
      </c>
      <c r="M431" s="38" t="n">
        <f aca="false">Sens!$M$350</f>
        <v>171.896643536611</v>
      </c>
      <c r="N431" s="38" t="n">
        <f aca="false">Sens!$N$350</f>
        <v>2.37162185981912</v>
      </c>
      <c r="O431" s="38" t="n">
        <f aca="false">Sens!$O$350</f>
        <v>4.40444059680694</v>
      </c>
    </row>
    <row r="432" customFormat="false" ht="17.15" hidden="false" customHeight="false" outlineLevel="0" collapsed="false">
      <c r="A432" s="0" t="s">
        <v>700</v>
      </c>
      <c r="B432" s="0" t="s">
        <v>73</v>
      </c>
      <c r="C432" s="38" t="n">
        <f aca="false">Sens!$C$415+Sens!$C$427</f>
        <v>100.66</v>
      </c>
      <c r="D432" s="38" t="n">
        <f aca="false">Sens!$D$415+Sens!$D$427</f>
        <v>121.835</v>
      </c>
      <c r="E432" s="38" t="n">
        <f aca="false">Sens!$E$415+Sens!$E$427</f>
        <v>78.016</v>
      </c>
      <c r="F432" s="38" t="n">
        <f aca="false">Sens!$F$415+Sens!$F$427</f>
        <v>89.6669466215805</v>
      </c>
      <c r="G432" s="38" t="n">
        <f aca="false">Sens!$G$415+Sens!$G$427</f>
        <v>167.68294662158</v>
      </c>
      <c r="H432" s="38" t="n">
        <f aca="false">Sens!$H$415+Sens!$H$427</f>
        <v>216.579622309986</v>
      </c>
      <c r="I432" s="38" t="n">
        <f aca="false">Sens!$I$415+Sens!$I$427</f>
        <v>269.259451162271</v>
      </c>
      <c r="J432" s="38" t="n">
        <f aca="false">Sens!$J$415+Sens!$J$427</f>
        <v>319.375194322985</v>
      </c>
      <c r="K432" s="38" t="n">
        <f aca="false">Sens!$K$415+Sens!$K$427</f>
        <v>364.565342079651</v>
      </c>
      <c r="L432" s="38" t="n">
        <f aca="false">Sens!$L$415+Sens!$L$427</f>
        <v>409.856126273341</v>
      </c>
      <c r="M432" s="38" t="n">
        <f aca="false">Sens!$M$415+Sens!$M$427</f>
        <v>456.958322632705</v>
      </c>
      <c r="N432" s="38" t="n">
        <f aca="false">Sens!$N$415+Sens!$N$427</f>
        <v>56.398</v>
      </c>
      <c r="O432" s="38" t="n">
        <f aca="false">Sens!$O$415+Sens!$O$427</f>
        <v>65.437</v>
      </c>
    </row>
    <row r="433" customFormat="false" ht="17.15" hidden="false" customHeight="false" outlineLevel="0" collapsed="false">
      <c r="A433" s="1" t="s">
        <v>701</v>
      </c>
    </row>
    <row r="434" customFormat="false" ht="15" hidden="false" customHeight="false" outlineLevel="0" collapsed="false">
      <c r="A434" s="5" t="s">
        <v>504</v>
      </c>
      <c r="B434" s="0" t="s">
        <v>73</v>
      </c>
      <c r="C434" s="38" t="n">
        <f aca="false">Q!$D$34</f>
        <v>2.406</v>
      </c>
      <c r="D434" s="38" t="n">
        <f aca="false">Q!$E$34</f>
        <v>2.274</v>
      </c>
      <c r="E434" s="38" t="n">
        <f aca="false">Q!$P$34</f>
        <v>2.114</v>
      </c>
      <c r="F434" s="38" t="n">
        <f aca="false">Sens!$F$470</f>
        <v>3.24888964316061</v>
      </c>
      <c r="G434" s="38" t="n">
        <f aca="false">Sens!$E$434+Sens!$F$434</f>
        <v>5.36288964316061</v>
      </c>
      <c r="H434" s="38" t="n">
        <f aca="false">Sens!$H$470</f>
        <v>7.42354178632123</v>
      </c>
      <c r="I434" s="38" t="n">
        <f aca="false">Sens!$I$470</f>
        <v>7.93350291307667</v>
      </c>
      <c r="J434" s="38" t="n">
        <f aca="false">Sens!$J$470</f>
        <v>8.95576692016377</v>
      </c>
      <c r="K434" s="38" t="n">
        <f aca="false">Sens!$K$470</f>
        <v>8.95576692016377</v>
      </c>
      <c r="L434" s="38" t="n">
        <f aca="false">Sens!$L$470</f>
        <v>8.95576692016377</v>
      </c>
      <c r="M434" s="38" t="n">
        <f aca="false">Sens!$M$470</f>
        <v>8.95576692016377</v>
      </c>
      <c r="N434" s="38" t="n">
        <f aca="false">Q!$N$34</f>
        <v>1.057</v>
      </c>
      <c r="O434" s="38" t="n">
        <f aca="false">Q!$O$34</f>
        <v>1.217</v>
      </c>
    </row>
    <row r="435" customFormat="false" ht="15" hidden="false" customHeight="false" outlineLevel="0" collapsed="false">
      <c r="A435" s="5" t="s">
        <v>702</v>
      </c>
      <c r="B435" s="0" t="s">
        <v>73</v>
      </c>
      <c r="F435" s="38" t="n">
        <f aca="false">Sens!$F$471</f>
        <v>2.59</v>
      </c>
      <c r="H435" s="38" t="n">
        <f aca="false">Sens!$H$471</f>
        <v>3.97968175674031</v>
      </c>
      <c r="I435" s="38" t="n">
        <f aca="false">Sens!$I$471</f>
        <v>2.10589651022864</v>
      </c>
      <c r="J435" s="38" t="n">
        <f aca="false">Sens!$J$471</f>
        <v>2.10589651022864</v>
      </c>
      <c r="K435" s="38" t="n">
        <f aca="false">Sens!$K$471</f>
        <v>2.9860952409183</v>
      </c>
      <c r="L435" s="38" t="n">
        <f aca="false">Sens!$L$471</f>
        <v>5.37108266863553</v>
      </c>
      <c r="M435" s="38" t="n">
        <f aca="false">Sens!$M$471</f>
        <v>7.96723599091899</v>
      </c>
    </row>
    <row r="436" customFormat="false" ht="17.15" hidden="false" customHeight="false" outlineLevel="0" collapsed="false">
      <c r="A436" s="5" t="s">
        <v>703</v>
      </c>
      <c r="B436" s="0" t="s">
        <v>73</v>
      </c>
      <c r="C436" s="38" t="n">
        <f aca="false">Q!$D$39</f>
        <v>2.427</v>
      </c>
      <c r="D436" s="38" t="n">
        <f aca="false">Q!$E$39</f>
        <v>19.61</v>
      </c>
      <c r="E436" s="38" t="n">
        <f aca="false">Q!$P$39</f>
        <v>71.492</v>
      </c>
      <c r="F436" s="41" t="n">
        <v>0</v>
      </c>
      <c r="G436" s="38" t="n">
        <f aca="false">Sens!$E$436+Sens!$F$436</f>
        <v>71.492</v>
      </c>
      <c r="H436" s="41" t="n">
        <v>0</v>
      </c>
      <c r="I436" s="41" t="n">
        <v>0</v>
      </c>
      <c r="J436" s="41" t="n">
        <v>0</v>
      </c>
      <c r="K436" s="41" t="n">
        <v>0</v>
      </c>
      <c r="L436" s="41" t="n">
        <v>0</v>
      </c>
      <c r="M436" s="41" t="n">
        <v>0</v>
      </c>
      <c r="N436" s="38" t="n">
        <f aca="false">Q!$N$39</f>
        <v>6.017</v>
      </c>
      <c r="O436" s="38" t="n">
        <f aca="false">Q!$O$39</f>
        <v>13.593</v>
      </c>
      <c r="P436" s="5" t="s">
        <v>704</v>
      </c>
    </row>
    <row r="437" customFormat="false" ht="15" hidden="false" customHeight="false" outlineLevel="0" collapsed="false">
      <c r="A437" s="5" t="s">
        <v>507</v>
      </c>
      <c r="B437" s="0" t="s">
        <v>73</v>
      </c>
      <c r="C437" s="38" t="n">
        <f aca="false">Q!$D$36</f>
        <v>68.614</v>
      </c>
      <c r="D437" s="38" t="n">
        <f aca="false">Q!$E$36</f>
        <v>97.311</v>
      </c>
      <c r="E437" s="38" t="n">
        <f aca="false">Q!$P$36</f>
        <v>120.691</v>
      </c>
      <c r="F437" s="38" t="n">
        <f aca="false">Sens!$F$415-Sens!$F$434+Sens!$F$435+Sens!$F$436</f>
        <v>58.3976712532989</v>
      </c>
      <c r="G437" s="38" t="n">
        <f aca="false">Sens!$E$437+Sens!$F$437</f>
        <v>179.088671253299</v>
      </c>
      <c r="H437" s="38" t="n">
        <f aca="false">Sens!$H$415-Sens!$H$434+Sens!$H$435+Sens!$H$436</f>
        <v>125.451240461021</v>
      </c>
      <c r="I437" s="38" t="n">
        <f aca="false">Sens!$I$415-Sens!$I$434+Sens!$I$435+Sens!$I$436</f>
        <v>141.137075050785</v>
      </c>
      <c r="J437" s="38" t="n">
        <f aca="false">Sens!$J$415-Sens!$J$434+Sens!$J$435+Sens!$J$436</f>
        <v>155.391361339829</v>
      </c>
      <c r="K437" s="38" t="n">
        <f aca="false">Sens!$K$415-Sens!$K$434+Sens!$K$435+Sens!$K$436</f>
        <v>167.245037046806</v>
      </c>
      <c r="L437" s="38" t="n">
        <f aca="false">Sens!$L$415-Sens!$L$434+Sens!$L$435+Sens!$L$436</f>
        <v>182.362203686458</v>
      </c>
      <c r="M437" s="38" t="n">
        <f aca="false">Sens!$M$415-Sens!$M$434+Sens!$M$435+Sens!$M$436</f>
        <v>198.393471836184</v>
      </c>
      <c r="N437" s="38" t="n">
        <f aca="false">Q!$N$36</f>
        <v>42.536</v>
      </c>
      <c r="O437" s="38" t="n">
        <f aca="false">Q!$O$36</f>
        <v>54.775</v>
      </c>
    </row>
    <row r="438" customFormat="false" ht="15" hidden="false" customHeight="false" outlineLevel="0" collapsed="false">
      <c r="A438" s="5" t="s">
        <v>508</v>
      </c>
      <c r="B438" s="0" t="s">
        <v>73</v>
      </c>
      <c r="C438" s="38" t="n">
        <f aca="false">Q!$D$37</f>
        <v>9.265</v>
      </c>
      <c r="D438" s="38" t="n">
        <f aca="false">Q!$E$37</f>
        <v>19.087</v>
      </c>
      <c r="E438" s="38" t="n">
        <f aca="false">Q!$P$37</f>
        <v>27.759</v>
      </c>
      <c r="F438" s="38" t="n">
        <f aca="false">Sens!$F$437*tax</f>
        <v>10.1369321202742</v>
      </c>
      <c r="G438" s="38" t="n">
        <f aca="false">Sens!$E$438+Sens!$F$438</f>
        <v>37.8959321202742</v>
      </c>
      <c r="H438" s="38" t="n">
        <f aca="false">Sens!$H$437*tax</f>
        <v>21.7763941894468</v>
      </c>
      <c r="I438" s="38" t="n">
        <f aca="false">Sens!$I$437*tax</f>
        <v>24.4992123613667</v>
      </c>
      <c r="J438" s="38" t="n">
        <f aca="false">Sens!$J$437*tax</f>
        <v>26.9735358991711</v>
      </c>
      <c r="K438" s="38" t="n">
        <f aca="false">Sens!$K$437*tax</f>
        <v>29.0311505854857</v>
      </c>
      <c r="L438" s="38" t="n">
        <f aca="false">Sens!$L$437*tax</f>
        <v>31.655256800481</v>
      </c>
      <c r="M438" s="38" t="n">
        <f aca="false">Sens!$M$437*tax</f>
        <v>34.4380368933859</v>
      </c>
      <c r="N438" s="38" t="n">
        <f aca="false">Q!$N$37</f>
        <v>7.231</v>
      </c>
      <c r="O438" s="38" t="n">
        <f aca="false">Q!$O$37</f>
        <v>11.856</v>
      </c>
    </row>
    <row r="439" customFormat="false" ht="15" hidden="false" customHeight="false" outlineLevel="0" collapsed="false">
      <c r="A439" s="3" t="s">
        <v>509</v>
      </c>
      <c r="B439" s="8" t="s">
        <v>73</v>
      </c>
      <c r="C439" s="38" t="n">
        <f aca="false">Q!$D$38</f>
        <v>59.248</v>
      </c>
      <c r="D439" s="38" t="n">
        <f aca="false">Q!$E$38</f>
        <v>77.67</v>
      </c>
      <c r="E439" s="38" t="n">
        <f aca="false">Q!$P$38</f>
        <v>92.902</v>
      </c>
      <c r="F439" s="38" t="n">
        <f aca="false">Sens!$F$437-Sens!$F$438</f>
        <v>48.2607391330247</v>
      </c>
      <c r="G439" s="38" t="n">
        <f aca="false">Sens!$E$439+Sens!$F$439</f>
        <v>141.162739133025</v>
      </c>
      <c r="H439" s="38" t="n">
        <f aca="false">Sens!$H$437-Sens!$H$438</f>
        <v>103.674846271574</v>
      </c>
      <c r="I439" s="38" t="n">
        <f aca="false">Sens!$I$437-Sens!$I$438</f>
        <v>116.637862689418</v>
      </c>
      <c r="J439" s="38" t="n">
        <f aca="false">Sens!$J$437-Sens!$J$438</f>
        <v>128.417825440658</v>
      </c>
      <c r="K439" s="38" t="n">
        <f aca="false">Sens!$K$437-Sens!$K$438</f>
        <v>138.21388646132</v>
      </c>
      <c r="L439" s="38" t="n">
        <f aca="false">Sens!$L$437-Sens!$L$438</f>
        <v>150.706946885977</v>
      </c>
      <c r="M439" s="38" t="n">
        <f aca="false">Sens!$M$437-Sens!$M$438</f>
        <v>163.955434942798</v>
      </c>
      <c r="N439" s="38" t="n">
        <f aca="false">Q!$N$38</f>
        <v>35.291</v>
      </c>
      <c r="O439" s="38" t="n">
        <f aca="false">Q!$O$38</f>
        <v>42.379</v>
      </c>
    </row>
    <row r="440" customFormat="false" ht="17.15" hidden="false" customHeight="false" outlineLevel="0" collapsed="false">
      <c r="A440" s="5" t="s">
        <v>512</v>
      </c>
      <c r="B440" s="5" t="s">
        <v>33</v>
      </c>
      <c r="C440" s="22" t="n">
        <f aca="false">Q!$D$41</f>
        <v>10.721</v>
      </c>
      <c r="D440" s="22" t="n">
        <f aca="false">Q!$E$41</f>
        <v>10.827</v>
      </c>
      <c r="E440" s="22" t="n">
        <f aca="false">(Q!$L$41+Q!$M$41)/2</f>
        <v>10.8885</v>
      </c>
      <c r="F440" s="22" t="n">
        <f aca="false">Sens!$G$440</f>
        <v>10.924806</v>
      </c>
      <c r="G440" s="22" t="n">
        <f aca="false">Q!$M$41*(1+sh_g*0.25)</f>
        <v>10.924806</v>
      </c>
      <c r="H440" s="22" t="n">
        <f aca="false">Sens!$G$440*(1+sh_g)</f>
        <v>11.012204448</v>
      </c>
      <c r="I440" s="22" t="n">
        <f aca="false">Sens!$H$440*(1+sh_g)</f>
        <v>11.100302083584</v>
      </c>
      <c r="J440" s="22" t="n">
        <f aca="false">Sens!$I$440*(1+sh_g)</f>
        <v>11.1891045002527</v>
      </c>
      <c r="K440" s="22" t="n">
        <f aca="false">Sens!$J$440*(1+sh_g)</f>
        <v>11.2786173362547</v>
      </c>
      <c r="L440" s="22" t="n">
        <f aca="false">Sens!$K$440*(1+sh_g)</f>
        <v>11.3688462749447</v>
      </c>
      <c r="M440" s="22" t="n">
        <f aca="false">Sens!$L$440*(1+sh_g)</f>
        <v>11.4597970451443</v>
      </c>
      <c r="P440" s="5" t="s">
        <v>705</v>
      </c>
    </row>
    <row r="441" customFormat="false" ht="17.15" hidden="false" customHeight="false" outlineLevel="0" collapsed="false">
      <c r="A441" s="42" t="s">
        <v>706</v>
      </c>
      <c r="B441" s="13" t="s">
        <v>27</v>
      </c>
      <c r="C441" s="43" t="n">
        <f aca="false">Sens!$C$439/Sens!$C$440</f>
        <v>5.52635015390355</v>
      </c>
      <c r="D441" s="43" t="n">
        <f aca="false">Sens!$D$439/Sens!$D$440</f>
        <v>7.1737323358271</v>
      </c>
      <c r="E441" s="43" t="n">
        <f aca="false">Sens!$E$439/Sens!$E$440</f>
        <v>8.53212104513937</v>
      </c>
      <c r="F441" s="13"/>
      <c r="G441" s="43" t="n">
        <f aca="false">Sens!$G$439/Sens!$G$440</f>
        <v>12.9213039694274</v>
      </c>
      <c r="H441" s="43" t="n">
        <f aca="false">Sens!$H$439/Sens!$H$440</f>
        <v>9.41454063635764</v>
      </c>
      <c r="I441" s="43" t="n">
        <f aca="false">Sens!$I$439/Sens!$I$440</f>
        <v>10.5076295952262</v>
      </c>
      <c r="J441" s="43" t="n">
        <f aca="false">Sens!$J$439/Sens!$J$440</f>
        <v>11.4770422814228</v>
      </c>
      <c r="K441" s="43" t="n">
        <f aca="false">Sens!$K$439/Sens!$K$440</f>
        <v>12.2545062342914</v>
      </c>
      <c r="L441" s="43" t="n">
        <f aca="false">Sens!$L$439/Sens!$L$440</f>
        <v>13.2561337572233</v>
      </c>
      <c r="M441" s="43" t="n">
        <f aca="false">Sens!$M$439/Sens!$M$440</f>
        <v>14.3070103507871</v>
      </c>
      <c r="N441" s="13"/>
      <c r="O441" s="13"/>
    </row>
    <row r="442" customFormat="false" ht="17.15" hidden="false" customHeight="false" outlineLevel="0" collapsed="false">
      <c r="A442" s="0" t="s">
        <v>707</v>
      </c>
      <c r="B442" s="0" t="s">
        <v>27</v>
      </c>
      <c r="C442" s="30" t="n">
        <f aca="false">(Sens!$C$439-Sens!$C$436*(1-tax))/Sens!$C$440</f>
        <v>5.33926775917445</v>
      </c>
      <c r="D442" s="30" t="n">
        <f aca="false">(Sens!$D$439-Sens!$D$436*(1-tax))/Sens!$D$440</f>
        <v>5.67691812755503</v>
      </c>
      <c r="E442" s="30" t="n">
        <f aca="false">(Sens!$E$439-Sens!$E$436*(1-tax))/Sens!$E$440</f>
        <v>3.10602057006846</v>
      </c>
      <c r="G442" s="30" t="n">
        <f aca="false">(Sens!$G$439-Sens!$G$436*(1-tax))/Sens!$G$440</f>
        <v>7.51323585153046</v>
      </c>
      <c r="H442" s="30" t="n">
        <f aca="false">(Sens!$H$439-Sens!$H$436*(1-tax))/Sens!$H$440</f>
        <v>9.41454063635764</v>
      </c>
      <c r="I442" s="30" t="n">
        <f aca="false">(Sens!$I$439-Sens!$I$436*(1-tax))/Sens!$I$440</f>
        <v>10.5076295952262</v>
      </c>
      <c r="J442" s="30" t="n">
        <f aca="false">(Sens!$J$439-Sens!$J$436*(1-tax))/Sens!$J$440</f>
        <v>11.4770422814228</v>
      </c>
      <c r="K442" s="30" t="n">
        <f aca="false">(Sens!$K$439-Sens!$K$436*(1-tax))/Sens!$K$440</f>
        <v>12.2545062342914</v>
      </c>
      <c r="L442" s="30" t="n">
        <f aca="false">(Sens!$L$439-Sens!$L$436*(1-tax))/Sens!$L$440</f>
        <v>13.2561337572233</v>
      </c>
      <c r="M442" s="30" t="n">
        <f aca="false">(Sens!$M$439-Sens!$M$436*(1-tax))/Sens!$M$440</f>
        <v>14.3070103507871</v>
      </c>
      <c r="P442" s="5" t="s">
        <v>708</v>
      </c>
    </row>
    <row r="443" customFormat="false" ht="17.15" hidden="false" customHeight="false" outlineLevel="0" collapsed="false">
      <c r="A443" s="0" t="s">
        <v>709</v>
      </c>
      <c r="B443" s="0" t="s">
        <v>52</v>
      </c>
      <c r="H443" s="12" t="n">
        <f aca="false">Sens!$H$441/Sens!$G$441-1</f>
        <v>-0.271393919790681</v>
      </c>
      <c r="I443" s="12" t="n">
        <f aca="false">Sens!$I$441/Sens!$H$441-1</f>
        <v>0.11610645713793</v>
      </c>
      <c r="J443" s="12" t="n">
        <f aca="false">Sens!$J$441/Sens!$I$441-1</f>
        <v>0.0922579804903911</v>
      </c>
      <c r="K443" s="12" t="n">
        <f aca="false">Sens!$K$441/Sens!$J$441-1</f>
        <v>0.0677407936474195</v>
      </c>
      <c r="L443" s="12" t="n">
        <f aca="false">Sens!$L$441/Sens!$K$441-1</f>
        <v>0.0817354452135402</v>
      </c>
      <c r="M443" s="12" t="n">
        <f aca="false">Sens!$M$441/Sens!$L$441-1</f>
        <v>0.0792747427575651</v>
      </c>
    </row>
    <row r="446" customFormat="false" ht="19.4" hidden="false" customHeight="false" outlineLevel="0" collapsed="false">
      <c r="A446" s="31" t="s">
        <v>1053</v>
      </c>
    </row>
    <row r="447" customFormat="false" ht="17.15" hidden="false" customHeight="false" outlineLevel="0" collapsed="false">
      <c r="A447" s="6" t="s">
        <v>16</v>
      </c>
      <c r="B447" s="6" t="s">
        <v>17</v>
      </c>
      <c r="C447" s="20" t="s">
        <v>457</v>
      </c>
      <c r="D447" s="20" t="s">
        <v>458</v>
      </c>
      <c r="E447" s="20" t="s">
        <v>540</v>
      </c>
      <c r="F447" s="20" t="s">
        <v>541</v>
      </c>
      <c r="G447" s="20" t="s">
        <v>542</v>
      </c>
      <c r="H447" s="20" t="s">
        <v>543</v>
      </c>
      <c r="I447" s="20" t="s">
        <v>544</v>
      </c>
      <c r="J447" s="20" t="s">
        <v>545</v>
      </c>
      <c r="K447" s="20" t="s">
        <v>546</v>
      </c>
      <c r="L447" s="20" t="s">
        <v>547</v>
      </c>
      <c r="M447" s="20" t="s">
        <v>548</v>
      </c>
      <c r="N447" s="20" t="s">
        <v>549</v>
      </c>
      <c r="O447" s="20" t="s">
        <v>550</v>
      </c>
      <c r="P447" s="6" t="s">
        <v>23</v>
      </c>
      <c r="R447" s="20" t="n">
        <v>2023</v>
      </c>
      <c r="S447" s="20" t="n">
        <v>2024</v>
      </c>
      <c r="T447" s="20" t="n">
        <v>2025</v>
      </c>
      <c r="U447" s="20" t="n">
        <v>2026</v>
      </c>
      <c r="V447" s="20" t="n">
        <v>2027</v>
      </c>
      <c r="W447" s="20" t="n">
        <v>2028</v>
      </c>
      <c r="X447" s="20" t="n">
        <v>2029</v>
      </c>
      <c r="Y447" s="20" t="n">
        <v>2030</v>
      </c>
      <c r="Z447" s="20" t="n">
        <v>2031</v>
      </c>
      <c r="AA447" s="20" t="n">
        <v>2032</v>
      </c>
    </row>
    <row r="448" customFormat="false" ht="15" hidden="false" customHeight="false" outlineLevel="0" collapsed="false">
      <c r="A448" s="5" t="s">
        <v>509</v>
      </c>
      <c r="B448" s="0" t="s">
        <v>73</v>
      </c>
      <c r="C448" s="38" t="n">
        <f aca="false">Sens!$C$439</f>
        <v>59.248</v>
      </c>
      <c r="D448" s="38" t="n">
        <f aca="false">Sens!$D$439</f>
        <v>77.67</v>
      </c>
      <c r="E448" s="38" t="n">
        <f aca="false">Sens!$E$439</f>
        <v>92.902</v>
      </c>
      <c r="F448" s="38" t="n">
        <f aca="false">Sens!$F$439</f>
        <v>48.2607391330247</v>
      </c>
      <c r="G448" s="38" t="n">
        <f aca="false">Sens!$G$439</f>
        <v>141.162739133025</v>
      </c>
      <c r="H448" s="38" t="n">
        <f aca="false">Sens!$H$439</f>
        <v>103.674846271574</v>
      </c>
      <c r="I448" s="38" t="n">
        <f aca="false">Sens!$I$439</f>
        <v>116.637862689418</v>
      </c>
      <c r="J448" s="38" t="n">
        <f aca="false">Sens!$J$439</f>
        <v>128.417825440658</v>
      </c>
      <c r="K448" s="38" t="n">
        <f aca="false">Sens!$K$439</f>
        <v>138.21388646132</v>
      </c>
      <c r="L448" s="38" t="n">
        <f aca="false">Sens!$L$439</f>
        <v>150.706946885977</v>
      </c>
      <c r="M448" s="38" t="n">
        <f aca="false">Sens!$M$439</f>
        <v>163.955434942798</v>
      </c>
    </row>
    <row r="449" customFormat="false" ht="17.15" hidden="false" customHeight="false" outlineLevel="0" collapsed="false">
      <c r="A449" s="5" t="s">
        <v>731</v>
      </c>
      <c r="B449" s="0" t="s">
        <v>73</v>
      </c>
      <c r="C449" s="38" t="n">
        <f aca="false">Sens!$C$427</f>
        <v>32.067</v>
      </c>
      <c r="D449" s="38" t="n">
        <f aca="false">Sens!$D$427</f>
        <v>41.86</v>
      </c>
      <c r="E449" s="38" t="n">
        <f aca="false">Sens!$E$427</f>
        <v>26.703</v>
      </c>
      <c r="F449" s="38" t="n">
        <f aca="false">Sens!$F$427</f>
        <v>30.6103857251209</v>
      </c>
      <c r="G449" s="38" t="n">
        <f aca="false">Sens!$G$427</f>
        <v>57.3133857251209</v>
      </c>
      <c r="H449" s="38" t="n">
        <f aca="false">Sens!$H$427</f>
        <v>87.6845218193838</v>
      </c>
      <c r="I449" s="38" t="n">
        <f aca="false">Sens!$I$427</f>
        <v>122.294769708638</v>
      </c>
      <c r="J449" s="38" t="n">
        <f aca="false">Sens!$J$427</f>
        <v>157.133962573221</v>
      </c>
      <c r="K449" s="38" t="n">
        <f aca="false">Sens!$K$427</f>
        <v>191.350633353599</v>
      </c>
      <c r="L449" s="38" t="n">
        <f aca="false">Sens!$L$427</f>
        <v>223.909238335354</v>
      </c>
      <c r="M449" s="38" t="n">
        <f aca="false">Sens!$M$427</f>
        <v>257.576319867276</v>
      </c>
    </row>
    <row r="450" customFormat="false" ht="15" hidden="false" customHeight="false" outlineLevel="0" collapsed="false">
      <c r="A450" s="5" t="s">
        <v>732</v>
      </c>
      <c r="B450" s="0" t="s">
        <v>73</v>
      </c>
      <c r="C450" s="38" t="n">
        <f aca="false">Q!$D$48</f>
        <v>22.011</v>
      </c>
      <c r="D450" s="38" t="n">
        <f aca="false">Q!$E$48</f>
        <v>19.467</v>
      </c>
      <c r="E450" s="38" t="n">
        <f aca="false">Q!$P$48</f>
        <v>10.07</v>
      </c>
      <c r="F450" s="38" t="n">
        <f aca="false">sbc_r*Sens!$F$371</f>
        <v>11.196504103304</v>
      </c>
      <c r="G450" s="38" t="n">
        <f aca="false">Sens!$E$450+Sens!$F$450</f>
        <v>21.266504103304</v>
      </c>
      <c r="H450" s="38" t="n">
        <f aca="false">sbc_r*Sens!$H$371</f>
        <v>24.0093275345283</v>
      </c>
      <c r="I450" s="38" t="n">
        <f aca="false">sbc_r*Sens!$I$371</f>
        <v>27.3083076476515</v>
      </c>
      <c r="J450" s="38" t="n">
        <f aca="false">sbc_r*Sens!$J$371</f>
        <v>30.3889204275201</v>
      </c>
      <c r="K450" s="38" t="n">
        <f aca="false">sbc_r*Sens!$K$371</f>
        <v>33.1107769530391</v>
      </c>
      <c r="L450" s="38" t="n">
        <f aca="false">sbc_r*Sens!$L$371</f>
        <v>35.968162463585</v>
      </c>
      <c r="M450" s="38" t="n">
        <f aca="false">sbc_r*Sens!$M$371</f>
        <v>38.9711548786203</v>
      </c>
    </row>
    <row r="451" customFormat="false" ht="17.15" hidden="false" customHeight="false" outlineLevel="0" collapsed="false">
      <c r="A451" s="5" t="s">
        <v>733</v>
      </c>
      <c r="B451" s="0" t="s">
        <v>73</v>
      </c>
      <c r="C451" s="38" t="n">
        <f aca="false">Q!$D$44-Sens!$C$448-Sens!$C$449-Sens!$C$450</f>
        <v>2.551</v>
      </c>
      <c r="D451" s="38" t="n">
        <f aca="false">Q!$E$44-Sens!$D$448-Sens!$D$449-Sens!$D$450</f>
        <v>0.51700000000001</v>
      </c>
      <c r="E451" s="38" t="n">
        <f aca="false">Q!$P$44-Sens!$E$448-Sens!$E$449-Sens!$E$450</f>
        <v>-58.256</v>
      </c>
      <c r="F451" s="38" t="n">
        <f aca="false">wc_2h26+oth_r*Sens!$F$371</f>
        <v>7.33609295902278</v>
      </c>
      <c r="G451" s="38" t="n">
        <f aca="false">Sens!$E$451+Sens!$F$451</f>
        <v>-50.9199070409772</v>
      </c>
      <c r="H451" s="38" t="n">
        <f aca="false">oth_r*Sens!$H$371</f>
        <v>11.5561515249225</v>
      </c>
      <c r="I451" s="38" t="n">
        <f aca="false">oth_r*Sens!$I$371</f>
        <v>13.144014159148</v>
      </c>
      <c r="J451" s="38" t="n">
        <f aca="false">oth_r*Sens!$J$371</f>
        <v>14.6267723922795</v>
      </c>
      <c r="K451" s="38" t="n">
        <f aca="false">oth_r*Sens!$K$371</f>
        <v>15.93685433409</v>
      </c>
      <c r="L451" s="38" t="n">
        <f aca="false">oth_r*Sens!$L$371</f>
        <v>17.3121689853437</v>
      </c>
      <c r="M451" s="38" t="n">
        <f aca="false">oth_r*Sens!$M$371</f>
        <v>18.7575670426793</v>
      </c>
      <c r="P451" s="8" t="s">
        <v>734</v>
      </c>
    </row>
    <row r="452" customFormat="false" ht="15" hidden="false" customHeight="false" outlineLevel="0" collapsed="false">
      <c r="A452" s="3" t="s">
        <v>515</v>
      </c>
      <c r="B452" s="8" t="s">
        <v>73</v>
      </c>
      <c r="C452" s="38" t="n">
        <f aca="false">Q!$D$44</f>
        <v>115.877</v>
      </c>
      <c r="D452" s="38" t="n">
        <f aca="false">Q!$E$44</f>
        <v>139.514</v>
      </c>
      <c r="E452" s="38" t="n">
        <f aca="false">Q!$P$44</f>
        <v>71.419</v>
      </c>
      <c r="F452" s="38" t="n">
        <f aca="false">Sens!$F$448+Sens!$F$449+Sens!$F$450+Sens!$F$451</f>
        <v>97.4037219204725</v>
      </c>
      <c r="G452" s="38" t="n">
        <f aca="false">Sens!$E$452+Sens!$F$452</f>
        <v>168.822721920472</v>
      </c>
      <c r="H452" s="38" t="n">
        <f aca="false">Sens!$H$448+Sens!$H$449+Sens!$H$450+Sens!$H$451</f>
        <v>226.924847150409</v>
      </c>
      <c r="I452" s="38" t="n">
        <f aca="false">Sens!$I$448+Sens!$I$449+Sens!$I$450+Sens!$I$451</f>
        <v>279.384954204855</v>
      </c>
      <c r="J452" s="38" t="n">
        <f aca="false">Sens!$J$448+Sens!$J$449+Sens!$J$450+Sens!$J$451</f>
        <v>330.567480833679</v>
      </c>
      <c r="K452" s="38" t="n">
        <f aca="false">Sens!$K$448+Sens!$K$449+Sens!$K$450+Sens!$K$451</f>
        <v>378.612151102049</v>
      </c>
      <c r="L452" s="38" t="n">
        <f aca="false">Sens!$L$448+Sens!$L$449+Sens!$L$450+Sens!$L$451</f>
        <v>427.89651667026</v>
      </c>
      <c r="M452" s="38" t="n">
        <f aca="false">Sens!$M$448+Sens!$M$449+Sens!$M$450+Sens!$M$451</f>
        <v>479.260476731374</v>
      </c>
    </row>
    <row r="453" customFormat="false" ht="17.15" hidden="false" customHeight="false" outlineLevel="0" collapsed="false">
      <c r="A453" s="5" t="s">
        <v>735</v>
      </c>
      <c r="B453" s="0" t="s">
        <v>73</v>
      </c>
      <c r="C453" s="38" t="n">
        <f aca="false">Sens!$C$340</f>
        <v>25.2781053077374</v>
      </c>
      <c r="D453" s="38" t="n">
        <f aca="false">Sens!$D$340</f>
        <v>69.5686316310026</v>
      </c>
      <c r="E453" s="38" t="n">
        <f aca="false">Sens!$E$340</f>
        <v>64.1899206485108</v>
      </c>
      <c r="F453" s="38" t="n">
        <f aca="false">Sens!$F$340</f>
        <v>96.2481299895</v>
      </c>
      <c r="G453" s="38" t="n">
        <f aca="false">Sens!$G$340</f>
        <v>160.438050638011</v>
      </c>
      <c r="H453" s="38" t="n">
        <f aca="false">Sens!$H$340</f>
        <v>198.57136494475</v>
      </c>
      <c r="I453" s="38" t="n">
        <f aca="false">Sens!$I$340</f>
        <v>204.6464699105</v>
      </c>
      <c r="J453" s="38" t="n">
        <f aca="false">Sens!$J$340</f>
        <v>209.8832381105</v>
      </c>
      <c r="K453" s="38" t="n">
        <f aca="false">Sens!$K$340</f>
        <v>215.1200063105</v>
      </c>
      <c r="L453" s="38" t="n">
        <f aca="false">Sens!$L$340</f>
        <v>251.7773837105</v>
      </c>
      <c r="M453" s="38" t="n">
        <f aca="false">Sens!$M$340</f>
        <v>311.87584476575</v>
      </c>
    </row>
    <row r="454" customFormat="false" ht="17.15" hidden="false" customHeight="false" outlineLevel="0" collapsed="false">
      <c r="A454" s="5" t="s">
        <v>736</v>
      </c>
      <c r="B454" s="0" t="s">
        <v>73</v>
      </c>
      <c r="C454" s="38" t="n">
        <f aca="false">cx_awso*Sens!$C$369</f>
        <v>21.0469989286053</v>
      </c>
      <c r="D454" s="38" t="n">
        <f aca="false">cx_awso*Sens!$D$369</f>
        <v>24.0042459822698</v>
      </c>
      <c r="E454" s="38" t="n">
        <f aca="false">cx_awso*Sens!$E$369</f>
        <v>14.261729404886</v>
      </c>
      <c r="F454" s="38" t="n">
        <f aca="false">cx_awso*Sens!$F$369</f>
        <v>15.7190020837331</v>
      </c>
      <c r="G454" s="38" t="n">
        <f aca="false">Sens!$E$454+Sens!$F$454</f>
        <v>29.9807314886191</v>
      </c>
      <c r="H454" s="38" t="n">
        <f aca="false">cx_awso*Sens!$H$369</f>
        <v>36.1787121536283</v>
      </c>
      <c r="I454" s="38" t="n">
        <f aca="false">cx_awso*Sens!$I$369</f>
        <v>42.1296794430021</v>
      </c>
      <c r="J454" s="38" t="n">
        <f aca="false">cx_awso*Sens!$J$369</f>
        <v>47.279781889299</v>
      </c>
      <c r="K454" s="38" t="n">
        <f aca="false">cx_awso*Sens!$K$369</f>
        <v>51.0621644404429</v>
      </c>
      <c r="L454" s="38" t="n">
        <f aca="false">cx_awso*Sens!$L$369</f>
        <v>55.1471375956783</v>
      </c>
      <c r="M454" s="38" t="n">
        <f aca="false">cx_awso*Sens!$M$369</f>
        <v>59.5589086033326</v>
      </c>
    </row>
    <row r="455" customFormat="false" ht="17.15" hidden="false" customHeight="false" outlineLevel="0" collapsed="false">
      <c r="A455" s="5" t="s">
        <v>737</v>
      </c>
      <c r="B455" s="0" t="s">
        <v>73</v>
      </c>
      <c r="C455" s="38" t="n">
        <f aca="false">Q!$D$46-Sens!$C$453-Sens!$C$454</f>
        <v>31.3328957636573</v>
      </c>
      <c r="D455" s="38" t="n">
        <f aca="false">Q!$E$46-Sens!$D$453-Sens!$D$454</f>
        <v>34.7471223867276</v>
      </c>
      <c r="E455" s="38" t="n">
        <f aca="false">Q!$P$46-Sens!$E$453-Sens!$E$454</f>
        <v>17.8583499466032</v>
      </c>
      <c r="F455" s="38" t="n">
        <f aca="false">cx_rt*Sens!$F$304</f>
        <v>21.0855744229195</v>
      </c>
      <c r="G455" s="38" t="n">
        <f aca="false">Sens!$E$455+Sens!$F$455</f>
        <v>38.9439243695228</v>
      </c>
      <c r="H455" s="38" t="n">
        <f aca="false">cx_rt*Sens!$H$304</f>
        <v>43.1200434029767</v>
      </c>
      <c r="I455" s="38" t="n">
        <f aca="false">cx_rt*Sens!$I$304</f>
        <v>47.1583152318763</v>
      </c>
      <c r="J455" s="38" t="n">
        <f aca="false">cx_rt*Sens!$J$304</f>
        <v>50.9060281137911</v>
      </c>
      <c r="K455" s="38" t="n">
        <f aca="false">cx_rt*Sens!$K$304</f>
        <v>54.2035645673053</v>
      </c>
      <c r="L455" s="38" t="n">
        <f aca="false">cx_rt*Sens!$L$304</f>
        <v>57.7318979121519</v>
      </c>
      <c r="M455" s="38" t="n">
        <f aca="false">cx_rt*Sens!$M$304</f>
        <v>61.5084196557756</v>
      </c>
    </row>
    <row r="456" customFormat="false" ht="15" hidden="false" customHeight="false" outlineLevel="0" collapsed="false">
      <c r="A456" s="3" t="s">
        <v>738</v>
      </c>
      <c r="B456" s="8" t="s">
        <v>73</v>
      </c>
      <c r="C456" s="38" t="n">
        <f aca="false">Q!$D$46</f>
        <v>77.658</v>
      </c>
      <c r="D456" s="38" t="n">
        <f aca="false">Q!$E$46</f>
        <v>128.32</v>
      </c>
      <c r="E456" s="38" t="n">
        <f aca="false">Q!$P$46</f>
        <v>96.31</v>
      </c>
      <c r="F456" s="38" t="n">
        <f aca="false">Sens!$F$453+Sens!$F$454+Sens!$F$455</f>
        <v>133.052706496153</v>
      </c>
      <c r="G456" s="38" t="n">
        <f aca="false">Sens!$E$456+Sens!$F$456</f>
        <v>229.362706496153</v>
      </c>
      <c r="H456" s="38" t="n">
        <f aca="false">Sens!$H$453+Sens!$H$454+Sens!$H$455</f>
        <v>277.870120501355</v>
      </c>
      <c r="I456" s="38" t="n">
        <f aca="false">Sens!$I$453+Sens!$I$454+Sens!$I$455</f>
        <v>293.934464585378</v>
      </c>
      <c r="J456" s="38" t="n">
        <f aca="false">Sens!$J$453+Sens!$J$454+Sens!$J$455</f>
        <v>308.06904811359</v>
      </c>
      <c r="K456" s="38" t="n">
        <f aca="false">Sens!$K$453+Sens!$K$454+Sens!$K$455</f>
        <v>320.385735318248</v>
      </c>
      <c r="L456" s="38" t="n">
        <f aca="false">Sens!$L$453+Sens!$L$454+Sens!$L$455</f>
        <v>364.65641921833</v>
      </c>
      <c r="M456" s="38" t="n">
        <f aca="false">Sens!$M$453+Sens!$M$454+Sens!$M$455</f>
        <v>432.943173024858</v>
      </c>
    </row>
    <row r="457" customFormat="false" ht="17.15" hidden="false" customHeight="false" outlineLevel="0" collapsed="false">
      <c r="A457" s="5" t="s">
        <v>523</v>
      </c>
      <c r="B457" s="0" t="s">
        <v>73</v>
      </c>
      <c r="C457" s="38" t="n">
        <f aca="false">Q!$D$50</f>
        <v>2.043</v>
      </c>
      <c r="D457" s="38" t="n">
        <f aca="false">Q!$E$50</f>
        <v>1.557</v>
      </c>
      <c r="E457" s="38" t="n">
        <f aca="false">lease_pr/2</f>
        <v>0.8</v>
      </c>
      <c r="F457" s="38" t="n">
        <f aca="false">lease_pr/2</f>
        <v>0.8</v>
      </c>
      <c r="G457" s="38" t="n">
        <f aca="false">Sens!$E$457+Sens!$F$457</f>
        <v>1.6</v>
      </c>
      <c r="H457" s="38" t="n">
        <f aca="false">lease_pr</f>
        <v>1.6</v>
      </c>
      <c r="I457" s="38" t="n">
        <f aca="false">lease_pr</f>
        <v>1.6</v>
      </c>
      <c r="J457" s="38" t="n">
        <f aca="false">lease_pr</f>
        <v>1.6</v>
      </c>
      <c r="K457" s="38" t="n">
        <f aca="false">lease_pr</f>
        <v>1.6</v>
      </c>
      <c r="L457" s="38" t="n">
        <f aca="false">lease_pr</f>
        <v>1.6</v>
      </c>
      <c r="M457" s="38" t="n">
        <f aca="false">lease_pr</f>
        <v>1.6</v>
      </c>
      <c r="P457" s="8" t="s">
        <v>739</v>
      </c>
    </row>
    <row r="458" customFormat="false" ht="15" hidden="false" customHeight="false" outlineLevel="0" collapsed="false">
      <c r="A458" s="46" t="s">
        <v>740</v>
      </c>
      <c r="B458" s="13" t="s">
        <v>73</v>
      </c>
      <c r="C458" s="47" t="n">
        <f aca="false">Sens!$C$452-Sens!$C$456-Sens!$C$457</f>
        <v>36.176</v>
      </c>
      <c r="D458" s="47" t="n">
        <f aca="false">Sens!$D$452-Sens!$D$456-Sens!$D$457</f>
        <v>9.63700000000002</v>
      </c>
      <c r="E458" s="47" t="n">
        <f aca="false">Sens!$E$452-Sens!$E$456-Sens!$E$457</f>
        <v>-25.691</v>
      </c>
      <c r="F458" s="47" t="n">
        <f aca="false">Sens!$F$452-Sens!$F$456-Sens!$F$457</f>
        <v>-36.4489845756801</v>
      </c>
      <c r="G458" s="47" t="n">
        <f aca="false">Sens!$G$452-Sens!$G$456-Sens!$G$457</f>
        <v>-62.1399845756801</v>
      </c>
      <c r="H458" s="47" t="n">
        <f aca="false">Sens!$H$452-Sens!$H$456-Sens!$H$457</f>
        <v>-52.5452733509461</v>
      </c>
      <c r="I458" s="47" t="n">
        <f aca="false">Sens!$I$452-Sens!$I$456-Sens!$I$457</f>
        <v>-16.1495103805229</v>
      </c>
      <c r="J458" s="47" t="n">
        <f aca="false">Sens!$J$452-Sens!$J$456-Sens!$J$457</f>
        <v>20.8984327200888</v>
      </c>
      <c r="K458" s="47" t="n">
        <f aca="false">Sens!$K$452-Sens!$K$456-Sens!$K$457</f>
        <v>56.6264157838005</v>
      </c>
      <c r="L458" s="47" t="n">
        <f aca="false">Sens!$L$452-Sens!$L$456-Sens!$L$457</f>
        <v>61.6400974519302</v>
      </c>
      <c r="M458" s="47" t="n">
        <f aca="false">Sens!$M$452-Sens!$M$456-Sens!$M$457</f>
        <v>44.717303706516</v>
      </c>
      <c r="N458" s="13"/>
      <c r="O458" s="13"/>
    </row>
    <row r="459" customFormat="false" ht="17.15" hidden="false" customHeight="false" outlineLevel="0" collapsed="false">
      <c r="A459" s="5" t="s">
        <v>741</v>
      </c>
      <c r="B459" s="0" t="s">
        <v>73</v>
      </c>
      <c r="C459" s="38" t="n">
        <f aca="false">dps*Sens!$C$440</f>
        <v>0</v>
      </c>
      <c r="D459" s="38" t="n">
        <f aca="false">dps*Sens!$D$440</f>
        <v>0</v>
      </c>
      <c r="E459" s="38" t="n">
        <f aca="false">dps*Sens!$E$440</f>
        <v>0</v>
      </c>
      <c r="F459" s="38" t="n">
        <f aca="false">0</f>
        <v>0</v>
      </c>
      <c r="G459" s="38" t="n">
        <f aca="false">dps*Sens!$G$440</f>
        <v>0</v>
      </c>
      <c r="H459" s="38" t="n">
        <f aca="false">dps*Sens!$H$440</f>
        <v>0</v>
      </c>
      <c r="I459" s="38" t="n">
        <f aca="false">dps*Sens!$I$440</f>
        <v>0</v>
      </c>
      <c r="J459" s="38" t="n">
        <f aca="false">dps*Sens!$J$440</f>
        <v>0</v>
      </c>
      <c r="K459" s="38" t="n">
        <f aca="false">dps*Sens!$K$440</f>
        <v>0</v>
      </c>
      <c r="L459" s="38" t="n">
        <f aca="false">dps*Sens!$L$440</f>
        <v>0</v>
      </c>
      <c r="M459" s="38" t="n">
        <f aca="false">dps*Sens!$M$440</f>
        <v>0</v>
      </c>
      <c r="P459" s="8" t="s">
        <v>742</v>
      </c>
    </row>
    <row r="460" customFormat="false" ht="17.15" hidden="false" customHeight="false" outlineLevel="0" collapsed="false">
      <c r="A460" s="5" t="s">
        <v>743</v>
      </c>
      <c r="B460" s="0" t="s">
        <v>73</v>
      </c>
      <c r="C460" s="38" t="n">
        <f aca="false">0</f>
        <v>0</v>
      </c>
      <c r="D460" s="38" t="n">
        <f aca="false">0</f>
        <v>0</v>
      </c>
      <c r="E460" s="38" t="n">
        <f aca="false">0</f>
        <v>0</v>
      </c>
      <c r="F460" s="38" t="n">
        <f aca="false">0</f>
        <v>0</v>
      </c>
      <c r="G460" s="38" t="n">
        <f aca="false">0</f>
        <v>0</v>
      </c>
      <c r="H460" s="38" t="n">
        <f aca="false">0</f>
        <v>0</v>
      </c>
      <c r="I460" s="38" t="n">
        <f aca="false">0</f>
        <v>0</v>
      </c>
      <c r="J460" s="38" t="n">
        <f aca="false">0</f>
        <v>0</v>
      </c>
      <c r="K460" s="38" t="n">
        <f aca="false">0</f>
        <v>0</v>
      </c>
      <c r="L460" s="38" t="n">
        <f aca="false">0</f>
        <v>0</v>
      </c>
      <c r="M460" s="38" t="n">
        <f aca="false">0</f>
        <v>0</v>
      </c>
      <c r="P460" s="8" t="s">
        <v>744</v>
      </c>
    </row>
    <row r="461" customFormat="false" ht="15" hidden="false" customHeight="false" outlineLevel="0" collapsed="false">
      <c r="A461" s="3" t="s">
        <v>745</v>
      </c>
      <c r="B461" s="8" t="s">
        <v>73</v>
      </c>
      <c r="C461" s="38" t="n">
        <f aca="false">Sens!$C$458-Sens!$C$459</f>
        <v>36.176</v>
      </c>
      <c r="D461" s="38" t="n">
        <f aca="false">Sens!$D$458-Sens!$D$459</f>
        <v>9.63700000000002</v>
      </c>
      <c r="E461" s="38" t="n">
        <f aca="false">Sens!$E$458-Sens!$E$459</f>
        <v>-25.691</v>
      </c>
      <c r="F461" s="38" t="n">
        <f aca="false">Sens!$F$458-Sens!$F$459</f>
        <v>-36.4489845756801</v>
      </c>
      <c r="G461" s="38" t="n">
        <f aca="false">Sens!$G$458-Sens!$G$459</f>
        <v>-62.1399845756801</v>
      </c>
      <c r="H461" s="38" t="n">
        <f aca="false">Sens!$H$458-Sens!$H$459</f>
        <v>-52.5452733509461</v>
      </c>
      <c r="I461" s="38" t="n">
        <f aca="false">Sens!$I$458-Sens!$I$459</f>
        <v>-16.1495103805229</v>
      </c>
      <c r="J461" s="38" t="n">
        <f aca="false">Sens!$J$458-Sens!$J$459</f>
        <v>20.8984327200888</v>
      </c>
      <c r="K461" s="38" t="n">
        <f aca="false">Sens!$K$458-Sens!$K$459</f>
        <v>56.6264157838005</v>
      </c>
      <c r="L461" s="38" t="n">
        <f aca="false">Sens!$L$458-Sens!$L$459</f>
        <v>61.6400974519302</v>
      </c>
      <c r="M461" s="38" t="n">
        <f aca="false">Sens!$M$458-Sens!$M$459</f>
        <v>44.717303706516</v>
      </c>
    </row>
    <row r="462" customFormat="false" ht="17.15" hidden="false" customHeight="false" outlineLevel="0" collapsed="false">
      <c r="A462" s="5" t="s">
        <v>746</v>
      </c>
      <c r="B462" s="0" t="s">
        <v>73</v>
      </c>
      <c r="E462" s="38" t="n">
        <f aca="false">Q!$P$53</f>
        <v>39.767</v>
      </c>
      <c r="F462" s="38" t="n">
        <f aca="false">inv_2h26</f>
        <v>21.3</v>
      </c>
      <c r="G462" s="38" t="n">
        <f aca="false">Sens!$E$462+Sens!$F$462</f>
        <v>61.067</v>
      </c>
      <c r="H462" s="41" t="n">
        <v>0</v>
      </c>
      <c r="I462" s="41" t="n">
        <v>0</v>
      </c>
      <c r="J462" s="41" t="n">
        <v>0</v>
      </c>
      <c r="K462" s="41" t="n">
        <v>0</v>
      </c>
      <c r="L462" s="41" t="n">
        <v>0</v>
      </c>
      <c r="M462" s="41" t="n">
        <v>0</v>
      </c>
    </row>
    <row r="463" customFormat="false" ht="17.15" hidden="false" customHeight="false" outlineLevel="0" collapsed="false">
      <c r="A463" s="5" t="s">
        <v>747</v>
      </c>
      <c r="B463" s="0" t="s">
        <v>73</v>
      </c>
      <c r="F463" s="38" t="n">
        <f aca="false">iss_2h26</f>
        <v>29.25</v>
      </c>
      <c r="G463" s="38" t="n">
        <f aca="false">Sens!$F$463</f>
        <v>29.25</v>
      </c>
      <c r="H463" s="41" t="n">
        <v>0</v>
      </c>
      <c r="I463" s="41" t="n">
        <v>0</v>
      </c>
      <c r="J463" s="41" t="n">
        <v>0</v>
      </c>
      <c r="K463" s="41" t="n">
        <v>0</v>
      </c>
      <c r="L463" s="41" t="n">
        <v>0</v>
      </c>
      <c r="M463" s="41" t="n">
        <v>0</v>
      </c>
    </row>
    <row r="464" customFormat="false" ht="17.15" hidden="false" customHeight="false" outlineLevel="0" collapsed="false">
      <c r="A464" s="5" t="s">
        <v>748</v>
      </c>
      <c r="B464" s="0" t="s">
        <v>73</v>
      </c>
      <c r="F464" s="38" t="n">
        <f aca="false">cash_q2</f>
        <v>122.988</v>
      </c>
      <c r="G464" s="38" t="n">
        <f aca="false">cash_q2</f>
        <v>122.988</v>
      </c>
      <c r="H464" s="38" t="n">
        <f aca="false">Sens!$G$467</f>
        <v>94.4890154243199</v>
      </c>
      <c r="I464" s="38" t="n">
        <f aca="false">Sens!$H$467</f>
        <v>50</v>
      </c>
      <c r="J464" s="38" t="n">
        <f aca="false">Sens!$I$467</f>
        <v>50</v>
      </c>
      <c r="K464" s="38" t="n">
        <f aca="false">Sens!$J$467</f>
        <v>70.8984327200888</v>
      </c>
      <c r="L464" s="38" t="n">
        <f aca="false">Sens!$K$467</f>
        <v>127.524848503889</v>
      </c>
      <c r="M464" s="38" t="n">
        <f aca="false">Sens!$L$467</f>
        <v>189.16494595582</v>
      </c>
    </row>
    <row r="465" customFormat="false" ht="15" hidden="false" customHeight="false" outlineLevel="0" collapsed="false">
      <c r="A465" s="5" t="s">
        <v>749</v>
      </c>
      <c r="B465" s="0" t="s">
        <v>73</v>
      </c>
      <c r="F465" s="38" t="n">
        <f aca="false">Sens!$F$464+Sens!$F$461-Sens!$F$460-Sens!$F$462+Sens!$F$463</f>
        <v>94.4890154243199</v>
      </c>
      <c r="H465" s="38" t="n">
        <f aca="false">Sens!$H$464+Sens!$H$461-Sens!$H$460-Sens!$H$462+Sens!$H$463</f>
        <v>41.9437420733738</v>
      </c>
      <c r="I465" s="38" t="n">
        <f aca="false">Sens!$I$464+Sens!$I$461-Sens!$I$460-Sens!$I$462+Sens!$I$463</f>
        <v>33.8504896194771</v>
      </c>
      <c r="J465" s="38" t="n">
        <f aca="false">Sens!$J$464+Sens!$J$461-Sens!$J$460-Sens!$J$462+Sens!$J$463</f>
        <v>70.8984327200888</v>
      </c>
      <c r="K465" s="38" t="n">
        <f aca="false">Sens!$K$464+Sens!$K$461-Sens!$K$460-Sens!$K$462+Sens!$K$463</f>
        <v>127.524848503889</v>
      </c>
      <c r="L465" s="38" t="n">
        <f aca="false">Sens!$L$464+Sens!$L$461-Sens!$L$460-Sens!$L$462+Sens!$L$463</f>
        <v>189.16494595582</v>
      </c>
      <c r="M465" s="38" t="n">
        <f aca="false">Sens!$M$464+Sens!$M$461-Sens!$M$460-Sens!$M$462+Sens!$M$463</f>
        <v>233.882249662336</v>
      </c>
    </row>
    <row r="466" customFormat="false" ht="17.15" hidden="false" customHeight="false" outlineLevel="0" collapsed="false">
      <c r="A466" s="5" t="s">
        <v>750</v>
      </c>
      <c r="B466" s="0" t="s">
        <v>73</v>
      </c>
      <c r="F466" s="38" t="n">
        <f aca="false">MAX(0,min_cash-Sens!$F$465)</f>
        <v>0</v>
      </c>
      <c r="G466" s="38" t="n">
        <f aca="false">Sens!$F$466</f>
        <v>0</v>
      </c>
      <c r="H466" s="38" t="n">
        <f aca="false">MAX(0,min_cash-Sens!$H$465)</f>
        <v>8.0562579266262</v>
      </c>
      <c r="I466" s="38" t="n">
        <f aca="false">MAX(0,min_cash-Sens!$I$465)</f>
        <v>16.1495103805229</v>
      </c>
      <c r="J466" s="38" t="n">
        <f aca="false">MAX(0,min_cash-Sens!$J$465)</f>
        <v>0</v>
      </c>
      <c r="K466" s="38" t="n">
        <f aca="false">MAX(0,min_cash-Sens!$K$465)</f>
        <v>0</v>
      </c>
      <c r="L466" s="38" t="n">
        <f aca="false">MAX(0,min_cash-Sens!$L$465)</f>
        <v>0</v>
      </c>
      <c r="M466" s="38" t="n">
        <f aca="false">MAX(0,min_cash-Sens!$M$465)</f>
        <v>0</v>
      </c>
      <c r="P466" s="5" t="s">
        <v>751</v>
      </c>
    </row>
    <row r="467" customFormat="false" ht="15" hidden="false" customHeight="false" outlineLevel="0" collapsed="false">
      <c r="A467" s="5" t="s">
        <v>752</v>
      </c>
      <c r="B467" s="0" t="s">
        <v>73</v>
      </c>
      <c r="D467" s="38" t="n">
        <f aca="false">Q!$E$61</f>
        <v>123.029</v>
      </c>
      <c r="E467" s="38" t="n">
        <f aca="false">Q!$M$61</f>
        <v>122.988</v>
      </c>
      <c r="F467" s="38" t="n">
        <f aca="false">Sens!$F$465+Sens!$F$466</f>
        <v>94.4890154243199</v>
      </c>
      <c r="G467" s="38" t="n">
        <f aca="false">Sens!$F$467</f>
        <v>94.4890154243199</v>
      </c>
      <c r="H467" s="38" t="n">
        <f aca="false">Sens!$H$465+Sens!$H$466</f>
        <v>50</v>
      </c>
      <c r="I467" s="38" t="n">
        <f aca="false">Sens!$I$465+Sens!$I$466</f>
        <v>50</v>
      </c>
      <c r="J467" s="38" t="n">
        <f aca="false">Sens!$J$465+Sens!$J$466</f>
        <v>70.8984327200888</v>
      </c>
      <c r="K467" s="38" t="n">
        <f aca="false">Sens!$K$465+Sens!$K$466</f>
        <v>127.524848503889</v>
      </c>
      <c r="L467" s="38" t="n">
        <f aca="false">Sens!$L$465+Sens!$L$466</f>
        <v>189.16494595582</v>
      </c>
      <c r="M467" s="38" t="n">
        <f aca="false">Sens!$M$465+Sens!$M$466</f>
        <v>233.882249662336</v>
      </c>
    </row>
    <row r="468" customFormat="false" ht="15" hidden="false" customHeight="false" outlineLevel="0" collapsed="false">
      <c r="A468" s="5" t="s">
        <v>753</v>
      </c>
      <c r="B468" s="0" t="s">
        <v>73</v>
      </c>
      <c r="D468" s="38" t="n">
        <f aca="false">Q!$E$62</f>
        <v>68.836</v>
      </c>
      <c r="E468" s="38" t="n">
        <f aca="false">Q!$M$62</f>
        <v>132.995</v>
      </c>
      <c r="F468" s="38" t="n">
        <f aca="false">debt_q2+Sens!$F$463+Sens!$F$466</f>
        <v>162.245</v>
      </c>
      <c r="G468" s="38" t="n">
        <f aca="false">Sens!$F$468</f>
        <v>162.245</v>
      </c>
      <c r="H468" s="38" t="n">
        <f aca="false">Sens!$G$468+Sens!$H$466</f>
        <v>170.301257926626</v>
      </c>
      <c r="I468" s="38" t="n">
        <f aca="false">Sens!$H$468+Sens!$I$466</f>
        <v>186.450768307149</v>
      </c>
      <c r="J468" s="38" t="n">
        <f aca="false">Sens!$I$468+Sens!$J$466</f>
        <v>186.450768307149</v>
      </c>
      <c r="K468" s="38" t="n">
        <f aca="false">Sens!$J$468+Sens!$K$466</f>
        <v>186.450768307149</v>
      </c>
      <c r="L468" s="38" t="n">
        <f aca="false">Sens!$K$468+Sens!$L$466</f>
        <v>186.450768307149</v>
      </c>
      <c r="M468" s="38" t="n">
        <f aca="false">Sens!$L$468+Sens!$M$466</f>
        <v>186.450768307149</v>
      </c>
    </row>
    <row r="469" customFormat="false" ht="15" hidden="false" customHeight="false" outlineLevel="0" collapsed="false">
      <c r="A469" s="5" t="s">
        <v>754</v>
      </c>
      <c r="B469" s="0" t="s">
        <v>73</v>
      </c>
      <c r="D469" s="38" t="n">
        <f aca="false">Sens!$D$468-Sens!$D$467</f>
        <v>-54.193</v>
      </c>
      <c r="E469" s="38" t="n">
        <f aca="false">Sens!$E$468-Sens!$E$467</f>
        <v>10.007</v>
      </c>
      <c r="F469" s="38" t="n">
        <f aca="false">Sens!$F$468-Sens!$F$467</f>
        <v>67.7559845756801</v>
      </c>
      <c r="G469" s="38" t="n">
        <f aca="false">Sens!$G$468-Sens!$G$467</f>
        <v>67.7559845756801</v>
      </c>
      <c r="H469" s="38" t="n">
        <f aca="false">Sens!$H$468-Sens!$H$467</f>
        <v>120.301257926626</v>
      </c>
      <c r="I469" s="38" t="n">
        <f aca="false">Sens!$I$468-Sens!$I$467</f>
        <v>136.450768307149</v>
      </c>
      <c r="J469" s="38" t="n">
        <f aca="false">Sens!$J$468-Sens!$J$467</f>
        <v>115.55233558706</v>
      </c>
      <c r="K469" s="38" t="n">
        <f aca="false">Sens!$K$468-Sens!$K$467</f>
        <v>58.9259198032598</v>
      </c>
      <c r="L469" s="38" t="n">
        <f aca="false">Sens!$L$468-Sens!$L$467</f>
        <v>-2.71417764867039</v>
      </c>
      <c r="M469" s="38" t="n">
        <f aca="false">Sens!$M$468-Sens!$M$467</f>
        <v>-47.4314813551864</v>
      </c>
    </row>
    <row r="470" customFormat="false" ht="17.15" hidden="false" customHeight="false" outlineLevel="0" collapsed="false">
      <c r="A470" s="5" t="s">
        <v>755</v>
      </c>
      <c r="B470" s="0" t="s">
        <v>73</v>
      </c>
      <c r="F470" s="38" t="n">
        <f aca="false">debt_q2*kd_book*0.5+iss_2h26*kd_new*0.25</f>
        <v>3.24888964316061</v>
      </c>
      <c r="H470" s="38" t="n">
        <f aca="false">debt_q2*kd_book+(Sens!$G$468-debt_q2)*kd_new</f>
        <v>7.42354178632123</v>
      </c>
      <c r="I470" s="38" t="n">
        <f aca="false">debt_q2*kd_book+(Sens!$H$468-debt_q2)*kd_new</f>
        <v>7.93350291307667</v>
      </c>
      <c r="J470" s="38" t="n">
        <f aca="false">debt_q2*kd_book+(Sens!$I$468-debt_q2)*kd_new</f>
        <v>8.95576692016377</v>
      </c>
      <c r="K470" s="38" t="n">
        <f aca="false">debt_q2*kd_book+(Sens!$J$468-debt_q2)*kd_new</f>
        <v>8.95576692016377</v>
      </c>
      <c r="L470" s="38" t="n">
        <f aca="false">debt_q2*kd_book+(Sens!$K$468-debt_q2)*kd_new</f>
        <v>8.95576692016377</v>
      </c>
      <c r="M470" s="38" t="n">
        <f aca="false">debt_q2*kd_book+(Sens!$L$468-debt_q2)*kd_new</f>
        <v>8.95576692016377</v>
      </c>
    </row>
    <row r="471" customFormat="false" ht="17.15" hidden="false" customHeight="false" outlineLevel="0" collapsed="false">
      <c r="A471" s="5" t="s">
        <v>756</v>
      </c>
      <c r="B471" s="0" t="s">
        <v>73</v>
      </c>
      <c r="F471" s="38" t="n">
        <f aca="false">cash_q2*y_cash*0.5</f>
        <v>2.59</v>
      </c>
      <c r="H471" s="38" t="n">
        <f aca="false">Sens!$G$467*y_cash</f>
        <v>3.97968175674031</v>
      </c>
      <c r="I471" s="38" t="n">
        <f aca="false">Sens!$H$467*y_cash</f>
        <v>2.10589651022864</v>
      </c>
      <c r="J471" s="38" t="n">
        <f aca="false">Sens!$I$467*y_cash</f>
        <v>2.10589651022864</v>
      </c>
      <c r="K471" s="38" t="n">
        <f aca="false">Sens!$J$467*y_cash</f>
        <v>2.9860952409183</v>
      </c>
      <c r="L471" s="38" t="n">
        <f aca="false">Sens!$K$467*y_cash</f>
        <v>5.37108266863553</v>
      </c>
      <c r="M471" s="38" t="n">
        <f aca="false">Sens!$L$467*y_cash</f>
        <v>7.96723599091899</v>
      </c>
    </row>
    <row r="472" customFormat="false" ht="17.15" hidden="false" customHeight="false" outlineLevel="0" collapsed="false">
      <c r="A472" s="46" t="s">
        <v>757</v>
      </c>
      <c r="B472" s="13" t="s">
        <v>73</v>
      </c>
      <c r="C472" s="13"/>
      <c r="D472" s="13"/>
      <c r="E472" s="13"/>
      <c r="F472" s="13"/>
      <c r="G472" s="47" t="n">
        <f aca="false">SUM(Sens!$G$461:$K$461)</f>
        <v>-53.3099198032599</v>
      </c>
      <c r="H472" s="13"/>
      <c r="I472" s="13"/>
      <c r="J472" s="13"/>
      <c r="K472" s="13"/>
      <c r="L472" s="13"/>
      <c r="M472" s="13"/>
      <c r="N472" s="13"/>
      <c r="O472" s="13"/>
    </row>
    <row r="473" customFormat="false" ht="17.15" hidden="false" customHeight="false" outlineLevel="0" collapsed="false">
      <c r="A473" s="0" t="s">
        <v>724</v>
      </c>
      <c r="B473" s="0" t="s">
        <v>73</v>
      </c>
      <c r="G473" s="38" t="n">
        <f aca="false">SUM(Sens!$G$466:$K$466)</f>
        <v>24.2057683071491</v>
      </c>
    </row>
    <row r="476" customFormat="false" ht="19.4" hidden="false" customHeight="false" outlineLevel="0" collapsed="false">
      <c r="A476" s="31" t="s">
        <v>1054</v>
      </c>
    </row>
    <row r="477" customFormat="false" ht="17.15" hidden="false" customHeight="false" outlineLevel="0" collapsed="false">
      <c r="A477" s="6" t="s">
        <v>16</v>
      </c>
      <c r="B477" s="6" t="s">
        <v>17</v>
      </c>
      <c r="C477" s="20" t="s">
        <v>457</v>
      </c>
      <c r="D477" s="20" t="s">
        <v>458</v>
      </c>
      <c r="E477" s="20" t="s">
        <v>540</v>
      </c>
      <c r="F477" s="20" t="s">
        <v>541</v>
      </c>
      <c r="G477" s="20" t="s">
        <v>542</v>
      </c>
      <c r="H477" s="20" t="s">
        <v>543</v>
      </c>
      <c r="I477" s="20" t="s">
        <v>544</v>
      </c>
      <c r="J477" s="20" t="s">
        <v>545</v>
      </c>
      <c r="K477" s="20" t="s">
        <v>546</v>
      </c>
      <c r="L477" s="20" t="s">
        <v>547</v>
      </c>
      <c r="M477" s="20" t="s">
        <v>548</v>
      </c>
      <c r="N477" s="20" t="s">
        <v>549</v>
      </c>
      <c r="O477" s="20" t="s">
        <v>550</v>
      </c>
      <c r="P477" s="6" t="s">
        <v>23</v>
      </c>
      <c r="R477" s="20" t="n">
        <v>2023</v>
      </c>
      <c r="S477" s="20" t="n">
        <v>2024</v>
      </c>
      <c r="T477" s="20" t="n">
        <v>2025</v>
      </c>
      <c r="U477" s="20" t="n">
        <v>2026</v>
      </c>
      <c r="V477" s="20" t="n">
        <v>2027</v>
      </c>
      <c r="W477" s="20" t="n">
        <v>2028</v>
      </c>
      <c r="X477" s="20" t="n">
        <v>2029</v>
      </c>
      <c r="Y477" s="20" t="n">
        <v>2030</v>
      </c>
      <c r="Z477" s="20" t="n">
        <v>2031</v>
      </c>
      <c r="AA477" s="20" t="n">
        <v>2032</v>
      </c>
    </row>
    <row r="478" customFormat="false" ht="17.15" hidden="false" customHeight="false" outlineLevel="0" collapsed="false">
      <c r="A478" s="1" t="s">
        <v>852</v>
      </c>
    </row>
    <row r="479" customFormat="false" ht="17.15" hidden="false" customHeight="false" outlineLevel="0" collapsed="false">
      <c r="A479" s="0" t="s">
        <v>853</v>
      </c>
      <c r="B479" s="0" t="s">
        <v>73</v>
      </c>
      <c r="H479" s="38" t="n">
        <f aca="false">Sens!$H$415*(1-tax)</f>
        <v>106.520905488171</v>
      </c>
      <c r="I479" s="38" t="n">
        <f aca="false">Sens!$I$415*(1-tax)</f>
        <v>121.453886793494</v>
      </c>
      <c r="J479" s="38" t="n">
        <f aca="false">Sens!$J$415*(1-tax)</f>
        <v>134.07866433807</v>
      </c>
      <c r="K479" s="38" t="n">
        <f aca="false">Sens!$K$415*(1-tax)</f>
        <v>143.147315508041</v>
      </c>
      <c r="L479" s="38" t="n">
        <f aca="false">Sens!$L$415*(1-tax)</f>
        <v>153.669385418618</v>
      </c>
      <c r="M479" s="38" t="n">
        <f aca="false">Sens!$M$415*(1-tax)</f>
        <v>164.77237219864</v>
      </c>
    </row>
    <row r="480" customFormat="false" ht="15" hidden="false" customHeight="false" outlineLevel="0" collapsed="false">
      <c r="A480" s="5" t="s">
        <v>854</v>
      </c>
      <c r="B480" s="0" t="s">
        <v>73</v>
      </c>
      <c r="H480" s="38" t="n">
        <f aca="false">Sens!$H$427</f>
        <v>87.6845218193838</v>
      </c>
      <c r="I480" s="38" t="n">
        <f aca="false">Sens!$I$427</f>
        <v>122.294769708638</v>
      </c>
      <c r="J480" s="38" t="n">
        <f aca="false">Sens!$J$427</f>
        <v>157.133962573221</v>
      </c>
      <c r="K480" s="38" t="n">
        <f aca="false">Sens!$K$427</f>
        <v>191.350633353599</v>
      </c>
      <c r="L480" s="38" t="n">
        <f aca="false">Sens!$L$427</f>
        <v>223.909238335354</v>
      </c>
      <c r="M480" s="38" t="n">
        <f aca="false">Sens!$M$427</f>
        <v>257.576319867276</v>
      </c>
    </row>
    <row r="481" customFormat="false" ht="15" hidden="false" customHeight="false" outlineLevel="0" collapsed="false">
      <c r="A481" s="5" t="s">
        <v>855</v>
      </c>
      <c r="B481" s="0" t="s">
        <v>73</v>
      </c>
      <c r="H481" s="38" t="n">
        <f aca="false">Sens!$H$456</f>
        <v>277.870120501355</v>
      </c>
      <c r="I481" s="38" t="n">
        <f aca="false">Sens!$I$456</f>
        <v>293.934464585378</v>
      </c>
      <c r="J481" s="38" t="n">
        <f aca="false">Sens!$J$456</f>
        <v>308.06904811359</v>
      </c>
      <c r="K481" s="38" t="n">
        <f aca="false">Sens!$K$456</f>
        <v>320.385735318248</v>
      </c>
      <c r="L481" s="38" t="n">
        <f aca="false">Sens!$L$456</f>
        <v>364.65641921833</v>
      </c>
      <c r="M481" s="38" t="n">
        <f aca="false">Sens!$M$456</f>
        <v>432.943173024858</v>
      </c>
    </row>
    <row r="482" customFormat="false" ht="15" hidden="false" customHeight="false" outlineLevel="0" collapsed="false">
      <c r="A482" s="5" t="s">
        <v>856</v>
      </c>
      <c r="B482" s="0" t="s">
        <v>73</v>
      </c>
      <c r="H482" s="38" t="n">
        <f aca="false">Sens!$H$457</f>
        <v>1.6</v>
      </c>
      <c r="I482" s="38" t="n">
        <f aca="false">Sens!$I$457</f>
        <v>1.6</v>
      </c>
      <c r="J482" s="38" t="n">
        <f aca="false">Sens!$J$457</f>
        <v>1.6</v>
      </c>
      <c r="K482" s="38" t="n">
        <f aca="false">Sens!$K$457</f>
        <v>1.6</v>
      </c>
      <c r="L482" s="38" t="n">
        <f aca="false">Sens!$L$457</f>
        <v>1.6</v>
      </c>
      <c r="M482" s="38" t="n">
        <f aca="false">Sens!$M$457</f>
        <v>1.6</v>
      </c>
    </row>
    <row r="483" customFormat="false" ht="15" hidden="false" customHeight="false" outlineLevel="0" collapsed="false">
      <c r="A483" s="5" t="s">
        <v>857</v>
      </c>
      <c r="B483" s="0" t="s">
        <v>73</v>
      </c>
      <c r="H483" s="38" t="n">
        <f aca="false">Sens!$H$451</f>
        <v>11.5561515249225</v>
      </c>
      <c r="I483" s="38" t="n">
        <f aca="false">Sens!$I$451</f>
        <v>13.144014159148</v>
      </c>
      <c r="J483" s="38" t="n">
        <f aca="false">Sens!$J$451</f>
        <v>14.6267723922795</v>
      </c>
      <c r="K483" s="38" t="n">
        <f aca="false">Sens!$K$451</f>
        <v>15.93685433409</v>
      </c>
      <c r="L483" s="38" t="n">
        <f aca="false">Sens!$L$451</f>
        <v>17.3121689853437</v>
      </c>
      <c r="M483" s="38" t="n">
        <f aca="false">Sens!$M$451</f>
        <v>18.7575670426793</v>
      </c>
    </row>
    <row r="484" customFormat="false" ht="17.15" hidden="false" customHeight="false" outlineLevel="0" collapsed="false">
      <c r="A484" s="1" t="s">
        <v>858</v>
      </c>
      <c r="B484" s="8" t="s">
        <v>73</v>
      </c>
      <c r="H484" s="38" t="n">
        <f aca="false">Sens!$H$479+Sens!$H$480-Sens!$H$481-Sens!$H$482+Sens!$H$483</f>
        <v>-73.7085416688774</v>
      </c>
      <c r="I484" s="38" t="n">
        <f aca="false">Sens!$I$479+Sens!$I$480-Sens!$I$481-Sens!$I$482+Sens!$I$483</f>
        <v>-38.6417939240984</v>
      </c>
      <c r="J484" s="38" t="n">
        <f aca="false">Sens!$J$479+Sens!$J$480-Sens!$J$481-Sens!$J$482+Sens!$J$483</f>
        <v>-3.82964881002013</v>
      </c>
      <c r="K484" s="38" t="n">
        <f aca="false">Sens!$K$479+Sens!$K$480-Sens!$K$481-Sens!$K$482+Sens!$K$483</f>
        <v>28.4490678774821</v>
      </c>
      <c r="L484" s="38" t="n">
        <f aca="false">Sens!$L$479+Sens!$L$480-Sens!$L$481-Sens!$L$482+Sens!$L$483</f>
        <v>28.6343735209861</v>
      </c>
      <c r="M484" s="38" t="n">
        <f aca="false">Sens!$M$479+Sens!$M$480-Sens!$M$481-Sens!$M$482+Sens!$M$483</f>
        <v>6.56308608373724</v>
      </c>
    </row>
    <row r="485" customFormat="false" ht="15" hidden="false" customHeight="false" outlineLevel="0" collapsed="false">
      <c r="A485" s="5" t="s">
        <v>859</v>
      </c>
      <c r="B485" s="0" t="s">
        <v>57</v>
      </c>
      <c r="H485" s="51" t="n">
        <f aca="false">1/(1+wacc)^(2027-2026-0.5)</f>
        <v>0.942858177653364</v>
      </c>
      <c r="I485" s="51" t="n">
        <f aca="false">1/(1+wacc)^(2028-2026-0.5)</f>
        <v>0.838183517758688</v>
      </c>
      <c r="J485" s="51" t="n">
        <f aca="false">1/(1+wacc)^(2029-2026-0.5)</f>
        <v>0.745129677074952</v>
      </c>
      <c r="K485" s="51" t="n">
        <f aca="false">1/(1+wacc)^(2030-2026-0.5)</f>
        <v>0.662406530186232</v>
      </c>
      <c r="L485" s="51" t="n">
        <f aca="false">1/(1+wacc)^(2031-2026-0.5)</f>
        <v>0.588867179409399</v>
      </c>
      <c r="M485" s="51" t="n">
        <f aca="false">1/(1+wacc)^(2032-2026-0.5)</f>
        <v>0.52349205387225</v>
      </c>
    </row>
    <row r="486" customFormat="false" ht="15" hidden="false" customHeight="false" outlineLevel="0" collapsed="false">
      <c r="A486" s="5" t="s">
        <v>860</v>
      </c>
      <c r="B486" s="0" t="s">
        <v>73</v>
      </c>
      <c r="H486" s="38" t="n">
        <f aca="false">Sens!$H$484*Sens!$H$485</f>
        <v>-69.4967012754048</v>
      </c>
      <c r="I486" s="38" t="n">
        <f aca="false">Sens!$I$484*Sens!$I$485</f>
        <v>-32.3889147638071</v>
      </c>
      <c r="J486" s="38" t="n">
        <f aca="false">Sens!$J$484*Sens!$J$485</f>
        <v>-2.85358498112078</v>
      </c>
      <c r="K486" s="38" t="n">
        <f aca="false">Sens!$K$484*Sens!$K$485</f>
        <v>18.8448483397555</v>
      </c>
      <c r="L486" s="38" t="n">
        <f aca="false">Sens!$L$484*Sens!$L$485</f>
        <v>16.8618427694583</v>
      </c>
      <c r="M486" s="38" t="n">
        <f aca="false">Sens!$M$484*Sens!$M$485</f>
        <v>3.43572341371599</v>
      </c>
    </row>
    <row r="487" customFormat="false" ht="15" hidden="false" customHeight="false" outlineLevel="0" collapsed="false">
      <c r="A487" s="5" t="s">
        <v>861</v>
      </c>
      <c r="B487" s="0" t="s">
        <v>73</v>
      </c>
      <c r="C487" s="38" t="n">
        <f aca="false">SUM(Sens!$H$486:$M$486)</f>
        <v>-65.5967864974029</v>
      </c>
    </row>
    <row r="488" customFormat="false" ht="17.15" hidden="false" customHeight="false" outlineLevel="0" collapsed="false">
      <c r="A488" s="5" t="s">
        <v>862</v>
      </c>
      <c r="B488" s="0" t="s">
        <v>73</v>
      </c>
      <c r="C488" s="38" t="n">
        <f aca="false">Sens!$M$479*(1+tg)*(1-tg/ronic)/(wacc-tg)</f>
        <v>1358.99912451402</v>
      </c>
    </row>
    <row r="489" customFormat="false" ht="15" hidden="false" customHeight="false" outlineLevel="0" collapsed="false">
      <c r="A489" s="5" t="s">
        <v>863</v>
      </c>
      <c r="B489" s="0" t="s">
        <v>73</v>
      </c>
      <c r="C489" s="38" t="n">
        <f aca="false">Sens!$C$488/(1+wacc)^6</f>
        <v>670.77310805959</v>
      </c>
    </row>
    <row r="490" customFormat="false" ht="17.15" hidden="false" customHeight="false" outlineLevel="0" collapsed="false">
      <c r="A490" s="5" t="s">
        <v>864</v>
      </c>
      <c r="B490" s="0" t="s">
        <v>73</v>
      </c>
      <c r="C490" s="38" t="n">
        <f aca="false">Sens!$C$487+Sens!$C$489</f>
        <v>605.176321562187</v>
      </c>
    </row>
    <row r="491" customFormat="false" ht="17.15" hidden="false" customHeight="false" outlineLevel="0" collapsed="false">
      <c r="A491" s="5" t="s">
        <v>865</v>
      </c>
      <c r="B491" s="0" t="s">
        <v>52</v>
      </c>
      <c r="C491" s="12" t="n">
        <f aca="false">Sens!$C$489/Sens!$C$490</f>
        <v>1.10839285041436</v>
      </c>
    </row>
    <row r="492" customFormat="false" ht="17.15" hidden="false" customHeight="false" outlineLevel="0" collapsed="false">
      <c r="A492" s="5" t="s">
        <v>866</v>
      </c>
      <c r="B492" s="0" t="s">
        <v>73</v>
      </c>
      <c r="C492" s="38" t="n">
        <f aca="false">Sens!$G$469</f>
        <v>67.7559845756801</v>
      </c>
    </row>
    <row r="493" customFormat="false" ht="17.15" hidden="false" customHeight="false" outlineLevel="0" collapsed="false">
      <c r="A493" s="5" t="s">
        <v>867</v>
      </c>
      <c r="B493" s="0" t="s">
        <v>73</v>
      </c>
      <c r="C493" s="38" t="n">
        <f aca="false">(ant_val*ant_sh+oai_val*oai_sh)*(1-liq_disc)</f>
        <v>178.944</v>
      </c>
    </row>
    <row r="494" customFormat="false" ht="15" hidden="false" customHeight="false" outlineLevel="0" collapsed="false">
      <c r="A494" s="5" t="s">
        <v>868</v>
      </c>
      <c r="B494" s="0" t="s">
        <v>73</v>
      </c>
      <c r="C494" s="38" t="n">
        <f aca="false">Sens!$C$490-Sens!$C$492+Sens!$C$493</f>
        <v>716.364336986507</v>
      </c>
    </row>
    <row r="495" customFormat="false" ht="17.15" hidden="false" customHeight="false" outlineLevel="0" collapsed="false">
      <c r="A495" s="5" t="s">
        <v>869</v>
      </c>
      <c r="B495" s="0" t="s">
        <v>27</v>
      </c>
      <c r="C495" s="30" t="n">
        <f aca="false">Sens!$C$494/sh_val</f>
        <v>64.9450538748495</v>
      </c>
    </row>
    <row r="496" customFormat="false" ht="17.15" hidden="false" customHeight="false" outlineLevel="0" collapsed="false">
      <c r="A496" s="1" t="s">
        <v>870</v>
      </c>
      <c r="B496" s="8" t="s">
        <v>27</v>
      </c>
      <c r="C496" s="30" t="n">
        <f aca="false">Sens!$C$495*(1+ke)^tp_yf</f>
        <v>71.728234858627</v>
      </c>
    </row>
    <row r="497" customFormat="false" ht="17.15" hidden="false" customHeight="false" outlineLevel="0" collapsed="false">
      <c r="A497" s="3" t="s">
        <v>871</v>
      </c>
    </row>
    <row r="498" customFormat="false" ht="17.15" hidden="false" customHeight="false" outlineLevel="0" collapsed="false">
      <c r="A498" s="5" t="s">
        <v>872</v>
      </c>
      <c r="B498" s="0" t="s">
        <v>73</v>
      </c>
      <c r="C498" s="38" t="n">
        <f aca="false">0.25*Sens!$H$428+0.75*Sens!$I$428</f>
        <v>57.5541093268329</v>
      </c>
    </row>
    <row r="499" customFormat="false" ht="15" hidden="false" customHeight="false" outlineLevel="0" collapsed="false">
      <c r="A499" s="5" t="s">
        <v>873</v>
      </c>
      <c r="B499" s="0" t="s">
        <v>57</v>
      </c>
      <c r="C499" s="30" t="n">
        <f aca="false">m_ads*m_x</f>
        <v>9.11</v>
      </c>
    </row>
    <row r="500" customFormat="false" ht="17.15" hidden="false" customHeight="false" outlineLevel="0" collapsed="false">
      <c r="A500" s="5" t="s">
        <v>874</v>
      </c>
      <c r="B500" s="0" t="s">
        <v>73</v>
      </c>
      <c r="C500" s="38" t="n">
        <f aca="false">Sens!$C$498*Sens!$C$499</f>
        <v>524.317935967448</v>
      </c>
    </row>
    <row r="501" customFormat="false" ht="17.15" hidden="false" customHeight="false" outlineLevel="0" collapsed="false">
      <c r="A501" s="5" t="s">
        <v>875</v>
      </c>
      <c r="B501" s="0" t="s">
        <v>73</v>
      </c>
      <c r="C501" s="38" t="n">
        <f aca="false">0.25*Sens!$H$429+0.75*Sens!$I$429</f>
        <v>30.6290803533085</v>
      </c>
    </row>
    <row r="502" customFormat="false" ht="15" hidden="false" customHeight="false" outlineLevel="0" collapsed="false">
      <c r="A502" s="5" t="s">
        <v>876</v>
      </c>
      <c r="B502" s="0" t="s">
        <v>57</v>
      </c>
      <c r="C502" s="30" t="n">
        <f aca="false">m_retail*m_x</f>
        <v>17.72</v>
      </c>
    </row>
    <row r="503" customFormat="false" ht="17.15" hidden="false" customHeight="false" outlineLevel="0" collapsed="false">
      <c r="A503" s="5" t="s">
        <v>877</v>
      </c>
      <c r="B503" s="0" t="s">
        <v>73</v>
      </c>
      <c r="C503" s="38" t="n">
        <f aca="false">Sens!$C$501*Sens!$C$502</f>
        <v>542.747303860627</v>
      </c>
    </row>
    <row r="504" customFormat="false" ht="17.15" hidden="false" customHeight="false" outlineLevel="0" collapsed="false">
      <c r="A504" s="0" t="s">
        <v>878</v>
      </c>
      <c r="B504" s="0" t="s">
        <v>73</v>
      </c>
      <c r="C504" s="38" t="n">
        <f aca="false">0.25*Sens!$H$430+0.75*Sens!$I$430</f>
        <v>107.575398943098</v>
      </c>
    </row>
    <row r="505" customFormat="false" ht="17.15" hidden="false" customHeight="false" outlineLevel="0" collapsed="false">
      <c r="A505" s="0" t="s">
        <v>879</v>
      </c>
      <c r="B505" s="0" t="s">
        <v>57</v>
      </c>
      <c r="C505" s="30" t="n">
        <f aca="false">m_cloud*m_x</f>
        <v>13.82</v>
      </c>
    </row>
    <row r="506" customFormat="false" ht="17.15" hidden="false" customHeight="false" outlineLevel="0" collapsed="false">
      <c r="A506" s="0" t="s">
        <v>880</v>
      </c>
      <c r="B506" s="0" t="s">
        <v>73</v>
      </c>
      <c r="C506" s="38" t="n">
        <f aca="false">Sens!$C$504*Sens!$C$505</f>
        <v>1486.69201339361</v>
      </c>
    </row>
    <row r="507" customFormat="false" ht="17.15" hidden="false" customHeight="false" outlineLevel="0" collapsed="false">
      <c r="A507" s="0" t="s">
        <v>881</v>
      </c>
      <c r="B507" s="0" t="s">
        <v>73</v>
      </c>
      <c r="C507" s="38" t="n">
        <f aca="false">0.25*Sens!$H$431+0.75*Sens!$I$431</f>
        <v>60.3309053259604</v>
      </c>
    </row>
    <row r="508" customFormat="false" ht="17.15" hidden="false" customHeight="false" outlineLevel="0" collapsed="false">
      <c r="A508" s="0" t="s">
        <v>882</v>
      </c>
      <c r="B508" s="0" t="s">
        <v>57</v>
      </c>
      <c r="C508" s="30" t="n">
        <f aca="false">m_ai</f>
        <v>6</v>
      </c>
    </row>
    <row r="509" customFormat="false" ht="17.15" hidden="false" customHeight="false" outlineLevel="0" collapsed="false">
      <c r="A509" s="0" t="s">
        <v>883</v>
      </c>
      <c r="B509" s="0" t="s">
        <v>73</v>
      </c>
      <c r="C509" s="38" t="n">
        <f aca="false">Sens!$C$507*Sens!$C$508</f>
        <v>361.985431955762</v>
      </c>
    </row>
    <row r="510" customFormat="false" ht="17.15" hidden="false" customHeight="false" outlineLevel="0" collapsed="false">
      <c r="A510" s="5" t="s">
        <v>884</v>
      </c>
      <c r="B510" s="0" t="s">
        <v>73</v>
      </c>
      <c r="C510" s="38" t="n">
        <f aca="false">Sens!$C$500+Sens!$C$503+Sens!$C$506+Sens!$C$509</f>
        <v>2915.74268517745</v>
      </c>
    </row>
    <row r="511" customFormat="false" ht="17.15" hidden="false" customHeight="false" outlineLevel="0" collapsed="false">
      <c r="A511" s="5" t="s">
        <v>885</v>
      </c>
      <c r="B511" s="0" t="s">
        <v>73</v>
      </c>
      <c r="C511" s="38" t="n">
        <f aca="false">Sens!$H$469</f>
        <v>120.301257926626</v>
      </c>
    </row>
    <row r="512" customFormat="false" ht="15" hidden="false" customHeight="false" outlineLevel="0" collapsed="false">
      <c r="A512" s="5" t="s">
        <v>886</v>
      </c>
      <c r="B512" s="0" t="s">
        <v>73</v>
      </c>
      <c r="C512" s="38" t="n">
        <f aca="false">Sens!$C$510-Sens!$C$511+Sens!$C$493</f>
        <v>2974.38542725082</v>
      </c>
    </row>
    <row r="513" customFormat="false" ht="15" hidden="false" customHeight="false" outlineLevel="0" collapsed="false">
      <c r="A513" s="3" t="s">
        <v>887</v>
      </c>
      <c r="B513" s="8" t="s">
        <v>27</v>
      </c>
      <c r="C513" s="30" t="n">
        <f aca="false">Sens!$C$512/sh_val</f>
        <v>269.655553527381</v>
      </c>
    </row>
    <row r="514" customFormat="false" ht="17.15" hidden="false" customHeight="false" outlineLevel="0" collapsed="false">
      <c r="A514" s="46" t="s">
        <v>888</v>
      </c>
      <c r="B514" s="13" t="s">
        <v>27</v>
      </c>
      <c r="C514" s="43" t="n">
        <f aca="false">w_dcf*Sens!$C$496+(1-w_dcf)*Sens!$C$513</f>
        <v>170.691894193004</v>
      </c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</row>
    <row r="515" customFormat="false" ht="17.15" hidden="false" customHeight="false" outlineLevel="0" collapsed="false">
      <c r="A515" s="5" t="s">
        <v>889</v>
      </c>
      <c r="B515" s="0" t="s">
        <v>27</v>
      </c>
      <c r="C515" s="30" t="n">
        <f aca="false">0.45*Sens!$C$496+0.55*Sens!$C$513</f>
        <v>180.588260126442</v>
      </c>
    </row>
    <row r="518" customFormat="false" ht="19.4" hidden="false" customHeight="false" outlineLevel="0" collapsed="false">
      <c r="A518" s="31" t="s">
        <v>1055</v>
      </c>
    </row>
    <row r="519" customFormat="false" ht="17.15" hidden="false" customHeight="false" outlineLevel="0" collapsed="false">
      <c r="A519" s="6" t="s">
        <v>16</v>
      </c>
      <c r="B519" s="6" t="s">
        <v>17</v>
      </c>
      <c r="C519" s="20" t="s">
        <v>457</v>
      </c>
      <c r="D519" s="20" t="s">
        <v>458</v>
      </c>
      <c r="E519" s="20" t="s">
        <v>540</v>
      </c>
      <c r="F519" s="20" t="s">
        <v>541</v>
      </c>
      <c r="G519" s="20" t="s">
        <v>542</v>
      </c>
      <c r="H519" s="20" t="s">
        <v>543</v>
      </c>
      <c r="I519" s="20" t="s">
        <v>544</v>
      </c>
      <c r="J519" s="20" t="s">
        <v>545</v>
      </c>
      <c r="K519" s="20" t="s">
        <v>546</v>
      </c>
      <c r="L519" s="20" t="s">
        <v>547</v>
      </c>
      <c r="M519" s="20" t="s">
        <v>548</v>
      </c>
      <c r="N519" s="20" t="s">
        <v>549</v>
      </c>
      <c r="O519" s="20" t="s">
        <v>550</v>
      </c>
      <c r="P519" s="6" t="s">
        <v>23</v>
      </c>
      <c r="R519" s="20" t="n">
        <v>2023</v>
      </c>
      <c r="S519" s="20" t="n">
        <v>2024</v>
      </c>
      <c r="T519" s="20" t="n">
        <v>2025</v>
      </c>
      <c r="U519" s="20" t="n">
        <v>2026</v>
      </c>
      <c r="V519" s="20" t="n">
        <v>2027</v>
      </c>
      <c r="W519" s="20" t="n">
        <v>2028</v>
      </c>
      <c r="X519" s="20" t="n">
        <v>2029</v>
      </c>
      <c r="Y519" s="20" t="n">
        <v>2030</v>
      </c>
      <c r="Z519" s="20" t="n">
        <v>2031</v>
      </c>
      <c r="AA519" s="20" t="n">
        <v>2032</v>
      </c>
    </row>
    <row r="520" customFormat="false" ht="17.15" hidden="false" customHeight="false" outlineLevel="0" collapsed="false">
      <c r="A520" s="1" t="s">
        <v>621</v>
      </c>
    </row>
    <row r="521" customFormat="false" ht="17.15" hidden="false" customHeight="false" outlineLevel="0" collapsed="false">
      <c r="A521" s="0" t="s">
        <v>479</v>
      </c>
      <c r="B521" s="0" t="s">
        <v>73</v>
      </c>
      <c r="C521" s="38" t="n">
        <f aca="false">Q!$D$10</f>
        <v>247.029</v>
      </c>
      <c r="D521" s="38" t="n">
        <f aca="false">Q!$E$10</f>
        <v>269.287</v>
      </c>
      <c r="E521" s="38" t="n">
        <f aca="false">Q!$P$10</f>
        <v>134.686</v>
      </c>
      <c r="F521" s="38" t="n">
        <f aca="false">Sens!$O$521*(1+Sens!$F$522)-pd_amt*Q!$O$10/(Q!$O$10+Q!$O$12)</f>
        <v>160.728085930082</v>
      </c>
      <c r="G521" s="38" t="n">
        <f aca="false">Sens!$E$521+Sens!$F$521</f>
        <v>295.414085930082</v>
      </c>
      <c r="H521" s="38" t="n">
        <f aca="false">Sens!$G$521*(1+Sens!$H$522)</f>
        <v>320.828163943375</v>
      </c>
      <c r="I521" s="38" t="n">
        <f aca="false">Sens!$H$521*(1+Sens!$I$522)</f>
        <v>344.575578072228</v>
      </c>
      <c r="J521" s="38" t="n">
        <f aca="false">Sens!$I$521*(1+Sens!$J$522)</f>
        <v>365.942555779681</v>
      </c>
      <c r="K521" s="38" t="n">
        <f aca="false">Sens!$J$521*(1+Sens!$K$522)</f>
        <v>384.239683568665</v>
      </c>
      <c r="L521" s="38" t="n">
        <f aca="false">Sens!$K$521*(1+Sens!$L$522)</f>
        <v>403.451667747098</v>
      </c>
      <c r="M521" s="38" t="n">
        <f aca="false">Sens!$L$521*(1+Sens!$M$522)</f>
        <v>423.624251134453</v>
      </c>
      <c r="N521" s="38" t="n">
        <f aca="false">Q!$N$10</f>
        <v>118.892</v>
      </c>
      <c r="O521" s="38" t="n">
        <f aca="false">Q!$O$10</f>
        <v>150.395</v>
      </c>
      <c r="P521" s="8" t="s">
        <v>622</v>
      </c>
    </row>
    <row r="522" customFormat="false" ht="17.15" hidden="false" customHeight="false" outlineLevel="0" collapsed="false">
      <c r="A522" s="0" t="s">
        <v>623</v>
      </c>
      <c r="B522" s="0" t="s">
        <v>52</v>
      </c>
      <c r="E522" s="12" t="n">
        <f aca="false">Sens!$E$521/Sens!$N$521-1</f>
        <v>0.132843252699929</v>
      </c>
      <c r="F522" s="12" t="n">
        <f aca="false">Sens!$O$521/(Q!$F$10+Q!$G$10)-1</f>
        <v>0.0980382135842941</v>
      </c>
      <c r="G522" s="12" t="n">
        <f aca="false">Sens!$G$521/Sens!$D$521-1</f>
        <v>0.0970231980380869</v>
      </c>
      <c r="H522" s="12" t="n">
        <f aca="false">Sens!$F$522+(g_os-Sens!$F$522)*1/4</f>
        <v>0.0860286601882206</v>
      </c>
      <c r="I522" s="12" t="n">
        <f aca="false">Sens!$F$522+(g_os-Sens!$F$522)*2/4</f>
        <v>0.074019106792147</v>
      </c>
      <c r="J522" s="12" t="n">
        <f aca="false">Sens!$F$522+(g_os-Sens!$F$522)*3/4</f>
        <v>0.0620095533960735</v>
      </c>
      <c r="K522" s="12" t="n">
        <f aca="false">Sens!$F$522+(g_os-Sens!$F$522)*4/4</f>
        <v>0.05</v>
      </c>
      <c r="L522" s="12" t="n">
        <f aca="false">g_os</f>
        <v>0.05</v>
      </c>
      <c r="M522" s="12" t="n">
        <f aca="false">g_os</f>
        <v>0.05</v>
      </c>
      <c r="P522" s="8" t="s">
        <v>624</v>
      </c>
    </row>
    <row r="523" customFormat="false" ht="17.15" hidden="false" customHeight="false" outlineLevel="0" collapsed="false">
      <c r="A523" s="0" t="s">
        <v>480</v>
      </c>
      <c r="B523" s="0" t="s">
        <v>73</v>
      </c>
      <c r="C523" s="38" t="n">
        <f aca="false">Q!$D$11</f>
        <v>21.215</v>
      </c>
      <c r="D523" s="38" t="n">
        <f aca="false">Q!$E$11</f>
        <v>22.561</v>
      </c>
      <c r="E523" s="38" t="n">
        <f aca="false">Q!$P$11</f>
        <v>11.579</v>
      </c>
      <c r="F523" s="38" t="n">
        <f aca="false">Sens!$O$523*(1+Sens!$F$524)</f>
        <v>12.0952613121125</v>
      </c>
      <c r="G523" s="38" t="n">
        <f aca="false">Sens!$E$523+Sens!$F$523</f>
        <v>23.6742613121125</v>
      </c>
      <c r="H523" s="38" t="n">
        <f aca="false">Sens!$G$523*(1+Sens!$H$524)</f>
        <v>24.8803243963206</v>
      </c>
      <c r="I523" s="38" t="n">
        <f aca="false">Sens!$H$523*(1+Sens!$I$524)</f>
        <v>25.9741308664154</v>
      </c>
      <c r="J523" s="38" t="n">
        <f aca="false">Sens!$I$523*(1+Sens!$J$524)</f>
        <v>26.9346894124267</v>
      </c>
      <c r="K523" s="38" t="n">
        <f aca="false">Sens!$J$523*(1+Sens!$K$524)</f>
        <v>27.7427300947995</v>
      </c>
      <c r="L523" s="38" t="n">
        <f aca="false">Sens!$K$523*(1+Sens!$L$524)</f>
        <v>28.5750119976435</v>
      </c>
      <c r="M523" s="38" t="n">
        <f aca="false">Sens!$L$523*(1+Sens!$M$524)</f>
        <v>29.4322623575728</v>
      </c>
      <c r="N523" s="38" t="n">
        <f aca="false">Q!$N$11</f>
        <v>11.128</v>
      </c>
      <c r="O523" s="38" t="n">
        <f aca="false">Q!$O$11</f>
        <v>11.433</v>
      </c>
      <c r="P523" s="8" t="s">
        <v>622</v>
      </c>
    </row>
    <row r="524" customFormat="false" ht="17.15" hidden="false" customHeight="false" outlineLevel="0" collapsed="false">
      <c r="A524" s="0" t="s">
        <v>625</v>
      </c>
      <c r="B524" s="0" t="s">
        <v>52</v>
      </c>
      <c r="E524" s="12" t="n">
        <f aca="false">Sens!$E$523/Sens!$N$523-1</f>
        <v>0.0405283968368082</v>
      </c>
      <c r="F524" s="12" t="n">
        <f aca="false">Sens!$O$523/(Q!$F$11+Q!$G$11)-1</f>
        <v>0.0579254187100955</v>
      </c>
      <c r="G524" s="12" t="n">
        <f aca="false">Sens!$G$523/Sens!$D$523-1</f>
        <v>0.0493445021103904</v>
      </c>
      <c r="H524" s="12" t="n">
        <f aca="false">Sens!$F$524+(g_ps-Sens!$F$524)*1/4</f>
        <v>0.0509440640325716</v>
      </c>
      <c r="I524" s="12" t="n">
        <f aca="false">Sens!$F$524+(g_ps-Sens!$F$524)*2/4</f>
        <v>0.0439627093550477</v>
      </c>
      <c r="J524" s="12" t="n">
        <f aca="false">Sens!$F$524+(g_ps-Sens!$F$524)*3/4</f>
        <v>0.0369813546775239</v>
      </c>
      <c r="K524" s="12" t="n">
        <f aca="false">Sens!$F$524+(g_ps-Sens!$F$524)*4/4</f>
        <v>0.03</v>
      </c>
      <c r="L524" s="12" t="n">
        <f aca="false">g_ps</f>
        <v>0.03</v>
      </c>
      <c r="M524" s="12" t="n">
        <f aca="false">g_ps</f>
        <v>0.03</v>
      </c>
      <c r="P524" s="8" t="s">
        <v>626</v>
      </c>
    </row>
    <row r="525" customFormat="false" ht="17.15" hidden="false" customHeight="false" outlineLevel="0" collapsed="false">
      <c r="A525" s="0" t="s">
        <v>481</v>
      </c>
      <c r="B525" s="0" t="s">
        <v>73</v>
      </c>
      <c r="C525" s="38" t="n">
        <f aca="false">Q!$D$12</f>
        <v>156.146</v>
      </c>
      <c r="D525" s="38" t="n">
        <f aca="false">Q!$E$12</f>
        <v>172.162</v>
      </c>
      <c r="E525" s="38" t="n">
        <f aca="false">Q!$P$12</f>
        <v>88.358</v>
      </c>
      <c r="F525" s="38" t="n">
        <f aca="false">Sens!$O$525*(1+Sens!$F$526)-pd_amt*Q!$O$12/(Q!$O$10+Q!$O$12)</f>
        <v>103.62028337149</v>
      </c>
      <c r="G525" s="38" t="n">
        <f aca="false">Sens!$E$525+Sens!$F$525</f>
        <v>191.97828337149</v>
      </c>
      <c r="H525" s="38" t="n">
        <f aca="false">Sens!$G$525*(1+Sens!$H$526)</f>
        <v>212.128608444755</v>
      </c>
      <c r="I525" s="38" t="n">
        <f aca="false">Sens!$H$525*(1+Sens!$I$526)</f>
        <v>231.92183134134</v>
      </c>
      <c r="J525" s="38" t="n">
        <f aca="false">Sens!$I$525*(1+Sens!$J$526)</f>
        <v>250.859136487863</v>
      </c>
      <c r="K525" s="38" t="n">
        <f aca="false">Sens!$J$525*(1+Sens!$K$526)</f>
        <v>268.419276042014</v>
      </c>
      <c r="L525" s="38" t="n">
        <f aca="false">Sens!$K$525*(1+Sens!$L$526)</f>
        <v>287.208625364954</v>
      </c>
      <c r="M525" s="38" t="n">
        <f aca="false">Sens!$L$525*(1+Sens!$M$526)</f>
        <v>307.313229140501</v>
      </c>
      <c r="N525" s="38" t="n">
        <f aca="false">Q!$N$12</f>
        <v>76.86</v>
      </c>
      <c r="O525" s="38" t="n">
        <f aca="false">Q!$O$12</f>
        <v>95.302</v>
      </c>
      <c r="P525" s="8" t="s">
        <v>622</v>
      </c>
    </row>
    <row r="526" customFormat="false" ht="17.15" hidden="false" customHeight="false" outlineLevel="0" collapsed="false">
      <c r="A526" s="0" t="s">
        <v>627</v>
      </c>
      <c r="B526" s="0" t="s">
        <v>52</v>
      </c>
      <c r="E526" s="12" t="n">
        <f aca="false">Sens!$E$525/Sens!$N$525-1</f>
        <v>0.1495966692688</v>
      </c>
      <c r="F526" s="12" t="n">
        <f aca="false">Sens!$O$525/(Q!$F$12+Q!$G$12)-1</f>
        <v>0.11661530890813</v>
      </c>
      <c r="G526" s="12" t="n">
        <f aca="false">Sens!$G$525/Sens!$D$525-1</f>
        <v>0.115102539303041</v>
      </c>
      <c r="H526" s="12" t="n">
        <f aca="false">Sens!$F$526+(g_sp-Sens!$F$526)*1/4</f>
        <v>0.104961481681098</v>
      </c>
      <c r="I526" s="12" t="n">
        <f aca="false">Sens!$F$526+(g_sp-Sens!$F$526)*2/4</f>
        <v>0.0933076544540651</v>
      </c>
      <c r="J526" s="12" t="n">
        <f aca="false">Sens!$F$526+(g_sp-Sens!$F$526)*3/4</f>
        <v>0.0816538272270325</v>
      </c>
      <c r="K526" s="12" t="n">
        <f aca="false">Sens!$F$526+(g_sp-Sens!$F$526)*4/4</f>
        <v>0.07</v>
      </c>
      <c r="L526" s="12" t="n">
        <f aca="false">g_sp</f>
        <v>0.07</v>
      </c>
      <c r="M526" s="12" t="n">
        <f aca="false">g_sp</f>
        <v>0.07</v>
      </c>
      <c r="P526" s="8" t="s">
        <v>628</v>
      </c>
    </row>
    <row r="527" customFormat="false" ht="17.15" hidden="false" customHeight="false" outlineLevel="0" collapsed="false">
      <c r="A527" s="0" t="s">
        <v>482</v>
      </c>
      <c r="B527" s="0" t="s">
        <v>73</v>
      </c>
      <c r="C527" s="38" t="n">
        <f aca="false">Q!$D$13</f>
        <v>56.214</v>
      </c>
      <c r="D527" s="38" t="n">
        <f aca="false">Q!$E$13</f>
        <v>68.635</v>
      </c>
      <c r="E527" s="38" t="n">
        <f aca="false">Q!$P$13</f>
        <v>37.052</v>
      </c>
      <c r="F527" s="38" t="n">
        <f aca="false">Sens!$O$527*(1+Sens!$F$528)</f>
        <v>48.1533381827382</v>
      </c>
      <c r="G527" s="38" t="n">
        <f aca="false">Sens!$E$527+Sens!$F$527</f>
        <v>85.2053381827382</v>
      </c>
      <c r="H527" s="38" t="n">
        <f aca="false">Sens!$G$527*(1+Sens!$H$528)</f>
        <v>102.29336185894</v>
      </c>
      <c r="I527" s="38" t="n">
        <f aca="false">Sens!$H$527*(1+Sens!$I$528)</f>
        <v>119.379837585241</v>
      </c>
      <c r="J527" s="38" t="n">
        <f aca="false">Sens!$I$527*(1+Sens!$J$528)</f>
        <v>135.319079048844</v>
      </c>
      <c r="K527" s="38" t="n">
        <f aca="false">Sens!$J$527*(1+Sens!$K$528)</f>
        <v>148.850986953729</v>
      </c>
      <c r="L527" s="38" t="n">
        <f aca="false">Sens!$K$527*(1+Sens!$L$528)</f>
        <v>163.736085649102</v>
      </c>
      <c r="M527" s="38" t="n">
        <f aca="false">Sens!$L$527*(1+Sens!$M$528)</f>
        <v>180.109694214012</v>
      </c>
      <c r="N527" s="38" t="n">
        <f aca="false">Q!$N$13</f>
        <v>29.615</v>
      </c>
      <c r="O527" s="38" t="n">
        <f aca="false">Q!$O$13</f>
        <v>39.02</v>
      </c>
      <c r="P527" s="8" t="s">
        <v>622</v>
      </c>
    </row>
    <row r="528" customFormat="false" ht="17.15" hidden="false" customHeight="false" outlineLevel="0" collapsed="false">
      <c r="A528" s="0" t="s">
        <v>629</v>
      </c>
      <c r="B528" s="0" t="s">
        <v>52</v>
      </c>
      <c r="E528" s="12" t="n">
        <f aca="false">Sens!$E$527/Sens!$N$527-1</f>
        <v>0.25112274185379</v>
      </c>
      <c r="F528" s="12" t="n">
        <f aca="false">Sens!$O$527/(Q!$F$13+Q!$G$13)-1</f>
        <v>0.234068123596572</v>
      </c>
      <c r="G528" s="12" t="n">
        <f aca="false">Sens!$G$527/Sens!$D$527-1</f>
        <v>0.241426942270536</v>
      </c>
      <c r="H528" s="12" t="n">
        <f aca="false">Sens!$F$528+(g_ad-Sens!$F$528)*1/4</f>
        <v>0.200551092697429</v>
      </c>
      <c r="I528" s="12" t="n">
        <f aca="false">Sens!$F$528+(g_ad-Sens!$F$528)*2/4</f>
        <v>0.167034061798286</v>
      </c>
      <c r="J528" s="12" t="n">
        <f aca="false">Sens!$F$528+(g_ad-Sens!$F$528)*3/4</f>
        <v>0.133517030899143</v>
      </c>
      <c r="K528" s="12" t="n">
        <f aca="false">Sens!$F$528+(g_ad-Sens!$F$528)*4/4</f>
        <v>0.1</v>
      </c>
      <c r="L528" s="12" t="n">
        <f aca="false">g_ad</f>
        <v>0.1</v>
      </c>
      <c r="M528" s="12" t="n">
        <f aca="false">g_ad</f>
        <v>0.1</v>
      </c>
      <c r="P528" s="8" t="s">
        <v>630</v>
      </c>
    </row>
    <row r="529" customFormat="false" ht="17.15" hidden="false" customHeight="false" outlineLevel="0" collapsed="false">
      <c r="A529" s="0" t="s">
        <v>483</v>
      </c>
      <c r="B529" s="0" t="s">
        <v>73</v>
      </c>
      <c r="C529" s="38" t="n">
        <f aca="false">Q!$D$14</f>
        <v>44.374</v>
      </c>
      <c r="D529" s="38" t="n">
        <f aca="false">Q!$E$14</f>
        <v>49.619</v>
      </c>
      <c r="E529" s="38" t="n">
        <f aca="false">Q!$P$14</f>
        <v>27.157</v>
      </c>
      <c r="F529" s="38" t="n">
        <f aca="false">Sens!$O$529*(1+Sens!$F$530)</f>
        <v>28.9776360923374</v>
      </c>
      <c r="G529" s="38" t="n">
        <f aca="false">Sens!$E$529+Sens!$F$529</f>
        <v>56.1346360923374</v>
      </c>
      <c r="H529" s="38" t="n">
        <f aca="false">Sens!$G$529*(1+Sens!$H$530)</f>
        <v>62.4937078946075</v>
      </c>
      <c r="I529" s="38" t="n">
        <f aca="false">Sens!$H$529*(1+Sens!$I$530)</f>
        <v>68.6715233062498</v>
      </c>
      <c r="J529" s="38" t="n">
        <f aca="false">Sens!$I$529*(1+Sens!$J$530)</f>
        <v>74.4692882949818</v>
      </c>
      <c r="K529" s="38" t="n">
        <f aca="false">Sens!$J$529*(1+Sens!$K$530)</f>
        <v>79.6821384756306</v>
      </c>
      <c r="L529" s="38" t="n">
        <f aca="false">Sens!$K$529*(1+Sens!$L$530)</f>
        <v>85.2598881689247</v>
      </c>
      <c r="M529" s="38" t="n">
        <f aca="false">Sens!$L$529*(1+Sens!$M$530)</f>
        <v>91.2280803407494</v>
      </c>
      <c r="N529" s="38" t="n">
        <f aca="false">Q!$N$14</f>
        <v>23.923</v>
      </c>
      <c r="O529" s="38" t="n">
        <f aca="false">Q!$O$14</f>
        <v>25.696</v>
      </c>
      <c r="P529" s="8" t="s">
        <v>622</v>
      </c>
    </row>
    <row r="530" customFormat="false" ht="17.15" hidden="false" customHeight="false" outlineLevel="0" collapsed="false">
      <c r="A530" s="0" t="s">
        <v>631</v>
      </c>
      <c r="B530" s="0" t="s">
        <v>52</v>
      </c>
      <c r="E530" s="12" t="n">
        <f aca="false">Sens!$E$529/Sens!$N$529-1</f>
        <v>0.135183714417088</v>
      </c>
      <c r="F530" s="12" t="n">
        <f aca="false">Sens!$O$529/(Q!$F$14+Q!$G$14)-1</f>
        <v>0.127709997366804</v>
      </c>
      <c r="G530" s="12" t="n">
        <f aca="false">Sens!$G$529/Sens!$D$529-1</f>
        <v>0.131313329416905</v>
      </c>
      <c r="H530" s="12" t="n">
        <f aca="false">Sens!$F$530+(g_sub-Sens!$F$530)*1/4</f>
        <v>0.113282498025103</v>
      </c>
      <c r="I530" s="12" t="n">
        <f aca="false">Sens!$F$530+(g_sub-Sens!$F$530)*2/4</f>
        <v>0.0988549986834021</v>
      </c>
      <c r="J530" s="12" t="n">
        <f aca="false">Sens!$F$530+(g_sub-Sens!$F$530)*3/4</f>
        <v>0.084427499341701</v>
      </c>
      <c r="K530" s="12" t="n">
        <f aca="false">Sens!$F$530+(g_sub-Sens!$F$530)*4/4</f>
        <v>0.07</v>
      </c>
      <c r="L530" s="12" t="n">
        <f aca="false">g_sub</f>
        <v>0.07</v>
      </c>
      <c r="M530" s="12" t="n">
        <f aca="false">g_sub</f>
        <v>0.07</v>
      </c>
      <c r="P530" s="8" t="s">
        <v>632</v>
      </c>
    </row>
    <row r="531" customFormat="false" ht="17.15" hidden="false" customHeight="false" outlineLevel="0" collapsed="false">
      <c r="A531" s="0" t="s">
        <v>484</v>
      </c>
      <c r="B531" s="0" t="s">
        <v>73</v>
      </c>
      <c r="C531" s="38" t="n">
        <f aca="false">Q!$D$15</f>
        <v>5.425</v>
      </c>
      <c r="D531" s="38" t="n">
        <f aca="false">Q!$E$15</f>
        <v>5.935</v>
      </c>
      <c r="E531" s="38" t="n">
        <f aca="false">Q!$P$15</f>
        <v>3.474</v>
      </c>
      <c r="F531" s="38" t="n">
        <f aca="false">Sens!$O$531*(1+Sens!$F$532)</f>
        <v>3.36182431966931</v>
      </c>
      <c r="G531" s="38" t="n">
        <f aca="false">Sens!$E$531+Sens!$F$531</f>
        <v>6.83582431966931</v>
      </c>
      <c r="H531" s="38" t="n">
        <f aca="false">Sens!$G$531*(1+Sens!$H$532)</f>
        <v>7.31157108370141</v>
      </c>
      <c r="I531" s="38" t="n">
        <f aca="false">Sens!$H$531*(1+Sens!$I$532)</f>
        <v>7.77266852639815</v>
      </c>
      <c r="J531" s="38" t="n">
        <f aca="false">Sens!$I$531*(1+Sens!$J$532)</f>
        <v>8.2120733019884</v>
      </c>
      <c r="K531" s="38" t="n">
        <f aca="false">Sens!$J$531*(1+Sens!$K$532)</f>
        <v>8.62267696708783</v>
      </c>
      <c r="L531" s="38" t="n">
        <f aca="false">Sens!$K$531*(1+Sens!$L$532)</f>
        <v>9.05381081544222</v>
      </c>
      <c r="M531" s="38" t="n">
        <f aca="false">Sens!$L$531*(1+Sens!$M$532)</f>
        <v>9.50650135621433</v>
      </c>
      <c r="N531" s="38" t="n">
        <f aca="false">Q!$N$15</f>
        <v>2.811</v>
      </c>
      <c r="O531" s="38" t="n">
        <f aca="false">Q!$O$15</f>
        <v>3.124</v>
      </c>
      <c r="P531" s="8" t="s">
        <v>622</v>
      </c>
    </row>
    <row r="532" customFormat="false" ht="17.15" hidden="false" customHeight="false" outlineLevel="0" collapsed="false">
      <c r="A532" s="0" t="s">
        <v>633</v>
      </c>
      <c r="B532" s="0" t="s">
        <v>52</v>
      </c>
      <c r="E532" s="12" t="n">
        <f aca="false">Sens!$E$531/Sens!$N$531-1</f>
        <v>0.235859124866596</v>
      </c>
      <c r="F532" s="12" t="n">
        <f aca="false">Sens!$O$531/(Q!$F$15+Q!$G$15)-1</f>
        <v>0.0761281433000345</v>
      </c>
      <c r="G532" s="12" t="n">
        <f aca="false">Sens!$G$531/Sens!$D$531-1</f>
        <v>0.151781688234087</v>
      </c>
      <c r="H532" s="12" t="n">
        <f aca="false">Sens!$F$532+(g_ot-Sens!$F$532)*1/4</f>
        <v>0.0695961074750259</v>
      </c>
      <c r="I532" s="12" t="n">
        <f aca="false">Sens!$F$532+(g_ot-Sens!$F$532)*2/4</f>
        <v>0.0630640716500172</v>
      </c>
      <c r="J532" s="12" t="n">
        <f aca="false">Sens!$F$532+(g_ot-Sens!$F$532)*3/4</f>
        <v>0.0565320358250086</v>
      </c>
      <c r="K532" s="12" t="n">
        <f aca="false">Sens!$F$532+(g_ot-Sens!$F$532)*4/4</f>
        <v>0.05</v>
      </c>
      <c r="L532" s="12" t="n">
        <f aca="false">g_ot</f>
        <v>0.05</v>
      </c>
      <c r="M532" s="12" t="n">
        <f aca="false">g_ot</f>
        <v>0.05</v>
      </c>
      <c r="P532" s="8" t="s">
        <v>634</v>
      </c>
    </row>
    <row r="533" customFormat="false" ht="17.15" hidden="false" customHeight="false" outlineLevel="0" collapsed="false">
      <c r="A533" s="3" t="s">
        <v>635</v>
      </c>
      <c r="B533" s="8" t="s">
        <v>73</v>
      </c>
      <c r="C533" s="38" t="n">
        <f aca="false">Sens!$C$521+Sens!$C$523+Sens!$C$525+Sens!$C$527+Sens!$C$529+Sens!$C$531</f>
        <v>530.403</v>
      </c>
      <c r="D533" s="38" t="n">
        <f aca="false">Sens!$D$521+Sens!$D$523+Sens!$D$525+Sens!$D$527+Sens!$D$529+Sens!$D$531</f>
        <v>588.199</v>
      </c>
      <c r="E533" s="38" t="n">
        <f aca="false">Sens!$E$521+Sens!$E$523+Sens!$E$525+Sens!$E$527+Sens!$E$529+Sens!$E$531</f>
        <v>302.306</v>
      </c>
      <c r="F533" s="38" t="n">
        <f aca="false">Sens!$F$521+Sens!$F$523+Sens!$F$525+Sens!$F$527+Sens!$F$529+Sens!$F$531</f>
        <v>356.93642920843</v>
      </c>
      <c r="G533" s="38" t="n">
        <f aca="false">Sens!$G$521+Sens!$G$523+Sens!$G$525+Sens!$G$527+Sens!$G$529+Sens!$G$531</f>
        <v>659.24242920843</v>
      </c>
      <c r="H533" s="38" t="n">
        <f aca="false">Sens!$H$521+Sens!$H$523+Sens!$H$525+Sens!$H$527+Sens!$H$529+Sens!$H$531</f>
        <v>729.935737621701</v>
      </c>
      <c r="I533" s="38" t="n">
        <f aca="false">Sens!$I$521+Sens!$I$523+Sens!$I$525+Sens!$I$527+Sens!$I$529+Sens!$I$531</f>
        <v>798.295569697873</v>
      </c>
      <c r="J533" s="38" t="n">
        <f aca="false">Sens!$J$521+Sens!$J$523+Sens!$J$525+Sens!$J$527+Sens!$J$529+Sens!$J$531</f>
        <v>861.736822325785</v>
      </c>
      <c r="K533" s="38" t="n">
        <f aca="false">Sens!$K$521+Sens!$K$523+Sens!$K$525+Sens!$K$527+Sens!$K$529+Sens!$K$531</f>
        <v>917.557492101925</v>
      </c>
      <c r="L533" s="38" t="n">
        <f aca="false">Sens!$L$521+Sens!$L$523+Sens!$L$525+Sens!$L$527+Sens!$L$529+Sens!$L$531</f>
        <v>977.285089743165</v>
      </c>
      <c r="M533" s="38" t="n">
        <f aca="false">Sens!$M$521+Sens!$M$523+Sens!$M$525+Sens!$M$527+Sens!$M$529+Sens!$M$531</f>
        <v>1041.2140185435</v>
      </c>
      <c r="N533" s="38" t="n">
        <f aca="false">Sens!$N$521+Sens!$N$523+Sens!$N$525+Sens!$N$527+Sens!$N$529+Sens!$N$531</f>
        <v>263.229</v>
      </c>
      <c r="O533" s="38" t="n">
        <f aca="false">Sens!$O$521+Sens!$O$523+Sens!$O$525+Sens!$O$527+Sens!$O$529+Sens!$O$531</f>
        <v>324.97</v>
      </c>
    </row>
    <row r="534" customFormat="false" ht="17.15" hidden="false" customHeight="false" outlineLevel="0" collapsed="false">
      <c r="A534" s="5" t="s">
        <v>636</v>
      </c>
      <c r="B534" s="0" t="s">
        <v>52</v>
      </c>
      <c r="C534" s="12" t="n">
        <f aca="false">Q!$D$5/(Q!$D$5+Q!$D$6)</f>
        <v>0.730570905519011</v>
      </c>
      <c r="D534" s="12" t="n">
        <f aca="false">Q!$E$5/(Q!$E$5+Q!$E$6)</f>
        <v>0.724763217890544</v>
      </c>
      <c r="E534" s="12" t="n">
        <f aca="false">Q!$P$5/(Q!$P$5+Q!$P$6)</f>
        <v>0.728797972914861</v>
      </c>
      <c r="F534" s="12" t="n">
        <f aca="false">Sens!$O$534</f>
        <v>0.718066283041511</v>
      </c>
      <c r="G534" s="12" t="n">
        <f aca="false">Sens!$G$535/Sens!$G$533</f>
        <v>0.722987468473627</v>
      </c>
      <c r="H534" s="12" t="n">
        <f aca="false">Sens!$G$534</f>
        <v>0.722987468473627</v>
      </c>
      <c r="I534" s="12" t="n">
        <f aca="false">Sens!$G$534</f>
        <v>0.722987468473627</v>
      </c>
      <c r="J534" s="12" t="n">
        <f aca="false">Sens!$G$534</f>
        <v>0.722987468473627</v>
      </c>
      <c r="K534" s="12" t="n">
        <f aca="false">Sens!$G$534</f>
        <v>0.722987468473627</v>
      </c>
      <c r="L534" s="12" t="n">
        <f aca="false">Sens!$G$534</f>
        <v>0.722987468473627</v>
      </c>
      <c r="M534" s="12" t="n">
        <f aca="false">Sens!$G$534</f>
        <v>0.722987468473627</v>
      </c>
      <c r="N534" s="12" t="n">
        <f aca="false">Q!$N$5/(Q!$N$5+Q!$N$6)</f>
        <v>0.733030935041352</v>
      </c>
      <c r="O534" s="12" t="n">
        <f aca="false">Q!$O$5/(Q!$O$5+Q!$O$6)</f>
        <v>0.718066283041511</v>
      </c>
      <c r="P534" s="8" t="s">
        <v>637</v>
      </c>
    </row>
    <row r="535" customFormat="false" ht="17.15" hidden="false" customHeight="false" outlineLevel="0" collapsed="false">
      <c r="A535" s="1" t="s">
        <v>472</v>
      </c>
      <c r="B535" s="8" t="s">
        <v>73</v>
      </c>
      <c r="C535" s="38" t="n">
        <f aca="false">Q!$D$5</f>
        <v>387.497</v>
      </c>
      <c r="D535" s="38" t="n">
        <f aca="false">Q!$E$5</f>
        <v>426.305</v>
      </c>
      <c r="E535" s="38" t="n">
        <f aca="false">Q!$P$5</f>
        <v>220.32</v>
      </c>
      <c r="F535" s="38" t="n">
        <f aca="false">Sens!$F$533*Sens!$F$534</f>
        <v>256.304015003807</v>
      </c>
      <c r="G535" s="38" t="n">
        <f aca="false">Sens!$E$535+Sens!$F$535</f>
        <v>476.624015003807</v>
      </c>
      <c r="H535" s="38" t="n">
        <f aca="false">Sens!$H$533*Sens!$H$534</f>
        <v>527.734391091543</v>
      </c>
      <c r="I535" s="38" t="n">
        <f aca="false">Sens!$I$533*Sens!$I$534</f>
        <v>577.157693029577</v>
      </c>
      <c r="J535" s="38" t="n">
        <f aca="false">Sens!$J$533*Sens!$J$534</f>
        <v>623.024923663827</v>
      </c>
      <c r="K535" s="38" t="n">
        <f aca="false">Sens!$K$533*Sens!$K$534</f>
        <v>663.382568393781</v>
      </c>
      <c r="L535" s="38" t="n">
        <f aca="false">Sens!$L$533*Sens!$L$534</f>
        <v>706.564873010432</v>
      </c>
      <c r="M535" s="38" t="n">
        <f aca="false">Sens!$M$533*Sens!$M$534</f>
        <v>752.784687406019</v>
      </c>
      <c r="N535" s="38" t="n">
        <f aca="false">Q!$N$5</f>
        <v>192.955</v>
      </c>
      <c r="O535" s="38" t="n">
        <f aca="false">Q!$O$5</f>
        <v>233.35</v>
      </c>
      <c r="P535" s="5" t="s">
        <v>638</v>
      </c>
    </row>
    <row r="536" customFormat="false" ht="17.15" hidden="false" customHeight="false" outlineLevel="0" collapsed="false">
      <c r="A536" s="1" t="s">
        <v>475</v>
      </c>
      <c r="B536" s="8" t="s">
        <v>73</v>
      </c>
      <c r="C536" s="38" t="n">
        <f aca="false">Q!$D$6</f>
        <v>142.906</v>
      </c>
      <c r="D536" s="38" t="n">
        <f aca="false">Q!$E$6</f>
        <v>161.894</v>
      </c>
      <c r="E536" s="38" t="n">
        <f aca="false">Q!$P$6</f>
        <v>81.986</v>
      </c>
      <c r="F536" s="38" t="n">
        <f aca="false">Sens!$F$533*(1-Sens!$F$534)</f>
        <v>100.632414204623</v>
      </c>
      <c r="G536" s="38" t="n">
        <f aca="false">Sens!$E$536+Sens!$F$536</f>
        <v>182.618414204623</v>
      </c>
      <c r="H536" s="38" t="n">
        <f aca="false">Sens!$H$533*(1-Sens!$H$534)</f>
        <v>202.201346530158</v>
      </c>
      <c r="I536" s="38" t="n">
        <f aca="false">Sens!$I$533*(1-Sens!$I$534)</f>
        <v>221.137876668296</v>
      </c>
      <c r="J536" s="38" t="n">
        <f aca="false">Sens!$J$533*(1-Sens!$J$534)</f>
        <v>238.711898661958</v>
      </c>
      <c r="K536" s="38" t="n">
        <f aca="false">Sens!$K$533*(1-Sens!$K$534)</f>
        <v>254.174923708144</v>
      </c>
      <c r="L536" s="38" t="n">
        <f aca="false">Sens!$L$533*(1-Sens!$L$534)</f>
        <v>270.720216732733</v>
      </c>
      <c r="M536" s="38" t="n">
        <f aca="false">Sens!$M$533*(1-Sens!$M$534)</f>
        <v>288.429331137484</v>
      </c>
      <c r="N536" s="38" t="n">
        <f aca="false">Q!$N$6</f>
        <v>70.274</v>
      </c>
      <c r="O536" s="38" t="n">
        <f aca="false">Q!$O$6</f>
        <v>91.62</v>
      </c>
      <c r="P536" s="5" t="s">
        <v>639</v>
      </c>
    </row>
    <row r="537" customFormat="false" ht="17.15" hidden="false" customHeight="false" outlineLevel="0" collapsed="false">
      <c r="A537" s="5" t="s">
        <v>640</v>
      </c>
      <c r="B537" s="0" t="s">
        <v>73</v>
      </c>
      <c r="C537" s="38" t="n">
        <f aca="false">Sens!$C$527*Sens!$C$534</f>
        <v>41.0683128828457</v>
      </c>
      <c r="D537" s="38" t="n">
        <f aca="false">Sens!$D$527*Sens!$D$534</f>
        <v>49.7441234599175</v>
      </c>
      <c r="E537" s="38" t="n">
        <f aca="false">Sens!$E$527*Sens!$E$534</f>
        <v>27.0034224924414</v>
      </c>
      <c r="F537" s="38" t="n">
        <f aca="false">Sens!$F$527*Sens!$F$534</f>
        <v>34.5772885649197</v>
      </c>
      <c r="G537" s="38" t="n">
        <f aca="false">Sens!$G$527*Sens!$G$534</f>
        <v>61.6023917531772</v>
      </c>
      <c r="H537" s="38" t="n">
        <f aca="false">Sens!$H$527*Sens!$H$534</f>
        <v>73.9568187320519</v>
      </c>
      <c r="I537" s="38" t="n">
        <f aca="false">Sens!$I$527*Sens!$I$534</f>
        <v>86.3101265625461</v>
      </c>
      <c r="J537" s="38" t="n">
        <f aca="false">Sens!$J$527*Sens!$J$534</f>
        <v>97.8339983977065</v>
      </c>
      <c r="K537" s="38" t="n">
        <f aca="false">Sens!$K$527*Sens!$K$534</f>
        <v>107.617398237477</v>
      </c>
      <c r="L537" s="38" t="n">
        <f aca="false">Sens!$L$527*Sens!$L$534</f>
        <v>118.379138061225</v>
      </c>
      <c r="M537" s="38" t="n">
        <f aca="false">Sens!$M$527*Sens!$M$534</f>
        <v>130.217051867347</v>
      </c>
      <c r="N537" s="38" t="n">
        <f aca="false">Sens!$N$527*Sens!$N$534</f>
        <v>21.7087111412496</v>
      </c>
      <c r="O537" s="38" t="n">
        <f aca="false">Sens!$O$527*Sens!$O$534</f>
        <v>28.0189463642798</v>
      </c>
      <c r="P537" s="5" t="s">
        <v>641</v>
      </c>
    </row>
    <row r="538" customFormat="false" ht="15" hidden="false" customHeight="false" outlineLevel="0" collapsed="false">
      <c r="A538" s="5" t="s">
        <v>642</v>
      </c>
      <c r="B538" s="0" t="s">
        <v>73</v>
      </c>
      <c r="C538" s="38" t="n">
        <f aca="false">Sens!$C$527-Sens!$C$537</f>
        <v>15.1456871171543</v>
      </c>
      <c r="D538" s="38" t="n">
        <f aca="false">Sens!$D$527-Sens!$D$537</f>
        <v>18.8908765400825</v>
      </c>
      <c r="E538" s="38" t="n">
        <f aca="false">Sens!$E$527-Sens!$E$537</f>
        <v>10.0485775075586</v>
      </c>
      <c r="F538" s="38" t="n">
        <f aca="false">Sens!$F$527-Sens!$F$537</f>
        <v>13.5760496178185</v>
      </c>
      <c r="G538" s="38" t="n">
        <f aca="false">Sens!$G$527-Sens!$G$537</f>
        <v>23.6029464295611</v>
      </c>
      <c r="H538" s="38" t="n">
        <f aca="false">Sens!$H$527-Sens!$H$537</f>
        <v>28.3365431268884</v>
      </c>
      <c r="I538" s="38" t="n">
        <f aca="false">Sens!$I$527-Sens!$I$537</f>
        <v>33.0697110226949</v>
      </c>
      <c r="J538" s="38" t="n">
        <f aca="false">Sens!$J$527-Sens!$J$537</f>
        <v>37.4850806511378</v>
      </c>
      <c r="K538" s="38" t="n">
        <f aca="false">Sens!$K$527-Sens!$K$537</f>
        <v>41.2335887162515</v>
      </c>
      <c r="L538" s="38" t="n">
        <f aca="false">Sens!$L$527-Sens!$L$537</f>
        <v>45.3569475878767</v>
      </c>
      <c r="M538" s="38" t="n">
        <f aca="false">Sens!$M$527-Sens!$M$537</f>
        <v>49.8926423466644</v>
      </c>
      <c r="N538" s="38" t="n">
        <f aca="false">Sens!$N$527-Sens!$N$537</f>
        <v>7.90628885875037</v>
      </c>
      <c r="O538" s="38" t="n">
        <f aca="false">Sens!$O$527-Sens!$O$537</f>
        <v>11.0010536357202</v>
      </c>
    </row>
    <row r="539" customFormat="false" ht="19.4" hidden="false" customHeight="false" outlineLevel="0" collapsed="false">
      <c r="A539" s="31" t="s">
        <v>1056</v>
      </c>
    </row>
    <row r="540" customFormat="false" ht="17.15" hidden="false" customHeight="false" outlineLevel="0" collapsed="false">
      <c r="A540" s="6" t="s">
        <v>16</v>
      </c>
      <c r="B540" s="6" t="s">
        <v>17</v>
      </c>
      <c r="C540" s="20" t="s">
        <v>457</v>
      </c>
      <c r="D540" s="20" t="s">
        <v>458</v>
      </c>
      <c r="E540" s="20" t="s">
        <v>540</v>
      </c>
      <c r="F540" s="20" t="s">
        <v>541</v>
      </c>
      <c r="G540" s="20" t="s">
        <v>542</v>
      </c>
      <c r="H540" s="20" t="s">
        <v>543</v>
      </c>
      <c r="I540" s="20" t="s">
        <v>544</v>
      </c>
      <c r="J540" s="20" t="s">
        <v>545</v>
      </c>
      <c r="K540" s="20" t="s">
        <v>546</v>
      </c>
      <c r="L540" s="20" t="s">
        <v>547</v>
      </c>
      <c r="M540" s="20" t="s">
        <v>548</v>
      </c>
      <c r="N540" s="20" t="s">
        <v>549</v>
      </c>
      <c r="O540" s="20" t="s">
        <v>550</v>
      </c>
      <c r="P540" s="6" t="s">
        <v>23</v>
      </c>
      <c r="R540" s="20" t="n">
        <v>2023</v>
      </c>
      <c r="S540" s="20" t="n">
        <v>2024</v>
      </c>
      <c r="T540" s="20" t="n">
        <v>2025</v>
      </c>
      <c r="U540" s="20" t="n">
        <v>2026</v>
      </c>
      <c r="V540" s="20" t="n">
        <v>2027</v>
      </c>
      <c r="W540" s="20" t="n">
        <v>2028</v>
      </c>
      <c r="X540" s="20" t="n">
        <v>2029</v>
      </c>
      <c r="Y540" s="20" t="n">
        <v>2030</v>
      </c>
      <c r="Z540" s="20" t="n">
        <v>2031</v>
      </c>
      <c r="AA540" s="20" t="n">
        <v>2032</v>
      </c>
    </row>
    <row r="541" customFormat="false" ht="17.15" hidden="false" customHeight="false" outlineLevel="0" collapsed="false">
      <c r="A541" s="1" t="s">
        <v>551</v>
      </c>
    </row>
    <row r="542" customFormat="false" ht="17.15" hidden="false" customHeight="false" outlineLevel="0" collapsed="false">
      <c r="A542" s="14" t="s">
        <v>552</v>
      </c>
      <c r="B542" s="13" t="s">
        <v>108</v>
      </c>
      <c r="C542" s="32" t="n">
        <f aca="false">mw_ye24</f>
        <v>360</v>
      </c>
      <c r="D542" s="32" t="n">
        <f aca="false">mw_ye25</f>
        <v>1440</v>
      </c>
      <c r="E542" s="32" t="n">
        <f aca="false">mw_open</f>
        <v>2080</v>
      </c>
      <c r="F542" s="32" t="n">
        <f aca="false">Sens!$E$542+pace_B*0.5</f>
        <v>3897.15</v>
      </c>
      <c r="G542" s="32" t="n">
        <f aca="false">Sens!$F$542</f>
        <v>3897.15</v>
      </c>
      <c r="H542" s="32" t="n">
        <f aca="false">Sens!$G$542+pace_B</f>
        <v>7531.45</v>
      </c>
      <c r="I542" s="32" t="n">
        <f aca="false">Sens!$H$542+pace_B</f>
        <v>11165.75</v>
      </c>
      <c r="J542" s="32" t="n">
        <f aca="false">Sens!$I$542+pace_B</f>
        <v>14800.05</v>
      </c>
      <c r="K542" s="32" t="n">
        <f aca="false">Sens!$J$542+pace_B</f>
        <v>18434.35</v>
      </c>
      <c r="L542" s="32" t="n">
        <f aca="false">Sens!$K$542+pace_B</f>
        <v>22068.65</v>
      </c>
      <c r="M542" s="32" t="n">
        <f aca="false">Sens!$L$542+pace_B</f>
        <v>25702.95</v>
      </c>
      <c r="N542" s="32" t="n">
        <f aca="false">(mw_ye24+mw_ye25)/2</f>
        <v>900</v>
      </c>
      <c r="O542" s="32" t="n">
        <f aca="false">mw_ye25</f>
        <v>1440</v>
      </c>
      <c r="P542" s="5" t="s">
        <v>553</v>
      </c>
    </row>
    <row r="543" customFormat="false" ht="17.15" hidden="false" customHeight="false" outlineLevel="0" collapsed="false">
      <c r="A543" s="5" t="s">
        <v>554</v>
      </c>
      <c r="B543" s="0" t="s">
        <v>108</v>
      </c>
      <c r="C543" s="33" t="n">
        <f aca="false">(mw_ye23+mw_ye24)/2</f>
        <v>240</v>
      </c>
      <c r="D543" s="33" t="n">
        <f aca="false">(Sens!$C$542+Sens!$D$542)/2</f>
        <v>900</v>
      </c>
      <c r="E543" s="33" t="n">
        <f aca="false">(Sens!$D$542+Sens!$E$542)/2</f>
        <v>1760</v>
      </c>
      <c r="F543" s="33" t="n">
        <f aca="false">(Sens!$E$542+Sens!$F$542)/2</f>
        <v>2988.575</v>
      </c>
      <c r="G543" s="33" t="n">
        <f aca="false">(Sens!$E$543+Sens!$F$543)/2</f>
        <v>2374.2875</v>
      </c>
      <c r="H543" s="33" t="n">
        <f aca="false">(Sens!$G$542+Sens!$H$542)/2</f>
        <v>5714.3</v>
      </c>
      <c r="I543" s="33" t="n">
        <f aca="false">(Sens!$H$542+Sens!$I$542)/2</f>
        <v>9348.6</v>
      </c>
      <c r="J543" s="33" t="n">
        <f aca="false">(Sens!$I$542+Sens!$J$542)/2</f>
        <v>12982.9</v>
      </c>
      <c r="K543" s="33" t="n">
        <f aca="false">(Sens!$J$542+Sens!$K$542)/2</f>
        <v>16617.2</v>
      </c>
      <c r="L543" s="33" t="n">
        <f aca="false">(Sens!$K$542+Sens!$L$542)/2</f>
        <v>20251.5</v>
      </c>
      <c r="M543" s="33" t="n">
        <f aca="false">(Sens!$L$542+Sens!$M$542)/2</f>
        <v>23885.8</v>
      </c>
      <c r="N543" s="33" t="n">
        <f aca="false">(Sens!$C$542+Sens!$N$542)/2</f>
        <v>630</v>
      </c>
      <c r="O543" s="33" t="n">
        <f aca="false">(Sens!$N$542+Sens!$O$542)/2</f>
        <v>1170</v>
      </c>
    </row>
    <row r="544" customFormat="false" ht="15" hidden="false" customHeight="false" outlineLevel="0" collapsed="false">
      <c r="A544" s="5" t="s">
        <v>555</v>
      </c>
      <c r="B544" s="5" t="s">
        <v>102</v>
      </c>
      <c r="C544" s="34" t="n">
        <v>1</v>
      </c>
      <c r="D544" s="34" t="n">
        <v>1</v>
      </c>
      <c r="E544" s="34" t="n">
        <v>0.5</v>
      </c>
      <c r="F544" s="34" t="n">
        <v>0.5</v>
      </c>
      <c r="G544" s="34" t="n">
        <v>1</v>
      </c>
      <c r="H544" s="34" t="n">
        <v>1</v>
      </c>
      <c r="I544" s="34" t="n">
        <v>1</v>
      </c>
      <c r="J544" s="34" t="n">
        <v>1</v>
      </c>
      <c r="K544" s="34" t="n">
        <v>1</v>
      </c>
      <c r="L544" s="34" t="n">
        <v>1</v>
      </c>
      <c r="M544" s="34" t="n">
        <v>1</v>
      </c>
      <c r="N544" s="34" t="n">
        <v>0.5</v>
      </c>
      <c r="O544" s="34" t="n">
        <v>0.5</v>
      </c>
    </row>
    <row r="545" customFormat="false" ht="17.15" hidden="false" customHeight="false" outlineLevel="0" collapsed="false">
      <c r="A545" s="5" t="s">
        <v>556</v>
      </c>
      <c r="B545" s="0" t="s">
        <v>108</v>
      </c>
      <c r="C545" s="33" t="n">
        <f aca="false">Sens!$C$542-mw_ye23</f>
        <v>240</v>
      </c>
      <c r="D545" s="33" t="n">
        <f aca="false">Sens!$D$542-Sens!$C$542</f>
        <v>1080</v>
      </c>
      <c r="E545" s="33" t="n">
        <f aca="false">Sens!$E$542-Sens!$D$542</f>
        <v>640</v>
      </c>
      <c r="F545" s="33" t="n">
        <f aca="false">Sens!$F$542-Sens!$E$542</f>
        <v>1817.15</v>
      </c>
      <c r="G545" s="33" t="n">
        <f aca="false">Sens!$E$545+Sens!$F$545</f>
        <v>2457.15</v>
      </c>
      <c r="H545" s="33" t="n">
        <f aca="false">Sens!$H$542-Sens!$G$542</f>
        <v>3634.3</v>
      </c>
      <c r="I545" s="33" t="n">
        <f aca="false">Sens!$I$542-Sens!$H$542</f>
        <v>3634.3</v>
      </c>
      <c r="J545" s="33" t="n">
        <f aca="false">Sens!$J$542-Sens!$I$542</f>
        <v>3634.3</v>
      </c>
      <c r="K545" s="33" t="n">
        <f aca="false">Sens!$K$542-Sens!$J$542</f>
        <v>3634.3</v>
      </c>
      <c r="L545" s="33" t="n">
        <f aca="false">Sens!$L$542-Sens!$K$542</f>
        <v>3634.3</v>
      </c>
      <c r="M545" s="33" t="n">
        <f aca="false">Sens!$M$542-Sens!$L$542</f>
        <v>3634.3</v>
      </c>
      <c r="N545" s="33" t="n">
        <f aca="false">Sens!$N$542-Sens!$C$542</f>
        <v>540</v>
      </c>
      <c r="O545" s="33" t="n">
        <f aca="false">Sens!$O$542-Sens!$N$542</f>
        <v>540</v>
      </c>
    </row>
    <row r="546" customFormat="false" ht="17.15" hidden="false" customHeight="false" outlineLevel="0" collapsed="false">
      <c r="A546" s="5" t="s">
        <v>557</v>
      </c>
      <c r="B546" s="0" t="s">
        <v>108</v>
      </c>
      <c r="C546" s="33" t="n">
        <f aca="false">Sens!$C$545/ext_sh</f>
        <v>300</v>
      </c>
      <c r="D546" s="33" t="n">
        <f aca="false">Sens!$D$545/ext_sh</f>
        <v>1350</v>
      </c>
      <c r="E546" s="33" t="n">
        <f aca="false">Sens!$E$545/ext_sh</f>
        <v>800</v>
      </c>
      <c r="F546" s="33" t="n">
        <f aca="false">Sens!$F$545/ext_sh</f>
        <v>2271.4375</v>
      </c>
      <c r="G546" s="33" t="n">
        <f aca="false">Sens!$G$545/ext_sh</f>
        <v>3071.4375</v>
      </c>
      <c r="H546" s="33" t="n">
        <f aca="false">Sens!$H$545/ext_sh</f>
        <v>4542.875</v>
      </c>
      <c r="I546" s="33" t="n">
        <f aca="false">Sens!$I$545/ext_sh</f>
        <v>4542.875</v>
      </c>
      <c r="J546" s="33" t="n">
        <f aca="false">Sens!$J$545/ext_sh</f>
        <v>4542.875</v>
      </c>
      <c r="K546" s="33" t="n">
        <f aca="false">Sens!$K$545/ext_sh</f>
        <v>4542.875</v>
      </c>
      <c r="L546" s="33" t="n">
        <f aca="false">Sens!$L$545/ext_sh</f>
        <v>4542.875</v>
      </c>
      <c r="M546" s="33" t="n">
        <f aca="false">Sens!$M$545/ext_sh</f>
        <v>4542.875</v>
      </c>
      <c r="N546" s="33" t="n">
        <f aca="false">Sens!$N$545/ext_sh</f>
        <v>675</v>
      </c>
      <c r="O546" s="33" t="n">
        <f aca="false">Sens!$O$545/ext_sh</f>
        <v>675</v>
      </c>
      <c r="P546" s="8" t="s">
        <v>558</v>
      </c>
      <c r="R546" s="33" t="n">
        <f aca="false">mw_ye23/ext_sh</f>
        <v>150</v>
      </c>
      <c r="S546" s="33" t="n">
        <f aca="false">Sens!$C$546</f>
        <v>300</v>
      </c>
      <c r="T546" s="33" t="n">
        <f aca="false">Sens!$D$546</f>
        <v>1350</v>
      </c>
      <c r="U546" s="33" t="n">
        <f aca="false">Sens!$G$546</f>
        <v>3071.4375</v>
      </c>
      <c r="V546" s="33" t="n">
        <f aca="false">Sens!$H$546</f>
        <v>4542.875</v>
      </c>
      <c r="W546" s="33" t="n">
        <f aca="false">Sens!$I$546</f>
        <v>4542.875</v>
      </c>
      <c r="X546" s="33" t="n">
        <f aca="false">Sens!$J$546</f>
        <v>4542.875</v>
      </c>
      <c r="Y546" s="33" t="n">
        <f aca="false">Sens!$K$546</f>
        <v>4542.875</v>
      </c>
      <c r="Z546" s="33" t="n">
        <f aca="false">Sens!$L$546</f>
        <v>4542.875</v>
      </c>
      <c r="AA546" s="33" t="n">
        <f aca="false">Sens!$M$546</f>
        <v>4542.875</v>
      </c>
    </row>
    <row r="547" customFormat="false" ht="17.15" hidden="false" customHeight="false" outlineLevel="0" collapsed="false">
      <c r="A547" s="1" t="s">
        <v>559</v>
      </c>
    </row>
    <row r="548" customFormat="false" ht="17.15" hidden="false" customHeight="false" outlineLevel="0" collapsed="false">
      <c r="A548" s="0" t="s">
        <v>560</v>
      </c>
      <c r="B548" s="0" t="s">
        <v>52</v>
      </c>
      <c r="F548" s="35" t="n">
        <f aca="false">na_vr26</f>
        <v>0</v>
      </c>
      <c r="G548" s="35" t="n">
        <f aca="false">na_vr26</f>
        <v>0</v>
      </c>
      <c r="H548" s="35" t="n">
        <f aca="false">na_vr27</f>
        <v>0.5</v>
      </c>
      <c r="I548" s="35" t="n">
        <f aca="false">na_vr28</f>
        <v>1</v>
      </c>
      <c r="J548" s="35" t="n">
        <f aca="false">na_vr28</f>
        <v>1</v>
      </c>
      <c r="K548" s="35" t="n">
        <f aca="false">na_vr28</f>
        <v>1</v>
      </c>
      <c r="L548" s="35" t="n">
        <f aca="false">na_vr28</f>
        <v>1</v>
      </c>
      <c r="M548" s="35" t="n">
        <f aca="false">na_vr28</f>
        <v>1</v>
      </c>
    </row>
    <row r="549" customFormat="false" ht="17.15" hidden="false" customHeight="false" outlineLevel="0" collapsed="false">
      <c r="A549" s="5" t="s">
        <v>561</v>
      </c>
      <c r="B549" s="0" t="s">
        <v>151</v>
      </c>
      <c r="F549" s="36" t="n">
        <f aca="false">cust_sh*tk_he_gb300*cf_chip+(1-cust_sh)*((1-Sens!$F$548)*tk_he_gb300+Sens!$F$548*tk_he_vr200)</f>
        <v>10.8864110021101</v>
      </c>
      <c r="G549" s="36" t="n">
        <f aca="false">cust_sh*tk_he_gb300*cf_chip+(1-cust_sh)*((1-Sens!$G$548)*tk_he_gb300+Sens!$G$548*tk_he_vr200)</f>
        <v>10.8864110021101</v>
      </c>
      <c r="H549" s="36" t="n">
        <f aca="false">cust_sh*tk_he_gb300*cf_chip+(1-cust_sh)*((1-Sens!$H$548)*tk_he_gb300+Sens!$H$548*tk_he_vr200)</f>
        <v>11.2211760027286</v>
      </c>
      <c r="I549" s="36" t="n">
        <f aca="false">cust_sh*tk_he_gb300*cf_chip+(1-cust_sh)*((1-Sens!$I$548)*tk_he_gb300+Sens!$I$548*tk_he_vr200)</f>
        <v>11.5559410033471</v>
      </c>
      <c r="J549" s="36" t="n">
        <f aca="false">cust_sh*tk_he_gb300*cf_chip+(1-cust_sh)*((1-Sens!$J$548)*tk_he_gb300+Sens!$J$548*tk_he_vr200)</f>
        <v>11.5559410033471</v>
      </c>
      <c r="K549" s="36" t="n">
        <f aca="false">cust_sh*tk_he_gb300*cf_chip+(1-cust_sh)*((1-Sens!$K$548)*tk_he_gb300+Sens!$K$548*tk_he_vr200)</f>
        <v>11.5559410033471</v>
      </c>
      <c r="L549" s="36" t="n">
        <f aca="false">cust_sh*tk_he_gb300*cf_chip+(1-cust_sh)*((1-Sens!$L$548)*tk_he_gb300+Sens!$L$548*tk_he_vr200)</f>
        <v>11.5559410033471</v>
      </c>
      <c r="M549" s="36" t="n">
        <f aca="false">cust_sh*tk_he_gb300*cf_chip+(1-cust_sh)*((1-Sens!$M$548)*tk_he_gb300+Sens!$M$548*tk_he_vr200)</f>
        <v>11.5559410033471</v>
      </c>
    </row>
    <row r="550" customFormat="false" ht="17.15" hidden="false" customHeight="false" outlineLevel="0" collapsed="false">
      <c r="A550" s="5" t="s">
        <v>562</v>
      </c>
      <c r="B550" s="0" t="s">
        <v>151</v>
      </c>
      <c r="F550" s="36" t="n">
        <f aca="false">cust_sh*tk_ox_gb300+(1-cust_sh)*((1-Sens!$F$548)*tk_ox_gb300+Sens!$F$548*tk_ox_vr200)</f>
        <v>1.98263481314457</v>
      </c>
      <c r="G550" s="36" t="n">
        <f aca="false">cust_sh*tk_ox_gb300+(1-cust_sh)*((1-Sens!$G$548)*tk_ox_gb300+Sens!$G$548*tk_ox_vr200)</f>
        <v>1.98263481314457</v>
      </c>
      <c r="H550" s="36" t="n">
        <f aca="false">cust_sh*tk_ox_gb300+(1-cust_sh)*((1-Sens!$H$548)*tk_ox_gb300+Sens!$H$548*tk_ox_vr200)</f>
        <v>2.01034999693694</v>
      </c>
      <c r="I550" s="36" t="n">
        <f aca="false">cust_sh*tk_ox_gb300+(1-cust_sh)*((1-Sens!$I$548)*tk_ox_gb300+Sens!$I$548*tk_ox_vr200)</f>
        <v>2.0380651807293</v>
      </c>
      <c r="J550" s="36" t="n">
        <f aca="false">cust_sh*tk_ox_gb300+(1-cust_sh)*((1-Sens!$J$548)*tk_ox_gb300+Sens!$J$548*tk_ox_vr200)</f>
        <v>2.0380651807293</v>
      </c>
      <c r="K550" s="36" t="n">
        <f aca="false">cust_sh*tk_ox_gb300+(1-cust_sh)*((1-Sens!$K$548)*tk_ox_gb300+Sens!$K$548*tk_ox_vr200)</f>
        <v>2.0380651807293</v>
      </c>
      <c r="L550" s="36" t="n">
        <f aca="false">cust_sh*tk_ox_gb300+(1-cust_sh)*((1-Sens!$L$548)*tk_ox_gb300+Sens!$L$548*tk_ox_vr200)</f>
        <v>2.0380651807293</v>
      </c>
      <c r="M550" s="36" t="n">
        <f aca="false">cust_sh*tk_ox_gb300+(1-cust_sh)*((1-Sens!$M$548)*tk_ox_gb300+Sens!$M$548*tk_ox_vr200)</f>
        <v>2.0380651807293</v>
      </c>
    </row>
    <row r="551" customFormat="false" ht="17.15" hidden="false" customHeight="false" outlineLevel="0" collapsed="false">
      <c r="A551" s="5" t="s">
        <v>563</v>
      </c>
      <c r="B551" s="0" t="s">
        <v>170</v>
      </c>
      <c r="F551" s="36" t="n">
        <f aca="false">cust_sh*tk_cx_gb300*cf_cx+(1-cust_sh)*((1-Sens!$F$548)*tk_cx_gb300+Sens!$F$548*tk_cx_vr200)</f>
        <v>32.237224</v>
      </c>
      <c r="G551" s="36" t="n">
        <f aca="false">cust_sh*tk_cx_gb300*cf_cx+(1-cust_sh)*((1-Sens!$G$548)*tk_cx_gb300+Sens!$G$548*tk_cx_vr200)</f>
        <v>32.237224</v>
      </c>
      <c r="H551" s="36" t="n">
        <f aca="false">cust_sh*tk_cx_gb300*cf_cx+(1-cust_sh)*((1-Sens!$H$548)*tk_cx_gb300+Sens!$H$548*tk_cx_vr200)</f>
        <v>33.574506</v>
      </c>
      <c r="I551" s="36" t="n">
        <f aca="false">cust_sh*tk_cx_gb300*cf_cx+(1-cust_sh)*((1-Sens!$I$548)*tk_cx_gb300+Sens!$I$548*tk_cx_vr200)</f>
        <v>34.911788</v>
      </c>
      <c r="J551" s="36" t="n">
        <f aca="false">cust_sh*tk_cx_gb300*cf_cx+(1-cust_sh)*((1-Sens!$J$548)*tk_cx_gb300+Sens!$J$548*tk_cx_vr200)</f>
        <v>34.911788</v>
      </c>
      <c r="K551" s="36" t="n">
        <f aca="false">cust_sh*tk_cx_gb300*cf_cx+(1-cust_sh)*((1-Sens!$K$548)*tk_cx_gb300+Sens!$K$548*tk_cx_vr200)</f>
        <v>34.911788</v>
      </c>
      <c r="L551" s="36" t="n">
        <f aca="false">cust_sh*tk_cx_gb300*cf_cx+(1-cust_sh)*((1-Sens!$L$548)*tk_cx_gb300+Sens!$L$548*tk_cx_vr200)</f>
        <v>34.911788</v>
      </c>
      <c r="M551" s="36" t="n">
        <f aca="false">cust_sh*tk_cx_gb300*cf_cx+(1-cust_sh)*((1-Sens!$M$548)*tk_cx_gb300+Sens!$M$548*tk_cx_vr200)</f>
        <v>34.911788</v>
      </c>
    </row>
    <row r="552" customFormat="false" ht="17.15" hidden="false" customHeight="false" outlineLevel="0" collapsed="false">
      <c r="A552" s="5" t="s">
        <v>564</v>
      </c>
      <c r="B552" s="0" t="s">
        <v>108</v>
      </c>
      <c r="F552" s="33" t="n">
        <f aca="false">Sens!$F$542-mw_open</f>
        <v>1817.15</v>
      </c>
      <c r="G552" s="33" t="n">
        <f aca="false">Sens!$F$552</f>
        <v>1817.15</v>
      </c>
      <c r="H552" s="33" t="n">
        <f aca="false">Sens!$H$542-mw_open</f>
        <v>5451.45</v>
      </c>
      <c r="I552" s="33" t="n">
        <f aca="false">Sens!$I$542-mw_open</f>
        <v>9085.75</v>
      </c>
      <c r="J552" s="33" t="n">
        <f aca="false">Sens!$J$542-mw_open</f>
        <v>12720.05</v>
      </c>
      <c r="K552" s="33" t="n">
        <f aca="false">Sens!$K$542-mw_open</f>
        <v>16354.35</v>
      </c>
      <c r="L552" s="33" t="n">
        <f aca="false">Sens!$L$542-mw_open</f>
        <v>19988.65</v>
      </c>
      <c r="M552" s="33" t="n">
        <f aca="false">Sens!$M$542-mw_open</f>
        <v>23622.95</v>
      </c>
    </row>
    <row r="553" customFormat="false" ht="17.15" hidden="false" customHeight="false" outlineLevel="0" collapsed="false">
      <c r="A553" s="0" t="s">
        <v>565</v>
      </c>
      <c r="B553" s="0" t="s">
        <v>566</v>
      </c>
      <c r="F553" s="33" t="n">
        <f aca="false">Sens!$F$545*Sens!$F$549</f>
        <v>19782.2417524844</v>
      </c>
      <c r="G553" s="33" t="n">
        <f aca="false">Sens!$F$553</f>
        <v>19782.2417524844</v>
      </c>
      <c r="H553" s="33" t="n">
        <f aca="false">Sens!$G$553+Sens!$H$545*Sens!$H$549</f>
        <v>60563.3616992009</v>
      </c>
      <c r="I553" s="33" t="n">
        <f aca="false">Sens!$H$553+Sens!$I$545*Sens!$I$549</f>
        <v>102561.118087665</v>
      </c>
      <c r="J553" s="33" t="n">
        <f aca="false">Sens!$I$553+Sens!$J$545*Sens!$J$549</f>
        <v>144558.87447613</v>
      </c>
      <c r="K553" s="33" t="n">
        <f aca="false">Sens!$J$553+Sens!$K$545*Sens!$K$549</f>
        <v>186556.630864594</v>
      </c>
      <c r="L553" s="33" t="n">
        <f aca="false">Sens!$K$553+Sens!$L$545*Sens!$L$549</f>
        <v>228554.387253058</v>
      </c>
      <c r="M553" s="33" t="n">
        <f aca="false">Sens!$L$553+Sens!$M$545*Sens!$M$549</f>
        <v>270552.143641523</v>
      </c>
    </row>
    <row r="554" customFormat="false" ht="17.15" hidden="false" customHeight="false" outlineLevel="0" collapsed="false">
      <c r="A554" s="0" t="s">
        <v>567</v>
      </c>
      <c r="B554" s="0" t="s">
        <v>566</v>
      </c>
      <c r="F554" s="33" t="n">
        <f aca="false">Sens!$F$545*Sens!$F$550</f>
        <v>3602.74485070566</v>
      </c>
      <c r="G554" s="33" t="n">
        <f aca="false">Sens!$F$554</f>
        <v>3602.74485070566</v>
      </c>
      <c r="H554" s="33" t="n">
        <f aca="false">Sens!$G$554+Sens!$H$545*Sens!$H$550</f>
        <v>10908.9598445736</v>
      </c>
      <c r="I554" s="33" t="n">
        <f aca="false">Sens!$H$554+Sens!$I$545*Sens!$I$550</f>
        <v>18315.9001308981</v>
      </c>
      <c r="J554" s="33" t="n">
        <f aca="false">Sens!$I$554+Sens!$J$545*Sens!$J$550</f>
        <v>25722.8404172225</v>
      </c>
      <c r="K554" s="33" t="n">
        <f aca="false">Sens!$J$554+Sens!$K$545*Sens!$K$550</f>
        <v>33129.780703547</v>
      </c>
      <c r="L554" s="33" t="n">
        <f aca="false">Sens!$K$554+Sens!$L$545*Sens!$L$550</f>
        <v>40536.7209898715</v>
      </c>
      <c r="M554" s="33" t="n">
        <f aca="false">Sens!$L$554+Sens!$M$545*Sens!$M$550</f>
        <v>47943.661276196</v>
      </c>
    </row>
    <row r="555" customFormat="false" ht="17.15" hidden="false" customHeight="false" outlineLevel="0" collapsed="false">
      <c r="A555" s="5" t="s">
        <v>568</v>
      </c>
      <c r="B555" s="0" t="s">
        <v>151</v>
      </c>
      <c r="F555" s="36" t="n">
        <f aca="false">IF(Sens!$F$552&gt;0,Sens!$F$553/Sens!$F$552,Sens!$F$549)</f>
        <v>10.8864110021101</v>
      </c>
      <c r="G555" s="36" t="n">
        <f aca="false">IF(Sens!$G$552&gt;0,Sens!$G$553/Sens!$G$552,Sens!$G$549)</f>
        <v>10.8864110021101</v>
      </c>
      <c r="H555" s="36" t="n">
        <f aca="false">IF(Sens!$H$552&gt;0,Sens!$H$553/Sens!$H$552,Sens!$H$549)</f>
        <v>11.1095876691891</v>
      </c>
      <c r="I555" s="36" t="n">
        <f aca="false">IF(Sens!$I$552&gt;0,Sens!$I$553/Sens!$I$552,Sens!$I$549)</f>
        <v>11.2881290028523</v>
      </c>
      <c r="J555" s="36" t="n">
        <f aca="false">IF(Sens!$J$552&gt;0,Sens!$J$553/Sens!$J$552,Sens!$J$549)</f>
        <v>11.3646467172794</v>
      </c>
      <c r="K555" s="36" t="n">
        <f aca="false">IF(Sens!$K$552&gt;0,Sens!$K$553/Sens!$K$552,Sens!$K$549)</f>
        <v>11.4071565586278</v>
      </c>
      <c r="L555" s="36" t="n">
        <f aca="false">IF(Sens!$L$552&gt;0,Sens!$L$553/Sens!$L$552,Sens!$L$549)</f>
        <v>11.4342082758495</v>
      </c>
      <c r="M555" s="36" t="n">
        <f aca="false">IF(Sens!$M$552&gt;0,Sens!$M$553/Sens!$M$552,Sens!$M$549)</f>
        <v>11.4529363877722</v>
      </c>
    </row>
    <row r="556" customFormat="false" ht="17.15" hidden="false" customHeight="false" outlineLevel="0" collapsed="false">
      <c r="A556" s="5" t="s">
        <v>569</v>
      </c>
      <c r="B556" s="0" t="s">
        <v>151</v>
      </c>
      <c r="F556" s="36" t="n">
        <f aca="false">IF(Sens!$F$552&gt;0,Sens!$F$554/Sens!$F$552,Sens!$F$550)</f>
        <v>1.98263481314457</v>
      </c>
      <c r="G556" s="36" t="n">
        <f aca="false">IF(Sens!$G$552&gt;0,Sens!$G$554/Sens!$G$552,Sens!$G$550)</f>
        <v>1.98263481314457</v>
      </c>
      <c r="H556" s="36" t="n">
        <f aca="false">IF(Sens!$H$552&gt;0,Sens!$H$554/Sens!$H$552,Sens!$H$550)</f>
        <v>2.00111160233948</v>
      </c>
      <c r="I556" s="36" t="n">
        <f aca="false">IF(Sens!$I$552&gt;0,Sens!$I$554/Sens!$I$552,Sens!$I$550)</f>
        <v>2.01589303369541</v>
      </c>
      <c r="J556" s="36" t="n">
        <f aca="false">IF(Sens!$J$552&gt;0,Sens!$J$554/Sens!$J$552,Sens!$J$550)</f>
        <v>2.02222793284795</v>
      </c>
      <c r="K556" s="36" t="n">
        <f aca="false">IF(Sens!$K$552&gt;0,Sens!$K$554/Sens!$K$552,Sens!$K$550)</f>
        <v>2.02574732126603</v>
      </c>
      <c r="L556" s="36" t="n">
        <f aca="false">IF(Sens!$L$552&gt;0,Sens!$L$554/Sens!$L$552,Sens!$L$550)</f>
        <v>2.02798693207753</v>
      </c>
      <c r="M556" s="36" t="n">
        <f aca="false">IF(Sens!$M$552&gt;0,Sens!$M$554/Sens!$M$552,Sens!$M$550)</f>
        <v>2.02953743187011</v>
      </c>
    </row>
    <row r="557" customFormat="false" ht="17.15" hidden="false" customHeight="false" outlineLevel="0" collapsed="false">
      <c r="A557" s="14" t="s">
        <v>570</v>
      </c>
      <c r="B557" s="13" t="s">
        <v>151</v>
      </c>
      <c r="C557" s="13"/>
      <c r="D557" s="13"/>
      <c r="E557" s="13"/>
      <c r="F557" s="37" t="n">
        <f aca="false">Sens!$F$555*k_A</f>
        <v>16.5292102673303</v>
      </c>
      <c r="G557" s="37" t="n">
        <f aca="false">Sens!$G$555*k_A</f>
        <v>16.5292102673303</v>
      </c>
      <c r="H557" s="37" t="n">
        <f aca="false">Sens!$H$555*k_A</f>
        <v>16.8680670362136</v>
      </c>
      <c r="I557" s="37" t="n">
        <f aca="false">Sens!$I$555*k_A</f>
        <v>17.1391524513203</v>
      </c>
      <c r="J557" s="37" t="n">
        <f aca="false">Sens!$J$555*k_A</f>
        <v>17.2553319149374</v>
      </c>
      <c r="K557" s="37" t="n">
        <f aca="false">Sens!$K$555*k_A</f>
        <v>17.3198760613914</v>
      </c>
      <c r="L557" s="37" t="n">
        <f aca="false">Sens!$L$555*k_A</f>
        <v>17.3609496091348</v>
      </c>
      <c r="M557" s="37" t="n">
        <f aca="false">Sens!$M$555*k_A</f>
        <v>17.3893851421879</v>
      </c>
      <c r="N557" s="13"/>
      <c r="O557" s="13"/>
      <c r="P557" s="5" t="s">
        <v>571</v>
      </c>
    </row>
    <row r="558" customFormat="false" ht="17.15" hidden="false" customHeight="false" outlineLevel="0" collapsed="false">
      <c r="A558" s="5" t="s">
        <v>572</v>
      </c>
      <c r="B558" s="0" t="s">
        <v>108</v>
      </c>
      <c r="F558" s="33" t="n">
        <f aca="false">Sens!$F$552/2</f>
        <v>908.575</v>
      </c>
      <c r="H558" s="33" t="n">
        <f aca="false">(Sens!$G$552+Sens!$H$552)/2</f>
        <v>3634.3</v>
      </c>
      <c r="I558" s="33" t="n">
        <f aca="false">(Sens!$H$552+Sens!$I$552)/2</f>
        <v>7268.6</v>
      </c>
      <c r="J558" s="33" t="n">
        <f aca="false">(Sens!$I$552+Sens!$J$552)/2</f>
        <v>10902.9</v>
      </c>
      <c r="K558" s="33" t="n">
        <f aca="false">(Sens!$J$552+Sens!$K$552)/2</f>
        <v>14537.2</v>
      </c>
      <c r="L558" s="33" t="n">
        <f aca="false">(Sens!$K$552+Sens!$L$552)/2</f>
        <v>18171.5</v>
      </c>
      <c r="M558" s="33" t="n">
        <f aca="false">(Sens!$L$552+Sens!$M$552)/2</f>
        <v>21805.8</v>
      </c>
    </row>
    <row r="559" customFormat="false" ht="17.15" hidden="false" customHeight="false" outlineLevel="0" collapsed="false">
      <c r="A559" s="1" t="s">
        <v>573</v>
      </c>
    </row>
    <row r="560" customFormat="false" ht="17.15" hidden="false" customHeight="false" outlineLevel="0" collapsed="false">
      <c r="A560" s="1" t="s">
        <v>574</v>
      </c>
      <c r="B560" s="8" t="s">
        <v>73</v>
      </c>
      <c r="C560" s="38" t="n">
        <f aca="false">Sens!$C$543*rpm_open*Sens!$C$544/1000</f>
        <v>2.32100535697364</v>
      </c>
      <c r="D560" s="38" t="n">
        <f aca="false">Sens!$D$543*rpm_open*Sens!$D$544/1000</f>
        <v>8.70377008865116</v>
      </c>
      <c r="E560" s="38" t="n">
        <f aca="false">Sens!$E$543*rpm_open*Sens!$E$544/1000</f>
        <v>8.51035297557002</v>
      </c>
      <c r="F560" s="38" t="n">
        <f aca="false">(mw_open*rpm_open+Sens!$F$558*Sens!$F$557)*Sens!$F$544/1000</f>
        <v>17.5667034895389</v>
      </c>
      <c r="G560" s="38" t="n">
        <f aca="false">Sens!$E$560+Sens!$F$560</f>
        <v>26.077056465109</v>
      </c>
      <c r="H560" s="38" t="n">
        <f aca="false">(mw_open*rpm_open+Sens!$H$558*Sens!$H$557)/1000</f>
        <v>81.4189957901494</v>
      </c>
      <c r="I560" s="38" t="n">
        <f aca="false">(mw_open*rpm_open+Sens!$I$558*Sens!$I$557)/1000</f>
        <v>144.693023268105</v>
      </c>
      <c r="J560" s="38" t="n">
        <f aca="false">(mw_open*rpm_open+Sens!$J$558*Sens!$J$557)/1000</f>
        <v>208.248538095809</v>
      </c>
      <c r="K560" s="38" t="n">
        <f aca="false">(mw_open*rpm_open+Sens!$K$558*Sens!$K$557)/1000</f>
        <v>271.897882040097</v>
      </c>
      <c r="L560" s="38" t="n">
        <f aca="false">(mw_open*rpm_open+Sens!$L$558*Sens!$L$557)/1000</f>
        <v>335.589875582831</v>
      </c>
      <c r="M560" s="38" t="n">
        <f aca="false">(mw_open*rpm_open+Sens!$M$558*Sens!$M$557)/1000</f>
        <v>399.30483429396</v>
      </c>
      <c r="N560" s="38" t="n">
        <f aca="false">Sens!$N$543*rpm_open*Sens!$N$544/1000</f>
        <v>3.04631953102791</v>
      </c>
      <c r="O560" s="38" t="n">
        <f aca="false">Sens!$O$543*rpm_open*Sens!$O$544/1000</f>
        <v>5.65745055762326</v>
      </c>
      <c r="P560" s="5" t="s">
        <v>575</v>
      </c>
    </row>
    <row r="561" customFormat="false" ht="17.15" hidden="false" customHeight="false" outlineLevel="0" collapsed="false">
      <c r="A561" s="5" t="s">
        <v>576</v>
      </c>
      <c r="B561" s="0" t="s">
        <v>151</v>
      </c>
      <c r="C561" s="36" t="n">
        <f aca="false">Sens!$C$560*1000/(Sens!$C$543*Sens!$C$544)</f>
        <v>9.67085565405685</v>
      </c>
      <c r="D561" s="36" t="n">
        <f aca="false">Sens!$D$560*1000/(Sens!$D$543*Sens!$D$544)</f>
        <v>9.67085565405685</v>
      </c>
      <c r="E561" s="36" t="n">
        <f aca="false">Sens!$E$560*1000/(Sens!$E$543*Sens!$E$544)</f>
        <v>9.67085565405685</v>
      </c>
      <c r="F561" s="36" t="n">
        <f aca="false">Sens!$F$560*1000/(Sens!$F$543*Sens!$F$544)</f>
        <v>11.7559060686374</v>
      </c>
      <c r="G561" s="36" t="n">
        <f aca="false">Sens!$G$560*1000/(Sens!$G$543*Sens!$G$544)</f>
        <v>10.9831081809212</v>
      </c>
      <c r="H561" s="36" t="n">
        <f aca="false">Sens!$H$560*1000/(Sens!$H$543*Sens!$H$544)</f>
        <v>14.2482886425545</v>
      </c>
      <c r="I561" s="36" t="n">
        <f aca="false">Sens!$I$560*1000/(Sens!$I$543*Sens!$I$544)</f>
        <v>15.4775071420432</v>
      </c>
      <c r="J561" s="36" t="n">
        <f aca="false">Sens!$J$560*1000/(Sens!$J$543*Sens!$J$544)</f>
        <v>16.0402173702185</v>
      </c>
      <c r="K561" s="36" t="n">
        <f aca="false">Sens!$K$560*1000/(Sens!$K$543*Sens!$K$544)</f>
        <v>16.3624366343365</v>
      </c>
      <c r="L561" s="36" t="n">
        <f aca="false">Sens!$L$560*1000/(Sens!$L$543*Sens!$L$544)</f>
        <v>16.5711120451735</v>
      </c>
      <c r="M561" s="36" t="n">
        <f aca="false">Sens!$M$560*1000/(Sens!$M$543*Sens!$M$544)</f>
        <v>16.7172476657244</v>
      </c>
      <c r="N561" s="36" t="n">
        <f aca="false">Sens!$N$560*1000/(Sens!$N$543*Sens!$N$544)</f>
        <v>9.67085565405685</v>
      </c>
      <c r="O561" s="36" t="n">
        <f aca="false">Sens!$O$560*1000/(Sens!$O$543*Sens!$O$544)</f>
        <v>9.67085565405685</v>
      </c>
    </row>
    <row r="562" customFormat="false" ht="17.15" hidden="false" customHeight="false" outlineLevel="0" collapsed="false">
      <c r="A562" s="0" t="s">
        <v>577</v>
      </c>
      <c r="B562" s="0" t="s">
        <v>73</v>
      </c>
      <c r="C562" s="38" t="n">
        <f aca="false">Sens!$C$543/ext_sh*(ox_open+rent_mw)*Sens!$C$544/1000</f>
        <v>0.642569210675032</v>
      </c>
      <c r="D562" s="38" t="n">
        <f aca="false">Sens!$D$543/ext_sh*(ox_open+rent_mw)*Sens!$D$544/1000</f>
        <v>2.40963454003137</v>
      </c>
      <c r="E562" s="38" t="n">
        <f aca="false">Sens!$E$543/ext_sh*(ox_open+rent_mw)*Sens!$E$544/1000</f>
        <v>2.35608710580845</v>
      </c>
      <c r="F562" s="38" t="n">
        <f aca="false">((mw_open*ox_open+Sens!$F$558*Sens!$F$556)/ext_sh+Sens!$F$543/ext_sh*rent_mw)*Sens!$F$544/1000</f>
        <v>4.05421991106232</v>
      </c>
      <c r="G562" s="38" t="n">
        <f aca="false">Sens!$E$562+Sens!$F$562</f>
        <v>6.41030701687077</v>
      </c>
      <c r="H562" s="38" t="n">
        <f aca="false">((mw_open*ox_open+Sens!$H$558*Sens!$H$556)/ext_sh+Sens!$H$543/ext_sh*rent_mw)*Sens!$H$544/1000</f>
        <v>15.8108975546616</v>
      </c>
      <c r="I562" s="38" t="n">
        <f aca="false">((mw_open*ox_open+Sens!$I$558*Sens!$I$556)/ext_sh+Sens!$I$543/ext_sh*rent_mw)*Sens!$I$544/1000</f>
        <v>26.1871623400817</v>
      </c>
      <c r="J562" s="38" t="n">
        <f aca="false">((mw_open*ox_open+Sens!$J$558*Sens!$J$556)/ext_sh+Sens!$J$543/ext_sh*rent_mw)*Sens!$J$544/1000</f>
        <v>36.5826128954935</v>
      </c>
      <c r="K562" s="38" t="n">
        <f aca="false">((mw_open*ox_open+Sens!$K$558*Sens!$K$556)/ext_sh+Sens!$K$543/ext_sh*rent_mw)*Sens!$K$544/1000</f>
        <v>46.9844587075692</v>
      </c>
      <c r="L562" s="38" t="n">
        <f aca="false">((mw_open*ox_open+Sens!$L$558*Sens!$L$556)/ext_sh+Sens!$L$543/ext_sh*rent_mw)*Sens!$L$544/1000</f>
        <v>57.3892114544922</v>
      </c>
      <c r="M562" s="38" t="n">
        <f aca="false">((mw_open*ox_open+Sens!$M$558*Sens!$M$556)/ext_sh+Sens!$M$543/ext_sh*rent_mw)*Sens!$M$544/1000</f>
        <v>67.7955294740252</v>
      </c>
      <c r="N562" s="38" t="n">
        <f aca="false">Sens!$N$543/ext_sh*(ox_open+rent_mw)*Sens!$N$544/1000</f>
        <v>0.84337208901098</v>
      </c>
      <c r="O562" s="38" t="n">
        <f aca="false">Sens!$O$543/ext_sh*(ox_open+rent_mw)*Sens!$O$544/1000</f>
        <v>1.56626245102039</v>
      </c>
    </row>
    <row r="563" customFormat="false" ht="17.15" hidden="false" customHeight="false" outlineLevel="0" collapsed="false">
      <c r="A563" s="0" t="s">
        <v>578</v>
      </c>
      <c r="B563" s="0" t="s">
        <v>73</v>
      </c>
      <c r="C563" s="38" t="n">
        <f aca="false">Q!$D$7</f>
        <v>107.556</v>
      </c>
      <c r="D563" s="38" t="n">
        <f aca="false">Q!$E$7</f>
        <v>128.725</v>
      </c>
      <c r="E563" s="38" t="n">
        <f aca="false">Q!$P$7</f>
        <v>79.819</v>
      </c>
      <c r="N563" s="38" t="n">
        <f aca="false">Q!$N$7</f>
        <v>60.14</v>
      </c>
      <c r="O563" s="38" t="n">
        <f aca="false">Q!$O$7</f>
        <v>68.585</v>
      </c>
    </row>
    <row r="564" customFormat="false" ht="17.15" hidden="false" customHeight="false" outlineLevel="0" collapsed="false">
      <c r="A564" s="1" t="s">
        <v>579</v>
      </c>
      <c r="B564" s="8" t="s">
        <v>73</v>
      </c>
      <c r="C564" s="38" t="n">
        <f aca="false">Sens!$C$563-Sens!$C$560</f>
        <v>105.234994643026</v>
      </c>
      <c r="D564" s="38" t="n">
        <f aca="false">Sens!$D$563-Sens!$D$560</f>
        <v>120.021229911349</v>
      </c>
      <c r="E564" s="38" t="n">
        <f aca="false">Sens!$E$563-Sens!$E$560</f>
        <v>71.30864702443</v>
      </c>
      <c r="F564" s="38" t="n">
        <f aca="false">Sens!$O$564*(1+Sens!$F$565)</f>
        <v>78.5950104186653</v>
      </c>
      <c r="G564" s="38" t="n">
        <f aca="false">Sens!$E$564+Sens!$F$564</f>
        <v>149.903657443095</v>
      </c>
      <c r="H564" s="38" t="n">
        <f aca="false">Sens!$G$564*(1+Sens!$H$565)</f>
        <v>180.893560768142</v>
      </c>
      <c r="I564" s="38" t="n">
        <f aca="false">Sens!$H$564*(1+Sens!$I$565)</f>
        <v>210.64839721501</v>
      </c>
      <c r="J564" s="38" t="n">
        <f aca="false">Sens!$I$564*(1+Sens!$J$565)</f>
        <v>236.398909446495</v>
      </c>
      <c r="K564" s="38" t="n">
        <f aca="false">Sens!$J$564*(1+Sens!$K$565)</f>
        <v>255.310822202215</v>
      </c>
      <c r="L564" s="38" t="n">
        <f aca="false">Sens!$K$564*(1+Sens!$L$565)</f>
        <v>275.735687978392</v>
      </c>
      <c r="M564" s="38" t="n">
        <f aca="false">Sens!$L$564*(1+Sens!$M$565)</f>
        <v>297.794543016663</v>
      </c>
      <c r="N564" s="38" t="n">
        <f aca="false">Sens!$N$563-Sens!$N$560</f>
        <v>57.0936804689721</v>
      </c>
      <c r="O564" s="38" t="n">
        <f aca="false">Sens!$O$563-Sens!$O$560</f>
        <v>62.9275494423768</v>
      </c>
      <c r="P564" s="5" t="s">
        <v>580</v>
      </c>
    </row>
    <row r="565" customFormat="false" ht="17.15" hidden="false" customHeight="false" outlineLevel="0" collapsed="false">
      <c r="A565" s="0" t="s">
        <v>581</v>
      </c>
      <c r="B565" s="0" t="s">
        <v>52</v>
      </c>
      <c r="E565" s="12" t="n">
        <f aca="false">Sens!$E$564/Sens!$N$564-1</f>
        <v>0.248976181579029</v>
      </c>
      <c r="F565" s="12" t="n">
        <f aca="false">Sens!$E$565</f>
        <v>0.248976181579029</v>
      </c>
      <c r="G565" s="12" t="n">
        <f aca="false">Sens!$G$564/Sens!$D$564-1</f>
        <v>0.248976181579029</v>
      </c>
      <c r="H565" s="12" t="n">
        <f aca="false">Sens!$E$565+(g_awso_lt-Sens!$E$565)*1/4</f>
        <v>0.206732136184272</v>
      </c>
      <c r="I565" s="12" t="n">
        <f aca="false">Sens!$E$565+(g_awso_lt-Sens!$E$565)*2/4</f>
        <v>0.164488090789515</v>
      </c>
      <c r="J565" s="12" t="n">
        <f aca="false">Sens!$E$565+(g_awso_lt-Sens!$E$565)*3/4</f>
        <v>0.122244045394757</v>
      </c>
      <c r="K565" s="12" t="n">
        <f aca="false">Sens!$E$565+(g_awso_lt-Sens!$E$565)*4/4</f>
        <v>0.08</v>
      </c>
      <c r="L565" s="12" t="n">
        <f aca="false">g_awso_lt</f>
        <v>0.08</v>
      </c>
      <c r="M565" s="12" t="n">
        <f aca="false">g_awso_lt</f>
        <v>0.08</v>
      </c>
      <c r="P565" s="8" t="s">
        <v>582</v>
      </c>
    </row>
    <row r="566" customFormat="false" ht="17.15" hidden="false" customHeight="false" outlineLevel="0" collapsed="false">
      <c r="A566" s="1" t="s">
        <v>583</v>
      </c>
    </row>
    <row r="567" customFormat="false" ht="17.15" hidden="false" customHeight="false" outlineLevel="0" collapsed="false">
      <c r="A567" s="0" t="s">
        <v>584</v>
      </c>
      <c r="B567" s="0" t="s">
        <v>73</v>
      </c>
      <c r="F567" s="38" t="n">
        <f aca="false">cx_rt*Sens!$F$533+cx_awso*Sens!$F$564</f>
        <v>36.8045765066526</v>
      </c>
    </row>
    <row r="568" customFormat="false" ht="17.15" hidden="false" customHeight="false" outlineLevel="0" collapsed="false">
      <c r="A568" s="0" t="s">
        <v>585</v>
      </c>
      <c r="B568" s="0" t="s">
        <v>52</v>
      </c>
      <c r="C568" s="12" t="n">
        <f aca="false">tk_cx_h100/(tk_cx_h100+tk_fac*(1-colo_sh))</f>
        <v>0.730756458006641</v>
      </c>
      <c r="D568" s="12" t="n">
        <f aca="false">tk_cx_h100/(tk_cx_h100+tk_fac*(1-colo_sh))</f>
        <v>0.730756458006641</v>
      </c>
      <c r="E568" s="12" t="n">
        <f aca="false">Sens!$F$568</f>
        <v>0.760792334328868</v>
      </c>
      <c r="F568" s="12" t="n">
        <f aca="false">Sens!$F$551/(Sens!$F$551+tk_fac*(1-colo_sh))</f>
        <v>0.760792334328868</v>
      </c>
      <c r="G568" s="12" t="n">
        <f aca="false">Sens!$G$551/(Sens!$G$551+tk_fac*(1-colo_sh))</f>
        <v>0.760792334328868</v>
      </c>
      <c r="H568" s="12" t="n">
        <f aca="false">Sens!$H$551/(Sens!$H$551+tk_fac*(1-colo_sh))</f>
        <v>0.768110668862996</v>
      </c>
      <c r="I568" s="12" t="n">
        <f aca="false">Sens!$I$551/(Sens!$I$551+tk_fac*(1-colo_sh))</f>
        <v>0.77499450139483</v>
      </c>
      <c r="J568" s="12" t="n">
        <f aca="false">Sens!$J$551/(Sens!$J$551+tk_fac*(1-colo_sh))</f>
        <v>0.77499450139483</v>
      </c>
      <c r="K568" s="12" t="n">
        <f aca="false">Sens!$K$551/(Sens!$K$551+tk_fac*(1-colo_sh))</f>
        <v>0.77499450139483</v>
      </c>
      <c r="L568" s="12" t="n">
        <f aca="false">Sens!$L$551/(Sens!$L$551+tk_fac*(1-colo_sh))</f>
        <v>0.77499450139483</v>
      </c>
      <c r="M568" s="12" t="n">
        <f aca="false">Sens!$M$551/(Sens!$M$551+tk_fac*(1-colo_sh))</f>
        <v>0.77499450139483</v>
      </c>
    </row>
    <row r="569" customFormat="false" ht="17.15" hidden="false" customHeight="false" outlineLevel="0" collapsed="false">
      <c r="A569" s="1" t="s">
        <v>586</v>
      </c>
      <c r="B569" s="8" t="s">
        <v>73</v>
      </c>
      <c r="C569" s="38" t="n">
        <f aca="false">Q!$D$46-cx_rt*Q!$D$16-cx_awso*Sens!$C$564</f>
        <v>25.2781053077374</v>
      </c>
      <c r="D569" s="38" t="n">
        <f aca="false">Q!$E$46-cx_rt*Q!$E$16-cx_awso*Sens!$D$564</f>
        <v>69.5686316310026</v>
      </c>
      <c r="E569" s="38" t="n">
        <f aca="false">Q!$P$46-cx_rt*Q!$P$16-cx_awso*Sens!$E$564</f>
        <v>64.1899206485108</v>
      </c>
      <c r="F569" s="38" t="n">
        <f aca="false">MAX(Sens!$F$546*(Sens!$F$551+tk_fac*(1-colo_sh))/1000,capex_g26-Q!$P$46-Sens!$F$567)</f>
        <v>96.2481299895</v>
      </c>
      <c r="G569" s="38" t="n">
        <f aca="false">Sens!$E$569+Sens!$F$569</f>
        <v>160.438050638011</v>
      </c>
      <c r="H569" s="38" t="n">
        <f aca="false">Sens!$H$546*(Sens!$H$551+tk_fac*(1-colo_sh))/1000+Sens!$H$570</f>
        <v>198.57136494475</v>
      </c>
      <c r="I569" s="38" t="n">
        <f aca="false">Sens!$I$546*(Sens!$I$551+tk_fac*(1-colo_sh))/1000+Sens!$I$570</f>
        <v>204.6464699105</v>
      </c>
      <c r="J569" s="38" t="n">
        <f aca="false">Sens!$J$546*(Sens!$J$551+tk_fac*(1-colo_sh))/1000+Sens!$J$570</f>
        <v>209.8832381105</v>
      </c>
      <c r="K569" s="38" t="n">
        <f aca="false">Sens!$K$546*(Sens!$K$551+tk_fac*(1-colo_sh))/1000+Sens!$K$570</f>
        <v>215.1200063105</v>
      </c>
      <c r="L569" s="38" t="n">
        <f aca="false">Sens!$L$546*(Sens!$L$551+tk_fac*(1-colo_sh))/1000+Sens!$L$570</f>
        <v>251.7773837105</v>
      </c>
      <c r="M569" s="38" t="n">
        <f aca="false">Sens!$M$546*(Sens!$M$551+tk_fac*(1-colo_sh))/1000+Sens!$M$570</f>
        <v>311.87584476575</v>
      </c>
      <c r="P569" s="5" t="s">
        <v>587</v>
      </c>
      <c r="R569" s="38" t="n">
        <f aca="false">Q!$C$46-cx_rt*Q!$C$16-cx_awso*(Q!$C$7-mw_ye23/2*rpm_open/1000)</f>
        <v>1.50429979529945</v>
      </c>
      <c r="S569" s="38" t="n">
        <f aca="false">Sens!$C$569</f>
        <v>25.2781053077374</v>
      </c>
      <c r="T569" s="38" t="n">
        <f aca="false">Sens!$D$569</f>
        <v>69.5686316310026</v>
      </c>
      <c r="U569" s="38" t="n">
        <f aca="false">Sens!$G$569</f>
        <v>160.438050638011</v>
      </c>
      <c r="V569" s="38" t="n">
        <f aca="false">Sens!$H$569</f>
        <v>198.57136494475</v>
      </c>
      <c r="W569" s="38" t="n">
        <f aca="false">Sens!$I$569</f>
        <v>204.6464699105</v>
      </c>
      <c r="X569" s="38" t="n">
        <f aca="false">Sens!$J$569</f>
        <v>209.8832381105</v>
      </c>
      <c r="Y569" s="38" t="n">
        <f aca="false">Sens!$K$569</f>
        <v>215.1200063105</v>
      </c>
      <c r="Z569" s="38" t="n">
        <f aca="false">Sens!$L$569</f>
        <v>251.7773837105</v>
      </c>
      <c r="AA569" s="38" t="n">
        <f aca="false">Sens!$M$569</f>
        <v>311.87584476575</v>
      </c>
    </row>
    <row r="570" customFormat="false" ht="17.15" hidden="false" customHeight="false" outlineLevel="0" collapsed="false">
      <c r="A570" s="0" t="s">
        <v>588</v>
      </c>
      <c r="B570" s="0" t="s">
        <v>73</v>
      </c>
      <c r="H570" s="38" t="n">
        <f aca="false">SUMPRODUCT(--(Sens!$R$540:$AA$540=2027-tk_life),Sens!$R$546:$AA$546)*Sens!$H$551/1000</f>
        <v>0</v>
      </c>
      <c r="I570" s="38" t="n">
        <f aca="false">SUMPRODUCT(--(Sens!$R$540:$AA$540=2028-tk_life),Sens!$R$546:$AA$546)*Sens!$I$551/1000</f>
        <v>0</v>
      </c>
      <c r="J570" s="38" t="n">
        <f aca="false">SUMPRODUCT(--(Sens!$R$540:$AA$540=2029-tk_life),Sens!$R$546:$AA$546)*Sens!$J$551/1000</f>
        <v>5.2367682</v>
      </c>
      <c r="K570" s="38" t="n">
        <f aca="false">SUMPRODUCT(--(Sens!$R$540:$AA$540=2030-tk_life),Sens!$R$546:$AA$546)*Sens!$K$551/1000</f>
        <v>10.4735364</v>
      </c>
      <c r="L570" s="38" t="n">
        <f aca="false">SUMPRODUCT(--(Sens!$R$540:$AA$540=2031-tk_life),Sens!$R$546:$AA$546)*Sens!$L$551/1000</f>
        <v>47.1309138</v>
      </c>
      <c r="M570" s="38" t="n">
        <f aca="false">SUMPRODUCT(--(Sens!$R$540:$AA$540=2032-tk_life),Sens!$R$546:$AA$546)*Sens!$M$551/1000</f>
        <v>107.22937485525</v>
      </c>
    </row>
    <row r="571" customFormat="false" ht="17.15" hidden="false" customHeight="false" outlineLevel="0" collapsed="false">
      <c r="A571" s="5" t="s">
        <v>589</v>
      </c>
      <c r="B571" s="0" t="s">
        <v>73</v>
      </c>
      <c r="C571" s="38" t="n">
        <f aca="false">Sens!$C$569*Sens!$C$568</f>
        <v>18.472138699801</v>
      </c>
      <c r="D571" s="38" t="n">
        <f aca="false">Sens!$D$569*Sens!$D$568</f>
        <v>50.8377268390402</v>
      </c>
      <c r="E571" s="38" t="n">
        <f aca="false">Sens!$E$569*Sens!$E$568</f>
        <v>48.8351995705653</v>
      </c>
      <c r="F571" s="38" t="n">
        <f aca="false">Sens!$F$569*Sens!$F$568</f>
        <v>73.2248394895</v>
      </c>
      <c r="G571" s="38" t="n">
        <f aca="false">Sens!$E$571+Sens!$F$571</f>
        <v>122.060039060065</v>
      </c>
      <c r="H571" s="38" t="n">
        <f aca="false">(Sens!$H$569-Sens!$H$570)*Sens!$H$568+Sens!$H$570</f>
        <v>152.52478394475</v>
      </c>
      <c r="I571" s="38" t="n">
        <f aca="false">(Sens!$I$569-Sens!$I$570)*Sens!$I$568+Sens!$I$570</f>
        <v>158.5998889105</v>
      </c>
      <c r="J571" s="38" t="n">
        <f aca="false">(Sens!$J$569-Sens!$J$570)*Sens!$J$568+Sens!$J$570</f>
        <v>163.8366571105</v>
      </c>
      <c r="K571" s="38" t="n">
        <f aca="false">(Sens!$K$569-Sens!$K$570)*Sens!$K$568+Sens!$K$570</f>
        <v>169.0734253105</v>
      </c>
      <c r="L571" s="38" t="n">
        <f aca="false">(Sens!$L$569-Sens!$L$570)*Sens!$L$568+Sens!$L$570</f>
        <v>205.7308027105</v>
      </c>
      <c r="M571" s="38" t="n">
        <f aca="false">(Sens!$M$569-Sens!$M$570)*Sens!$M$568+Sens!$M$570</f>
        <v>265.82926376575</v>
      </c>
      <c r="R571" s="38" t="n">
        <f aca="false">Sens!$R$569*Sens!$C$568</f>
        <v>1.09927679019314</v>
      </c>
      <c r="S571" s="38" t="n">
        <f aca="false">Sens!$C$571</f>
        <v>18.472138699801</v>
      </c>
      <c r="T571" s="38" t="n">
        <f aca="false">Sens!$D$571</f>
        <v>50.8377268390402</v>
      </c>
      <c r="U571" s="38" t="n">
        <f aca="false">Sens!$G$571</f>
        <v>122.060039060065</v>
      </c>
      <c r="V571" s="38" t="n">
        <f aca="false">Sens!$H$571</f>
        <v>152.52478394475</v>
      </c>
      <c r="W571" s="38" t="n">
        <f aca="false">Sens!$I$571</f>
        <v>158.5998889105</v>
      </c>
      <c r="X571" s="38" t="n">
        <f aca="false">Sens!$J$571</f>
        <v>163.8366571105</v>
      </c>
      <c r="Y571" s="38" t="n">
        <f aca="false">Sens!$K$571</f>
        <v>169.0734253105</v>
      </c>
      <c r="Z571" s="38" t="n">
        <f aca="false">Sens!$L$571</f>
        <v>205.7308027105</v>
      </c>
      <c r="AA571" s="38" t="n">
        <f aca="false">Sens!$M$571</f>
        <v>265.82926376575</v>
      </c>
    </row>
    <row r="572" customFormat="false" ht="15" hidden="false" customHeight="false" outlineLevel="0" collapsed="false">
      <c r="A572" s="5" t="s">
        <v>590</v>
      </c>
      <c r="B572" s="0" t="s">
        <v>73</v>
      </c>
      <c r="C572" s="38" t="n">
        <f aca="false">Sens!$C$569-Sens!$C$571</f>
        <v>6.80596660793636</v>
      </c>
      <c r="D572" s="38" t="n">
        <f aca="false">Sens!$D$569-Sens!$D$571</f>
        <v>18.7309047919624</v>
      </c>
      <c r="E572" s="38" t="n">
        <f aca="false">Sens!$E$569-Sens!$E$571</f>
        <v>15.3547210779455</v>
      </c>
      <c r="F572" s="38" t="n">
        <f aca="false">Sens!$F$569-Sens!$F$571</f>
        <v>23.0232905</v>
      </c>
      <c r="G572" s="38" t="n">
        <f aca="false">Sens!$G$569-Sens!$G$571</f>
        <v>38.3780115779455</v>
      </c>
      <c r="H572" s="38" t="n">
        <f aca="false">Sens!$H$569-Sens!$H$571</f>
        <v>46.046581</v>
      </c>
      <c r="I572" s="38" t="n">
        <f aca="false">Sens!$I$569-Sens!$I$571</f>
        <v>46.046581</v>
      </c>
      <c r="J572" s="38" t="n">
        <f aca="false">Sens!$J$569-Sens!$J$571</f>
        <v>46.046581</v>
      </c>
      <c r="K572" s="38" t="n">
        <f aca="false">Sens!$K$569-Sens!$K$571</f>
        <v>46.046581</v>
      </c>
      <c r="L572" s="38" t="n">
        <f aca="false">Sens!$L$569-Sens!$L$571</f>
        <v>46.046581</v>
      </c>
      <c r="M572" s="38" t="n">
        <f aca="false">Sens!$M$569-Sens!$M$571</f>
        <v>46.046581</v>
      </c>
      <c r="R572" s="38" t="n">
        <f aca="false">Sens!$R$569-Sens!$R$571</f>
        <v>0.405023005106309</v>
      </c>
      <c r="S572" s="38" t="n">
        <f aca="false">Sens!$S$569-Sens!$S$571</f>
        <v>6.80596660793636</v>
      </c>
      <c r="T572" s="38" t="n">
        <f aca="false">Sens!$T$569-Sens!$T$571</f>
        <v>18.7309047919624</v>
      </c>
      <c r="U572" s="38" t="n">
        <f aca="false">Sens!$U$569-Sens!$U$571</f>
        <v>38.3780115779455</v>
      </c>
      <c r="V572" s="38" t="n">
        <f aca="false">Sens!$V$569-Sens!$V$571</f>
        <v>46.046581</v>
      </c>
      <c r="W572" s="38" t="n">
        <f aca="false">Sens!$W$569-Sens!$W$571</f>
        <v>46.046581</v>
      </c>
      <c r="X572" s="38" t="n">
        <f aca="false">Sens!$X$569-Sens!$X$571</f>
        <v>46.046581</v>
      </c>
      <c r="Y572" s="38" t="n">
        <f aca="false">Sens!$Y$569-Sens!$Y$571</f>
        <v>46.046581</v>
      </c>
      <c r="Z572" s="38" t="n">
        <f aca="false">Sens!$Z$569-Sens!$Z$571</f>
        <v>46.046581</v>
      </c>
      <c r="AA572" s="38" t="n">
        <f aca="false">Sens!$AA$569-Sens!$AA$571</f>
        <v>46.046581</v>
      </c>
    </row>
    <row r="573" customFormat="false" ht="17.15" hidden="false" customHeight="false" outlineLevel="0" collapsed="false">
      <c r="A573" s="0" t="s">
        <v>591</v>
      </c>
      <c r="B573" s="0" t="s">
        <v>52</v>
      </c>
      <c r="C573" s="12" t="n">
        <f aca="false">Sens!$C$569/Sens!$C$685</f>
        <v>0.325505489553393</v>
      </c>
      <c r="D573" s="12" t="n">
        <f aca="false">Sens!$D$569/Sens!$D$685</f>
        <v>0.54214956071542</v>
      </c>
      <c r="E573" s="12" t="n">
        <f aca="false">Sens!$E$569/Sens!$E$685</f>
        <v>0.666492790452817</v>
      </c>
      <c r="F573" s="12" t="n">
        <f aca="false">Sens!$F$569/Sens!$F$685</f>
        <v>0.723383481058938</v>
      </c>
      <c r="G573" s="12" t="n">
        <f aca="false">Sens!$G$569/Sens!$G$685</f>
        <v>0.699494931364102</v>
      </c>
      <c r="H573" s="12" t="n">
        <f aca="false">Sens!$H$569/Sens!$H$685</f>
        <v>0.714619350171483</v>
      </c>
      <c r="I573" s="12" t="n">
        <f aca="false">Sens!$I$569/Sens!$I$685</f>
        <v>0.696231624961614</v>
      </c>
      <c r="J573" s="12" t="n">
        <f aca="false">Sens!$J$569/Sens!$J$685</f>
        <v>0.681286352509885</v>
      </c>
      <c r="K573" s="12" t="n">
        <f aca="false">Sens!$K$569/Sens!$K$685</f>
        <v>0.671440649805508</v>
      </c>
      <c r="L573" s="12" t="n">
        <f aca="false">Sens!$L$569/Sens!$L$685</f>
        <v>0.6904509846562</v>
      </c>
      <c r="M573" s="12" t="n">
        <f aca="false">Sens!$M$569/Sens!$M$685</f>
        <v>0.720362080285865</v>
      </c>
    </row>
    <row r="574" customFormat="false" ht="17.15" hidden="false" customHeight="false" outlineLevel="0" collapsed="false">
      <c r="A574" s="0" t="s">
        <v>592</v>
      </c>
      <c r="B574" s="0" t="s">
        <v>73</v>
      </c>
      <c r="C574" s="38" t="n">
        <f aca="false">Sens!$S$574</f>
        <v>0.183212798365523</v>
      </c>
      <c r="D574" s="38" t="n">
        <f aca="false">Sens!$T$574</f>
        <v>3.2619025816657</v>
      </c>
      <c r="E574" s="38" t="n">
        <f aca="false">Sens!$G$574/2</f>
        <v>5.86742852741953</v>
      </c>
      <c r="F574" s="38" t="n">
        <f aca="false">Sens!$G$574/2</f>
        <v>5.86742852741953</v>
      </c>
      <c r="G574" s="38" t="n">
        <f aca="false">Sens!$U$574</f>
        <v>11.7348570548391</v>
      </c>
      <c r="H574" s="38" t="n">
        <f aca="false">Sens!$V$574</f>
        <v>32.0781968981833</v>
      </c>
      <c r="I574" s="38" t="n">
        <f aca="false">Sens!$W$574</f>
        <v>57.4989942223083</v>
      </c>
      <c r="J574" s="38" t="n">
        <f aca="false">Sens!$X$574</f>
        <v>83.932309040725</v>
      </c>
      <c r="K574" s="38" t="n">
        <f aca="false">Sens!$Y$574</f>
        <v>111.055205760776</v>
      </c>
      <c r="L574" s="38" t="n">
        <f aca="false">Sens!$Z$574</f>
        <v>136.155420195893</v>
      </c>
      <c r="M574" s="38" t="n">
        <f aca="false">Sens!$AA$574</f>
        <v>161.970932841136</v>
      </c>
      <c r="N574" s="38" t="n">
        <f aca="false">Sens!$D$574/2</f>
        <v>1.63095129083285</v>
      </c>
      <c r="O574" s="38" t="n">
        <f aca="false">Sens!$D$574/2</f>
        <v>1.63095129083285</v>
      </c>
      <c r="R574" s="38" t="n">
        <f aca="false">SUMPRODUCT(--(Sens!$R$540:$AA$540&lt;Sens!R$540),--(Sens!$R$540:$AA$540&gt;=Sens!R$540-tk_life),Sens!$R$571:$AA$571)/tk_life</f>
        <v>0</v>
      </c>
      <c r="S574" s="38" t="n">
        <f aca="false">SUMPRODUCT(--(Sens!$R$540:$AA$540&lt;Sens!S$540),--(Sens!$R$540:$AA$540&gt;=Sens!S$540-tk_life),Sens!$R$571:$AA$571)/tk_life</f>
        <v>0.183212798365523</v>
      </c>
      <c r="T574" s="38" t="n">
        <f aca="false">SUMPRODUCT(--(Sens!$R$540:$AA$540&lt;Sens!T$540),--(Sens!$R$540:$AA$540&gt;=Sens!T$540-tk_life),Sens!$R$571:$AA$571)/tk_life</f>
        <v>3.2619025816657</v>
      </c>
      <c r="U574" s="38" t="n">
        <f aca="false">SUMPRODUCT(--(Sens!$R$540:$AA$540&lt;Sens!U$540),--(Sens!$R$540:$AA$540&gt;=Sens!U$540-tk_life),Sens!$R$571:$AA$571)/tk_life</f>
        <v>11.7348570548391</v>
      </c>
      <c r="V574" s="38" t="n">
        <f aca="false">SUMPRODUCT(--(Sens!$R$540:$AA$540&lt;Sens!V$540),--(Sens!$R$540:$AA$540&gt;=Sens!V$540-tk_life),Sens!$R$571:$AA$571)/tk_life</f>
        <v>32.0781968981833</v>
      </c>
      <c r="W574" s="38" t="n">
        <f aca="false">SUMPRODUCT(--(Sens!$R$540:$AA$540&lt;Sens!W$540),--(Sens!$R$540:$AA$540&gt;=Sens!W$540-tk_life),Sens!$R$571:$AA$571)/tk_life</f>
        <v>57.4989942223083</v>
      </c>
      <c r="X574" s="38" t="n">
        <f aca="false">SUMPRODUCT(--(Sens!$R$540:$AA$540&lt;Sens!X$540),--(Sens!$R$540:$AA$540&gt;=Sens!X$540-tk_life),Sens!$R$571:$AA$571)/tk_life</f>
        <v>83.932309040725</v>
      </c>
      <c r="Y574" s="38" t="n">
        <f aca="false">SUMPRODUCT(--(Sens!$R$540:$AA$540&lt;Sens!Y$540),--(Sens!$R$540:$AA$540&gt;=Sens!Y$540-tk_life),Sens!$R$571:$AA$571)/tk_life</f>
        <v>111.055205760776</v>
      </c>
      <c r="Z574" s="38" t="n">
        <f aca="false">SUMPRODUCT(--(Sens!$R$540:$AA$540&lt;Sens!Z$540),--(Sens!$R$540:$AA$540&gt;=Sens!Z$540-tk_life),Sens!$R$571:$AA$571)/tk_life</f>
        <v>136.155420195893</v>
      </c>
      <c r="AA574" s="38" t="n">
        <f aca="false">SUMPRODUCT(--(Sens!$R$540:$AA$540&lt;Sens!AA$540),--(Sens!$R$540:$AA$540&gt;=Sens!AA$540-tk_life),Sens!$R$571:$AA$571)/tk_life</f>
        <v>161.970932841136</v>
      </c>
    </row>
    <row r="575" customFormat="false" ht="17.15" hidden="false" customHeight="false" outlineLevel="0" collapsed="false">
      <c r="A575" s="0" t="s">
        <v>593</v>
      </c>
      <c r="B575" s="0" t="s">
        <v>73</v>
      </c>
      <c r="C575" s="38" t="n">
        <f aca="false">Sens!$S$575</f>
        <v>0.0202511502553155</v>
      </c>
      <c r="D575" s="38" t="n">
        <f aca="false">Sens!$T$575</f>
        <v>0.360549480652134</v>
      </c>
      <c r="E575" s="38" t="n">
        <f aca="false">Sens!$G$575/2</f>
        <v>0.648547360125127</v>
      </c>
      <c r="F575" s="38" t="n">
        <f aca="false">Sens!$G$575/2</f>
        <v>0.648547360125127</v>
      </c>
      <c r="G575" s="38" t="n">
        <f aca="false">Sens!$U$575</f>
        <v>1.29709472025025</v>
      </c>
      <c r="H575" s="38" t="n">
        <f aca="false">Sens!$V$575</f>
        <v>3.21599529914753</v>
      </c>
      <c r="I575" s="38" t="n">
        <f aca="false">Sens!$W$575</f>
        <v>5.51832434914753</v>
      </c>
      <c r="J575" s="38" t="n">
        <f aca="false">Sens!$X$575</f>
        <v>7.82065339914753</v>
      </c>
      <c r="K575" s="38" t="n">
        <f aca="false">Sens!$Y$575</f>
        <v>10.1229824491475</v>
      </c>
      <c r="L575" s="38" t="n">
        <f aca="false">Sens!$Z$575</f>
        <v>12.4253114991475</v>
      </c>
      <c r="M575" s="38" t="n">
        <f aca="false">Sens!$AA$575</f>
        <v>14.7276405491475</v>
      </c>
      <c r="N575" s="38" t="n">
        <f aca="false">Sens!$D$575/2</f>
        <v>0.180274740326067</v>
      </c>
      <c r="O575" s="38" t="n">
        <f aca="false">Sens!$D$575/2</f>
        <v>0.180274740326067</v>
      </c>
      <c r="R575" s="38" t="n">
        <f aca="false">SUMPRODUCT(--(Sens!$R$540:$AA$540&lt;Sens!R$540),Sens!$R$572:$AA$572)/fac_life</f>
        <v>0</v>
      </c>
      <c r="S575" s="38" t="n">
        <f aca="false">SUMPRODUCT(--(Sens!$R$540:$AA$540&lt;Sens!S$540),Sens!$R$572:$AA$572)/fac_life</f>
        <v>0.0202511502553155</v>
      </c>
      <c r="T575" s="38" t="n">
        <f aca="false">SUMPRODUCT(--(Sens!$R$540:$AA$540&lt;Sens!T$540),Sens!$R$572:$AA$572)/fac_life</f>
        <v>0.360549480652134</v>
      </c>
      <c r="U575" s="38" t="n">
        <f aca="false">SUMPRODUCT(--(Sens!$R$540:$AA$540&lt;Sens!U$540),Sens!$R$572:$AA$572)/fac_life</f>
        <v>1.29709472025025</v>
      </c>
      <c r="V575" s="38" t="n">
        <f aca="false">SUMPRODUCT(--(Sens!$R$540:$AA$540&lt;Sens!V$540),Sens!$R$572:$AA$572)/fac_life</f>
        <v>3.21599529914753</v>
      </c>
      <c r="W575" s="38" t="n">
        <f aca="false">SUMPRODUCT(--(Sens!$R$540:$AA$540&lt;Sens!W$540),Sens!$R$572:$AA$572)/fac_life</f>
        <v>5.51832434914753</v>
      </c>
      <c r="X575" s="38" t="n">
        <f aca="false">SUMPRODUCT(--(Sens!$R$540:$AA$540&lt;Sens!X$540),Sens!$R$572:$AA$572)/fac_life</f>
        <v>7.82065339914753</v>
      </c>
      <c r="Y575" s="38" t="n">
        <f aca="false">SUMPRODUCT(--(Sens!$R$540:$AA$540&lt;Sens!Y$540),Sens!$R$572:$AA$572)/fac_life</f>
        <v>10.1229824491475</v>
      </c>
      <c r="Z575" s="38" t="n">
        <f aca="false">SUMPRODUCT(--(Sens!$R$540:$AA$540&lt;Sens!Z$540),Sens!$R$572:$AA$572)/fac_life</f>
        <v>12.4253114991475</v>
      </c>
      <c r="AA575" s="38" t="n">
        <f aca="false">SUMPRODUCT(--(Sens!$R$540:$AA$540&lt;Sens!AA$540),Sens!$R$572:$AA$572)/fac_life</f>
        <v>14.7276405491475</v>
      </c>
    </row>
    <row r="576" customFormat="false" ht="17.15" hidden="false" customHeight="false" outlineLevel="0" collapsed="false">
      <c r="A576" s="1" t="s">
        <v>594</v>
      </c>
      <c r="B576" s="8" t="s">
        <v>73</v>
      </c>
      <c r="C576" s="38" t="n">
        <f aca="false">Sens!$C$574+Sens!$C$575</f>
        <v>0.203463948620839</v>
      </c>
      <c r="D576" s="38" t="n">
        <f aca="false">Sens!$D$574+Sens!$D$575</f>
        <v>3.62245206231783</v>
      </c>
      <c r="E576" s="38" t="n">
        <f aca="false">Sens!$E$574+Sens!$E$575</f>
        <v>6.51597588754466</v>
      </c>
      <c r="F576" s="38" t="n">
        <f aca="false">Sens!$F$574+Sens!$F$575</f>
        <v>6.51597588754466</v>
      </c>
      <c r="G576" s="38" t="n">
        <f aca="false">Sens!$G$574+Sens!$G$575</f>
        <v>13.0319517750893</v>
      </c>
      <c r="H576" s="38" t="n">
        <f aca="false">Sens!$H$574+Sens!$H$575</f>
        <v>35.2941921973308</v>
      </c>
      <c r="I576" s="38" t="n">
        <f aca="false">Sens!$I$574+Sens!$I$575</f>
        <v>63.0173185714558</v>
      </c>
      <c r="J576" s="38" t="n">
        <f aca="false">Sens!$J$574+Sens!$J$575</f>
        <v>91.7529624398725</v>
      </c>
      <c r="K576" s="38" t="n">
        <f aca="false">Sens!$K$574+Sens!$K$575</f>
        <v>121.178188209924</v>
      </c>
      <c r="L576" s="38" t="n">
        <f aca="false">Sens!$L$574+Sens!$L$575</f>
        <v>148.58073169504</v>
      </c>
      <c r="M576" s="38" t="n">
        <f aca="false">Sens!$M$574+Sens!$M$575</f>
        <v>176.698573390283</v>
      </c>
      <c r="N576" s="38" t="n">
        <f aca="false">Sens!$N$574+Sens!$N$575</f>
        <v>1.81122603115892</v>
      </c>
      <c r="O576" s="38" t="n">
        <f aca="false">Sens!$O$574+Sens!$O$575</f>
        <v>1.81122603115892</v>
      </c>
      <c r="R576" s="38" t="n">
        <f aca="false">Sens!$R$574+Sens!$R$575</f>
        <v>0</v>
      </c>
      <c r="S576" s="38" t="n">
        <f aca="false">Sens!$S$574+Sens!$S$575</f>
        <v>0.203463948620839</v>
      </c>
      <c r="T576" s="38" t="n">
        <f aca="false">Sens!$T$574+Sens!$T$575</f>
        <v>3.62245206231783</v>
      </c>
      <c r="U576" s="38" t="n">
        <f aca="false">Sens!$U$574+Sens!$U$575</f>
        <v>13.0319517750893</v>
      </c>
      <c r="V576" s="38" t="n">
        <f aca="false">Sens!$V$574+Sens!$V$575</f>
        <v>35.2941921973308</v>
      </c>
      <c r="W576" s="38" t="n">
        <f aca="false">Sens!$W$574+Sens!$W$575</f>
        <v>63.0173185714558</v>
      </c>
      <c r="X576" s="38" t="n">
        <f aca="false">Sens!$X$574+Sens!$X$575</f>
        <v>91.7529624398725</v>
      </c>
      <c r="Y576" s="38" t="n">
        <f aca="false">Sens!$Y$574+Sens!$Y$575</f>
        <v>121.178188209924</v>
      </c>
      <c r="Z576" s="38" t="n">
        <f aca="false">Sens!$Z$574+Sens!$Z$575</f>
        <v>148.58073169504</v>
      </c>
      <c r="AA576" s="38" t="n">
        <f aca="false">Sens!$AA$574+Sens!$AA$575</f>
        <v>176.698573390283</v>
      </c>
    </row>
    <row r="577" customFormat="false" ht="17.15" hidden="false" customHeight="false" outlineLevel="0" collapsed="false">
      <c r="A577" s="0" t="s">
        <v>595</v>
      </c>
      <c r="B577" s="0" t="s">
        <v>73</v>
      </c>
      <c r="C577" s="38" t="n">
        <f aca="false">Sens!$S$577</f>
        <v>26.578941154416</v>
      </c>
      <c r="D577" s="38" t="n">
        <f aca="false">Sens!$T$577</f>
        <v>92.5251207231008</v>
      </c>
      <c r="G577" s="38" t="n">
        <f aca="false">Sens!$U$577</f>
        <v>239.931219586022</v>
      </c>
      <c r="H577" s="38" t="n">
        <f aca="false">Sens!$V$577</f>
        <v>403.208392333442</v>
      </c>
      <c r="I577" s="38" t="n">
        <f aca="false">Sens!$W$577</f>
        <v>544.837543672486</v>
      </c>
      <c r="J577" s="38" t="n">
        <f aca="false">Sens!$X$577</f>
        <v>662.967819343113</v>
      </c>
      <c r="K577" s="38" t="n">
        <f aca="false">Sens!$Y$577</f>
        <v>756.90963744369</v>
      </c>
      <c r="L577" s="38" t="n">
        <f aca="false">Sens!$Z$577</f>
        <v>860.10628945915</v>
      </c>
      <c r="M577" s="38" t="n">
        <f aca="false">Sens!$AA$577</f>
        <v>995.283560834616</v>
      </c>
      <c r="R577" s="38" t="n">
        <f aca="false">SUM(Sens!$R$569:$R$569)-SUM(Sens!$R$576:$R$576)</f>
        <v>1.50429979529945</v>
      </c>
      <c r="S577" s="38" t="n">
        <f aca="false">SUM(Sens!$R$569:$S$569)-SUM(Sens!$R$576:$S$576)</f>
        <v>26.578941154416</v>
      </c>
      <c r="T577" s="38" t="n">
        <f aca="false">SUM(Sens!$R$569:$T$569)-SUM(Sens!$R$576:$T$576)</f>
        <v>92.5251207231008</v>
      </c>
      <c r="U577" s="38" t="n">
        <f aca="false">SUM(Sens!$R$569:$U$569)-SUM(Sens!$R$576:$U$576)</f>
        <v>239.931219586022</v>
      </c>
      <c r="V577" s="38" t="n">
        <f aca="false">SUM(Sens!$R$569:$V$569)-SUM(Sens!$R$576:$V$576)</f>
        <v>403.208392333442</v>
      </c>
      <c r="W577" s="38" t="n">
        <f aca="false">SUM(Sens!$R$569:$W$569)-SUM(Sens!$R$576:$W$576)</f>
        <v>544.837543672486</v>
      </c>
      <c r="X577" s="38" t="n">
        <f aca="false">SUM(Sens!$R$569:$X$569)-SUM(Sens!$R$576:$X$576)</f>
        <v>662.967819343113</v>
      </c>
      <c r="Y577" s="38" t="n">
        <f aca="false">SUM(Sens!$R$569:$Y$569)-SUM(Sens!$R$576:$Y$576)</f>
        <v>756.90963744369</v>
      </c>
      <c r="Z577" s="38" t="n">
        <f aca="false">SUM(Sens!$R$569:$Z$569)-SUM(Sens!$R$576:$Z$576)</f>
        <v>860.10628945915</v>
      </c>
      <c r="AA577" s="38" t="n">
        <f aca="false">SUM(Sens!$R$569:$AA$569)-SUM(Sens!$R$576:$AA$576)</f>
        <v>995.283560834616</v>
      </c>
    </row>
    <row r="578" customFormat="false" ht="17.15" hidden="false" customHeight="false" outlineLevel="0" collapsed="false">
      <c r="A578" s="1" t="s">
        <v>596</v>
      </c>
    </row>
    <row r="579" customFormat="false" ht="17.15" hidden="false" customHeight="false" outlineLevel="0" collapsed="false">
      <c r="A579" s="0" t="s">
        <v>597</v>
      </c>
      <c r="B579" s="0" t="s">
        <v>73</v>
      </c>
      <c r="C579" s="38" t="n">
        <f aca="false">Sens!$C$560-ext_sh*Sens!$C$562</f>
        <v>1.80694998843362</v>
      </c>
      <c r="D579" s="38" t="n">
        <f aca="false">Sens!$D$560-ext_sh*Sens!$D$562</f>
        <v>6.77606245662607</v>
      </c>
      <c r="E579" s="38" t="n">
        <f aca="false">Sens!$E$560-ext_sh*Sens!$E$562</f>
        <v>6.62548329092326</v>
      </c>
      <c r="F579" s="38" t="n">
        <f aca="false">Sens!$F$560-ext_sh*Sens!$F$562</f>
        <v>14.3233275606891</v>
      </c>
      <c r="G579" s="38" t="n">
        <f aca="false">Sens!$G$560-ext_sh*Sens!$G$562</f>
        <v>20.9488108516123</v>
      </c>
      <c r="H579" s="38" t="n">
        <f aca="false">Sens!$H$560-ext_sh*Sens!$H$562</f>
        <v>68.7702777464201</v>
      </c>
      <c r="I579" s="38" t="n">
        <f aca="false">Sens!$I$560-ext_sh*Sens!$I$562</f>
        <v>123.743293396039</v>
      </c>
      <c r="J579" s="38" t="n">
        <f aca="false">Sens!$J$560-ext_sh*Sens!$J$562</f>
        <v>178.982447779414</v>
      </c>
      <c r="K579" s="38" t="n">
        <f aca="false">Sens!$K$560-ext_sh*Sens!$K$562</f>
        <v>234.310315074041</v>
      </c>
      <c r="L579" s="38" t="n">
        <f aca="false">Sens!$L$560-ext_sh*Sens!$L$562</f>
        <v>289.678506419237</v>
      </c>
      <c r="M579" s="38" t="n">
        <f aca="false">Sens!$M$560-ext_sh*Sens!$M$562</f>
        <v>345.06841071474</v>
      </c>
      <c r="N579" s="38" t="n">
        <f aca="false">Sens!$N$560-ext_sh*Sens!$N$562</f>
        <v>2.37162185981912</v>
      </c>
      <c r="O579" s="38" t="n">
        <f aca="false">Sens!$O$560-ext_sh*Sens!$O$562</f>
        <v>4.40444059680694</v>
      </c>
    </row>
    <row r="580" customFormat="false" ht="17.15" hidden="false" customHeight="false" outlineLevel="0" collapsed="false">
      <c r="A580" s="1" t="s">
        <v>598</v>
      </c>
      <c r="B580" s="8" t="s">
        <v>73</v>
      </c>
      <c r="C580" s="38" t="n">
        <f aca="false">Sens!$C$579-ext_sh*Sens!$C$576</f>
        <v>1.64417882953695</v>
      </c>
      <c r="D580" s="38" t="n">
        <f aca="false">Sens!$D$579-ext_sh*Sens!$D$576</f>
        <v>3.8781008067718</v>
      </c>
      <c r="E580" s="38" t="n">
        <f aca="false">Sens!$E$579-ext_sh*Sens!$E$576</f>
        <v>1.41270258088753</v>
      </c>
      <c r="F580" s="38" t="n">
        <f aca="false">Sens!$F$579-ext_sh*Sens!$F$576</f>
        <v>9.11054685065335</v>
      </c>
      <c r="G580" s="38" t="n">
        <f aca="false">Sens!$G$579-ext_sh*Sens!$G$576</f>
        <v>10.5232494315409</v>
      </c>
      <c r="H580" s="38" t="n">
        <f aca="false">Sens!$H$579-ext_sh*Sens!$H$576</f>
        <v>40.5349239885555</v>
      </c>
      <c r="I580" s="38" t="n">
        <f aca="false">Sens!$I$579-ext_sh*Sens!$I$576</f>
        <v>73.3294385388747</v>
      </c>
      <c r="J580" s="38" t="n">
        <f aca="false">Sens!$J$579-ext_sh*Sens!$J$576</f>
        <v>105.580077827516</v>
      </c>
      <c r="K580" s="38" t="n">
        <f aca="false">Sens!$K$579-ext_sh*Sens!$K$576</f>
        <v>137.367764506102</v>
      </c>
      <c r="L580" s="38" t="n">
        <f aca="false">Sens!$L$579-ext_sh*Sens!$L$576</f>
        <v>170.813921063205</v>
      </c>
      <c r="M580" s="38" t="n">
        <f aca="false">Sens!$M$579-ext_sh*Sens!$M$576</f>
        <v>203.709552002513</v>
      </c>
      <c r="N580" s="38" t="n">
        <f aca="false">Sens!$N$579-ext_sh*Sens!$N$576</f>
        <v>0.92264103489199</v>
      </c>
      <c r="O580" s="38" t="n">
        <f aca="false">Sens!$O$579-ext_sh*Sens!$O$576</f>
        <v>2.95545977187981</v>
      </c>
    </row>
    <row r="581" customFormat="false" ht="17.15" hidden="false" customHeight="false" outlineLevel="0" collapsed="false">
      <c r="A581" s="0" t="s">
        <v>599</v>
      </c>
      <c r="B581" s="0" t="s">
        <v>52</v>
      </c>
      <c r="C581" s="12" t="n">
        <f aca="false">Sens!$C$580/Sens!$C$560</f>
        <v>0.708390794789371</v>
      </c>
      <c r="D581" s="12" t="n">
        <f aca="false">Sens!$D$580/Sens!$D$560</f>
        <v>0.445565630441968</v>
      </c>
      <c r="E581" s="12" t="n">
        <f aca="false">Sens!$E$580/Sens!$E$560</f>
        <v>0.165998118402711</v>
      </c>
      <c r="F581" s="12" t="n">
        <f aca="false">Sens!$F$580/Sens!$F$560</f>
        <v>0.51862586831267</v>
      </c>
      <c r="G581" s="12" t="n">
        <f aca="false">Sens!$G$580/Sens!$G$560</f>
        <v>0.40354437417509</v>
      </c>
      <c r="H581" s="12" t="n">
        <f aca="false">Sens!$H$580/Sens!$H$560</f>
        <v>0.497855857778335</v>
      </c>
      <c r="I581" s="12" t="n">
        <f aca="false">Sens!$I$580/Sens!$I$560</f>
        <v>0.506793187968718</v>
      </c>
      <c r="J581" s="12" t="n">
        <f aca="false">Sens!$J$580/Sens!$J$560</f>
        <v>0.506990727488046</v>
      </c>
      <c r="K581" s="12" t="n">
        <f aca="false">Sens!$K$580/Sens!$K$560</f>
        <v>0.505218221912611</v>
      </c>
      <c r="L581" s="12" t="n">
        <f aca="false">Sens!$L$580/Sens!$L$560</f>
        <v>0.508996049915232</v>
      </c>
      <c r="M581" s="12" t="n">
        <f aca="false">Sens!$M$580/Sens!$M$560</f>
        <v>0.510160495208396</v>
      </c>
      <c r="N581" s="12" t="n">
        <f aca="false">Sens!$N$580/Sens!$N$560</f>
        <v>0.302870734830849</v>
      </c>
      <c r="O581" s="12" t="n">
        <f aca="false">Sens!$O$580/Sens!$O$560</f>
        <v>0.52240134346334</v>
      </c>
    </row>
    <row r="582" customFormat="false" ht="17.15" hidden="false" customHeight="false" outlineLevel="0" collapsed="false">
      <c r="A582" s="5" t="s">
        <v>600</v>
      </c>
      <c r="B582" s="0" t="s">
        <v>73</v>
      </c>
      <c r="C582" s="38" t="n">
        <f aca="false">rd2*(1-ext_sh)/ext_sh*Sens!$C$543*he_open*Sens!$C$544/1000</f>
        <v>0</v>
      </c>
      <c r="D582" s="38" t="n">
        <f aca="false">rd2*(1-ext_sh)/ext_sh*Sens!$D$543*he_open*Sens!$D$544/1000</f>
        <v>0</v>
      </c>
      <c r="E582" s="38" t="n">
        <f aca="false">rd2*(1-ext_sh)/ext_sh*Sens!$E$543*he_open*Sens!$E$544/1000</f>
        <v>0</v>
      </c>
      <c r="F582" s="38" t="n">
        <f aca="false">rd2*(1-ext_sh)/ext_sh*(mw_open*he_open+Sens!$F$558*Sens!$F$555)*Sens!$F$544/1000</f>
        <v>0</v>
      </c>
      <c r="G582" s="38" t="n">
        <f aca="false">Sens!$E$582+Sens!$F$582</f>
        <v>0</v>
      </c>
      <c r="H582" s="38" t="n">
        <f aca="false">rd2*(1-ext_sh)/ext_sh*(mw_open*he_open+Sens!$H$558*Sens!$H$555)*Sens!$H$544/1000</f>
        <v>0</v>
      </c>
      <c r="I582" s="38" t="n">
        <f aca="false">rd2*(1-ext_sh)/ext_sh*(mw_open*he_open+Sens!$I$558*Sens!$I$555)*Sens!$I$544/1000</f>
        <v>0</v>
      </c>
      <c r="J582" s="38" t="n">
        <f aca="false">rd2*(1-ext_sh)/ext_sh*(mw_open*he_open+Sens!$J$558*Sens!$J$555)*Sens!$J$544/1000</f>
        <v>0</v>
      </c>
      <c r="K582" s="38" t="n">
        <f aca="false">rd2*(1-ext_sh)/ext_sh*(mw_open*he_open+Sens!$K$558*Sens!$K$555)*Sens!$K$544/1000</f>
        <v>0</v>
      </c>
      <c r="L582" s="38" t="n">
        <f aca="false">rd2*(1-ext_sh)/ext_sh*(mw_open*he_open+Sens!$L$558*Sens!$L$555)*Sens!$L$544/1000</f>
        <v>0</v>
      </c>
      <c r="M582" s="38" t="n">
        <f aca="false">rd2*(1-ext_sh)/ext_sh*(mw_open*he_open+Sens!$M$558*Sens!$M$555)*Sens!$M$544/1000</f>
        <v>0</v>
      </c>
      <c r="N582" s="38" t="n">
        <f aca="false">rd2*(1-ext_sh)/ext_sh*Sens!$N$543*he_open*Sens!$N$544/1000</f>
        <v>0</v>
      </c>
      <c r="O582" s="38" t="n">
        <f aca="false">rd2*(1-ext_sh)/ext_sh*Sens!$O$543*he_open*Sens!$O$544/1000</f>
        <v>0</v>
      </c>
      <c r="P582" s="8" t="s">
        <v>601</v>
      </c>
    </row>
    <row r="583" customFormat="false" ht="17.15" hidden="false" customHeight="false" outlineLevel="0" collapsed="false">
      <c r="A583" s="5" t="s">
        <v>602</v>
      </c>
      <c r="B583" s="0" t="s">
        <v>73</v>
      </c>
      <c r="C583" s="38" t="n">
        <f aca="false">(1-ext_sh)*(Sens!$C$562+Sens!$C$576)-Sens!$C$582</f>
        <v>0.169206631859174</v>
      </c>
      <c r="D583" s="38" t="n">
        <f aca="false">(1-ext_sh)*(Sens!$D$562+Sens!$D$576)-Sens!$D$582</f>
        <v>1.20641732046984</v>
      </c>
      <c r="E583" s="38" t="n">
        <f aca="false">(1-ext_sh)*(Sens!$E$562+Sens!$E$576)-Sens!$E$582</f>
        <v>1.77441259867062</v>
      </c>
      <c r="F583" s="38" t="n">
        <f aca="false">(1-ext_sh)*(Sens!$F$562+Sens!$F$576)-Sens!$F$582</f>
        <v>2.1140391597214</v>
      </c>
      <c r="G583" s="38" t="n">
        <f aca="false">(1-ext_sh)*(Sens!$G$562+Sens!$G$576)-Sens!$G$582</f>
        <v>3.88845175839202</v>
      </c>
      <c r="H583" s="38" t="n">
        <f aca="false">(1-ext_sh)*(Sens!$H$562+Sens!$H$576)-Sens!$H$582</f>
        <v>10.2210179503985</v>
      </c>
      <c r="I583" s="38" t="n">
        <f aca="false">(1-ext_sh)*(Sens!$I$562+Sens!$I$576)-Sens!$I$582</f>
        <v>17.8408961823075</v>
      </c>
      <c r="J583" s="38" t="n">
        <f aca="false">(1-ext_sh)*(Sens!$J$562+Sens!$J$576)-Sens!$J$582</f>
        <v>25.6671150670732</v>
      </c>
      <c r="K583" s="38" t="n">
        <f aca="false">(1-ext_sh)*(Sens!$K$562+Sens!$K$576)-Sens!$K$582</f>
        <v>33.6325293834986</v>
      </c>
      <c r="L583" s="38" t="n">
        <f aca="false">(1-ext_sh)*(Sens!$L$562+Sens!$L$576)-Sens!$L$582</f>
        <v>41.1939886299065</v>
      </c>
      <c r="M583" s="38" t="n">
        <f aca="false">(1-ext_sh)*(Sens!$M$562+Sens!$M$576)-Sens!$M$582</f>
        <v>48.8988205728617</v>
      </c>
      <c r="N583" s="38" t="n">
        <f aca="false">(1-ext_sh)*(Sens!$N$562+Sens!$N$576)-Sens!$N$582</f>
        <v>0.530919624033979</v>
      </c>
      <c r="O583" s="38" t="n">
        <f aca="false">(1-ext_sh)*(Sens!$O$562+Sens!$O$576)-Sens!$O$582</f>
        <v>0.675497696435861</v>
      </c>
    </row>
    <row r="584" customFormat="false" ht="17.15" hidden="false" customHeight="false" outlineLevel="0" collapsed="false">
      <c r="A584" s="0" t="s">
        <v>603</v>
      </c>
      <c r="B584" s="0" t="s">
        <v>73</v>
      </c>
      <c r="C584" s="38" t="n">
        <f aca="false">Q!$D$24</f>
        <v>39.834</v>
      </c>
      <c r="D584" s="38" t="n">
        <f aca="false">Q!$E$24</f>
        <v>45.606</v>
      </c>
      <c r="E584" s="38" t="n">
        <f aca="false">Q!$P$24</f>
        <v>30.782</v>
      </c>
      <c r="N584" s="38" t="n">
        <f aca="false">Q!$N$24</f>
        <v>21.707</v>
      </c>
      <c r="O584" s="38" t="n">
        <f aca="false">Q!$O$24</f>
        <v>23.899</v>
      </c>
    </row>
    <row r="585" customFormat="false" ht="17.15" hidden="false" customHeight="false" outlineLevel="0" collapsed="false">
      <c r="A585" s="0" t="s">
        <v>604</v>
      </c>
      <c r="B585" s="0" t="s">
        <v>73</v>
      </c>
      <c r="C585" s="38" t="n">
        <f aca="false">Sens!$C$584-Sens!$C$580</f>
        <v>38.1898211704631</v>
      </c>
      <c r="D585" s="38" t="n">
        <f aca="false">Sens!$D$584-Sens!$D$580</f>
        <v>41.7278991932282</v>
      </c>
      <c r="E585" s="38" t="n">
        <f aca="false">Sens!$E$584-Sens!$E$580</f>
        <v>29.3692974191125</v>
      </c>
      <c r="F585" s="38" t="n">
        <f aca="false">Sens!$F$564*Sens!$F$586</f>
        <v>29.458060516894</v>
      </c>
      <c r="G585" s="38" t="n">
        <f aca="false">Sens!$E$585+Sens!$F$585</f>
        <v>58.8273579360065</v>
      </c>
      <c r="H585" s="38" t="n">
        <f aca="false">Sens!$H$564*Sens!$H$586</f>
        <v>67.8004040185081</v>
      </c>
      <c r="I585" s="38" t="n">
        <f aca="false">Sens!$I$564*Sens!$I$586</f>
        <v>78.9527630302702</v>
      </c>
      <c r="J585" s="38" t="n">
        <f aca="false">Sens!$J$564*Sens!$J$586</f>
        <v>88.6042681781841</v>
      </c>
      <c r="K585" s="38" t="n">
        <f aca="false">Sens!$K$564*Sens!$K$586</f>
        <v>95.6926096324389</v>
      </c>
      <c r="L585" s="38" t="n">
        <f aca="false">Sens!$L$564*Sens!$L$586</f>
        <v>103.348018403034</v>
      </c>
      <c r="M585" s="38" t="n">
        <f aca="false">Sens!$M$564*Sens!$M$586</f>
        <v>111.615859875277</v>
      </c>
      <c r="N585" s="38" t="n">
        <f aca="false">Sens!$N$584-Sens!$N$580</f>
        <v>20.784358965108</v>
      </c>
      <c r="O585" s="38" t="n">
        <f aca="false">Sens!$O$584-Sens!$O$580</f>
        <v>20.9435402281202</v>
      </c>
      <c r="P585" s="5" t="s">
        <v>605</v>
      </c>
    </row>
    <row r="586" customFormat="false" ht="17.15" hidden="false" customHeight="false" outlineLevel="0" collapsed="false">
      <c r="A586" s="0" t="s">
        <v>606</v>
      </c>
      <c r="B586" s="0" t="s">
        <v>52</v>
      </c>
      <c r="C586" s="12" t="n">
        <f aca="false">Sens!$C$585/Sens!$C$564</f>
        <v>0.362900395443635</v>
      </c>
      <c r="D586" s="12" t="n">
        <f aca="false">Sens!$D$585/Sens!$D$564</f>
        <v>0.34767098474203</v>
      </c>
      <c r="E586" s="12" t="n">
        <f aca="false">Sens!$E$585/Sens!$E$564</f>
        <v>0.411861655558416</v>
      </c>
      <c r="F586" s="12" t="n">
        <f aca="false">(Sens!$O$585+Sens!$E$585)/(Sens!$O$564+Sens!$E$564)</f>
        <v>0.37480827803158</v>
      </c>
      <c r="G586" s="12" t="n">
        <f aca="false">Sens!$G$585/Sens!$G$564</f>
        <v>0.392434440489471</v>
      </c>
      <c r="H586" s="12" t="n">
        <f aca="false">Sens!$F$586</f>
        <v>0.37480827803158</v>
      </c>
      <c r="I586" s="12" t="n">
        <f aca="false">Sens!$F$586</f>
        <v>0.37480827803158</v>
      </c>
      <c r="J586" s="12" t="n">
        <f aca="false">Sens!$F$586</f>
        <v>0.37480827803158</v>
      </c>
      <c r="K586" s="12" t="n">
        <f aca="false">Sens!$F$586</f>
        <v>0.37480827803158</v>
      </c>
      <c r="L586" s="12" t="n">
        <f aca="false">Sens!$F$586</f>
        <v>0.37480827803158</v>
      </c>
      <c r="M586" s="12" t="n">
        <f aca="false">Sens!$F$586</f>
        <v>0.37480827803158</v>
      </c>
      <c r="N586" s="12" t="n">
        <f aca="false">Sens!$N$585/Sens!$N$564</f>
        <v>0.364039571356823</v>
      </c>
      <c r="O586" s="12" t="n">
        <f aca="false">Sens!$O$585/Sens!$O$564</f>
        <v>0.332819892300086</v>
      </c>
      <c r="P586" s="8" t="s">
        <v>607</v>
      </c>
    </row>
    <row r="587" customFormat="false" ht="17.15" hidden="false" customHeight="false" outlineLevel="0" collapsed="false">
      <c r="A587" s="0" t="s">
        <v>608</v>
      </c>
      <c r="B587" s="0" t="s">
        <v>52</v>
      </c>
      <c r="D587" s="12" t="n">
        <f aca="false">(Q!$E$31-ext_sh*Sens!$D$576)/Sens!$D$564</f>
        <v>0.154572973163571</v>
      </c>
    </row>
    <row r="588" customFormat="false" ht="17.15" hidden="false" customHeight="false" outlineLevel="0" collapsed="false">
      <c r="A588" s="0" t="s">
        <v>609</v>
      </c>
      <c r="B588" s="0" t="s">
        <v>73</v>
      </c>
      <c r="C588" s="38" t="n">
        <f aca="false">Q!$D$31</f>
        <v>13.32</v>
      </c>
      <c r="D588" s="38" t="n">
        <f aca="false">Q!$E$31</f>
        <v>21.45</v>
      </c>
      <c r="E588" s="38" t="n">
        <f aca="false">Q!$P$31</f>
        <v>15.353</v>
      </c>
      <c r="F588" s="38" t="n">
        <f aca="false">ext_sh*Sens!$F$576+Sens!$D$587*Sens!$F$564</f>
        <v>17.3614451462707</v>
      </c>
      <c r="G588" s="38" t="n">
        <f aca="false">Sens!$E$588+Sens!$F$588</f>
        <v>32.7144451462707</v>
      </c>
      <c r="H588" s="38" t="n">
        <f aca="false">ext_sh*Sens!$H$576+Sens!$D$587*Sens!$H$564</f>
        <v>56.1966092719415</v>
      </c>
      <c r="I588" s="38" t="n">
        <f aca="false">ext_sh*Sens!$I$576+Sens!$D$587*Sens!$I$564</f>
        <v>82.9744039068297</v>
      </c>
      <c r="J588" s="38" t="n">
        <f aca="false">ext_sh*Sens!$J$576+Sens!$D$587*Sens!$J$564</f>
        <v>109.943252237669</v>
      </c>
      <c r="K588" s="38" t="n">
        <f aca="false">ext_sh*Sens!$K$576+Sens!$D$587*Sens!$K$564</f>
        <v>136.406703436571</v>
      </c>
      <c r="L588" s="38" t="n">
        <f aca="false">ext_sh*Sens!$L$576+Sens!$D$587*Sens!$L$564</f>
        <v>161.485870454155</v>
      </c>
      <c r="M588" s="38" t="n">
        <f aca="false">ext_sh*Sens!$M$576+Sens!$D$587*Sens!$M$564</f>
        <v>187.389846618199</v>
      </c>
      <c r="N588" s="38" t="n">
        <f aca="false">Q!$N$31</f>
        <v>9.234</v>
      </c>
      <c r="O588" s="38" t="n">
        <f aca="false">Q!$O$31</f>
        <v>12.216</v>
      </c>
    </row>
    <row r="589" customFormat="false" ht="17.15" hidden="false" customHeight="false" outlineLevel="0" collapsed="false">
      <c r="A589" s="1" t="s">
        <v>610</v>
      </c>
    </row>
    <row r="590" customFormat="false" ht="17.15" hidden="false" customHeight="false" outlineLevel="0" collapsed="false">
      <c r="A590" s="14" t="s">
        <v>611</v>
      </c>
      <c r="B590" s="13" t="s">
        <v>52</v>
      </c>
      <c r="C590" s="13"/>
      <c r="D590" s="13"/>
      <c r="E590" s="13"/>
      <c r="F590" s="13"/>
      <c r="G590" s="16" t="n">
        <f aca="false">Sens!$G$580*(1-tax)/(ext_sh*(Sens!$D$577+Sens!$G$577)/2)</f>
        <v>0.0653963777045556</v>
      </c>
      <c r="H590" s="16" t="n">
        <f aca="false">Sens!$H$580*(1-tax)/(ext_sh*(Sens!$G$577+Sens!$H$577)/2)</f>
        <v>0.130215460902825</v>
      </c>
      <c r="I590" s="16" t="n">
        <f aca="false">Sens!$I$580*(1-tax)/(ext_sh*(Sens!$H$577+Sens!$I$577)/2)</f>
        <v>0.159803919728895</v>
      </c>
      <c r="J590" s="16" t="n">
        <f aca="false">Sens!$J$580*(1-tax)/(ext_sh*(Sens!$I$577+Sens!$J$577)/2)</f>
        <v>0.180602381536389</v>
      </c>
      <c r="K590" s="16" t="n">
        <f aca="false">Sens!$K$580*(1-tax)/(ext_sh*(Sens!$J$577+Sens!$K$577)/2)</f>
        <v>0.199881415098007</v>
      </c>
      <c r="L590" s="16" t="n">
        <f aca="false">Sens!$L$580*(1-tax)/(ext_sh*(Sens!$K$577+Sens!$L$577)/2)</f>
        <v>0.218246563139216</v>
      </c>
      <c r="M590" s="16" t="n">
        <f aca="false">Sens!$M$580*(1-tax)/(ext_sh*(Sens!$L$577+Sens!$M$577)/2)</f>
        <v>0.226837402693726</v>
      </c>
      <c r="N590" s="13"/>
      <c r="O590" s="13"/>
      <c r="P590" s="8" t="s">
        <v>612</v>
      </c>
    </row>
    <row r="591" customFormat="false" ht="17.15" hidden="false" customHeight="false" outlineLevel="0" collapsed="false">
      <c r="A591" s="5" t="s">
        <v>613</v>
      </c>
      <c r="B591" s="0" t="s">
        <v>57</v>
      </c>
      <c r="H591" s="36" t="n">
        <f aca="false">Sens!$H$560*1000/(mw_open*he_open+Sens!$H$558*Sens!$H$555)</f>
        <v>1.34234681809848</v>
      </c>
      <c r="I591" s="36" t="n">
        <f aca="false">Sens!$I$560*1000/(mw_open*he_open+Sens!$I$558*Sens!$I$555)</f>
        <v>1.41401842433369</v>
      </c>
      <c r="J591" s="36" t="n">
        <f aca="false">Sens!$J$560*1000/(mw_open*he_open+Sens!$J$558*Sens!$J$555)</f>
        <v>1.44430234207525</v>
      </c>
      <c r="K591" s="36" t="n">
        <f aca="false">Sens!$K$560*1000/(mw_open*he_open+Sens!$K$558*Sens!$K$555)</f>
        <v>1.46097800563502</v>
      </c>
      <c r="L591" s="36" t="n">
        <f aca="false">Sens!$L$560*1000/(mw_open*he_open+Sens!$L$558*Sens!$L$555)</f>
        <v>1.47152813049917</v>
      </c>
      <c r="M591" s="36" t="n">
        <f aca="false">Sens!$M$560*1000/(mw_open*he_open+Sens!$M$558*Sens!$M$555)</f>
        <v>1.47880227378619</v>
      </c>
    </row>
    <row r="592" customFormat="false" ht="17.15" hidden="false" customHeight="false" outlineLevel="0" collapsed="false">
      <c r="A592" s="5" t="s">
        <v>614</v>
      </c>
      <c r="B592" s="0" t="s">
        <v>57</v>
      </c>
      <c r="H592" s="36" t="n">
        <f aca="false">Sens!$H$591*(Sens!$H$560+wacc*ext_sh*(Sens!$G$577+Sens!$H$577)/2/(1-tax)-Sens!$H$580)/Sens!$H$560</f>
        <v>1.3149781212103</v>
      </c>
      <c r="I592" s="36" t="n">
        <f aca="false">Sens!$I$591*(Sens!$I$560+wacc*ext_sh*(Sens!$H$577+Sens!$I$577)/2/(1-tax)-Sens!$I$580)/Sens!$I$560</f>
        <v>1.25742005569107</v>
      </c>
      <c r="J592" s="36" t="n">
        <f aca="false">Sens!$J$591*(Sens!$J$560+wacc*ext_sh*(Sens!$I$577+Sens!$J$577)/2/(1-tax)-Sens!$J$580)/Sens!$J$560</f>
        <v>1.21838845868559</v>
      </c>
      <c r="K592" s="36" t="n">
        <f aca="false">Sens!$K$591*(Sens!$K$560+wacc*ext_sh*(Sens!$J$577+Sens!$K$577)/2/(1-tax)-Sens!$K$580)/Sens!$K$560</f>
        <v>1.18402644209548</v>
      </c>
      <c r="L592" s="36" t="n">
        <f aca="false">Sens!$L$591*(Sens!$L$560+wacc*ext_sh*(Sens!$K$577+Sens!$L$577)/2/(1-tax)-Sens!$L$580)/Sens!$L$560</f>
        <v>1.15111215322059</v>
      </c>
      <c r="M592" s="36" t="n">
        <f aca="false">Sens!$M$591*(Sens!$M$560+wacc*ext_sh*(Sens!$L$577+Sens!$M$577)/2/(1-tax)-Sens!$M$580)/Sens!$M$560</f>
        <v>1.1397166845677</v>
      </c>
    </row>
    <row r="593" customFormat="false" ht="17.15" hidden="false" customHeight="false" outlineLevel="0" collapsed="false">
      <c r="A593" s="5" t="s">
        <v>615</v>
      </c>
      <c r="B593" s="0" t="s">
        <v>52</v>
      </c>
      <c r="C593" s="12" t="n">
        <f aca="false">Sens!$C$561/tk_pq</f>
        <v>0.195316432429398</v>
      </c>
      <c r="D593" s="12" t="n">
        <f aca="false">Sens!$D$561/tk_pq</f>
        <v>0.195316432429398</v>
      </c>
      <c r="E593" s="12" t="n">
        <f aca="false">Sens!$E$561/tk_pq</f>
        <v>0.195316432429398</v>
      </c>
      <c r="F593" s="12" t="n">
        <f aca="false">Sens!$F$561/tk_pq</f>
        <v>0.237426936709385</v>
      </c>
      <c r="G593" s="12" t="n">
        <f aca="false">Sens!$G$561/tk_pq</f>
        <v>0.221819204382786</v>
      </c>
      <c r="H593" s="12" t="n">
        <f aca="false">Sens!$H$561/tk_pq</f>
        <v>0.287764082666319</v>
      </c>
      <c r="I593" s="12" t="n">
        <f aca="false">Sens!$I$561/tk_pq</f>
        <v>0.312589866504342</v>
      </c>
      <c r="J593" s="12" t="n">
        <f aca="false">Sens!$J$561/tk_pq</f>
        <v>0.323954585221101</v>
      </c>
      <c r="K593" s="12" t="n">
        <f aca="false">Sens!$K$561/tk_pq</f>
        <v>0.330462253144069</v>
      </c>
      <c r="L593" s="12" t="n">
        <f aca="false">Sens!$L$561/tk_pq</f>
        <v>0.334676744419546</v>
      </c>
      <c r="M593" s="12" t="n">
        <f aca="false">Sens!$M$561/tk_pq</f>
        <v>0.337628157311836</v>
      </c>
      <c r="N593" s="12" t="n">
        <f aca="false">Sens!$N$561/tk_pq</f>
        <v>0.195316432429398</v>
      </c>
      <c r="O593" s="12" t="n">
        <f aca="false">Sens!$O$561/tk_pq</f>
        <v>0.195316432429398</v>
      </c>
      <c r="P593" s="5" t="s">
        <v>616</v>
      </c>
    </row>
    <row r="596" customFormat="false" ht="17.15" hidden="false" customHeight="false" outlineLevel="0" collapsed="false">
      <c r="A596" s="1" t="s">
        <v>643</v>
      </c>
    </row>
    <row r="597" customFormat="false" ht="17.15" hidden="false" customHeight="false" outlineLevel="0" collapsed="false">
      <c r="A597" s="0" t="s">
        <v>644</v>
      </c>
      <c r="B597" s="0" t="s">
        <v>73</v>
      </c>
      <c r="C597" s="38" t="n">
        <f aca="false">Sens!$C$560</f>
        <v>2.32100535697364</v>
      </c>
      <c r="D597" s="38" t="n">
        <f aca="false">Sens!$D$560</f>
        <v>8.70377008865116</v>
      </c>
      <c r="E597" s="38" t="n">
        <f aca="false">Sens!$E$560</f>
        <v>8.51035297557002</v>
      </c>
      <c r="F597" s="38" t="n">
        <f aca="false">Sens!$F$560</f>
        <v>17.5667034895389</v>
      </c>
      <c r="G597" s="38" t="n">
        <f aca="false">Sens!$G$560</f>
        <v>26.077056465109</v>
      </c>
      <c r="H597" s="38" t="n">
        <f aca="false">Sens!$H$560</f>
        <v>81.4189957901494</v>
      </c>
      <c r="I597" s="38" t="n">
        <f aca="false">Sens!$I$560</f>
        <v>144.693023268105</v>
      </c>
      <c r="J597" s="38" t="n">
        <f aca="false">Sens!$J$560</f>
        <v>208.248538095809</v>
      </c>
      <c r="K597" s="38" t="n">
        <f aca="false">Sens!$K$560</f>
        <v>271.897882040097</v>
      </c>
      <c r="L597" s="38" t="n">
        <f aca="false">Sens!$L$560</f>
        <v>335.589875582831</v>
      </c>
      <c r="M597" s="38" t="n">
        <f aca="false">Sens!$M$560</f>
        <v>399.30483429396</v>
      </c>
      <c r="N597" s="38" t="n">
        <f aca="false">Sens!$N$560</f>
        <v>3.04631953102791</v>
      </c>
      <c r="O597" s="38" t="n">
        <f aca="false">Sens!$O$560</f>
        <v>5.65745055762326</v>
      </c>
      <c r="P597" s="8" t="s">
        <v>645</v>
      </c>
    </row>
    <row r="598" customFormat="false" ht="17.15" hidden="false" customHeight="false" outlineLevel="0" collapsed="false">
      <c r="A598" s="0" t="s">
        <v>646</v>
      </c>
      <c r="B598" s="0" t="s">
        <v>73</v>
      </c>
      <c r="C598" s="38" t="n">
        <f aca="false">Sens!$C$564</f>
        <v>105.234994643026</v>
      </c>
      <c r="D598" s="38" t="n">
        <f aca="false">Sens!$D$564</f>
        <v>120.021229911349</v>
      </c>
      <c r="E598" s="38" t="n">
        <f aca="false">Sens!$E$564</f>
        <v>71.30864702443</v>
      </c>
      <c r="F598" s="38" t="n">
        <f aca="false">Sens!$F$564</f>
        <v>78.5950104186653</v>
      </c>
      <c r="G598" s="38" t="n">
        <f aca="false">Sens!$G$564</f>
        <v>149.903657443095</v>
      </c>
      <c r="H598" s="38" t="n">
        <f aca="false">Sens!$H$564</f>
        <v>180.893560768142</v>
      </c>
      <c r="I598" s="38" t="n">
        <f aca="false">Sens!$I$564</f>
        <v>210.64839721501</v>
      </c>
      <c r="J598" s="38" t="n">
        <f aca="false">Sens!$J$564</f>
        <v>236.398909446495</v>
      </c>
      <c r="K598" s="38" t="n">
        <f aca="false">Sens!$K$564</f>
        <v>255.310822202215</v>
      </c>
      <c r="L598" s="38" t="n">
        <f aca="false">Sens!$L$564</f>
        <v>275.735687978392</v>
      </c>
      <c r="M598" s="38" t="n">
        <f aca="false">Sens!$M$564</f>
        <v>297.794543016663</v>
      </c>
      <c r="N598" s="38" t="n">
        <f aca="false">Sens!$N$564</f>
        <v>57.0936804689721</v>
      </c>
      <c r="O598" s="38" t="n">
        <f aca="false">Sens!$O$564</f>
        <v>62.9275494423768</v>
      </c>
      <c r="P598" s="8" t="s">
        <v>645</v>
      </c>
    </row>
    <row r="599" customFormat="false" ht="17.15" hidden="false" customHeight="false" outlineLevel="0" collapsed="false">
      <c r="A599" s="1" t="s">
        <v>476</v>
      </c>
      <c r="B599" s="8" t="s">
        <v>73</v>
      </c>
      <c r="C599" s="38" t="n">
        <f aca="false">Q!$D$7</f>
        <v>107.556</v>
      </c>
      <c r="D599" s="38" t="n">
        <f aca="false">Q!$E$7</f>
        <v>128.725</v>
      </c>
      <c r="E599" s="38" t="n">
        <f aca="false">Q!$P$7</f>
        <v>79.819</v>
      </c>
      <c r="F599" s="38" t="n">
        <f aca="false">Sens!$F$597+Sens!$F$598</f>
        <v>96.1617139082042</v>
      </c>
      <c r="G599" s="38" t="n">
        <f aca="false">Sens!$G$597+Sens!$G$598</f>
        <v>175.980713908204</v>
      </c>
      <c r="H599" s="38" t="n">
        <f aca="false">Sens!$H$597+Sens!$H$598</f>
        <v>262.312556558291</v>
      </c>
      <c r="I599" s="38" t="n">
        <f aca="false">Sens!$I$597+Sens!$I$598</f>
        <v>355.341420483115</v>
      </c>
      <c r="J599" s="38" t="n">
        <f aca="false">Sens!$J$597+Sens!$J$598</f>
        <v>444.647447542304</v>
      </c>
      <c r="K599" s="38" t="n">
        <f aca="false">Sens!$K$597+Sens!$K$598</f>
        <v>527.208704242311</v>
      </c>
      <c r="L599" s="38" t="n">
        <f aca="false">Sens!$L$597+Sens!$L$598</f>
        <v>611.325563561223</v>
      </c>
      <c r="M599" s="38" t="n">
        <f aca="false">Sens!$M$597+Sens!$M$598</f>
        <v>697.099377310623</v>
      </c>
      <c r="N599" s="38" t="n">
        <f aca="false">Q!$N$7</f>
        <v>60.14</v>
      </c>
      <c r="O599" s="38" t="n">
        <f aca="false">Q!$O$7</f>
        <v>68.585</v>
      </c>
      <c r="P599" s="5" t="s">
        <v>647</v>
      </c>
    </row>
    <row r="600" customFormat="false" ht="15" hidden="false" customHeight="false" outlineLevel="0" collapsed="false">
      <c r="A600" s="3" t="s">
        <v>648</v>
      </c>
      <c r="B600" s="8" t="s">
        <v>73</v>
      </c>
      <c r="C600" s="38" t="n">
        <f aca="false">Q!$D$8</f>
        <v>637.959</v>
      </c>
      <c r="D600" s="38" t="n">
        <f aca="false">Q!$E$8</f>
        <v>716.924</v>
      </c>
      <c r="E600" s="38" t="n">
        <f aca="false">Q!$P$8</f>
        <v>382.125</v>
      </c>
      <c r="F600" s="38" t="n">
        <f aca="false">Sens!$F$533+Sens!$F$599</f>
        <v>453.098143116634</v>
      </c>
      <c r="G600" s="38" t="n">
        <f aca="false">Sens!$G$533+Sens!$G$599</f>
        <v>835.223143116634</v>
      </c>
      <c r="H600" s="38" t="n">
        <f aca="false">Sens!$H$533+Sens!$H$599</f>
        <v>992.248294179992</v>
      </c>
      <c r="I600" s="38" t="n">
        <f aca="false">Sens!$I$533+Sens!$I$599</f>
        <v>1153.63699018099</v>
      </c>
      <c r="J600" s="38" t="n">
        <f aca="false">Sens!$J$533+Sens!$J$599</f>
        <v>1306.38426986809</v>
      </c>
      <c r="K600" s="38" t="n">
        <f aca="false">Sens!$K$533+Sens!$K$599</f>
        <v>1444.76619634424</v>
      </c>
      <c r="L600" s="38" t="n">
        <f aca="false">Sens!$L$533+Sens!$L$599</f>
        <v>1588.61065330439</v>
      </c>
      <c r="M600" s="38" t="n">
        <f aca="false">Sens!$M$533+Sens!$M$599</f>
        <v>1738.31339585413</v>
      </c>
      <c r="N600" s="38" t="n">
        <f aca="false">Q!$N$8</f>
        <v>323.369</v>
      </c>
      <c r="O600" s="38" t="n">
        <f aca="false">Q!$O$8</f>
        <v>393.555</v>
      </c>
    </row>
    <row r="601" customFormat="false" ht="17.15" hidden="false" customHeight="false" outlineLevel="0" collapsed="false">
      <c r="A601" s="24" t="s">
        <v>656</v>
      </c>
      <c r="B601" s="25" t="s">
        <v>73</v>
      </c>
      <c r="C601" s="39" t="n">
        <f aca="false">Sens!$C$533-(Sens!$C$535+Sens!$C$536)</f>
        <v>0</v>
      </c>
      <c r="D601" s="39" t="n">
        <f aca="false">Sens!$D$533-(Sens!$D$535+Sens!$D$536)</f>
        <v>0</v>
      </c>
      <c r="E601" s="39" t="n">
        <f aca="false">Sens!$E$533-(Sens!$E$535+Sens!$E$536)</f>
        <v>0</v>
      </c>
      <c r="F601" s="39" t="n">
        <f aca="false">Sens!$F$533-(Sens!$F$535+Sens!$F$536)</f>
        <v>0</v>
      </c>
      <c r="G601" s="39" t="n">
        <f aca="false">Sens!$G$533-(Sens!$G$535+Sens!$G$536)</f>
        <v>0</v>
      </c>
      <c r="H601" s="39" t="n">
        <f aca="false">Sens!$H$533-(Sens!$H$535+Sens!$H$536)</f>
        <v>0</v>
      </c>
      <c r="I601" s="39" t="n">
        <f aca="false">Sens!$I$533-(Sens!$I$535+Sens!$I$536)</f>
        <v>0</v>
      </c>
      <c r="J601" s="39" t="n">
        <f aca="false">Sens!$J$533-(Sens!$J$535+Sens!$J$536)</f>
        <v>0</v>
      </c>
      <c r="K601" s="39" t="n">
        <f aca="false">Sens!$K$533-(Sens!$K$535+Sens!$K$536)</f>
        <v>0</v>
      </c>
      <c r="L601" s="39" t="n">
        <f aca="false">Sens!$L$533-(Sens!$L$535+Sens!$L$536)</f>
        <v>0</v>
      </c>
      <c r="M601" s="39" t="n">
        <f aca="false">Sens!$M$533-(Sens!$M$535+Sens!$M$536)</f>
        <v>0</v>
      </c>
      <c r="N601" s="39" t="n">
        <f aca="false">Sens!$N$533-(Sens!$N$535+Sens!$N$536)</f>
        <v>0</v>
      </c>
      <c r="O601" s="39" t="n">
        <f aca="false">Sens!$O$533-(Sens!$O$535+Sens!$O$536)</f>
        <v>0</v>
      </c>
    </row>
    <row r="602" customFormat="false" ht="17.15" hidden="false" customHeight="false" outlineLevel="0" collapsed="false">
      <c r="A602" s="24" t="s">
        <v>657</v>
      </c>
      <c r="B602" s="25" t="s">
        <v>73</v>
      </c>
      <c r="C602" s="39" t="n">
        <f aca="false">Sens!$C$597+Sens!$C$598-Sens!$C$599</f>
        <v>0</v>
      </c>
      <c r="D602" s="39" t="n">
        <f aca="false">Sens!$D$597+Sens!$D$598-Sens!$D$599</f>
        <v>0</v>
      </c>
      <c r="E602" s="39" t="n">
        <f aca="false">Sens!$E$597+Sens!$E$598-Sens!$E$599</f>
        <v>0</v>
      </c>
      <c r="F602" s="39" t="n">
        <f aca="false">Sens!$F$597+Sens!$F$598-Sens!$F$599</f>
        <v>0</v>
      </c>
      <c r="G602" s="39" t="n">
        <f aca="false">Sens!$G$597+Sens!$G$598-Sens!$G$599</f>
        <v>0</v>
      </c>
      <c r="H602" s="39" t="n">
        <f aca="false">Sens!$H$597+Sens!$H$598-Sens!$H$599</f>
        <v>0</v>
      </c>
      <c r="I602" s="39" t="n">
        <f aca="false">Sens!$I$597+Sens!$I$598-Sens!$I$599</f>
        <v>0</v>
      </c>
      <c r="J602" s="39" t="n">
        <f aca="false">Sens!$J$597+Sens!$J$598-Sens!$J$599</f>
        <v>0</v>
      </c>
      <c r="K602" s="39" t="n">
        <f aca="false">Sens!$K$597+Sens!$K$598-Sens!$K$599</f>
        <v>0</v>
      </c>
      <c r="L602" s="39" t="n">
        <f aca="false">Sens!$L$597+Sens!$L$598-Sens!$L$599</f>
        <v>0</v>
      </c>
      <c r="M602" s="39" t="n">
        <f aca="false">Sens!$M$597+Sens!$M$598-Sens!$M$599</f>
        <v>0</v>
      </c>
      <c r="N602" s="39" t="n">
        <f aca="false">Sens!$N$597+Sens!$N$598-Sens!$N$599</f>
        <v>0</v>
      </c>
      <c r="O602" s="39" t="n">
        <f aca="false">Sens!$O$597+Sens!$O$598-Sens!$O$599</f>
        <v>0</v>
      </c>
    </row>
    <row r="603" customFormat="false" ht="17.15" hidden="false" customHeight="false" outlineLevel="0" collapsed="false">
      <c r="A603" s="24" t="s">
        <v>658</v>
      </c>
      <c r="B603" s="25" t="s">
        <v>73</v>
      </c>
      <c r="C603" s="39" t="n">
        <f aca="false">Sens!$C$535+Sens!$C$536+Sens!$C$599-Sens!$C$600</f>
        <v>0</v>
      </c>
      <c r="D603" s="39" t="n">
        <f aca="false">Sens!$D$535+Sens!$D$536+Sens!$D$599-Sens!$D$600</f>
        <v>0</v>
      </c>
      <c r="E603" s="39" t="n">
        <f aca="false">Sens!$E$535+Sens!$E$536+Sens!$E$599-Sens!$E$600</f>
        <v>0</v>
      </c>
      <c r="F603" s="39" t="n">
        <f aca="false">Sens!$F$535+Sens!$F$536+Sens!$F$599-Sens!$F$600</f>
        <v>0</v>
      </c>
      <c r="G603" s="39" t="n">
        <f aca="false">Sens!$G$535+Sens!$G$536+Sens!$G$599-Sens!$G$600</f>
        <v>0</v>
      </c>
      <c r="H603" s="39" t="n">
        <f aca="false">Sens!$H$535+Sens!$H$536+Sens!$H$599-Sens!$H$600</f>
        <v>0</v>
      </c>
      <c r="I603" s="39" t="n">
        <f aca="false">Sens!$I$535+Sens!$I$536+Sens!$I$599-Sens!$I$600</f>
        <v>0</v>
      </c>
      <c r="J603" s="39" t="n">
        <f aca="false">Sens!$J$535+Sens!$J$536+Sens!$J$599-Sens!$J$600</f>
        <v>0</v>
      </c>
      <c r="K603" s="39" t="n">
        <f aca="false">Sens!$K$535+Sens!$K$536+Sens!$K$599-Sens!$K$600</f>
        <v>0</v>
      </c>
      <c r="L603" s="39" t="n">
        <f aca="false">Sens!$L$535+Sens!$L$536+Sens!$L$599-Sens!$L$600</f>
        <v>0</v>
      </c>
      <c r="M603" s="39" t="n">
        <f aca="false">Sens!$M$535+Sens!$M$536+Sens!$M$599-Sens!$M$600</f>
        <v>0</v>
      </c>
      <c r="N603" s="39" t="n">
        <f aca="false">Sens!$N$535+Sens!$N$536+Sens!$N$599-Sens!$N$600</f>
        <v>0</v>
      </c>
      <c r="O603" s="39" t="n">
        <f aca="false">Sens!$O$535+Sens!$O$536+Sens!$O$599-Sens!$O$600</f>
        <v>0</v>
      </c>
    </row>
    <row r="604" customFormat="false" ht="15" hidden="false" customHeight="false" outlineLevel="0" collapsed="false">
      <c r="A604" s="5" t="s">
        <v>652</v>
      </c>
      <c r="B604" s="0" t="s">
        <v>52</v>
      </c>
      <c r="G604" s="12" t="n">
        <f aca="false">Sens!$G$600/Sens!$D$600-1</f>
        <v>0.1650093219318</v>
      </c>
      <c r="H604" s="12" t="n">
        <f aca="false">Sens!$H$600/Sens!$G$600-1</f>
        <v>0.188003831499949</v>
      </c>
      <c r="I604" s="12" t="n">
        <f aca="false">Sens!$I$600/Sens!$H$600-1</f>
        <v>0.162649507132053</v>
      </c>
      <c r="J604" s="12" t="n">
        <f aca="false">Sens!$J$600/Sens!$I$600-1</f>
        <v>0.132404977464478</v>
      </c>
      <c r="K604" s="12" t="n">
        <f aca="false">Sens!$K$600/Sens!$J$600-1</f>
        <v>0.105927428604234</v>
      </c>
      <c r="L604" s="12" t="n">
        <f aca="false">Sens!$L$600/Sens!$K$600-1</f>
        <v>0.099562446383455</v>
      </c>
      <c r="M604" s="12" t="n">
        <f aca="false">Sens!$M$600/Sens!$L$600-1</f>
        <v>0.0942350111012722</v>
      </c>
    </row>
    <row r="605" customFormat="false" ht="17.15" hidden="false" customHeight="false" outlineLevel="0" collapsed="false">
      <c r="A605" s="0" t="s">
        <v>653</v>
      </c>
      <c r="B605" s="0" t="s">
        <v>52</v>
      </c>
      <c r="C605" s="12" t="n">
        <f aca="false">Sens!$C$599/Sens!$C$600</f>
        <v>0.168593906504964</v>
      </c>
      <c r="D605" s="12" t="n">
        <f aca="false">Sens!$D$599/Sens!$D$600</f>
        <v>0.179551807444025</v>
      </c>
      <c r="E605" s="12" t="n">
        <f aca="false">Sens!$E$599/Sens!$E$600</f>
        <v>0.208881910369643</v>
      </c>
      <c r="F605" s="12" t="n">
        <f aca="false">Sens!$F$599/Sens!$F$600</f>
        <v>0.212231533872013</v>
      </c>
      <c r="G605" s="12" t="n">
        <f aca="false">Sens!$G$599/Sens!$G$600</f>
        <v>0.210699039362741</v>
      </c>
      <c r="H605" s="12" t="n">
        <f aca="false">Sens!$H$599/Sens!$H$600</f>
        <v>0.264361811551483</v>
      </c>
      <c r="I605" s="12" t="n">
        <f aca="false">Sens!$I$599/Sens!$I$600</f>
        <v>0.30801840050861</v>
      </c>
      <c r="J605" s="12" t="n">
        <f aca="false">Sens!$J$599/Sens!$J$600</f>
        <v>0.340364973613164</v>
      </c>
      <c r="K605" s="12" t="n">
        <f aca="false">Sens!$K$599/Sens!$K$600</f>
        <v>0.364909357359228</v>
      </c>
      <c r="L605" s="12" t="n">
        <f aca="false">Sens!$L$599/Sens!$L$600</f>
        <v>0.384817741395373</v>
      </c>
      <c r="M605" s="12" t="n">
        <f aca="false">Sens!$M$599/Sens!$M$600</f>
        <v>0.401020540354348</v>
      </c>
      <c r="N605" s="12" t="n">
        <f aca="false">Sens!$N$599/Sens!$N$600</f>
        <v>0.185979484737251</v>
      </c>
      <c r="O605" s="12" t="n">
        <f aca="false">Sens!$O$599/Sens!$O$600</f>
        <v>0.174270432341096</v>
      </c>
    </row>
    <row r="606" customFormat="false" ht="17.15" hidden="false" customHeight="false" outlineLevel="0" collapsed="false">
      <c r="A606" s="0" t="s">
        <v>654</v>
      </c>
      <c r="B606" s="0" t="s">
        <v>52</v>
      </c>
      <c r="C606" s="12" t="n">
        <f aca="false">Sens!$C$597/Sens!$C$599</f>
        <v>0.0215795060896058</v>
      </c>
      <c r="D606" s="12" t="n">
        <f aca="false">Sens!$D$597/Sens!$D$599</f>
        <v>0.0676152269462122</v>
      </c>
      <c r="E606" s="12" t="n">
        <f aca="false">Sens!$E$597/Sens!$E$599</f>
        <v>0.106620641395783</v>
      </c>
      <c r="F606" s="12" t="n">
        <f aca="false">Sens!$F$597/Sens!$F$599</f>
        <v>0.182678768665751</v>
      </c>
      <c r="G606" s="12" t="n">
        <f aca="false">Sens!$G$597/Sens!$G$599</f>
        <v>0.148181331271968</v>
      </c>
      <c r="H606" s="12" t="n">
        <f aca="false">Sens!$H$597/Sens!$H$599</f>
        <v>0.310389242735532</v>
      </c>
      <c r="I606" s="12" t="n">
        <f aca="false">Sens!$I$597/Sens!$I$599</f>
        <v>0.407194362738188</v>
      </c>
      <c r="J606" s="12" t="n">
        <f aca="false">Sens!$J$597/Sens!$J$599</f>
        <v>0.468345290739572</v>
      </c>
      <c r="K606" s="12" t="n">
        <f aca="false">Sens!$K$597/Sens!$K$599</f>
        <v>0.515731018574248</v>
      </c>
      <c r="L606" s="12" t="n">
        <f aca="false">Sens!$L$597/Sens!$L$599</f>
        <v>0.548954428844562</v>
      </c>
      <c r="M606" s="12" t="n">
        <f aca="false">Sens!$M$597/Sens!$M$599</f>
        <v>0.57280905318616</v>
      </c>
      <c r="N606" s="12" t="n">
        <f aca="false">Sens!$N$597/Sens!$N$599</f>
        <v>0.0506537999838362</v>
      </c>
      <c r="O606" s="12" t="n">
        <f aca="false">Sens!$O$597/Sens!$O$599</f>
        <v>0.0824881615167056</v>
      </c>
    </row>
    <row r="609" customFormat="false" ht="19.4" hidden="false" customHeight="false" outlineLevel="0" collapsed="false">
      <c r="A609" s="31" t="s">
        <v>1057</v>
      </c>
    </row>
    <row r="610" customFormat="false" ht="17.15" hidden="false" customHeight="false" outlineLevel="0" collapsed="false">
      <c r="A610" s="6" t="s">
        <v>16</v>
      </c>
      <c r="B610" s="6" t="s">
        <v>17</v>
      </c>
      <c r="C610" s="20" t="s">
        <v>457</v>
      </c>
      <c r="D610" s="20" t="s">
        <v>458</v>
      </c>
      <c r="E610" s="20" t="s">
        <v>540</v>
      </c>
      <c r="F610" s="20" t="s">
        <v>541</v>
      </c>
      <c r="G610" s="20" t="s">
        <v>542</v>
      </c>
      <c r="H610" s="20" t="s">
        <v>543</v>
      </c>
      <c r="I610" s="20" t="s">
        <v>544</v>
      </c>
      <c r="J610" s="20" t="s">
        <v>545</v>
      </c>
      <c r="K610" s="20" t="s">
        <v>546</v>
      </c>
      <c r="L610" s="20" t="s">
        <v>547</v>
      </c>
      <c r="M610" s="20" t="s">
        <v>548</v>
      </c>
      <c r="N610" s="20" t="s">
        <v>549</v>
      </c>
      <c r="O610" s="20" t="s">
        <v>550</v>
      </c>
      <c r="P610" s="6" t="s">
        <v>23</v>
      </c>
      <c r="R610" s="20" t="n">
        <v>2023</v>
      </c>
      <c r="S610" s="20" t="n">
        <v>2024</v>
      </c>
      <c r="T610" s="20" t="n">
        <v>2025</v>
      </c>
      <c r="U610" s="20" t="n">
        <v>2026</v>
      </c>
      <c r="V610" s="20" t="n">
        <v>2027</v>
      </c>
      <c r="W610" s="20" t="n">
        <v>2028</v>
      </c>
      <c r="X610" s="20" t="n">
        <v>2029</v>
      </c>
      <c r="Y610" s="20" t="n">
        <v>2030</v>
      </c>
      <c r="Z610" s="20" t="n">
        <v>2031</v>
      </c>
      <c r="AA610" s="20" t="n">
        <v>2032</v>
      </c>
    </row>
    <row r="611" customFormat="false" ht="17.15" hidden="false" customHeight="false" outlineLevel="0" collapsed="false">
      <c r="A611" s="1" t="s">
        <v>669</v>
      </c>
    </row>
    <row r="612" customFormat="false" ht="15" hidden="false" customHeight="false" outlineLevel="0" collapsed="false">
      <c r="A612" s="0" t="s">
        <v>479</v>
      </c>
      <c r="B612" s="0" t="s">
        <v>73</v>
      </c>
      <c r="C612" s="38" t="n">
        <f aca="false">Sens!$C$521</f>
        <v>247.029</v>
      </c>
      <c r="D612" s="38" t="n">
        <f aca="false">Sens!$D$521</f>
        <v>269.287</v>
      </c>
      <c r="E612" s="38" t="n">
        <f aca="false">Sens!$E$521</f>
        <v>134.686</v>
      </c>
      <c r="F612" s="38" t="n">
        <f aca="false">Sens!$F$521</f>
        <v>160.728085930082</v>
      </c>
      <c r="G612" s="38" t="n">
        <f aca="false">Sens!$G$521</f>
        <v>295.414085930082</v>
      </c>
      <c r="H612" s="38" t="n">
        <f aca="false">Sens!$H$521</f>
        <v>320.828163943375</v>
      </c>
      <c r="I612" s="38" t="n">
        <f aca="false">Sens!$I$521</f>
        <v>344.575578072228</v>
      </c>
      <c r="J612" s="38" t="n">
        <f aca="false">Sens!$J$521</f>
        <v>365.942555779681</v>
      </c>
      <c r="K612" s="38" t="n">
        <f aca="false">Sens!$K$521</f>
        <v>384.239683568665</v>
      </c>
      <c r="L612" s="38" t="n">
        <f aca="false">Sens!$L$521</f>
        <v>403.451667747098</v>
      </c>
      <c r="M612" s="38" t="n">
        <f aca="false">Sens!$M$521</f>
        <v>423.624251134453</v>
      </c>
      <c r="N612" s="38" t="n">
        <f aca="false">Sens!$N$521</f>
        <v>118.892</v>
      </c>
      <c r="O612" s="38" t="n">
        <f aca="false">Sens!$O$521</f>
        <v>150.395</v>
      </c>
    </row>
    <row r="613" customFormat="false" ht="15" hidden="false" customHeight="false" outlineLevel="0" collapsed="false">
      <c r="A613" s="0" t="s">
        <v>480</v>
      </c>
      <c r="B613" s="0" t="s">
        <v>73</v>
      </c>
      <c r="C613" s="38" t="n">
        <f aca="false">Sens!$C$523</f>
        <v>21.215</v>
      </c>
      <c r="D613" s="38" t="n">
        <f aca="false">Sens!$D$523</f>
        <v>22.561</v>
      </c>
      <c r="E613" s="38" t="n">
        <f aca="false">Sens!$E$523</f>
        <v>11.579</v>
      </c>
      <c r="F613" s="38" t="n">
        <f aca="false">Sens!$F$523</f>
        <v>12.0952613121125</v>
      </c>
      <c r="G613" s="38" t="n">
        <f aca="false">Sens!$G$523</f>
        <v>23.6742613121125</v>
      </c>
      <c r="H613" s="38" t="n">
        <f aca="false">Sens!$H$523</f>
        <v>24.8803243963206</v>
      </c>
      <c r="I613" s="38" t="n">
        <f aca="false">Sens!$I$523</f>
        <v>25.9741308664154</v>
      </c>
      <c r="J613" s="38" t="n">
        <f aca="false">Sens!$J$523</f>
        <v>26.9346894124267</v>
      </c>
      <c r="K613" s="38" t="n">
        <f aca="false">Sens!$K$523</f>
        <v>27.7427300947995</v>
      </c>
      <c r="L613" s="38" t="n">
        <f aca="false">Sens!$L$523</f>
        <v>28.5750119976435</v>
      </c>
      <c r="M613" s="38" t="n">
        <f aca="false">Sens!$M$523</f>
        <v>29.4322623575728</v>
      </c>
      <c r="N613" s="38" t="n">
        <f aca="false">Sens!$N$523</f>
        <v>11.128</v>
      </c>
      <c r="O613" s="38" t="n">
        <f aca="false">Sens!$O$523</f>
        <v>11.433</v>
      </c>
    </row>
    <row r="614" customFormat="false" ht="15" hidden="false" customHeight="false" outlineLevel="0" collapsed="false">
      <c r="A614" s="0" t="s">
        <v>481</v>
      </c>
      <c r="B614" s="0" t="s">
        <v>73</v>
      </c>
      <c r="C614" s="38" t="n">
        <f aca="false">Sens!$C$525</f>
        <v>156.146</v>
      </c>
      <c r="D614" s="38" t="n">
        <f aca="false">Sens!$D$525</f>
        <v>172.162</v>
      </c>
      <c r="E614" s="38" t="n">
        <f aca="false">Sens!$E$525</f>
        <v>88.358</v>
      </c>
      <c r="F614" s="38" t="n">
        <f aca="false">Sens!$F$525</f>
        <v>103.62028337149</v>
      </c>
      <c r="G614" s="38" t="n">
        <f aca="false">Sens!$G$525</f>
        <v>191.97828337149</v>
      </c>
      <c r="H614" s="38" t="n">
        <f aca="false">Sens!$H$525</f>
        <v>212.128608444755</v>
      </c>
      <c r="I614" s="38" t="n">
        <f aca="false">Sens!$I$525</f>
        <v>231.92183134134</v>
      </c>
      <c r="J614" s="38" t="n">
        <f aca="false">Sens!$J$525</f>
        <v>250.859136487863</v>
      </c>
      <c r="K614" s="38" t="n">
        <f aca="false">Sens!$K$525</f>
        <v>268.419276042014</v>
      </c>
      <c r="L614" s="38" t="n">
        <f aca="false">Sens!$L$525</f>
        <v>287.208625364954</v>
      </c>
      <c r="M614" s="38" t="n">
        <f aca="false">Sens!$M$525</f>
        <v>307.313229140501</v>
      </c>
      <c r="N614" s="38" t="n">
        <f aca="false">Sens!$N$525</f>
        <v>76.86</v>
      </c>
      <c r="O614" s="38" t="n">
        <f aca="false">Sens!$O$525</f>
        <v>95.302</v>
      </c>
    </row>
    <row r="615" customFormat="false" ht="15" hidden="false" customHeight="false" outlineLevel="0" collapsed="false">
      <c r="A615" s="0" t="s">
        <v>482</v>
      </c>
      <c r="B615" s="0" t="s">
        <v>73</v>
      </c>
      <c r="C615" s="38" t="n">
        <f aca="false">Sens!$C$527</f>
        <v>56.214</v>
      </c>
      <c r="D615" s="38" t="n">
        <f aca="false">Sens!$D$527</f>
        <v>68.635</v>
      </c>
      <c r="E615" s="38" t="n">
        <f aca="false">Sens!$E$527</f>
        <v>37.052</v>
      </c>
      <c r="F615" s="38" t="n">
        <f aca="false">Sens!$F$527</f>
        <v>48.1533381827382</v>
      </c>
      <c r="G615" s="38" t="n">
        <f aca="false">Sens!$G$527</f>
        <v>85.2053381827382</v>
      </c>
      <c r="H615" s="38" t="n">
        <f aca="false">Sens!$H$527</f>
        <v>102.29336185894</v>
      </c>
      <c r="I615" s="38" t="n">
        <f aca="false">Sens!$I$527</f>
        <v>119.379837585241</v>
      </c>
      <c r="J615" s="38" t="n">
        <f aca="false">Sens!$J$527</f>
        <v>135.319079048844</v>
      </c>
      <c r="K615" s="38" t="n">
        <f aca="false">Sens!$K$527</f>
        <v>148.850986953729</v>
      </c>
      <c r="L615" s="38" t="n">
        <f aca="false">Sens!$L$527</f>
        <v>163.736085649102</v>
      </c>
      <c r="M615" s="38" t="n">
        <f aca="false">Sens!$M$527</f>
        <v>180.109694214012</v>
      </c>
      <c r="N615" s="38" t="n">
        <f aca="false">Sens!$N$527</f>
        <v>29.615</v>
      </c>
      <c r="O615" s="38" t="n">
        <f aca="false">Sens!$O$527</f>
        <v>39.02</v>
      </c>
    </row>
    <row r="616" customFormat="false" ht="15" hidden="false" customHeight="false" outlineLevel="0" collapsed="false">
      <c r="A616" s="0" t="s">
        <v>483</v>
      </c>
      <c r="B616" s="0" t="s">
        <v>73</v>
      </c>
      <c r="C616" s="38" t="n">
        <f aca="false">Sens!$C$529</f>
        <v>44.374</v>
      </c>
      <c r="D616" s="38" t="n">
        <f aca="false">Sens!$D$529</f>
        <v>49.619</v>
      </c>
      <c r="E616" s="38" t="n">
        <f aca="false">Sens!$E$529</f>
        <v>27.157</v>
      </c>
      <c r="F616" s="38" t="n">
        <f aca="false">Sens!$F$529</f>
        <v>28.9776360923374</v>
      </c>
      <c r="G616" s="38" t="n">
        <f aca="false">Sens!$G$529</f>
        <v>56.1346360923374</v>
      </c>
      <c r="H616" s="38" t="n">
        <f aca="false">Sens!$H$529</f>
        <v>62.4937078946075</v>
      </c>
      <c r="I616" s="38" t="n">
        <f aca="false">Sens!$I$529</f>
        <v>68.6715233062498</v>
      </c>
      <c r="J616" s="38" t="n">
        <f aca="false">Sens!$J$529</f>
        <v>74.4692882949818</v>
      </c>
      <c r="K616" s="38" t="n">
        <f aca="false">Sens!$K$529</f>
        <v>79.6821384756306</v>
      </c>
      <c r="L616" s="38" t="n">
        <f aca="false">Sens!$L$529</f>
        <v>85.2598881689247</v>
      </c>
      <c r="M616" s="38" t="n">
        <f aca="false">Sens!$M$529</f>
        <v>91.2280803407494</v>
      </c>
      <c r="N616" s="38" t="n">
        <f aca="false">Sens!$N$529</f>
        <v>23.923</v>
      </c>
      <c r="O616" s="38" t="n">
        <f aca="false">Sens!$O$529</f>
        <v>25.696</v>
      </c>
    </row>
    <row r="617" customFormat="false" ht="15" hidden="false" customHeight="false" outlineLevel="0" collapsed="false">
      <c r="A617" s="0" t="s">
        <v>484</v>
      </c>
      <c r="B617" s="0" t="s">
        <v>73</v>
      </c>
      <c r="C617" s="38" t="n">
        <f aca="false">Sens!$C$531</f>
        <v>5.425</v>
      </c>
      <c r="D617" s="38" t="n">
        <f aca="false">Sens!$D$531</f>
        <v>5.935</v>
      </c>
      <c r="E617" s="38" t="n">
        <f aca="false">Sens!$E$531</f>
        <v>3.474</v>
      </c>
      <c r="F617" s="38" t="n">
        <f aca="false">Sens!$F$531</f>
        <v>3.36182431966931</v>
      </c>
      <c r="G617" s="38" t="n">
        <f aca="false">Sens!$G$531</f>
        <v>6.83582431966931</v>
      </c>
      <c r="H617" s="38" t="n">
        <f aca="false">Sens!$H$531</f>
        <v>7.31157108370141</v>
      </c>
      <c r="I617" s="38" t="n">
        <f aca="false">Sens!$I$531</f>
        <v>7.77266852639815</v>
      </c>
      <c r="J617" s="38" t="n">
        <f aca="false">Sens!$J$531</f>
        <v>8.2120733019884</v>
      </c>
      <c r="K617" s="38" t="n">
        <f aca="false">Sens!$K$531</f>
        <v>8.62267696708783</v>
      </c>
      <c r="L617" s="38" t="n">
        <f aca="false">Sens!$L$531</f>
        <v>9.05381081544222</v>
      </c>
      <c r="M617" s="38" t="n">
        <f aca="false">Sens!$M$531</f>
        <v>9.50650135621433</v>
      </c>
      <c r="N617" s="38" t="n">
        <f aca="false">Sens!$N$531</f>
        <v>2.811</v>
      </c>
      <c r="O617" s="38" t="n">
        <f aca="false">Sens!$O$531</f>
        <v>3.124</v>
      </c>
    </row>
    <row r="618" customFormat="false" ht="17.15" hidden="false" customHeight="false" outlineLevel="0" collapsed="false">
      <c r="A618" s="0" t="s">
        <v>670</v>
      </c>
      <c r="B618" s="0" t="s">
        <v>73</v>
      </c>
      <c r="C618" s="38" t="n">
        <f aca="false">Sens!$C$599</f>
        <v>107.556</v>
      </c>
      <c r="D618" s="38" t="n">
        <f aca="false">Sens!$D$599</f>
        <v>128.725</v>
      </c>
      <c r="E618" s="38" t="n">
        <f aca="false">Sens!$E$599</f>
        <v>79.819</v>
      </c>
      <c r="F618" s="38" t="n">
        <f aca="false">Sens!$F$599</f>
        <v>96.1617139082042</v>
      </c>
      <c r="G618" s="38" t="n">
        <f aca="false">Sens!$G$599</f>
        <v>175.980713908204</v>
      </c>
      <c r="H618" s="38" t="n">
        <f aca="false">Sens!$H$599</f>
        <v>262.312556558291</v>
      </c>
      <c r="I618" s="38" t="n">
        <f aca="false">Sens!$I$599</f>
        <v>355.341420483115</v>
      </c>
      <c r="J618" s="38" t="n">
        <f aca="false">Sens!$J$599</f>
        <v>444.647447542304</v>
      </c>
      <c r="K618" s="38" t="n">
        <f aca="false">Sens!$K$599</f>
        <v>527.208704242311</v>
      </c>
      <c r="L618" s="38" t="n">
        <f aca="false">Sens!$L$599</f>
        <v>611.325563561223</v>
      </c>
      <c r="M618" s="38" t="n">
        <f aca="false">Sens!$M$599</f>
        <v>697.099377310623</v>
      </c>
      <c r="N618" s="38" t="n">
        <f aca="false">Sens!$N$599</f>
        <v>60.14</v>
      </c>
      <c r="O618" s="38" t="n">
        <f aca="false">Sens!$O$599</f>
        <v>68.585</v>
      </c>
    </row>
    <row r="619" customFormat="false" ht="15" hidden="false" customHeight="false" outlineLevel="0" collapsed="false">
      <c r="A619" s="1" t="s">
        <v>472</v>
      </c>
      <c r="B619" s="8" t="s">
        <v>73</v>
      </c>
      <c r="C619" s="38" t="n">
        <f aca="false">Sens!$C$535</f>
        <v>387.497</v>
      </c>
      <c r="D619" s="38" t="n">
        <f aca="false">Sens!$D$535</f>
        <v>426.305</v>
      </c>
      <c r="E619" s="38" t="n">
        <f aca="false">Sens!$E$535</f>
        <v>220.32</v>
      </c>
      <c r="F619" s="38" t="n">
        <f aca="false">Sens!$F$535</f>
        <v>256.304015003807</v>
      </c>
      <c r="G619" s="38" t="n">
        <f aca="false">Sens!$G$535</f>
        <v>476.624015003807</v>
      </c>
      <c r="H619" s="38" t="n">
        <f aca="false">Sens!$H$535</f>
        <v>527.734391091543</v>
      </c>
      <c r="I619" s="38" t="n">
        <f aca="false">Sens!$I$535</f>
        <v>577.157693029577</v>
      </c>
      <c r="J619" s="38" t="n">
        <f aca="false">Sens!$J$535</f>
        <v>623.024923663827</v>
      </c>
      <c r="K619" s="38" t="n">
        <f aca="false">Sens!$K$535</f>
        <v>663.382568393781</v>
      </c>
      <c r="L619" s="38" t="n">
        <f aca="false">Sens!$L$535</f>
        <v>706.564873010432</v>
      </c>
      <c r="M619" s="38" t="n">
        <f aca="false">Sens!$M$535</f>
        <v>752.784687406019</v>
      </c>
      <c r="N619" s="38" t="n">
        <f aca="false">Sens!$N$535</f>
        <v>192.955</v>
      </c>
      <c r="O619" s="38" t="n">
        <f aca="false">Sens!$O$535</f>
        <v>233.35</v>
      </c>
    </row>
    <row r="620" customFormat="false" ht="15" hidden="false" customHeight="false" outlineLevel="0" collapsed="false">
      <c r="A620" s="1" t="s">
        <v>475</v>
      </c>
      <c r="B620" s="8" t="s">
        <v>73</v>
      </c>
      <c r="C620" s="38" t="n">
        <f aca="false">Sens!$C$536</f>
        <v>142.906</v>
      </c>
      <c r="D620" s="38" t="n">
        <f aca="false">Sens!$D$536</f>
        <v>161.894</v>
      </c>
      <c r="E620" s="38" t="n">
        <f aca="false">Sens!$E$536</f>
        <v>81.986</v>
      </c>
      <c r="F620" s="38" t="n">
        <f aca="false">Sens!$F$536</f>
        <v>100.632414204623</v>
      </c>
      <c r="G620" s="38" t="n">
        <f aca="false">Sens!$G$536</f>
        <v>182.618414204623</v>
      </c>
      <c r="H620" s="38" t="n">
        <f aca="false">Sens!$H$536</f>
        <v>202.201346530158</v>
      </c>
      <c r="I620" s="38" t="n">
        <f aca="false">Sens!$I$536</f>
        <v>221.137876668296</v>
      </c>
      <c r="J620" s="38" t="n">
        <f aca="false">Sens!$J$536</f>
        <v>238.711898661958</v>
      </c>
      <c r="K620" s="38" t="n">
        <f aca="false">Sens!$K$536</f>
        <v>254.174923708144</v>
      </c>
      <c r="L620" s="38" t="n">
        <f aca="false">Sens!$L$536</f>
        <v>270.720216732733</v>
      </c>
      <c r="M620" s="38" t="n">
        <f aca="false">Sens!$M$536</f>
        <v>288.429331137484</v>
      </c>
      <c r="N620" s="38" t="n">
        <f aca="false">Sens!$N$536</f>
        <v>70.274</v>
      </c>
      <c r="O620" s="38" t="n">
        <f aca="false">Sens!$O$536</f>
        <v>91.62</v>
      </c>
    </row>
    <row r="621" customFormat="false" ht="15" hidden="false" customHeight="false" outlineLevel="0" collapsed="false">
      <c r="A621" s="1" t="s">
        <v>476</v>
      </c>
      <c r="B621" s="8" t="s">
        <v>73</v>
      </c>
      <c r="C621" s="38" t="n">
        <f aca="false">Sens!$C$599</f>
        <v>107.556</v>
      </c>
      <c r="D621" s="38" t="n">
        <f aca="false">Sens!$D$599</f>
        <v>128.725</v>
      </c>
      <c r="E621" s="38" t="n">
        <f aca="false">Sens!$E$599</f>
        <v>79.819</v>
      </c>
      <c r="F621" s="38" t="n">
        <f aca="false">Sens!$F$599</f>
        <v>96.1617139082042</v>
      </c>
      <c r="G621" s="38" t="n">
        <f aca="false">Sens!$G$599</f>
        <v>175.980713908204</v>
      </c>
      <c r="H621" s="38" t="n">
        <f aca="false">Sens!$H$599</f>
        <v>262.312556558291</v>
      </c>
      <c r="I621" s="38" t="n">
        <f aca="false">Sens!$I$599</f>
        <v>355.341420483115</v>
      </c>
      <c r="J621" s="38" t="n">
        <f aca="false">Sens!$J$599</f>
        <v>444.647447542304</v>
      </c>
      <c r="K621" s="38" t="n">
        <f aca="false">Sens!$K$599</f>
        <v>527.208704242311</v>
      </c>
      <c r="L621" s="38" t="n">
        <f aca="false">Sens!$L$599</f>
        <v>611.325563561223</v>
      </c>
      <c r="M621" s="38" t="n">
        <f aca="false">Sens!$M$599</f>
        <v>697.099377310623</v>
      </c>
      <c r="N621" s="38" t="n">
        <f aca="false">Sens!$N$599</f>
        <v>60.14</v>
      </c>
      <c r="O621" s="38" t="n">
        <f aca="false">Sens!$O$599</f>
        <v>68.585</v>
      </c>
    </row>
    <row r="622" customFormat="false" ht="17.15" hidden="false" customHeight="false" outlineLevel="0" collapsed="false">
      <c r="A622" s="0" t="s">
        <v>644</v>
      </c>
      <c r="B622" s="0" t="s">
        <v>73</v>
      </c>
      <c r="C622" s="38" t="n">
        <f aca="false">Sens!$C$597</f>
        <v>2.32100535697364</v>
      </c>
      <c r="D622" s="38" t="n">
        <f aca="false">Sens!$D$597</f>
        <v>8.70377008865116</v>
      </c>
      <c r="E622" s="38" t="n">
        <f aca="false">Sens!$E$597</f>
        <v>8.51035297557002</v>
      </c>
      <c r="F622" s="38" t="n">
        <f aca="false">Sens!$F$597</f>
        <v>17.5667034895389</v>
      </c>
      <c r="G622" s="38" t="n">
        <f aca="false">Sens!$G$597</f>
        <v>26.077056465109</v>
      </c>
      <c r="H622" s="38" t="n">
        <f aca="false">Sens!$H$597</f>
        <v>81.4189957901494</v>
      </c>
      <c r="I622" s="38" t="n">
        <f aca="false">Sens!$I$597</f>
        <v>144.693023268105</v>
      </c>
      <c r="J622" s="38" t="n">
        <f aca="false">Sens!$J$597</f>
        <v>208.248538095809</v>
      </c>
      <c r="K622" s="38" t="n">
        <f aca="false">Sens!$K$597</f>
        <v>271.897882040097</v>
      </c>
      <c r="L622" s="38" t="n">
        <f aca="false">Sens!$L$597</f>
        <v>335.589875582831</v>
      </c>
      <c r="M622" s="38" t="n">
        <f aca="false">Sens!$M$597</f>
        <v>399.30483429396</v>
      </c>
      <c r="N622" s="38" t="n">
        <f aca="false">Sens!$N$597</f>
        <v>3.04631953102791</v>
      </c>
      <c r="O622" s="38" t="n">
        <f aca="false">Sens!$O$597</f>
        <v>5.65745055762326</v>
      </c>
    </row>
    <row r="623" customFormat="false" ht="17.15" hidden="false" customHeight="false" outlineLevel="0" collapsed="false">
      <c r="A623" s="0" t="s">
        <v>646</v>
      </c>
      <c r="B623" s="0" t="s">
        <v>73</v>
      </c>
      <c r="C623" s="38" t="n">
        <f aca="false">Sens!$C$598</f>
        <v>105.234994643026</v>
      </c>
      <c r="D623" s="38" t="n">
        <f aca="false">Sens!$D$598</f>
        <v>120.021229911349</v>
      </c>
      <c r="E623" s="38" t="n">
        <f aca="false">Sens!$E$598</f>
        <v>71.30864702443</v>
      </c>
      <c r="F623" s="38" t="n">
        <f aca="false">Sens!$F$598</f>
        <v>78.5950104186653</v>
      </c>
      <c r="G623" s="38" t="n">
        <f aca="false">Sens!$G$598</f>
        <v>149.903657443095</v>
      </c>
      <c r="H623" s="38" t="n">
        <f aca="false">Sens!$H$598</f>
        <v>180.893560768142</v>
      </c>
      <c r="I623" s="38" t="n">
        <f aca="false">Sens!$I$598</f>
        <v>210.64839721501</v>
      </c>
      <c r="J623" s="38" t="n">
        <f aca="false">Sens!$J$598</f>
        <v>236.398909446495</v>
      </c>
      <c r="K623" s="38" t="n">
        <f aca="false">Sens!$K$598</f>
        <v>255.310822202215</v>
      </c>
      <c r="L623" s="38" t="n">
        <f aca="false">Sens!$L$598</f>
        <v>275.735687978392</v>
      </c>
      <c r="M623" s="38" t="n">
        <f aca="false">Sens!$M$598</f>
        <v>297.794543016663</v>
      </c>
      <c r="N623" s="38" t="n">
        <f aca="false">Sens!$N$598</f>
        <v>57.0936804689721</v>
      </c>
      <c r="O623" s="38" t="n">
        <f aca="false">Sens!$O$598</f>
        <v>62.9275494423768</v>
      </c>
    </row>
    <row r="624" customFormat="false" ht="15" hidden="false" customHeight="false" outlineLevel="0" collapsed="false">
      <c r="A624" s="3" t="s">
        <v>477</v>
      </c>
      <c r="B624" s="8" t="s">
        <v>73</v>
      </c>
      <c r="C624" s="38" t="n">
        <f aca="false">Sens!$C$600</f>
        <v>637.959</v>
      </c>
      <c r="D624" s="38" t="n">
        <f aca="false">Sens!$D$600</f>
        <v>716.924</v>
      </c>
      <c r="E624" s="38" t="n">
        <f aca="false">Sens!$E$600</f>
        <v>382.125</v>
      </c>
      <c r="F624" s="38" t="n">
        <f aca="false">Sens!$F$600</f>
        <v>453.098143116634</v>
      </c>
      <c r="G624" s="38" t="n">
        <f aca="false">Sens!$G$600</f>
        <v>835.223143116634</v>
      </c>
      <c r="H624" s="38" t="n">
        <f aca="false">Sens!$H$600</f>
        <v>992.248294179992</v>
      </c>
      <c r="I624" s="38" t="n">
        <f aca="false">Sens!$I$600</f>
        <v>1153.63699018099</v>
      </c>
      <c r="J624" s="38" t="n">
        <f aca="false">Sens!$J$600</f>
        <v>1306.38426986809</v>
      </c>
      <c r="K624" s="38" t="n">
        <f aca="false">Sens!$K$600</f>
        <v>1444.76619634424</v>
      </c>
      <c r="L624" s="38" t="n">
        <f aca="false">Sens!$L$600</f>
        <v>1588.61065330439</v>
      </c>
      <c r="M624" s="38" t="n">
        <f aca="false">Sens!$M$600</f>
        <v>1738.31339585413</v>
      </c>
      <c r="N624" s="38" t="n">
        <f aca="false">Sens!$N$600</f>
        <v>323.369</v>
      </c>
      <c r="O624" s="38" t="n">
        <f aca="false">Sens!$O$600</f>
        <v>393.555</v>
      </c>
    </row>
    <row r="625" customFormat="false" ht="17.15" hidden="false" customHeight="false" outlineLevel="0" collapsed="false">
      <c r="A625" s="24" t="s">
        <v>656</v>
      </c>
      <c r="B625" s="25" t="s">
        <v>73</v>
      </c>
      <c r="C625" s="39" t="n">
        <f aca="false">Sens!$C$612+Sens!$C$613+Sens!$C$614+Sens!$C$615+Sens!$C$616+Sens!$C$617-(Sens!$C$619+Sens!$C$620)</f>
        <v>0</v>
      </c>
      <c r="D625" s="39" t="n">
        <f aca="false">Sens!$D$612+Sens!$D$613+Sens!$D$614+Sens!$D$615+Sens!$D$616+Sens!$D$617-(Sens!$D$619+Sens!$D$620)</f>
        <v>0</v>
      </c>
      <c r="E625" s="39" t="n">
        <f aca="false">Sens!$E$612+Sens!$E$613+Sens!$E$614+Sens!$E$615+Sens!$E$616+Sens!$E$617-(Sens!$E$619+Sens!$E$620)</f>
        <v>0</v>
      </c>
      <c r="F625" s="39" t="n">
        <f aca="false">Sens!$F$612+Sens!$F$613+Sens!$F$614+Sens!$F$615+Sens!$F$616+Sens!$F$617-(Sens!$F$619+Sens!$F$620)</f>
        <v>0</v>
      </c>
      <c r="G625" s="39" t="n">
        <f aca="false">Sens!$G$612+Sens!$G$613+Sens!$G$614+Sens!$G$615+Sens!$G$616+Sens!$G$617-(Sens!$G$619+Sens!$G$620)</f>
        <v>0</v>
      </c>
      <c r="H625" s="39" t="n">
        <f aca="false">Sens!$H$612+Sens!$H$613+Sens!$H$614+Sens!$H$615+Sens!$H$616+Sens!$H$617-(Sens!$H$619+Sens!$H$620)</f>
        <v>0</v>
      </c>
      <c r="I625" s="39" t="n">
        <f aca="false">Sens!$I$612+Sens!$I$613+Sens!$I$614+Sens!$I$615+Sens!$I$616+Sens!$I$617-(Sens!$I$619+Sens!$I$620)</f>
        <v>0</v>
      </c>
      <c r="J625" s="39" t="n">
        <f aca="false">Sens!$J$612+Sens!$J$613+Sens!$J$614+Sens!$J$615+Sens!$J$616+Sens!$J$617-(Sens!$J$619+Sens!$J$620)</f>
        <v>0</v>
      </c>
      <c r="K625" s="39" t="n">
        <f aca="false">Sens!$K$612+Sens!$K$613+Sens!$K$614+Sens!$K$615+Sens!$K$616+Sens!$K$617-(Sens!$K$619+Sens!$K$620)</f>
        <v>0</v>
      </c>
      <c r="L625" s="39" t="n">
        <f aca="false">Sens!$L$612+Sens!$L$613+Sens!$L$614+Sens!$L$615+Sens!$L$616+Sens!$L$617-(Sens!$L$619+Sens!$L$620)</f>
        <v>0</v>
      </c>
      <c r="M625" s="39" t="n">
        <f aca="false">Sens!$M$612+Sens!$M$613+Sens!$M$614+Sens!$M$615+Sens!$M$616+Sens!$M$617-(Sens!$M$619+Sens!$M$620)</f>
        <v>0</v>
      </c>
      <c r="N625" s="39" t="n">
        <f aca="false">Sens!$N$612+Sens!$N$613+Sens!$N$614+Sens!$N$615+Sens!$N$616+Sens!$N$617-(Sens!$N$619+Sens!$N$620)</f>
        <v>0</v>
      </c>
      <c r="O625" s="39" t="n">
        <f aca="false">Sens!$O$612+Sens!$O$613+Sens!$O$614+Sens!$O$615+Sens!$O$616+Sens!$O$617-(Sens!$O$619+Sens!$O$620)</f>
        <v>0</v>
      </c>
    </row>
    <row r="626" customFormat="false" ht="17.15" hidden="false" customHeight="false" outlineLevel="0" collapsed="false">
      <c r="A626" s="24" t="s">
        <v>657</v>
      </c>
      <c r="B626" s="25" t="s">
        <v>73</v>
      </c>
      <c r="C626" s="39" t="n">
        <f aca="false">Sens!$C$622+Sens!$C$623-Sens!$C$621</f>
        <v>0</v>
      </c>
      <c r="D626" s="39" t="n">
        <f aca="false">Sens!$D$622+Sens!$D$623-Sens!$D$621</f>
        <v>0</v>
      </c>
      <c r="E626" s="39" t="n">
        <f aca="false">Sens!$E$622+Sens!$E$623-Sens!$E$621</f>
        <v>0</v>
      </c>
      <c r="F626" s="39" t="n">
        <f aca="false">Sens!$F$622+Sens!$F$623-Sens!$F$621</f>
        <v>0</v>
      </c>
      <c r="G626" s="39" t="n">
        <f aca="false">Sens!$G$622+Sens!$G$623-Sens!$G$621</f>
        <v>0</v>
      </c>
      <c r="H626" s="39" t="n">
        <f aca="false">Sens!$H$622+Sens!$H$623-Sens!$H$621</f>
        <v>0</v>
      </c>
      <c r="I626" s="39" t="n">
        <f aca="false">Sens!$I$622+Sens!$I$623-Sens!$I$621</f>
        <v>0</v>
      </c>
      <c r="J626" s="39" t="n">
        <f aca="false">Sens!$J$622+Sens!$J$623-Sens!$J$621</f>
        <v>0</v>
      </c>
      <c r="K626" s="39" t="n">
        <f aca="false">Sens!$K$622+Sens!$K$623-Sens!$K$621</f>
        <v>0</v>
      </c>
      <c r="L626" s="39" t="n">
        <f aca="false">Sens!$L$622+Sens!$L$623-Sens!$L$621</f>
        <v>0</v>
      </c>
      <c r="M626" s="39" t="n">
        <f aca="false">Sens!$M$622+Sens!$M$623-Sens!$M$621</f>
        <v>0</v>
      </c>
      <c r="N626" s="39" t="n">
        <f aca="false">Sens!$N$622+Sens!$N$623-Sens!$N$621</f>
        <v>0</v>
      </c>
      <c r="O626" s="39" t="n">
        <f aca="false">Sens!$O$622+Sens!$O$623-Sens!$O$621</f>
        <v>0</v>
      </c>
    </row>
    <row r="627" customFormat="false" ht="17.15" hidden="false" customHeight="false" outlineLevel="0" collapsed="false">
      <c r="A627" s="24" t="s">
        <v>711</v>
      </c>
      <c r="B627" s="25" t="s">
        <v>73</v>
      </c>
      <c r="C627" s="39" t="n">
        <f aca="false">Sens!$C$612+Sens!$C$613+Sens!$C$614+Sens!$C$615+Sens!$C$616+Sens!$C$617+Sens!$C$618-Sens!$C$624</f>
        <v>0</v>
      </c>
      <c r="D627" s="39" t="n">
        <f aca="false">Sens!$D$612+Sens!$D$613+Sens!$D$614+Sens!$D$615+Sens!$D$616+Sens!$D$617+Sens!$D$618-Sens!$D$624</f>
        <v>0</v>
      </c>
      <c r="E627" s="39" t="n">
        <f aca="false">Sens!$E$612+Sens!$E$613+Sens!$E$614+Sens!$E$615+Sens!$E$616+Sens!$E$617+Sens!$E$618-Sens!$E$624</f>
        <v>0</v>
      </c>
      <c r="F627" s="39" t="n">
        <f aca="false">Sens!$F$612+Sens!$F$613+Sens!$F$614+Sens!$F$615+Sens!$F$616+Sens!$F$617+Sens!$F$618-Sens!$F$624</f>
        <v>0</v>
      </c>
      <c r="G627" s="39" t="n">
        <f aca="false">Sens!$G$612+Sens!$G$613+Sens!$G$614+Sens!$G$615+Sens!$G$616+Sens!$G$617+Sens!$G$618-Sens!$G$624</f>
        <v>0</v>
      </c>
      <c r="H627" s="39" t="n">
        <f aca="false">Sens!$H$612+Sens!$H$613+Sens!$H$614+Sens!$H$615+Sens!$H$616+Sens!$H$617+Sens!$H$618-Sens!$H$624</f>
        <v>0</v>
      </c>
      <c r="I627" s="39" t="n">
        <f aca="false">Sens!$I$612+Sens!$I$613+Sens!$I$614+Sens!$I$615+Sens!$I$616+Sens!$I$617+Sens!$I$618-Sens!$I$624</f>
        <v>0</v>
      </c>
      <c r="J627" s="39" t="n">
        <f aca="false">Sens!$J$612+Sens!$J$613+Sens!$J$614+Sens!$J$615+Sens!$J$616+Sens!$J$617+Sens!$J$618-Sens!$J$624</f>
        <v>0</v>
      </c>
      <c r="K627" s="39" t="n">
        <f aca="false">Sens!$K$612+Sens!$K$613+Sens!$K$614+Sens!$K$615+Sens!$K$616+Sens!$K$617+Sens!$K$618-Sens!$K$624</f>
        <v>0</v>
      </c>
      <c r="L627" s="39" t="n">
        <f aca="false">Sens!$L$612+Sens!$L$613+Sens!$L$614+Sens!$L$615+Sens!$L$616+Sens!$L$617+Sens!$L$618-Sens!$L$624</f>
        <v>0</v>
      </c>
      <c r="M627" s="39" t="n">
        <f aca="false">Sens!$M$612+Sens!$M$613+Sens!$M$614+Sens!$M$615+Sens!$M$616+Sens!$M$617+Sens!$M$618-Sens!$M$624</f>
        <v>0</v>
      </c>
      <c r="N627" s="39" t="n">
        <f aca="false">Sens!$N$612+Sens!$N$613+Sens!$N$614+Sens!$N$615+Sens!$N$616+Sens!$N$617+Sens!$N$618-Sens!$N$624</f>
        <v>0</v>
      </c>
      <c r="O627" s="39" t="n">
        <f aca="false">Sens!$O$612+Sens!$O$613+Sens!$O$614+Sens!$O$615+Sens!$O$616+Sens!$O$617+Sens!$O$618-Sens!$O$624</f>
        <v>0</v>
      </c>
    </row>
    <row r="628" customFormat="false" ht="17.15" hidden="false" customHeight="false" outlineLevel="0" collapsed="false">
      <c r="A628" s="24" t="s">
        <v>658</v>
      </c>
      <c r="B628" s="25" t="s">
        <v>73</v>
      </c>
      <c r="C628" s="39" t="n">
        <f aca="false">Sens!$C$619+Sens!$C$620+Sens!$C$621-Sens!$C$624</f>
        <v>0</v>
      </c>
      <c r="D628" s="39" t="n">
        <f aca="false">Sens!$D$619+Sens!$D$620+Sens!$D$621-Sens!$D$624</f>
        <v>0</v>
      </c>
      <c r="E628" s="39" t="n">
        <f aca="false">Sens!$E$619+Sens!$E$620+Sens!$E$621-Sens!$E$624</f>
        <v>0</v>
      </c>
      <c r="F628" s="39" t="n">
        <f aca="false">Sens!$F$619+Sens!$F$620+Sens!$F$621-Sens!$F$624</f>
        <v>0</v>
      </c>
      <c r="G628" s="39" t="n">
        <f aca="false">Sens!$G$619+Sens!$G$620+Sens!$G$621-Sens!$G$624</f>
        <v>0</v>
      </c>
      <c r="H628" s="39" t="n">
        <f aca="false">Sens!$H$619+Sens!$H$620+Sens!$H$621-Sens!$H$624</f>
        <v>0</v>
      </c>
      <c r="I628" s="39" t="n">
        <f aca="false">Sens!$I$619+Sens!$I$620+Sens!$I$621-Sens!$I$624</f>
        <v>0</v>
      </c>
      <c r="J628" s="39" t="n">
        <f aca="false">Sens!$J$619+Sens!$J$620+Sens!$J$621-Sens!$J$624</f>
        <v>0</v>
      </c>
      <c r="K628" s="39" t="n">
        <f aca="false">Sens!$K$619+Sens!$K$620+Sens!$K$621-Sens!$K$624</f>
        <v>0</v>
      </c>
      <c r="L628" s="39" t="n">
        <f aca="false">Sens!$L$619+Sens!$L$620+Sens!$L$621-Sens!$L$624</f>
        <v>0</v>
      </c>
      <c r="M628" s="39" t="n">
        <f aca="false">Sens!$M$619+Sens!$M$620+Sens!$M$621-Sens!$M$624</f>
        <v>0</v>
      </c>
      <c r="N628" s="39" t="n">
        <f aca="false">Sens!$N$619+Sens!$N$620+Sens!$N$621-Sens!$N$624</f>
        <v>0</v>
      </c>
      <c r="O628" s="39" t="n">
        <f aca="false">Sens!$O$619+Sens!$O$620+Sens!$O$621-Sens!$O$624</f>
        <v>0</v>
      </c>
    </row>
    <row r="629" customFormat="false" ht="17.15" hidden="false" customHeight="false" outlineLevel="0" collapsed="false">
      <c r="A629" s="1" t="s">
        <v>672</v>
      </c>
    </row>
    <row r="630" customFormat="false" ht="17.15" hidden="false" customHeight="false" outlineLevel="0" collapsed="false">
      <c r="A630" s="0" t="s">
        <v>673</v>
      </c>
      <c r="B630" s="0" t="s">
        <v>73</v>
      </c>
      <c r="C630" s="38" t="n">
        <f aca="false">Sens!$C$537*m_ad</f>
        <v>20.5341564414228</v>
      </c>
      <c r="D630" s="38" t="n">
        <f aca="false">Sens!$D$537*m_ad</f>
        <v>24.8720617299587</v>
      </c>
      <c r="E630" s="38" t="n">
        <f aca="false">Sens!$E$537*m_ad</f>
        <v>13.5017112462207</v>
      </c>
      <c r="F630" s="38" t="n">
        <f aca="false">Sens!$F$537*m_ad</f>
        <v>17.2886442824599</v>
      </c>
      <c r="G630" s="38" t="n">
        <f aca="false">Sens!$G$537*m_ad</f>
        <v>30.8011958765886</v>
      </c>
      <c r="H630" s="38" t="n">
        <f aca="false">Sens!$H$537*m_ad</f>
        <v>36.978409366026</v>
      </c>
      <c r="I630" s="38" t="n">
        <f aca="false">Sens!$I$537*m_ad</f>
        <v>43.155063281273</v>
      </c>
      <c r="J630" s="38" t="n">
        <f aca="false">Sens!$J$537*m_ad</f>
        <v>48.9169991988532</v>
      </c>
      <c r="K630" s="38" t="n">
        <f aca="false">Sens!$K$537*m_ad</f>
        <v>53.8086991187386</v>
      </c>
      <c r="L630" s="38" t="n">
        <f aca="false">Sens!$L$537*m_ad</f>
        <v>59.1895690306124</v>
      </c>
      <c r="M630" s="38" t="n">
        <f aca="false">Sens!$M$537*m_ad</f>
        <v>65.1085259336737</v>
      </c>
      <c r="N630" s="38" t="n">
        <f aca="false">Sens!$N$537*m_ad</f>
        <v>10.8543555706248</v>
      </c>
      <c r="O630" s="38" t="n">
        <f aca="false">Sens!$O$537*m_ad</f>
        <v>14.0094731821399</v>
      </c>
    </row>
    <row r="631" customFormat="false" ht="17.15" hidden="false" customHeight="false" outlineLevel="0" collapsed="false">
      <c r="A631" s="0" t="s">
        <v>674</v>
      </c>
      <c r="B631" s="0" t="s">
        <v>73</v>
      </c>
      <c r="C631" s="38" t="n">
        <f aca="false">Sens!$C$535-Sens!$C$537</f>
        <v>346.428687117154</v>
      </c>
      <c r="D631" s="38" t="n">
        <f aca="false">Sens!$D$535-Sens!$D$537</f>
        <v>376.560876540083</v>
      </c>
      <c r="E631" s="38" t="n">
        <f aca="false">Sens!$E$535-Sens!$E$537</f>
        <v>193.316577507559</v>
      </c>
      <c r="F631" s="38" t="n">
        <f aca="false">Sens!$F$535-Sens!$F$537</f>
        <v>221.726726438887</v>
      </c>
      <c r="G631" s="38" t="n">
        <f aca="false">Sens!$G$535-Sens!$G$537</f>
        <v>415.02162325063</v>
      </c>
      <c r="H631" s="38" t="n">
        <f aca="false">Sens!$H$535-Sens!$H$537</f>
        <v>453.777572359491</v>
      </c>
      <c r="I631" s="38" t="n">
        <f aca="false">Sens!$I$535-Sens!$I$537</f>
        <v>490.847566467031</v>
      </c>
      <c r="J631" s="38" t="n">
        <f aca="false">Sens!$J$535-Sens!$J$537</f>
        <v>525.190925266121</v>
      </c>
      <c r="K631" s="38" t="n">
        <f aca="false">Sens!$K$535-Sens!$K$537</f>
        <v>555.765170156304</v>
      </c>
      <c r="L631" s="38" t="n">
        <f aca="false">Sens!$L$535-Sens!$L$537</f>
        <v>588.185734949207</v>
      </c>
      <c r="M631" s="38" t="n">
        <f aca="false">Sens!$M$535-Sens!$M$537</f>
        <v>622.567635538672</v>
      </c>
      <c r="N631" s="38" t="n">
        <f aca="false">Sens!$N$535-Sens!$N$537</f>
        <v>171.24628885875</v>
      </c>
      <c r="O631" s="38" t="n">
        <f aca="false">Sens!$O$535-Sens!$O$537</f>
        <v>205.33105363572</v>
      </c>
    </row>
    <row r="632" customFormat="false" ht="17.15" hidden="false" customHeight="false" outlineLevel="0" collapsed="false">
      <c r="A632" s="0" t="s">
        <v>675</v>
      </c>
      <c r="B632" s="0" t="s">
        <v>73</v>
      </c>
      <c r="C632" s="38" t="n">
        <f aca="false">Sens!$C$583*Sens!$C$534</f>
        <v>0.123617442257179</v>
      </c>
      <c r="D632" s="38" t="n">
        <f aca="false">Sens!$D$583*Sens!$D$534</f>
        <v>0.874366899302609</v>
      </c>
      <c r="E632" s="38" t="n">
        <f aca="false">Sens!$E$583*Sens!$E$534</f>
        <v>1.29318830502574</v>
      </c>
      <c r="F632" s="38" t="n">
        <f aca="false">Sens!$F$583*Sens!$F$534</f>
        <v>1.51802024162534</v>
      </c>
      <c r="G632" s="38" t="n">
        <f aca="false">Sens!$G$583*Sens!$G$534</f>
        <v>2.81130189308167</v>
      </c>
      <c r="H632" s="38" t="n">
        <f aca="false">Sens!$H$583*Sens!$H$534</f>
        <v>7.38966789318209</v>
      </c>
      <c r="I632" s="38" t="n">
        <f aca="false">Sens!$I$583*Sens!$I$534</f>
        <v>12.8987443661473</v>
      </c>
      <c r="J632" s="38" t="n">
        <f aca="false">Sens!$J$583*Sens!$J$534</f>
        <v>18.5570025453645</v>
      </c>
      <c r="K632" s="38" t="n">
        <f aca="false">Sens!$K$583*Sens!$K$534</f>
        <v>24.3158972773405</v>
      </c>
      <c r="L632" s="38" t="n">
        <f aca="false">Sens!$L$583*Sens!$L$534</f>
        <v>29.7827375558674</v>
      </c>
      <c r="M632" s="38" t="n">
        <f aca="false">Sens!$M$583*Sens!$M$534</f>
        <v>35.3532344973194</v>
      </c>
      <c r="N632" s="38" t="n">
        <f aca="false">Sens!$N$583*Sens!$N$534</f>
        <v>0.389180508437431</v>
      </c>
      <c r="O632" s="38" t="n">
        <f aca="false">Sens!$O$583*Sens!$O$534</f>
        <v>0.485052120082802</v>
      </c>
    </row>
    <row r="633" customFormat="false" ht="17.15" hidden="false" customHeight="false" outlineLevel="0" collapsed="false">
      <c r="A633" s="0" t="s">
        <v>676</v>
      </c>
      <c r="B633" s="0" t="s">
        <v>52</v>
      </c>
      <c r="C633" s="28" t="n">
        <f aca="false">(Sens!$C$634-Sens!$C$630+Sens!$C$632)/Sens!$C$631</f>
        <v>0.0131526665379575</v>
      </c>
      <c r="D633" s="28" t="n">
        <f aca="false">(Sens!$D$634-Sens!$D$630+Sens!$D$632)/Sens!$D$631</f>
        <v>0.0149280116962589</v>
      </c>
      <c r="E633" s="28" t="n">
        <f aca="false">(Sens!$E$634-Sens!$E$630+Sens!$E$632)/Sens!$E$631</f>
        <v>0.0268030663774938</v>
      </c>
      <c r="F633" s="28" t="n">
        <f aca="false">Sens!$O$633+(Sens!$E$633-Sens!$N$633)</f>
        <v>0.0232379346966962</v>
      </c>
      <c r="G633" s="28" t="n">
        <f aca="false">(Sens!$G$634-Sens!$G$630+Sens!$G$632)/Sens!$G$631</f>
        <v>0.0248738876928168</v>
      </c>
      <c r="H633" s="28" t="n">
        <f aca="false">Sens!$G$633+step_na</f>
        <v>0.0278738876928168</v>
      </c>
      <c r="I633" s="28" t="n">
        <f aca="false">Sens!$H$633+step_na</f>
        <v>0.0308738876928168</v>
      </c>
      <c r="J633" s="28" t="n">
        <f aca="false">Sens!$I$633+step_na</f>
        <v>0.0338738876928168</v>
      </c>
      <c r="K633" s="28" t="n">
        <f aca="false">Sens!$J$633+step_na</f>
        <v>0.0368738876928168</v>
      </c>
      <c r="L633" s="28" t="n">
        <f aca="false">Sens!$K$633</f>
        <v>0.0368738876928168</v>
      </c>
      <c r="M633" s="28" t="n">
        <f aca="false">Sens!$L$633</f>
        <v>0.0368738876928168</v>
      </c>
      <c r="N633" s="28" t="n">
        <f aca="false">(Sens!$N$634-Sens!$N$630+Sens!$N$632)/Sens!$N$631</f>
        <v>0.0168927744775755</v>
      </c>
      <c r="O633" s="28" t="n">
        <f aca="false">(Sens!$O$634-Sens!$O$630+Sens!$O$632)/Sens!$O$631</f>
        <v>0.0133276427967779</v>
      </c>
      <c r="P633" s="8" t="s">
        <v>677</v>
      </c>
    </row>
    <row r="634" customFormat="false" ht="17.15" hidden="false" customHeight="false" outlineLevel="0" collapsed="false">
      <c r="A634" s="1" t="s">
        <v>678</v>
      </c>
      <c r="B634" s="8" t="s">
        <v>73</v>
      </c>
      <c r="C634" s="38" t="n">
        <f aca="false">Q!$D$22</f>
        <v>24.967</v>
      </c>
      <c r="D634" s="38" t="n">
        <f aca="false">Q!$E$22</f>
        <v>29.619</v>
      </c>
      <c r="E634" s="38" t="n">
        <f aca="false">Q!$P$22</f>
        <v>17.39</v>
      </c>
      <c r="F634" s="38" t="n">
        <f aca="false">Sens!$F$630+Sens!$F$631*Sens!$F$633-Sens!$F$632</f>
        <v>20.9230952303336</v>
      </c>
      <c r="G634" s="38" t="n">
        <f aca="false">Sens!$E$634+Sens!$F$634</f>
        <v>38.3130952303336</v>
      </c>
      <c r="H634" s="38" t="n">
        <f aca="false">Sens!$H$630+Sens!$H$631*Sens!$H$633-Sens!$H$632</f>
        <v>42.2372865623114</v>
      </c>
      <c r="I634" s="38" t="n">
        <f aca="false">Sens!$I$630+Sens!$I$631*Sens!$I$633-Sens!$I$632</f>
        <v>45.4106915565213</v>
      </c>
      <c r="J634" s="38" t="n">
        <f aca="false">Sens!$J$630+Sens!$J$631*Sens!$J$633-Sens!$J$632</f>
        <v>48.1502550732398</v>
      </c>
      <c r="K634" s="38" t="n">
        <f aca="false">Sens!$K$630+Sens!$K$631*Sens!$K$633-Sens!$K$632</f>
        <v>49.9860243093208</v>
      </c>
      <c r="L634" s="38" t="n">
        <f aca="false">Sens!$L$630+Sens!$L$631*Sens!$L$633-Sens!$L$632</f>
        <v>51.095526207779</v>
      </c>
      <c r="M634" s="38" t="n">
        <f aca="false">Sens!$M$630+Sens!$M$631*Sens!$M$633-Sens!$M$632</f>
        <v>52.7117805103898</v>
      </c>
      <c r="N634" s="38" t="n">
        <f aca="false">Q!$N$22</f>
        <v>13.358</v>
      </c>
      <c r="O634" s="38" t="n">
        <f aca="false">Q!$O$22</f>
        <v>16.261</v>
      </c>
    </row>
    <row r="635" customFormat="false" ht="17.15" hidden="false" customHeight="false" outlineLevel="0" collapsed="false">
      <c r="A635" s="0" t="s">
        <v>679</v>
      </c>
      <c r="B635" s="0" t="s">
        <v>73</v>
      </c>
      <c r="C635" s="38" t="n">
        <f aca="false">Sens!$C$538*m_ad</f>
        <v>7.57284355857716</v>
      </c>
      <c r="D635" s="38" t="n">
        <f aca="false">Sens!$D$538*m_ad</f>
        <v>9.44543827004127</v>
      </c>
      <c r="E635" s="38" t="n">
        <f aca="false">Sens!$E$538*m_ad</f>
        <v>5.02428875377928</v>
      </c>
      <c r="F635" s="38" t="n">
        <f aca="false">Sens!$F$538*m_ad</f>
        <v>6.78802480890925</v>
      </c>
      <c r="G635" s="38" t="n">
        <f aca="false">Sens!$G$538*m_ad</f>
        <v>11.8014732147805</v>
      </c>
      <c r="H635" s="38" t="n">
        <f aca="false">Sens!$H$538*m_ad</f>
        <v>14.1682715634442</v>
      </c>
      <c r="I635" s="38" t="n">
        <f aca="false">Sens!$I$538*m_ad</f>
        <v>16.5348555113474</v>
      </c>
      <c r="J635" s="38" t="n">
        <f aca="false">Sens!$J$538*m_ad</f>
        <v>18.7425403255689</v>
      </c>
      <c r="K635" s="38" t="n">
        <f aca="false">Sens!$K$538*m_ad</f>
        <v>20.6167943581258</v>
      </c>
      <c r="L635" s="38" t="n">
        <f aca="false">Sens!$L$538*m_ad</f>
        <v>22.6784737939383</v>
      </c>
      <c r="M635" s="38" t="n">
        <f aca="false">Sens!$M$538*m_ad</f>
        <v>24.9463211733322</v>
      </c>
      <c r="N635" s="38" t="n">
        <f aca="false">Sens!$N$538*m_ad</f>
        <v>3.95314442937518</v>
      </c>
      <c r="O635" s="38" t="n">
        <f aca="false">Sens!$O$538*m_ad</f>
        <v>5.50052681786011</v>
      </c>
    </row>
    <row r="636" customFormat="false" ht="17.15" hidden="false" customHeight="false" outlineLevel="0" collapsed="false">
      <c r="A636" s="0" t="s">
        <v>680</v>
      </c>
      <c r="B636" s="0" t="s">
        <v>73</v>
      </c>
      <c r="C636" s="38" t="n">
        <f aca="false">Sens!$C$536-Sens!$C$538</f>
        <v>127.760312882846</v>
      </c>
      <c r="D636" s="38" t="n">
        <f aca="false">Sens!$D$536-Sens!$D$538</f>
        <v>143.003123459917</v>
      </c>
      <c r="E636" s="38" t="n">
        <f aca="false">Sens!$E$536-Sens!$E$538</f>
        <v>71.9374224924414</v>
      </c>
      <c r="F636" s="38" t="n">
        <f aca="false">Sens!$F$536-Sens!$F$538</f>
        <v>87.0563645868046</v>
      </c>
      <c r="G636" s="38" t="n">
        <f aca="false">Sens!$G$536-Sens!$G$538</f>
        <v>159.015467775062</v>
      </c>
      <c r="H636" s="38" t="n">
        <f aca="false">Sens!$H$536-Sens!$H$538</f>
        <v>173.864803403269</v>
      </c>
      <c r="I636" s="38" t="n">
        <f aca="false">Sens!$I$536-Sens!$I$538</f>
        <v>188.068165645601</v>
      </c>
      <c r="J636" s="38" t="n">
        <f aca="false">Sens!$J$536-Sens!$J$538</f>
        <v>201.22681801082</v>
      </c>
      <c r="K636" s="38" t="n">
        <f aca="false">Sens!$K$536-Sens!$K$538</f>
        <v>212.941334991893</v>
      </c>
      <c r="L636" s="38" t="n">
        <f aca="false">Sens!$L$536-Sens!$L$538</f>
        <v>225.363269144856</v>
      </c>
      <c r="M636" s="38" t="n">
        <f aca="false">Sens!$M$536-Sens!$M$538</f>
        <v>238.536688790819</v>
      </c>
      <c r="N636" s="38" t="n">
        <f aca="false">Sens!$N$536-Sens!$N$538</f>
        <v>62.3677111412496</v>
      </c>
      <c r="O636" s="38" t="n">
        <f aca="false">Sens!$O$536-Sens!$O$538</f>
        <v>80.6189463642798</v>
      </c>
    </row>
    <row r="637" customFormat="false" ht="17.15" hidden="false" customHeight="false" outlineLevel="0" collapsed="false">
      <c r="A637" s="0" t="s">
        <v>681</v>
      </c>
      <c r="B637" s="0" t="s">
        <v>73</v>
      </c>
      <c r="C637" s="38" t="n">
        <f aca="false">Sens!$C$583*(1-Sens!$C$534)</f>
        <v>0.0455891896019953</v>
      </c>
      <c r="D637" s="38" t="n">
        <f aca="false">Sens!$D$583*(1-Sens!$D$534)</f>
        <v>0.332050421167231</v>
      </c>
      <c r="E637" s="38" t="n">
        <f aca="false">Sens!$E$583*(1-Sens!$E$534)</f>
        <v>0.481224293644882</v>
      </c>
      <c r="F637" s="38" t="n">
        <f aca="false">Sens!$F$583*(1-Sens!$F$534)</f>
        <v>0.596018918096053</v>
      </c>
      <c r="G637" s="38" t="n">
        <f aca="false">Sens!$G$583*(1-Sens!$G$534)</f>
        <v>1.07714986531035</v>
      </c>
      <c r="H637" s="38" t="n">
        <f aca="false">Sens!$H$583*(1-Sens!$H$534)</f>
        <v>2.83135005721638</v>
      </c>
      <c r="I637" s="38" t="n">
        <f aca="false">Sens!$I$583*(1-Sens!$I$534)</f>
        <v>4.9421518161602</v>
      </c>
      <c r="J637" s="38" t="n">
        <f aca="false">Sens!$J$583*(1-Sens!$J$534)</f>
        <v>7.11011252170866</v>
      </c>
      <c r="K637" s="38" t="n">
        <f aca="false">Sens!$K$583*(1-Sens!$K$534)</f>
        <v>9.31663210615807</v>
      </c>
      <c r="L637" s="38" t="n">
        <f aca="false">Sens!$L$583*(1-Sens!$L$534)</f>
        <v>11.411251074039</v>
      </c>
      <c r="M637" s="38" t="n">
        <f aca="false">Sens!$M$583*(1-Sens!$M$534)</f>
        <v>13.5455860755423</v>
      </c>
      <c r="N637" s="38" t="n">
        <f aca="false">Sens!$N$583*(1-Sens!$N$534)</f>
        <v>0.141739115596548</v>
      </c>
      <c r="O637" s="38" t="n">
        <f aca="false">Sens!$O$583*(1-Sens!$O$534)</f>
        <v>0.190445576353059</v>
      </c>
    </row>
    <row r="638" customFormat="false" ht="17.15" hidden="false" customHeight="false" outlineLevel="0" collapsed="false">
      <c r="A638" s="0" t="s">
        <v>682</v>
      </c>
      <c r="B638" s="0" t="s">
        <v>52</v>
      </c>
      <c r="C638" s="28" t="n">
        <f aca="false">(Sens!$C$639-Sens!$C$635+Sens!$C$637)/Sens!$C$636</f>
        <v>-0.0292364215826579</v>
      </c>
      <c r="D638" s="28" t="n">
        <f aca="false">(Sens!$D$639-Sens!$D$635+Sens!$D$637)/Sens!$D$636</f>
        <v>-0.0305125352740778</v>
      </c>
      <c r="E638" s="28" t="n">
        <f aca="false">(Sens!$E$639-Sens!$E$635+Sens!$E$637)/Sens!$E$636</f>
        <v>-0.019490056934994</v>
      </c>
      <c r="F638" s="28" t="n">
        <f aca="false">Sens!$O$638+(Sens!$E$638-Sens!$N$638)</f>
        <v>-0.0367332293992226</v>
      </c>
      <c r="G638" s="28" t="n">
        <f aca="false">(Sens!$G$639-Sens!$G$635+Sens!$G$637)/Sens!$G$636</f>
        <v>-0.0288599526442178</v>
      </c>
      <c r="H638" s="28" t="n">
        <f aca="false">Sens!$G$638+step_in</f>
        <v>-0.0288599526442178</v>
      </c>
      <c r="I638" s="28" t="n">
        <f aca="false">Sens!$H$638+step_in</f>
        <v>-0.0288599526442178</v>
      </c>
      <c r="J638" s="28" t="n">
        <f aca="false">Sens!$I$638+step_in</f>
        <v>-0.0288599526442178</v>
      </c>
      <c r="K638" s="28" t="n">
        <f aca="false">Sens!$J$638+step_in</f>
        <v>-0.0288599526442178</v>
      </c>
      <c r="L638" s="28" t="n">
        <f aca="false">Sens!$K$638</f>
        <v>-0.0288599526442178</v>
      </c>
      <c r="M638" s="28" t="n">
        <f aca="false">Sens!$L$638</f>
        <v>-0.0288599526442178</v>
      </c>
      <c r="N638" s="28" t="n">
        <f aca="false">(Sens!$N$639-Sens!$N$635+Sens!$N$637)/Sens!$N$636</f>
        <v>-0.02085061789158</v>
      </c>
      <c r="O638" s="28" t="n">
        <f aca="false">(Sens!$O$639-Sens!$O$635+Sens!$O$637)/Sens!$O$636</f>
        <v>-0.0380937903558086</v>
      </c>
      <c r="P638" s="8" t="s">
        <v>677</v>
      </c>
    </row>
    <row r="639" customFormat="false" ht="17.15" hidden="false" customHeight="false" outlineLevel="0" collapsed="false">
      <c r="A639" s="1" t="s">
        <v>683</v>
      </c>
      <c r="B639" s="8" t="s">
        <v>73</v>
      </c>
      <c r="C639" s="38" t="n">
        <f aca="false">Q!$D$23</f>
        <v>3.792</v>
      </c>
      <c r="D639" s="38" t="n">
        <f aca="false">Q!$E$23</f>
        <v>4.75</v>
      </c>
      <c r="E639" s="38" t="n">
        <f aca="false">Q!$P$23</f>
        <v>3.141</v>
      </c>
      <c r="F639" s="38" t="n">
        <f aca="false">Sens!$F$635+Sens!$F$636*Sens!$F$638-Sens!$F$637</f>
        <v>2.99414447978375</v>
      </c>
      <c r="G639" s="38" t="n">
        <f aca="false">Sens!$E$639+Sens!$F$639</f>
        <v>6.13514447978375</v>
      </c>
      <c r="H639" s="38" t="n">
        <f aca="false">Sens!$H$635+Sens!$H$636*Sens!$H$638-Sens!$H$637</f>
        <v>6.31919151351322</v>
      </c>
      <c r="I639" s="38" t="n">
        <f aca="false">Sens!$I$635+Sens!$I$636*Sens!$I$638-Sens!$I$637</f>
        <v>6.16506534077027</v>
      </c>
      <c r="J639" s="38" t="n">
        <f aca="false">Sens!$J$635+Sens!$J$636*Sens!$J$638-Sens!$J$637</f>
        <v>5.8250313653213</v>
      </c>
      <c r="K639" s="38" t="n">
        <f aca="false">Sens!$K$635+Sens!$K$636*Sens!$K$638-Sens!$K$637</f>
        <v>5.15468540810514</v>
      </c>
      <c r="L639" s="38" t="n">
        <f aca="false">Sens!$L$635+Sens!$L$636*Sens!$L$638-Sens!$L$637</f>
        <v>4.76324944463266</v>
      </c>
      <c r="M639" s="38" t="n">
        <f aca="false">Sens!$M$635+Sens!$M$636*Sens!$M$638-Sens!$M$637</f>
        <v>4.51657755537829</v>
      </c>
      <c r="N639" s="38" t="n">
        <f aca="false">Q!$N$23</f>
        <v>2.511</v>
      </c>
      <c r="O639" s="38" t="n">
        <f aca="false">Q!$O$23</f>
        <v>2.239</v>
      </c>
    </row>
    <row r="640" customFormat="false" ht="17.15" hidden="false" customHeight="false" outlineLevel="0" collapsed="false">
      <c r="A640" s="0" t="s">
        <v>684</v>
      </c>
      <c r="B640" s="0" t="s">
        <v>73</v>
      </c>
      <c r="C640" s="38" t="n">
        <f aca="false">Sens!$C$580</f>
        <v>1.64417882953695</v>
      </c>
      <c r="D640" s="38" t="n">
        <f aca="false">Sens!$D$580</f>
        <v>3.8781008067718</v>
      </c>
      <c r="E640" s="38" t="n">
        <f aca="false">Sens!$E$580</f>
        <v>1.41270258088753</v>
      </c>
      <c r="F640" s="38" t="n">
        <f aca="false">Sens!$F$580</f>
        <v>9.11054685065335</v>
      </c>
      <c r="G640" s="38" t="n">
        <f aca="false">Sens!$G$580</f>
        <v>10.5232494315409</v>
      </c>
      <c r="H640" s="38" t="n">
        <f aca="false">Sens!$H$580</f>
        <v>40.5349239885555</v>
      </c>
      <c r="I640" s="38" t="n">
        <f aca="false">Sens!$I$580</f>
        <v>73.3294385388747</v>
      </c>
      <c r="J640" s="38" t="n">
        <f aca="false">Sens!$J$580</f>
        <v>105.580077827516</v>
      </c>
      <c r="K640" s="38" t="n">
        <f aca="false">Sens!$K$580</f>
        <v>137.367764506102</v>
      </c>
      <c r="L640" s="38" t="n">
        <f aca="false">Sens!$L$580</f>
        <v>170.813921063205</v>
      </c>
      <c r="M640" s="38" t="n">
        <f aca="false">Sens!$M$580</f>
        <v>203.709552002513</v>
      </c>
      <c r="N640" s="38" t="n">
        <f aca="false">Sens!$N$580</f>
        <v>0.92264103489199</v>
      </c>
      <c r="O640" s="38" t="n">
        <f aca="false">Sens!$O$580</f>
        <v>2.95545977187981</v>
      </c>
    </row>
    <row r="641" customFormat="false" ht="17.15" hidden="false" customHeight="false" outlineLevel="0" collapsed="false">
      <c r="A641" s="0" t="s">
        <v>604</v>
      </c>
      <c r="B641" s="0" t="s">
        <v>73</v>
      </c>
      <c r="C641" s="38" t="n">
        <f aca="false">Sens!$C$585</f>
        <v>38.1898211704631</v>
      </c>
      <c r="D641" s="38" t="n">
        <f aca="false">Sens!$D$585</f>
        <v>41.7278991932282</v>
      </c>
      <c r="E641" s="38" t="n">
        <f aca="false">Sens!$E$585</f>
        <v>29.3692974191125</v>
      </c>
      <c r="F641" s="38" t="n">
        <f aca="false">Sens!$F$585</f>
        <v>29.458060516894</v>
      </c>
      <c r="G641" s="38" t="n">
        <f aca="false">Sens!$G$585</f>
        <v>58.8273579360065</v>
      </c>
      <c r="H641" s="38" t="n">
        <f aca="false">Sens!$H$585</f>
        <v>67.8004040185081</v>
      </c>
      <c r="I641" s="38" t="n">
        <f aca="false">Sens!$I$585</f>
        <v>78.9527630302702</v>
      </c>
      <c r="J641" s="38" t="n">
        <f aca="false">Sens!$J$585</f>
        <v>88.6042681781841</v>
      </c>
      <c r="K641" s="38" t="n">
        <f aca="false">Sens!$K$585</f>
        <v>95.6926096324389</v>
      </c>
      <c r="L641" s="38" t="n">
        <f aca="false">Sens!$L$585</f>
        <v>103.348018403034</v>
      </c>
      <c r="M641" s="38" t="n">
        <f aca="false">Sens!$M$585</f>
        <v>111.615859875277</v>
      </c>
      <c r="N641" s="38" t="n">
        <f aca="false">Sens!$N$585</f>
        <v>20.784358965108</v>
      </c>
      <c r="O641" s="38" t="n">
        <f aca="false">Sens!$O$585</f>
        <v>20.9435402281202</v>
      </c>
    </row>
    <row r="642" customFormat="false" ht="17.15" hidden="false" customHeight="false" outlineLevel="0" collapsed="false">
      <c r="A642" s="1" t="s">
        <v>685</v>
      </c>
      <c r="B642" s="8" t="s">
        <v>73</v>
      </c>
      <c r="C642" s="38" t="n">
        <f aca="false">Q!$D$24</f>
        <v>39.834</v>
      </c>
      <c r="D642" s="38" t="n">
        <f aca="false">Q!$E$24</f>
        <v>45.606</v>
      </c>
      <c r="E642" s="38" t="n">
        <f aca="false">Q!$P$24</f>
        <v>30.782</v>
      </c>
      <c r="F642" s="38" t="n">
        <f aca="false">Sens!$F$640+Sens!$F$641</f>
        <v>38.5686073675474</v>
      </c>
      <c r="G642" s="38" t="n">
        <f aca="false">Sens!$G$640+Sens!$G$641</f>
        <v>69.3506073675474</v>
      </c>
      <c r="H642" s="38" t="n">
        <f aca="false">Sens!$H$640+Sens!$H$641</f>
        <v>108.335328007064</v>
      </c>
      <c r="I642" s="38" t="n">
        <f aca="false">Sens!$I$640+Sens!$I$641</f>
        <v>152.282201569145</v>
      </c>
      <c r="J642" s="38" t="n">
        <f aca="false">Sens!$J$640+Sens!$J$641</f>
        <v>194.184346005701</v>
      </c>
      <c r="K642" s="38" t="n">
        <f aca="false">Sens!$K$640+Sens!$K$641</f>
        <v>233.060374138541</v>
      </c>
      <c r="L642" s="38" t="n">
        <f aca="false">Sens!$L$640+Sens!$L$641</f>
        <v>274.161939466239</v>
      </c>
      <c r="M642" s="38" t="n">
        <f aca="false">Sens!$M$640+Sens!$M$641</f>
        <v>315.32541187779</v>
      </c>
      <c r="N642" s="38" t="n">
        <f aca="false">Q!$N$24</f>
        <v>21.707</v>
      </c>
      <c r="O642" s="38" t="n">
        <f aca="false">Q!$O$24</f>
        <v>23.899</v>
      </c>
    </row>
    <row r="643" customFormat="false" ht="17.15" hidden="false" customHeight="false" outlineLevel="0" collapsed="false">
      <c r="A643" s="5" t="s">
        <v>686</v>
      </c>
      <c r="B643" s="0" t="s">
        <v>73</v>
      </c>
      <c r="C643" s="38" t="n">
        <f aca="false">Q!$D$26</f>
        <v>0</v>
      </c>
      <c r="D643" s="38" t="n">
        <f aca="false">Q!$E$26</f>
        <v>0</v>
      </c>
      <c r="E643" s="38" t="n">
        <f aca="false">Q!$P$26</f>
        <v>0</v>
      </c>
      <c r="F643" s="41" t="n">
        <v>0</v>
      </c>
      <c r="G643" s="38" t="n">
        <f aca="false">Sens!$E$643+Sens!$F$643</f>
        <v>0</v>
      </c>
      <c r="H643" s="41" t="n">
        <v>0</v>
      </c>
      <c r="I643" s="41" t="n">
        <v>0</v>
      </c>
      <c r="J643" s="41" t="n">
        <v>0</v>
      </c>
      <c r="K643" s="41" t="n">
        <v>0</v>
      </c>
      <c r="L643" s="41" t="n">
        <v>0</v>
      </c>
      <c r="M643" s="41" t="n">
        <v>0</v>
      </c>
      <c r="N643" s="38" t="n">
        <f aca="false">Q!$N$26</f>
        <v>0</v>
      </c>
      <c r="O643" s="38" t="n">
        <f aca="false">Q!$O$26</f>
        <v>0</v>
      </c>
    </row>
    <row r="644" customFormat="false" ht="15" hidden="false" customHeight="false" outlineLevel="0" collapsed="false">
      <c r="A644" s="3" t="s">
        <v>494</v>
      </c>
      <c r="B644" s="8" t="s">
        <v>73</v>
      </c>
      <c r="C644" s="38" t="n">
        <f aca="false">Q!$D$25</f>
        <v>68.593</v>
      </c>
      <c r="D644" s="38" t="n">
        <f aca="false">Q!$E$25</f>
        <v>79.975</v>
      </c>
      <c r="E644" s="38" t="n">
        <f aca="false">Q!$P$25</f>
        <v>51.313</v>
      </c>
      <c r="F644" s="38" t="n">
        <f aca="false">Sens!$F$634+Sens!$F$639+Sens!$F$642+Sens!$F$643</f>
        <v>62.4858470776647</v>
      </c>
      <c r="G644" s="38" t="n">
        <f aca="false">Sens!$G$634+Sens!$G$639+Sens!$G$642+Sens!$G$643</f>
        <v>113.798847077665</v>
      </c>
      <c r="H644" s="38" t="n">
        <f aca="false">Sens!$H$634+Sens!$H$639+Sens!$H$642+Sens!$H$643</f>
        <v>156.891806082888</v>
      </c>
      <c r="I644" s="38" t="n">
        <f aca="false">Sens!$I$634+Sens!$I$639+Sens!$I$642+Sens!$I$643</f>
        <v>203.857958466437</v>
      </c>
      <c r="J644" s="38" t="n">
        <f aca="false">Sens!$J$634+Sens!$J$639+Sens!$J$642+Sens!$J$643</f>
        <v>248.159632444262</v>
      </c>
      <c r="K644" s="38" t="n">
        <f aca="false">Sens!$K$634+Sens!$K$639+Sens!$K$642+Sens!$K$643</f>
        <v>288.201083855967</v>
      </c>
      <c r="L644" s="38" t="n">
        <f aca="false">Sens!$L$634+Sens!$L$639+Sens!$L$642+Sens!$L$643</f>
        <v>330.020715118651</v>
      </c>
      <c r="M644" s="38" t="n">
        <f aca="false">Sens!$M$634+Sens!$M$639+Sens!$M$642+Sens!$M$643</f>
        <v>372.553769943558</v>
      </c>
      <c r="N644" s="38" t="n">
        <f aca="false">Q!$N$25</f>
        <v>37.576</v>
      </c>
      <c r="O644" s="38" t="n">
        <f aca="false">Q!$O$25</f>
        <v>42.399</v>
      </c>
    </row>
    <row r="645" customFormat="false" ht="17.15" hidden="false" customHeight="false" outlineLevel="0" collapsed="false">
      <c r="A645" s="24" t="s">
        <v>712</v>
      </c>
      <c r="B645" s="25" t="s">
        <v>73</v>
      </c>
      <c r="C645" s="39" t="n">
        <f aca="false">Sens!$C$634+Sens!$C$639+Sens!$C$642+Sens!$C$643-Sens!$C$644</f>
        <v>0</v>
      </c>
      <c r="D645" s="39" t="n">
        <f aca="false">Sens!$D$634+Sens!$D$639+Sens!$D$642+Sens!$D$643-Sens!$D$644</f>
        <v>0</v>
      </c>
      <c r="E645" s="39" t="n">
        <f aca="false">Sens!$E$634+Sens!$E$639+Sens!$E$642+Sens!$E$643-Sens!$E$644</f>
        <v>0</v>
      </c>
      <c r="F645" s="39" t="n">
        <f aca="false">Sens!$F$634+Sens!$F$639+Sens!$F$642+Sens!$F$643-Sens!$F$644</f>
        <v>0</v>
      </c>
      <c r="G645" s="39" t="n">
        <f aca="false">Sens!$G$634+Sens!$G$639+Sens!$G$642+Sens!$G$643-Sens!$G$644</f>
        <v>0</v>
      </c>
      <c r="H645" s="39" t="n">
        <f aca="false">Sens!$H$634+Sens!$H$639+Sens!$H$642+Sens!$H$643-Sens!$H$644</f>
        <v>0</v>
      </c>
      <c r="I645" s="39" t="n">
        <f aca="false">Sens!$I$634+Sens!$I$639+Sens!$I$642+Sens!$I$643-Sens!$I$644</f>
        <v>0</v>
      </c>
      <c r="J645" s="39" t="n">
        <f aca="false">Sens!$J$634+Sens!$J$639+Sens!$J$642+Sens!$J$643-Sens!$J$644</f>
        <v>0</v>
      </c>
      <c r="K645" s="39" t="n">
        <f aca="false">Sens!$K$634+Sens!$K$639+Sens!$K$642+Sens!$K$643-Sens!$K$644</f>
        <v>0</v>
      </c>
      <c r="L645" s="39" t="n">
        <f aca="false">Sens!$L$634+Sens!$L$639+Sens!$L$642+Sens!$L$643-Sens!$L$644</f>
        <v>0</v>
      </c>
      <c r="M645" s="39" t="n">
        <f aca="false">Sens!$M$634+Sens!$M$639+Sens!$M$642+Sens!$M$643-Sens!$M$644</f>
        <v>0</v>
      </c>
      <c r="N645" s="39" t="n">
        <f aca="false">Sens!$N$634+Sens!$N$639+Sens!$N$642+Sens!$N$643-Sens!$N$644</f>
        <v>0</v>
      </c>
      <c r="O645" s="39" t="n">
        <f aca="false">Sens!$O$634+Sens!$O$639+Sens!$O$642+Sens!$O$643-Sens!$O$644</f>
        <v>0</v>
      </c>
    </row>
    <row r="646" customFormat="false" ht="17.15" hidden="false" customHeight="false" outlineLevel="0" collapsed="false">
      <c r="A646" s="0" t="s">
        <v>688</v>
      </c>
      <c r="B646" s="0" t="s">
        <v>52</v>
      </c>
      <c r="C646" s="12" t="n">
        <f aca="false">Sens!$C$634/Sens!$C$619</f>
        <v>0.0644314665661928</v>
      </c>
      <c r="D646" s="12" t="n">
        <f aca="false">Sens!$D$634/Sens!$D$619</f>
        <v>0.0694784250712518</v>
      </c>
      <c r="E646" s="12" t="n">
        <f aca="false">Sens!$E$634/Sens!$E$619</f>
        <v>0.0789306463326071</v>
      </c>
      <c r="F646" s="12" t="n">
        <f aca="false">Sens!$F$634/Sens!$F$619</f>
        <v>0.0816338957078875</v>
      </c>
      <c r="G646" s="12" t="n">
        <f aca="false">Sens!$G$634/Sens!$G$619</f>
        <v>0.080384315570057</v>
      </c>
      <c r="H646" s="12" t="n">
        <f aca="false">Sens!$H$634/Sens!$H$619</f>
        <v>0.080035122355679</v>
      </c>
      <c r="I646" s="12" t="n">
        <f aca="false">Sens!$I$634/Sens!$I$619</f>
        <v>0.0786798687862144</v>
      </c>
      <c r="J646" s="12" t="n">
        <f aca="false">Sens!$J$634/Sens!$J$619</f>
        <v>0.0772846370095153</v>
      </c>
      <c r="K646" s="12" t="n">
        <f aca="false">Sens!$K$634/Sens!$K$619</f>
        <v>0.0753502227686655</v>
      </c>
      <c r="L646" s="12" t="n">
        <f aca="false">Sens!$L$634/Sens!$L$619</f>
        <v>0.0723154067793922</v>
      </c>
      <c r="M646" s="12" t="n">
        <f aca="false">Sens!$M$634/Sens!$M$619</f>
        <v>0.070022386735876</v>
      </c>
      <c r="N646" s="12" t="n">
        <f aca="false">Sens!$N$634/Sens!$N$619</f>
        <v>0.069228576611127</v>
      </c>
      <c r="O646" s="12" t="n">
        <f aca="false">Sens!$O$634/Sens!$O$619</f>
        <v>0.069685022498393</v>
      </c>
    </row>
    <row r="647" customFormat="false" ht="17.15" hidden="false" customHeight="false" outlineLevel="0" collapsed="false">
      <c r="A647" s="0" t="s">
        <v>689</v>
      </c>
      <c r="B647" s="0" t="s">
        <v>52</v>
      </c>
      <c r="C647" s="12" t="n">
        <f aca="false">Sens!$C$639/Sens!$C$620</f>
        <v>0.026534925055631</v>
      </c>
      <c r="D647" s="12" t="n">
        <f aca="false">Sens!$D$639/Sens!$D$620</f>
        <v>0.0293401855535103</v>
      </c>
      <c r="E647" s="12" t="n">
        <f aca="false">Sens!$E$639/Sens!$E$620</f>
        <v>0.03831141902276</v>
      </c>
      <c r="F647" s="12" t="n">
        <f aca="false">Sens!$F$639/Sens!$F$620</f>
        <v>0.0297532808235678</v>
      </c>
      <c r="G647" s="12" t="n">
        <f aca="false">Sens!$G$639/Sens!$G$620</f>
        <v>0.0335954317997163</v>
      </c>
      <c r="H647" s="12" t="n">
        <f aca="false">Sens!$H$639/Sens!$H$620</f>
        <v>0.0312519754292078</v>
      </c>
      <c r="I647" s="12" t="n">
        <f aca="false">Sens!$I$639/Sens!$I$620</f>
        <v>0.0278788303191397</v>
      </c>
      <c r="J647" s="12" t="n">
        <f aca="false">Sens!$J$639/Sens!$J$620</f>
        <v>0.0244019313573061</v>
      </c>
      <c r="K647" s="12" t="n">
        <f aca="false">Sens!$K$639/Sens!$K$620</f>
        <v>0.020280070641524</v>
      </c>
      <c r="L647" s="12" t="n">
        <f aca="false">Sens!$L$639/Sens!$L$620</f>
        <v>0.0175947312030086</v>
      </c>
      <c r="M647" s="12" t="n">
        <f aca="false">Sens!$M$639/Sens!$M$620</f>
        <v>0.0156592172424565</v>
      </c>
      <c r="N647" s="12" t="n">
        <f aca="false">Sens!$N$639/Sens!$N$620</f>
        <v>0.0357315650169337</v>
      </c>
      <c r="O647" s="12" t="n">
        <f aca="false">Sens!$O$639/Sens!$O$620</f>
        <v>0.0244378956559703</v>
      </c>
    </row>
    <row r="648" customFormat="false" ht="17.15" hidden="false" customHeight="false" outlineLevel="0" collapsed="false">
      <c r="A648" s="13" t="s">
        <v>690</v>
      </c>
      <c r="B648" s="13" t="s">
        <v>52</v>
      </c>
      <c r="C648" s="16" t="n">
        <f aca="false">Sens!$C$642/Sens!$C$621</f>
        <v>0.370355907620217</v>
      </c>
      <c r="D648" s="16" t="n">
        <f aca="false">Sens!$D$642/Sens!$D$621</f>
        <v>0.35429015342785</v>
      </c>
      <c r="E648" s="16" t="n">
        <f aca="false">Sens!$E$642/Sens!$E$621</f>
        <v>0.385647527531039</v>
      </c>
      <c r="F648" s="16" t="n">
        <f aca="false">Sens!$F$642/Sens!$F$621</f>
        <v>0.401080698336605</v>
      </c>
      <c r="G648" s="16" t="n">
        <f aca="false">Sens!$G$642/Sens!$G$621</f>
        <v>0.39408072525335</v>
      </c>
      <c r="H648" s="16" t="n">
        <f aca="false">Sens!$H$642/Sens!$H$621</f>
        <v>0.413000923129615</v>
      </c>
      <c r="I648" s="16" t="n">
        <f aca="false">Sens!$I$642/Sens!$I$621</f>
        <v>0.42855178932449</v>
      </c>
      <c r="J648" s="16" t="n">
        <f aca="false">Sens!$J$642/Sens!$J$621</f>
        <v>0.436715305752937</v>
      </c>
      <c r="K648" s="16" t="n">
        <f aca="false">Sens!$K$642/Sens!$K$621</f>
        <v>0.442064731221554</v>
      </c>
      <c r="L648" s="16" t="n">
        <f aca="false">Sens!$L$642/Sens!$L$621</f>
        <v>0.448471249703895</v>
      </c>
      <c r="M648" s="16" t="n">
        <f aca="false">Sens!$M$642/Sens!$M$621</f>
        <v>0.452339253399279</v>
      </c>
      <c r="N648" s="16" t="n">
        <f aca="false">Sens!$N$642/Sens!$N$621</f>
        <v>0.360941137346192</v>
      </c>
      <c r="O648" s="16" t="n">
        <f aca="false">Sens!$O$642/Sens!$O$621</f>
        <v>0.348458117664212</v>
      </c>
    </row>
    <row r="649" customFormat="false" ht="17.15" hidden="false" customHeight="false" outlineLevel="0" collapsed="false">
      <c r="A649" s="0" t="s">
        <v>691</v>
      </c>
      <c r="B649" s="0" t="s">
        <v>52</v>
      </c>
      <c r="C649" s="12" t="n">
        <f aca="false">Sens!$C$640/Sens!$C$622</f>
        <v>0.708390794789371</v>
      </c>
      <c r="D649" s="12" t="n">
        <f aca="false">Sens!$D$640/Sens!$D$622</f>
        <v>0.445565630441968</v>
      </c>
      <c r="E649" s="12" t="n">
        <f aca="false">Sens!$E$640/Sens!$E$622</f>
        <v>0.165998118402711</v>
      </c>
      <c r="F649" s="12" t="n">
        <f aca="false">Sens!$F$640/Sens!$F$622</f>
        <v>0.51862586831267</v>
      </c>
      <c r="G649" s="12" t="n">
        <f aca="false">Sens!$G$640/Sens!$G$622</f>
        <v>0.40354437417509</v>
      </c>
      <c r="H649" s="12" t="n">
        <f aca="false">Sens!$H$640/Sens!$H$622</f>
        <v>0.497855857778335</v>
      </c>
      <c r="I649" s="12" t="n">
        <f aca="false">Sens!$I$640/Sens!$I$622</f>
        <v>0.506793187968718</v>
      </c>
      <c r="J649" s="12" t="n">
        <f aca="false">Sens!$J$640/Sens!$J$622</f>
        <v>0.506990727488046</v>
      </c>
      <c r="K649" s="12" t="n">
        <f aca="false">Sens!$K$640/Sens!$K$622</f>
        <v>0.505218221912611</v>
      </c>
      <c r="L649" s="12" t="n">
        <f aca="false">Sens!$L$640/Sens!$L$622</f>
        <v>0.508996049915232</v>
      </c>
      <c r="M649" s="12" t="n">
        <f aca="false">Sens!$M$640/Sens!$M$622</f>
        <v>0.510160495208396</v>
      </c>
      <c r="N649" s="12" t="n">
        <f aca="false">Sens!$N$640/Sens!$N$622</f>
        <v>0.302870734830849</v>
      </c>
      <c r="O649" s="12" t="n">
        <f aca="false">Sens!$O$640/Sens!$O$622</f>
        <v>0.52240134346334</v>
      </c>
    </row>
    <row r="650" customFormat="false" ht="15" hidden="false" customHeight="false" outlineLevel="0" collapsed="false">
      <c r="A650" s="5" t="s">
        <v>692</v>
      </c>
      <c r="B650" s="0" t="s">
        <v>52</v>
      </c>
      <c r="C650" s="12" t="n">
        <f aca="false">Sens!$C$644/Sens!$C$624</f>
        <v>0.107519448742004</v>
      </c>
      <c r="D650" s="12" t="n">
        <f aca="false">Sens!$D$644/Sens!$D$624</f>
        <v>0.111552967957552</v>
      </c>
      <c r="E650" s="12" t="n">
        <f aca="false">Sens!$E$644/Sens!$E$624</f>
        <v>0.13428328426562</v>
      </c>
      <c r="F650" s="12" t="n">
        <f aca="false">Sens!$F$644/Sens!$F$624</f>
        <v>0.137907974302998</v>
      </c>
      <c r="G650" s="12" t="n">
        <f aca="false">Sens!$G$644/Sens!$G$624</f>
        <v>0.136249633424937</v>
      </c>
      <c r="H650" s="12" t="n">
        <f aca="false">Sens!$H$644/Sens!$H$624</f>
        <v>0.158117486321854</v>
      </c>
      <c r="I650" s="12" t="n">
        <f aca="false">Sens!$I$644/Sens!$I$624</f>
        <v>0.1767089302801</v>
      </c>
      <c r="J650" s="12" t="n">
        <f aca="false">Sens!$J$644/Sens!$J$624</f>
        <v>0.189959140023417</v>
      </c>
      <c r="K650" s="12" t="n">
        <f aca="false">Sens!$K$644/Sens!$K$624</f>
        <v>0.199479392987749</v>
      </c>
      <c r="L650" s="12" t="n">
        <f aca="false">Sens!$L$644/Sens!$L$624</f>
        <v>0.207741723519348</v>
      </c>
      <c r="M650" s="12" t="n">
        <f aca="false">Sens!$M$644/Sens!$M$624</f>
        <v>0.214319104272048</v>
      </c>
      <c r="N650" s="12" t="n">
        <f aca="false">Sens!$N$644/Sens!$N$624</f>
        <v>0.116201614873411</v>
      </c>
      <c r="O650" s="12" t="n">
        <f aca="false">Sens!$O$644/Sens!$O$624</f>
        <v>0.107733353660861</v>
      </c>
    </row>
    <row r="651" customFormat="false" ht="17.15" hidden="false" customHeight="false" outlineLevel="0" collapsed="false">
      <c r="A651" s="1" t="s">
        <v>693</v>
      </c>
    </row>
    <row r="652" customFormat="false" ht="17.15" hidden="false" customHeight="false" outlineLevel="0" collapsed="false">
      <c r="A652" s="5" t="s">
        <v>694</v>
      </c>
      <c r="B652" s="0" t="s">
        <v>52</v>
      </c>
      <c r="D652" s="28" t="n">
        <f aca="false">(Q!$E$29+Q!$E$30-(1-ext_sh)*Sens!$D$576)/Sens!$D$533</f>
        <v>0.0334674312393194</v>
      </c>
    </row>
    <row r="653" customFormat="false" ht="17.15" hidden="false" customHeight="false" outlineLevel="0" collapsed="false">
      <c r="A653" s="0" t="s">
        <v>498</v>
      </c>
      <c r="B653" s="0" t="s">
        <v>73</v>
      </c>
      <c r="C653" s="38" t="n">
        <f aca="false">Q!$D$29</f>
        <v>14.285</v>
      </c>
      <c r="D653" s="38" t="n">
        <f aca="false">Q!$E$29</f>
        <v>15.503</v>
      </c>
      <c r="E653" s="38" t="n">
        <f aca="false">Q!$P$29</f>
        <v>8.78</v>
      </c>
      <c r="F653" s="38" t="n">
        <f aca="false">(Sens!$D$652*Sens!$F$533+(1-ext_sh)*Sens!$F$576)*Sens!$F$534</f>
        <v>9.51361751569285</v>
      </c>
      <c r="G653" s="38" t="n">
        <f aca="false">Sens!$E$653+Sens!$F$653</f>
        <v>18.2936175156929</v>
      </c>
      <c r="H653" s="38" t="n">
        <f aca="false">(Sens!$D$652*Sens!$H$533+(1-ext_sh)*Sens!$H$576)*Sens!$H$534</f>
        <v>22.7653661801943</v>
      </c>
      <c r="I653" s="38" t="n">
        <f aca="false">(Sens!$D$652*Sens!$I$533+(1-ext_sh)*Sens!$I$576)*Sens!$I$534</f>
        <v>28.4281317305062</v>
      </c>
      <c r="J653" s="38" t="n">
        <f aca="false">(Sens!$D$652*Sens!$J$533+(1-ext_sh)*Sens!$J$576)*Sens!$J$534</f>
        <v>34.1182922009732</v>
      </c>
      <c r="K653" s="38" t="n">
        <f aca="false">(Sens!$D$652*Sens!$K$533+(1-ext_sh)*Sens!$K$576)*Sens!$K$534</f>
        <v>39.7237727987046</v>
      </c>
      <c r="L653" s="38" t="n">
        <f aca="false">(Sens!$D$652*Sens!$L$533+(1-ext_sh)*Sens!$L$576)*Sens!$L$534</f>
        <v>45.1313127180263</v>
      </c>
      <c r="M653" s="38" t="n">
        <f aca="false">(Sens!$D$652*Sens!$M$533+(1-ext_sh)*Sens!$M$576)*Sens!$M$534</f>
        <v>50.743940615442</v>
      </c>
      <c r="N653" s="38" t="n">
        <f aca="false">Q!$N$29</f>
        <v>7.272</v>
      </c>
      <c r="O653" s="38" t="n">
        <f aca="false">Q!$O$29</f>
        <v>8.231</v>
      </c>
    </row>
    <row r="654" customFormat="false" ht="17.15" hidden="false" customHeight="false" outlineLevel="0" collapsed="false">
      <c r="A654" s="0" t="s">
        <v>500</v>
      </c>
      <c r="B654" s="0" t="s">
        <v>73</v>
      </c>
      <c r="C654" s="38" t="n">
        <f aca="false">Q!$D$30</f>
        <v>4.462</v>
      </c>
      <c r="D654" s="38" t="n">
        <f aca="false">Q!$E$30</f>
        <v>4.907</v>
      </c>
      <c r="E654" s="38" t="n">
        <f aca="false">Q!$P$30</f>
        <v>2.57</v>
      </c>
      <c r="F654" s="38" t="n">
        <f aca="false">(Sens!$D$652*Sens!$F$533+(1-ext_sh)*Sens!$F$576)*(1-Sens!$F$534)</f>
        <v>3.7353230631574</v>
      </c>
      <c r="G654" s="38" t="n">
        <f aca="false">Sens!$E$654+Sens!$F$654</f>
        <v>6.3053230631574</v>
      </c>
      <c r="H654" s="38" t="n">
        <f aca="false">(Sens!$D$652*Sens!$H$533+(1-ext_sh)*Sens!$H$576)*(1-Sens!$H$534)</f>
        <v>8.72254636724805</v>
      </c>
      <c r="I654" s="38" t="n">
        <f aca="false">(Sens!$D$652*Sens!$I$533+(1-ext_sh)*Sens!$I$576)*(1-Sens!$I$534)</f>
        <v>10.8922340713019</v>
      </c>
      <c r="J654" s="38" t="n">
        <f aca="false">(Sens!$D$652*Sens!$J$533+(1-ext_sh)*Sens!$J$576)*(1-Sens!$J$534)</f>
        <v>13.0724181345791</v>
      </c>
      <c r="K654" s="38" t="n">
        <f aca="false">(Sens!$D$652*Sens!$K$533+(1-ext_sh)*Sens!$K$576)*(1-Sens!$K$534)</f>
        <v>15.2201571183236</v>
      </c>
      <c r="L654" s="38" t="n">
        <f aca="false">(Sens!$D$652*Sens!$L$533+(1-ext_sh)*Sens!$L$576)*(1-Sens!$L$534)</f>
        <v>17.2920551631732</v>
      </c>
      <c r="M654" s="38" t="n">
        <f aca="false">(Sens!$D$652*Sens!$M$533+(1-ext_sh)*Sens!$M$576)*(1-Sens!$M$534)</f>
        <v>19.4425326336348</v>
      </c>
      <c r="N654" s="38" t="n">
        <f aca="false">Q!$N$30</f>
        <v>2.316</v>
      </c>
      <c r="O654" s="38" t="n">
        <f aca="false">Q!$O$30</f>
        <v>2.591</v>
      </c>
    </row>
    <row r="655" customFormat="false" ht="17.15" hidden="false" customHeight="false" outlineLevel="0" collapsed="false">
      <c r="A655" s="0" t="s">
        <v>501</v>
      </c>
      <c r="B655" s="0" t="s">
        <v>73</v>
      </c>
      <c r="C655" s="38" t="n">
        <f aca="false">Sens!$C$588</f>
        <v>13.32</v>
      </c>
      <c r="D655" s="38" t="n">
        <f aca="false">Sens!$D$588</f>
        <v>21.45</v>
      </c>
      <c r="E655" s="38" t="n">
        <f aca="false">Sens!$E$588</f>
        <v>15.353</v>
      </c>
      <c r="F655" s="38" t="n">
        <f aca="false">Sens!$F$588</f>
        <v>17.3614451462707</v>
      </c>
      <c r="G655" s="38" t="n">
        <f aca="false">Sens!$G$588</f>
        <v>32.7144451462707</v>
      </c>
      <c r="H655" s="38" t="n">
        <f aca="false">Sens!$H$588</f>
        <v>56.1966092719415</v>
      </c>
      <c r="I655" s="38" t="n">
        <f aca="false">Sens!$I$588</f>
        <v>82.9744039068297</v>
      </c>
      <c r="J655" s="38" t="n">
        <f aca="false">Sens!$J$588</f>
        <v>109.943252237669</v>
      </c>
      <c r="K655" s="38" t="n">
        <f aca="false">Sens!$K$588</f>
        <v>136.406703436571</v>
      </c>
      <c r="L655" s="38" t="n">
        <f aca="false">Sens!$L$588</f>
        <v>161.485870454155</v>
      </c>
      <c r="M655" s="38" t="n">
        <f aca="false">Sens!$M$588</f>
        <v>187.389846618199</v>
      </c>
      <c r="N655" s="38" t="n">
        <f aca="false">Sens!$N$588</f>
        <v>9.234</v>
      </c>
      <c r="O655" s="38" t="n">
        <f aca="false">Sens!$O$588</f>
        <v>12.216</v>
      </c>
    </row>
    <row r="656" customFormat="false" ht="17.15" hidden="false" customHeight="false" outlineLevel="0" collapsed="false">
      <c r="A656" s="5" t="s">
        <v>695</v>
      </c>
      <c r="B656" s="0" t="s">
        <v>73</v>
      </c>
      <c r="C656" s="38" t="n">
        <f aca="false">Sens!$C$653+Sens!$C$654+Sens!$C$655</f>
        <v>32.067</v>
      </c>
      <c r="D656" s="38" t="n">
        <f aca="false">Sens!$D$653+Sens!$D$654+Sens!$D$655</f>
        <v>41.86</v>
      </c>
      <c r="E656" s="38" t="n">
        <f aca="false">Sens!$E$653+Sens!$E$654+Sens!$E$655</f>
        <v>26.703</v>
      </c>
      <c r="F656" s="38" t="n">
        <f aca="false">Sens!$F$653+Sens!$F$654+Sens!$F$655</f>
        <v>30.6103857251209</v>
      </c>
      <c r="G656" s="38" t="n">
        <f aca="false">Sens!$G$653+Sens!$G$654+Sens!$G$655</f>
        <v>57.3133857251209</v>
      </c>
      <c r="H656" s="38" t="n">
        <f aca="false">Sens!$H$653+Sens!$H$654+Sens!$H$655</f>
        <v>87.6845218193838</v>
      </c>
      <c r="I656" s="38" t="n">
        <f aca="false">Sens!$I$653+Sens!$I$654+Sens!$I$655</f>
        <v>122.294769708638</v>
      </c>
      <c r="J656" s="38" t="n">
        <f aca="false">Sens!$J$653+Sens!$J$654+Sens!$J$655</f>
        <v>157.133962573221</v>
      </c>
      <c r="K656" s="38" t="n">
        <f aca="false">Sens!$K$653+Sens!$K$654+Sens!$K$655</f>
        <v>191.350633353599</v>
      </c>
      <c r="L656" s="38" t="n">
        <f aca="false">Sens!$L$653+Sens!$L$654+Sens!$L$655</f>
        <v>223.909238335354</v>
      </c>
      <c r="M656" s="38" t="n">
        <f aca="false">Sens!$M$653+Sens!$M$654+Sens!$M$655</f>
        <v>257.576319867276</v>
      </c>
      <c r="N656" s="38" t="n">
        <f aca="false">Sens!$N$653+Sens!$N$654+Sens!$N$655</f>
        <v>18.822</v>
      </c>
      <c r="O656" s="38" t="n">
        <f aca="false">Sens!$O$653+Sens!$O$654+Sens!$O$655</f>
        <v>23.038</v>
      </c>
    </row>
    <row r="657" customFormat="false" ht="17.15" hidden="false" customHeight="false" outlineLevel="0" collapsed="false">
      <c r="A657" s="0" t="s">
        <v>696</v>
      </c>
      <c r="B657" s="0" t="s">
        <v>73</v>
      </c>
      <c r="C657" s="38" t="n">
        <f aca="false">Sens!$C$630+Sens!$C$635</f>
        <v>28.107</v>
      </c>
      <c r="D657" s="38" t="n">
        <f aca="false">Sens!$D$630+Sens!$D$635</f>
        <v>34.3175</v>
      </c>
      <c r="E657" s="38" t="n">
        <f aca="false">Sens!$E$630+Sens!$E$635</f>
        <v>18.526</v>
      </c>
      <c r="F657" s="38" t="n">
        <f aca="false">Sens!$F$630+Sens!$F$635</f>
        <v>24.0766690913691</v>
      </c>
      <c r="G657" s="38" t="n">
        <f aca="false">Sens!$G$630+Sens!$G$635</f>
        <v>42.6026690913691</v>
      </c>
      <c r="H657" s="38" t="n">
        <f aca="false">Sens!$H$630+Sens!$H$635</f>
        <v>51.1466809294702</v>
      </c>
      <c r="I657" s="38" t="n">
        <f aca="false">Sens!$I$630+Sens!$I$635</f>
        <v>59.6899187926205</v>
      </c>
      <c r="J657" s="38" t="n">
        <f aca="false">Sens!$J$630+Sens!$J$635</f>
        <v>67.6595395244221</v>
      </c>
      <c r="K657" s="38" t="n">
        <f aca="false">Sens!$K$630+Sens!$K$635</f>
        <v>74.4254934768643</v>
      </c>
      <c r="L657" s="38" t="n">
        <f aca="false">Sens!$L$630+Sens!$L$635</f>
        <v>81.8680428245508</v>
      </c>
      <c r="M657" s="38" t="n">
        <f aca="false">Sens!$M$630+Sens!$M$635</f>
        <v>90.0548471070059</v>
      </c>
      <c r="N657" s="38" t="n">
        <f aca="false">Sens!$N$630+Sens!$N$635</f>
        <v>14.8075</v>
      </c>
      <c r="O657" s="38" t="n">
        <f aca="false">Sens!$O$630+Sens!$O$635</f>
        <v>19.51</v>
      </c>
    </row>
    <row r="658" customFormat="false" ht="17.15" hidden="false" customHeight="false" outlineLevel="0" collapsed="false">
      <c r="A658" s="0" t="s">
        <v>697</v>
      </c>
      <c r="B658" s="0" t="s">
        <v>73</v>
      </c>
      <c r="C658" s="38" t="n">
        <f aca="false">Sens!$C$634+Sens!$C$639+Sens!$C$653+Sens!$C$654-Sens!$C$657</f>
        <v>19.399</v>
      </c>
      <c r="D658" s="38" t="n">
        <f aca="false">Sens!$D$634+Sens!$D$639+Sens!$D$653+Sens!$D$654-Sens!$D$657</f>
        <v>20.4615</v>
      </c>
      <c r="E658" s="38" t="n">
        <f aca="false">Sens!$E$634+Sens!$E$639+Sens!$E$653+Sens!$E$654-Sens!$E$657</f>
        <v>13.355</v>
      </c>
      <c r="F658" s="38" t="n">
        <f aca="false">Sens!$F$634+Sens!$F$639+Sens!$F$653+Sens!$F$654-Sens!$F$657</f>
        <v>13.0895111975985</v>
      </c>
      <c r="G658" s="38" t="n">
        <f aca="false">Sens!$G$634+Sens!$G$639+Sens!$G$653+Sens!$G$654-Sens!$G$657</f>
        <v>26.4445111975985</v>
      </c>
      <c r="H658" s="38" t="n">
        <f aca="false">Sens!$H$634+Sens!$H$639+Sens!$H$653+Sens!$H$654-Sens!$H$657</f>
        <v>28.8977096937968</v>
      </c>
      <c r="I658" s="38" t="n">
        <f aca="false">Sens!$I$634+Sens!$I$639+Sens!$I$653+Sens!$I$654-Sens!$I$657</f>
        <v>31.2062039064791</v>
      </c>
      <c r="J658" s="38" t="n">
        <f aca="false">Sens!$J$634+Sens!$J$639+Sens!$J$653+Sens!$J$654-Sens!$J$657</f>
        <v>33.5064572496913</v>
      </c>
      <c r="K658" s="38" t="n">
        <f aca="false">Sens!$K$634+Sens!$K$639+Sens!$K$653+Sens!$K$654-Sens!$K$657</f>
        <v>35.6591461575899</v>
      </c>
      <c r="L658" s="38" t="n">
        <f aca="false">Sens!$L$634+Sens!$L$639+Sens!$L$653+Sens!$L$654-Sens!$L$657</f>
        <v>36.4141007090604</v>
      </c>
      <c r="M658" s="38" t="n">
        <f aca="false">Sens!$M$634+Sens!$M$639+Sens!$M$653+Sens!$M$654-Sens!$M$657</f>
        <v>37.359984207839</v>
      </c>
      <c r="N658" s="38" t="n">
        <f aca="false">Sens!$N$634+Sens!$N$639+Sens!$N$653+Sens!$N$654-Sens!$N$657</f>
        <v>10.6495</v>
      </c>
      <c r="O658" s="38" t="n">
        <f aca="false">Sens!$O$634+Sens!$O$639+Sens!$O$653+Sens!$O$654-Sens!$O$657</f>
        <v>9.81200000000001</v>
      </c>
    </row>
    <row r="659" customFormat="false" ht="17.15" hidden="false" customHeight="false" outlineLevel="0" collapsed="false">
      <c r="A659" s="0" t="s">
        <v>698</v>
      </c>
      <c r="B659" s="0" t="s">
        <v>73</v>
      </c>
      <c r="C659" s="38" t="n">
        <f aca="false">Sens!$C$641+Sens!$C$655-ext_sh*Sens!$C$576</f>
        <v>51.3470500115664</v>
      </c>
      <c r="D659" s="38" t="n">
        <f aca="false">Sens!$D$641+Sens!$D$655-ext_sh*Sens!$D$576</f>
        <v>60.2799375433739</v>
      </c>
      <c r="E659" s="38" t="n">
        <f aca="false">Sens!$E$641+Sens!$E$655-ext_sh*Sens!$E$576</f>
        <v>39.5095167090767</v>
      </c>
      <c r="F659" s="38" t="n">
        <f aca="false">Sens!$F$641+Sens!$F$655-ext_sh*Sens!$F$576</f>
        <v>41.606724953129</v>
      </c>
      <c r="G659" s="38" t="n">
        <f aca="false">Sens!$G$641+Sens!$G$655-ext_sh*Sens!$G$576</f>
        <v>81.1162416622057</v>
      </c>
      <c r="H659" s="38" t="n">
        <f aca="false">Sens!$H$641+Sens!$H$655-ext_sh*Sens!$H$576</f>
        <v>95.7616595325849</v>
      </c>
      <c r="I659" s="38" t="n">
        <f aca="false">Sens!$I$641+Sens!$I$655-ext_sh*Sens!$I$576</f>
        <v>111.513312079935</v>
      </c>
      <c r="J659" s="38" t="n">
        <f aca="false">Sens!$J$641+Sens!$J$655-ext_sh*Sens!$J$576</f>
        <v>125.145150463955</v>
      </c>
      <c r="K659" s="38" t="n">
        <f aca="false">Sens!$K$641+Sens!$K$655-ext_sh*Sens!$K$576</f>
        <v>135.156762501071</v>
      </c>
      <c r="L659" s="38" t="n">
        <f aca="false">Sens!$L$641+Sens!$L$655-ext_sh*Sens!$L$576</f>
        <v>145.969303501157</v>
      </c>
      <c r="M659" s="38" t="n">
        <f aca="false">Sens!$M$641+Sens!$M$655-ext_sh*Sens!$M$576</f>
        <v>157.646847781249</v>
      </c>
      <c r="N659" s="38" t="n">
        <f aca="false">Sens!$N$641+Sens!$N$655-ext_sh*Sens!$N$576</f>
        <v>28.5693781401809</v>
      </c>
      <c r="O659" s="38" t="n">
        <f aca="false">Sens!$O$641+Sens!$O$655-ext_sh*Sens!$O$576</f>
        <v>31.7105594031931</v>
      </c>
    </row>
    <row r="660" customFormat="false" ht="17.15" hidden="false" customHeight="false" outlineLevel="0" collapsed="false">
      <c r="A660" s="0" t="s">
        <v>699</v>
      </c>
      <c r="B660" s="0" t="s">
        <v>73</v>
      </c>
      <c r="C660" s="38" t="n">
        <f aca="false">Sens!$C$579</f>
        <v>1.80694998843362</v>
      </c>
      <c r="D660" s="38" t="n">
        <f aca="false">Sens!$D$579</f>
        <v>6.77606245662607</v>
      </c>
      <c r="E660" s="38" t="n">
        <f aca="false">Sens!$E$579</f>
        <v>6.62548329092326</v>
      </c>
      <c r="F660" s="38" t="n">
        <f aca="false">Sens!$F$579</f>
        <v>14.3233275606891</v>
      </c>
      <c r="G660" s="38" t="n">
        <f aca="false">Sens!$G$579</f>
        <v>20.9488108516123</v>
      </c>
      <c r="H660" s="38" t="n">
        <f aca="false">Sens!$H$579</f>
        <v>68.7702777464201</v>
      </c>
      <c r="I660" s="38" t="n">
        <f aca="false">Sens!$I$579</f>
        <v>123.743293396039</v>
      </c>
      <c r="J660" s="38" t="n">
        <f aca="false">Sens!$J$579</f>
        <v>178.982447779414</v>
      </c>
      <c r="K660" s="38" t="n">
        <f aca="false">Sens!$K$579</f>
        <v>234.310315074041</v>
      </c>
      <c r="L660" s="38" t="n">
        <f aca="false">Sens!$L$579</f>
        <v>289.678506419237</v>
      </c>
      <c r="M660" s="38" t="n">
        <f aca="false">Sens!$M$579</f>
        <v>345.06841071474</v>
      </c>
      <c r="N660" s="38" t="n">
        <f aca="false">Sens!$N$579</f>
        <v>2.37162185981912</v>
      </c>
      <c r="O660" s="38" t="n">
        <f aca="false">Sens!$O$579</f>
        <v>4.40444059680694</v>
      </c>
    </row>
    <row r="661" customFormat="false" ht="17.15" hidden="false" customHeight="false" outlineLevel="0" collapsed="false">
      <c r="A661" s="0" t="s">
        <v>700</v>
      </c>
      <c r="B661" s="0" t="s">
        <v>73</v>
      </c>
      <c r="C661" s="38" t="n">
        <f aca="false">Sens!$C$644+Sens!$C$656</f>
        <v>100.66</v>
      </c>
      <c r="D661" s="38" t="n">
        <f aca="false">Sens!$D$644+Sens!$D$656</f>
        <v>121.835</v>
      </c>
      <c r="E661" s="38" t="n">
        <f aca="false">Sens!$E$644+Sens!$E$656</f>
        <v>78.016</v>
      </c>
      <c r="F661" s="38" t="n">
        <f aca="false">Sens!$F$644+Sens!$F$656</f>
        <v>93.0962328027856</v>
      </c>
      <c r="G661" s="38" t="n">
        <f aca="false">Sens!$G$644+Sens!$G$656</f>
        <v>171.112232802786</v>
      </c>
      <c r="H661" s="38" t="n">
        <f aca="false">Sens!$H$644+Sens!$H$656</f>
        <v>244.576327902272</v>
      </c>
      <c r="I661" s="38" t="n">
        <f aca="false">Sens!$I$644+Sens!$I$656</f>
        <v>326.152728175074</v>
      </c>
      <c r="J661" s="38" t="n">
        <f aca="false">Sens!$J$644+Sens!$J$656</f>
        <v>405.293595017483</v>
      </c>
      <c r="K661" s="38" t="n">
        <f aca="false">Sens!$K$644+Sens!$K$656</f>
        <v>479.551717209567</v>
      </c>
      <c r="L661" s="38" t="n">
        <f aca="false">Sens!$L$644+Sens!$L$656</f>
        <v>553.929953454005</v>
      </c>
      <c r="M661" s="38" t="n">
        <f aca="false">Sens!$M$644+Sens!$M$656</f>
        <v>630.130089810834</v>
      </c>
      <c r="N661" s="38" t="n">
        <f aca="false">Sens!$N$644+Sens!$N$656</f>
        <v>56.398</v>
      </c>
      <c r="O661" s="38" t="n">
        <f aca="false">Sens!$O$644+Sens!$O$656</f>
        <v>65.437</v>
      </c>
    </row>
    <row r="662" customFormat="false" ht="17.15" hidden="false" customHeight="false" outlineLevel="0" collapsed="false">
      <c r="A662" s="1" t="s">
        <v>701</v>
      </c>
    </row>
    <row r="663" customFormat="false" ht="15" hidden="false" customHeight="false" outlineLevel="0" collapsed="false">
      <c r="A663" s="5" t="s">
        <v>504</v>
      </c>
      <c r="B663" s="0" t="s">
        <v>73</v>
      </c>
      <c r="C663" s="38" t="n">
        <f aca="false">Q!$D$34</f>
        <v>2.406</v>
      </c>
      <c r="D663" s="38" t="n">
        <f aca="false">Q!$E$34</f>
        <v>2.274</v>
      </c>
      <c r="E663" s="38" t="n">
        <f aca="false">Q!$P$34</f>
        <v>2.114</v>
      </c>
      <c r="F663" s="38" t="n">
        <f aca="false">Sens!$F$699</f>
        <v>3.24888964316061</v>
      </c>
      <c r="G663" s="38" t="n">
        <f aca="false">Sens!$E$663+Sens!$F$663</f>
        <v>5.36288964316061</v>
      </c>
      <c r="H663" s="38" t="n">
        <f aca="false">Sens!$H$699</f>
        <v>7.42354178632123</v>
      </c>
      <c r="I663" s="38" t="n">
        <f aca="false">Sens!$I$699</f>
        <v>7.42354178632123</v>
      </c>
      <c r="J663" s="38" t="n">
        <f aca="false">Sens!$J$699</f>
        <v>7.42354178632123</v>
      </c>
      <c r="K663" s="38" t="n">
        <f aca="false">Sens!$K$699</f>
        <v>7.42354178632123</v>
      </c>
      <c r="L663" s="38" t="n">
        <f aca="false">Sens!$L$699</f>
        <v>7.42354178632123</v>
      </c>
      <c r="M663" s="38" t="n">
        <f aca="false">Sens!$M$699</f>
        <v>7.42354178632123</v>
      </c>
      <c r="N663" s="38" t="n">
        <f aca="false">Q!$N$34</f>
        <v>1.057</v>
      </c>
      <c r="O663" s="38" t="n">
        <f aca="false">Q!$O$34</f>
        <v>1.217</v>
      </c>
    </row>
    <row r="664" customFormat="false" ht="15" hidden="false" customHeight="false" outlineLevel="0" collapsed="false">
      <c r="A664" s="5" t="s">
        <v>702</v>
      </c>
      <c r="B664" s="0" t="s">
        <v>73</v>
      </c>
      <c r="F664" s="38" t="n">
        <f aca="false">Sens!$F$700</f>
        <v>2.59</v>
      </c>
      <c r="H664" s="38" t="n">
        <f aca="false">Sens!$H$700</f>
        <v>4.10437193281905</v>
      </c>
      <c r="I664" s="38" t="n">
        <f aca="false">Sens!$I$700</f>
        <v>2.91358493467259</v>
      </c>
      <c r="J664" s="38" t="n">
        <f aca="false">Sens!$J$700</f>
        <v>4.34792591818114</v>
      </c>
      <c r="K664" s="38" t="n">
        <f aca="false">Sens!$K$700</f>
        <v>8.48352116887607</v>
      </c>
      <c r="L664" s="38" t="n">
        <f aca="false">Sens!$L$700</f>
        <v>15.2941382363376</v>
      </c>
      <c r="M664" s="38" t="n">
        <f aca="false">Sens!$M$700</f>
        <v>23.527594729729</v>
      </c>
    </row>
    <row r="665" customFormat="false" ht="17.15" hidden="false" customHeight="false" outlineLevel="0" collapsed="false">
      <c r="A665" s="5" t="s">
        <v>703</v>
      </c>
      <c r="B665" s="0" t="s">
        <v>73</v>
      </c>
      <c r="C665" s="38" t="n">
        <f aca="false">Q!$D$39</f>
        <v>2.427</v>
      </c>
      <c r="D665" s="38" t="n">
        <f aca="false">Q!$E$39</f>
        <v>19.61</v>
      </c>
      <c r="E665" s="38" t="n">
        <f aca="false">Q!$P$39</f>
        <v>71.492</v>
      </c>
      <c r="F665" s="41" t="n">
        <v>0</v>
      </c>
      <c r="G665" s="38" t="n">
        <f aca="false">Sens!$E$665+Sens!$F$665</f>
        <v>71.492</v>
      </c>
      <c r="H665" s="41" t="n">
        <v>0</v>
      </c>
      <c r="I665" s="41" t="n">
        <v>0</v>
      </c>
      <c r="J665" s="41" t="n">
        <v>0</v>
      </c>
      <c r="K665" s="41" t="n">
        <v>0</v>
      </c>
      <c r="L665" s="41" t="n">
        <v>0</v>
      </c>
      <c r="M665" s="41" t="n">
        <v>0</v>
      </c>
      <c r="N665" s="38" t="n">
        <f aca="false">Q!$N$39</f>
        <v>6.017</v>
      </c>
      <c r="O665" s="38" t="n">
        <f aca="false">Q!$O$39</f>
        <v>13.593</v>
      </c>
      <c r="P665" s="5" t="s">
        <v>704</v>
      </c>
    </row>
    <row r="666" customFormat="false" ht="15" hidden="false" customHeight="false" outlineLevel="0" collapsed="false">
      <c r="A666" s="5" t="s">
        <v>507</v>
      </c>
      <c r="B666" s="0" t="s">
        <v>73</v>
      </c>
      <c r="C666" s="38" t="n">
        <f aca="false">Q!$D$36</f>
        <v>68.614</v>
      </c>
      <c r="D666" s="38" t="n">
        <f aca="false">Q!$E$36</f>
        <v>97.311</v>
      </c>
      <c r="E666" s="38" t="n">
        <f aca="false">Q!$P$36</f>
        <v>120.691</v>
      </c>
      <c r="F666" s="38" t="n">
        <f aca="false">Sens!$F$644-Sens!$F$663+Sens!$F$664+Sens!$F$665</f>
        <v>61.8269574345041</v>
      </c>
      <c r="G666" s="38" t="n">
        <f aca="false">Sens!$E$666+Sens!$F$666</f>
        <v>182.517957434504</v>
      </c>
      <c r="H666" s="38" t="n">
        <f aca="false">Sens!$H$644-Sens!$H$663+Sens!$H$664+Sens!$H$665</f>
        <v>153.572636229386</v>
      </c>
      <c r="I666" s="38" t="n">
        <f aca="false">Sens!$I$644-Sens!$I$663+Sens!$I$664+Sens!$I$665</f>
        <v>199.348001614788</v>
      </c>
      <c r="J666" s="38" t="n">
        <f aca="false">Sens!$J$644-Sens!$J$663+Sens!$J$664+Sens!$J$665</f>
        <v>245.084016576122</v>
      </c>
      <c r="K666" s="38" t="n">
        <f aca="false">Sens!$K$644-Sens!$K$663+Sens!$K$664+Sens!$K$665</f>
        <v>289.261063238522</v>
      </c>
      <c r="L666" s="38" t="n">
        <f aca="false">Sens!$L$644-Sens!$L$663+Sens!$L$664+Sens!$L$665</f>
        <v>337.891311568667</v>
      </c>
      <c r="M666" s="38" t="n">
        <f aca="false">Sens!$M$644-Sens!$M$663+Sens!$M$664+Sens!$M$665</f>
        <v>388.657822886966</v>
      </c>
      <c r="N666" s="38" t="n">
        <f aca="false">Q!$N$36</f>
        <v>42.536</v>
      </c>
      <c r="O666" s="38" t="n">
        <f aca="false">Q!$O$36</f>
        <v>54.775</v>
      </c>
    </row>
    <row r="667" customFormat="false" ht="15" hidden="false" customHeight="false" outlineLevel="0" collapsed="false">
      <c r="A667" s="5" t="s">
        <v>508</v>
      </c>
      <c r="B667" s="0" t="s">
        <v>73</v>
      </c>
      <c r="C667" s="38" t="n">
        <f aca="false">Q!$D$37</f>
        <v>9.265</v>
      </c>
      <c r="D667" s="38" t="n">
        <f aca="false">Q!$E$37</f>
        <v>19.087</v>
      </c>
      <c r="E667" s="38" t="n">
        <f aca="false">Q!$P$37</f>
        <v>27.759</v>
      </c>
      <c r="F667" s="38" t="n">
        <f aca="false">Sens!$F$666*tax</f>
        <v>10.7322031386867</v>
      </c>
      <c r="G667" s="38" t="n">
        <f aca="false">Sens!$E$667+Sens!$F$667</f>
        <v>38.4912031386867</v>
      </c>
      <c r="H667" s="38" t="n">
        <f aca="false">Sens!$H$666*tax</f>
        <v>26.657833361821</v>
      </c>
      <c r="I667" s="38" t="n">
        <f aca="false">Sens!$I$666*tax</f>
        <v>34.6037284931504</v>
      </c>
      <c r="J667" s="38" t="n">
        <f aca="false">Sens!$J$666*tax</f>
        <v>42.5427929997457</v>
      </c>
      <c r="K667" s="38" t="n">
        <f aca="false">Sens!$K$666*tax</f>
        <v>50.2112447321535</v>
      </c>
      <c r="L667" s="38" t="n">
        <f aca="false">Sens!$L$666*tax</f>
        <v>58.6527033680047</v>
      </c>
      <c r="M667" s="38" t="n">
        <f aca="false">Sens!$M$666*tax</f>
        <v>67.4649842033924</v>
      </c>
      <c r="N667" s="38" t="n">
        <f aca="false">Q!$N$37</f>
        <v>7.231</v>
      </c>
      <c r="O667" s="38" t="n">
        <f aca="false">Q!$O$37</f>
        <v>11.856</v>
      </c>
    </row>
    <row r="668" customFormat="false" ht="15" hidden="false" customHeight="false" outlineLevel="0" collapsed="false">
      <c r="A668" s="3" t="s">
        <v>509</v>
      </c>
      <c r="B668" s="8" t="s">
        <v>73</v>
      </c>
      <c r="C668" s="38" t="n">
        <f aca="false">Q!$D$38</f>
        <v>59.248</v>
      </c>
      <c r="D668" s="38" t="n">
        <f aca="false">Q!$E$38</f>
        <v>77.67</v>
      </c>
      <c r="E668" s="38" t="n">
        <f aca="false">Q!$P$38</f>
        <v>92.902</v>
      </c>
      <c r="F668" s="38" t="n">
        <f aca="false">Sens!$F$666-Sens!$F$667</f>
        <v>51.0947542958174</v>
      </c>
      <c r="G668" s="38" t="n">
        <f aca="false">Sens!$E$668+Sens!$F$668</f>
        <v>143.996754295817</v>
      </c>
      <c r="H668" s="38" t="n">
        <f aca="false">Sens!$H$666-Sens!$H$667</f>
        <v>126.914802867565</v>
      </c>
      <c r="I668" s="38" t="n">
        <f aca="false">Sens!$I$666-Sens!$I$667</f>
        <v>164.744273121637</v>
      </c>
      <c r="J668" s="38" t="n">
        <f aca="false">Sens!$J$666-Sens!$J$667</f>
        <v>202.541223576376</v>
      </c>
      <c r="K668" s="38" t="n">
        <f aca="false">Sens!$K$666-Sens!$K$667</f>
        <v>239.049818506369</v>
      </c>
      <c r="L668" s="38" t="n">
        <f aca="false">Sens!$L$666-Sens!$L$667</f>
        <v>279.238608200663</v>
      </c>
      <c r="M668" s="38" t="n">
        <f aca="false">Sens!$M$666-Sens!$M$667</f>
        <v>321.192838683573</v>
      </c>
      <c r="N668" s="38" t="n">
        <f aca="false">Q!$N$38</f>
        <v>35.291</v>
      </c>
      <c r="O668" s="38" t="n">
        <f aca="false">Q!$O$38</f>
        <v>42.379</v>
      </c>
    </row>
    <row r="669" customFormat="false" ht="17.15" hidden="false" customHeight="false" outlineLevel="0" collapsed="false">
      <c r="A669" s="5" t="s">
        <v>512</v>
      </c>
      <c r="B669" s="5" t="s">
        <v>33</v>
      </c>
      <c r="C669" s="22" t="n">
        <f aca="false">Q!$D$41</f>
        <v>10.721</v>
      </c>
      <c r="D669" s="22" t="n">
        <f aca="false">Q!$E$41</f>
        <v>10.827</v>
      </c>
      <c r="E669" s="22" t="n">
        <f aca="false">(Q!$L$41+Q!$M$41)/2</f>
        <v>10.8885</v>
      </c>
      <c r="F669" s="22" t="n">
        <f aca="false">Sens!$G$669</f>
        <v>10.924806</v>
      </c>
      <c r="G669" s="22" t="n">
        <f aca="false">Q!$M$41*(1+sh_g*0.25)</f>
        <v>10.924806</v>
      </c>
      <c r="H669" s="22" t="n">
        <f aca="false">Sens!$G$669*(1+sh_g)</f>
        <v>11.012204448</v>
      </c>
      <c r="I669" s="22" t="n">
        <f aca="false">Sens!$H$669*(1+sh_g)</f>
        <v>11.100302083584</v>
      </c>
      <c r="J669" s="22" t="n">
        <f aca="false">Sens!$I$669*(1+sh_g)</f>
        <v>11.1891045002527</v>
      </c>
      <c r="K669" s="22" t="n">
        <f aca="false">Sens!$J$669*(1+sh_g)</f>
        <v>11.2786173362547</v>
      </c>
      <c r="L669" s="22" t="n">
        <f aca="false">Sens!$K$669*(1+sh_g)</f>
        <v>11.3688462749447</v>
      </c>
      <c r="M669" s="22" t="n">
        <f aca="false">Sens!$L$669*(1+sh_g)</f>
        <v>11.4597970451443</v>
      </c>
      <c r="P669" s="5" t="s">
        <v>705</v>
      </c>
    </row>
    <row r="670" customFormat="false" ht="17.15" hidden="false" customHeight="false" outlineLevel="0" collapsed="false">
      <c r="A670" s="42" t="s">
        <v>706</v>
      </c>
      <c r="B670" s="13" t="s">
        <v>27</v>
      </c>
      <c r="C670" s="43" t="n">
        <f aca="false">Sens!$C$668/Sens!$C$669</f>
        <v>5.52635015390355</v>
      </c>
      <c r="D670" s="43" t="n">
        <f aca="false">Sens!$D$668/Sens!$D$669</f>
        <v>7.1737323358271</v>
      </c>
      <c r="E670" s="43" t="n">
        <f aca="false">Sens!$E$668/Sens!$E$669</f>
        <v>8.53212104513937</v>
      </c>
      <c r="F670" s="13"/>
      <c r="G670" s="43" t="n">
        <f aca="false">Sens!$G$668/Sens!$G$669</f>
        <v>13.180714998126</v>
      </c>
      <c r="H670" s="43" t="n">
        <f aca="false">Sens!$H$668/Sens!$H$669</f>
        <v>11.5249225045595</v>
      </c>
      <c r="I670" s="43" t="n">
        <f aca="false">Sens!$I$668/Sens!$I$669</f>
        <v>14.8414225019402</v>
      </c>
      <c r="J670" s="43" t="n">
        <f aca="false">Sens!$J$668/Sens!$J$669</f>
        <v>18.1016473277019</v>
      </c>
      <c r="K670" s="43" t="n">
        <f aca="false">Sens!$K$668/Sens!$K$669</f>
        <v>21.1949578019596</v>
      </c>
      <c r="L670" s="43" t="n">
        <f aca="false">Sens!$L$668/Sens!$L$669</f>
        <v>24.5617366483408</v>
      </c>
      <c r="M670" s="43" t="n">
        <f aca="false">Sens!$M$668/Sens!$M$669</f>
        <v>28.0277946824257</v>
      </c>
      <c r="N670" s="13"/>
      <c r="O670" s="13"/>
    </row>
    <row r="671" customFormat="false" ht="17.15" hidden="false" customHeight="false" outlineLevel="0" collapsed="false">
      <c r="A671" s="0" t="s">
        <v>707</v>
      </c>
      <c r="B671" s="0" t="s">
        <v>27</v>
      </c>
      <c r="C671" s="30" t="n">
        <f aca="false">(Sens!$C$668-Sens!$C$665*(1-tax))/Sens!$C$669</f>
        <v>5.33926775917445</v>
      </c>
      <c r="D671" s="30" t="n">
        <f aca="false">(Sens!$D$668-Sens!$D$665*(1-tax))/Sens!$D$669</f>
        <v>5.67691812755503</v>
      </c>
      <c r="E671" s="30" t="n">
        <f aca="false">(Sens!$E$668-Sens!$E$665*(1-tax))/Sens!$E$669</f>
        <v>3.10602057006846</v>
      </c>
      <c r="G671" s="30" t="n">
        <f aca="false">(Sens!$G$668-Sens!$G$665*(1-tax))/Sens!$G$669</f>
        <v>7.77264688022907</v>
      </c>
      <c r="H671" s="30" t="n">
        <f aca="false">(Sens!$H$668-Sens!$H$665*(1-tax))/Sens!$H$669</f>
        <v>11.5249225045595</v>
      </c>
      <c r="I671" s="30" t="n">
        <f aca="false">(Sens!$I$668-Sens!$I$665*(1-tax))/Sens!$I$669</f>
        <v>14.8414225019402</v>
      </c>
      <c r="J671" s="30" t="n">
        <f aca="false">(Sens!$J$668-Sens!$J$665*(1-tax))/Sens!$J$669</f>
        <v>18.1016473277019</v>
      </c>
      <c r="K671" s="30" t="n">
        <f aca="false">(Sens!$K$668-Sens!$K$665*(1-tax))/Sens!$K$669</f>
        <v>21.1949578019596</v>
      </c>
      <c r="L671" s="30" t="n">
        <f aca="false">(Sens!$L$668-Sens!$L$665*(1-tax))/Sens!$L$669</f>
        <v>24.5617366483408</v>
      </c>
      <c r="M671" s="30" t="n">
        <f aca="false">(Sens!$M$668-Sens!$M$665*(1-tax))/Sens!$M$669</f>
        <v>28.0277946824257</v>
      </c>
      <c r="P671" s="5" t="s">
        <v>708</v>
      </c>
    </row>
    <row r="672" customFormat="false" ht="17.15" hidden="false" customHeight="false" outlineLevel="0" collapsed="false">
      <c r="A672" s="0" t="s">
        <v>709</v>
      </c>
      <c r="B672" s="0" t="s">
        <v>52</v>
      </c>
      <c r="H672" s="12" t="n">
        <f aca="false">Sens!$H$670/Sens!$G$670-1</f>
        <v>-0.125622357649186</v>
      </c>
      <c r="I672" s="12" t="n">
        <f aca="false">Sens!$I$670/Sens!$H$670-1</f>
        <v>0.287767661437089</v>
      </c>
      <c r="J672" s="12" t="n">
        <f aca="false">Sens!$J$670/Sens!$I$670-1</f>
        <v>0.219670643116282</v>
      </c>
      <c r="K672" s="12" t="n">
        <f aca="false">Sens!$K$670/Sens!$J$670-1</f>
        <v>0.170885578437047</v>
      </c>
      <c r="L672" s="12" t="n">
        <f aca="false">Sens!$L$670/Sens!$K$670-1</f>
        <v>0.15884810330077</v>
      </c>
      <c r="M672" s="12" t="n">
        <f aca="false">Sens!$M$670/Sens!$L$670-1</f>
        <v>0.141116163067365</v>
      </c>
    </row>
    <row r="675" customFormat="false" ht="19.4" hidden="false" customHeight="false" outlineLevel="0" collapsed="false">
      <c r="A675" s="31" t="s">
        <v>1058</v>
      </c>
    </row>
    <row r="676" customFormat="false" ht="17.15" hidden="false" customHeight="false" outlineLevel="0" collapsed="false">
      <c r="A676" s="6" t="s">
        <v>16</v>
      </c>
      <c r="B676" s="6" t="s">
        <v>17</v>
      </c>
      <c r="C676" s="20" t="s">
        <v>457</v>
      </c>
      <c r="D676" s="20" t="s">
        <v>458</v>
      </c>
      <c r="E676" s="20" t="s">
        <v>540</v>
      </c>
      <c r="F676" s="20" t="s">
        <v>541</v>
      </c>
      <c r="G676" s="20" t="s">
        <v>542</v>
      </c>
      <c r="H676" s="20" t="s">
        <v>543</v>
      </c>
      <c r="I676" s="20" t="s">
        <v>544</v>
      </c>
      <c r="J676" s="20" t="s">
        <v>545</v>
      </c>
      <c r="K676" s="20" t="s">
        <v>546</v>
      </c>
      <c r="L676" s="20" t="s">
        <v>547</v>
      </c>
      <c r="M676" s="20" t="s">
        <v>548</v>
      </c>
      <c r="N676" s="20" t="s">
        <v>549</v>
      </c>
      <c r="O676" s="20" t="s">
        <v>550</v>
      </c>
      <c r="P676" s="6" t="s">
        <v>23</v>
      </c>
      <c r="R676" s="20" t="n">
        <v>2023</v>
      </c>
      <c r="S676" s="20" t="n">
        <v>2024</v>
      </c>
      <c r="T676" s="20" t="n">
        <v>2025</v>
      </c>
      <c r="U676" s="20" t="n">
        <v>2026</v>
      </c>
      <c r="V676" s="20" t="n">
        <v>2027</v>
      </c>
      <c r="W676" s="20" t="n">
        <v>2028</v>
      </c>
      <c r="X676" s="20" t="n">
        <v>2029</v>
      </c>
      <c r="Y676" s="20" t="n">
        <v>2030</v>
      </c>
      <c r="Z676" s="20" t="n">
        <v>2031</v>
      </c>
      <c r="AA676" s="20" t="n">
        <v>2032</v>
      </c>
    </row>
    <row r="677" customFormat="false" ht="15" hidden="false" customHeight="false" outlineLevel="0" collapsed="false">
      <c r="A677" s="5" t="s">
        <v>509</v>
      </c>
      <c r="B677" s="0" t="s">
        <v>73</v>
      </c>
      <c r="C677" s="38" t="n">
        <f aca="false">Sens!$C$668</f>
        <v>59.248</v>
      </c>
      <c r="D677" s="38" t="n">
        <f aca="false">Sens!$D$668</f>
        <v>77.67</v>
      </c>
      <c r="E677" s="38" t="n">
        <f aca="false">Sens!$E$668</f>
        <v>92.902</v>
      </c>
      <c r="F677" s="38" t="n">
        <f aca="false">Sens!$F$668</f>
        <v>51.0947542958174</v>
      </c>
      <c r="G677" s="38" t="n">
        <f aca="false">Sens!$G$668</f>
        <v>143.996754295817</v>
      </c>
      <c r="H677" s="38" t="n">
        <f aca="false">Sens!$H$668</f>
        <v>126.914802867565</v>
      </c>
      <c r="I677" s="38" t="n">
        <f aca="false">Sens!$I$668</f>
        <v>164.744273121637</v>
      </c>
      <c r="J677" s="38" t="n">
        <f aca="false">Sens!$J$668</f>
        <v>202.541223576376</v>
      </c>
      <c r="K677" s="38" t="n">
        <f aca="false">Sens!$K$668</f>
        <v>239.049818506369</v>
      </c>
      <c r="L677" s="38" t="n">
        <f aca="false">Sens!$L$668</f>
        <v>279.238608200663</v>
      </c>
      <c r="M677" s="38" t="n">
        <f aca="false">Sens!$M$668</f>
        <v>321.192838683573</v>
      </c>
    </row>
    <row r="678" customFormat="false" ht="17.15" hidden="false" customHeight="false" outlineLevel="0" collapsed="false">
      <c r="A678" s="5" t="s">
        <v>731</v>
      </c>
      <c r="B678" s="0" t="s">
        <v>73</v>
      </c>
      <c r="C678" s="38" t="n">
        <f aca="false">Sens!$C$656</f>
        <v>32.067</v>
      </c>
      <c r="D678" s="38" t="n">
        <f aca="false">Sens!$D$656</f>
        <v>41.86</v>
      </c>
      <c r="E678" s="38" t="n">
        <f aca="false">Sens!$E$656</f>
        <v>26.703</v>
      </c>
      <c r="F678" s="38" t="n">
        <f aca="false">Sens!$F$656</f>
        <v>30.6103857251209</v>
      </c>
      <c r="G678" s="38" t="n">
        <f aca="false">Sens!$G$656</f>
        <v>57.3133857251209</v>
      </c>
      <c r="H678" s="38" t="n">
        <f aca="false">Sens!$H$656</f>
        <v>87.6845218193838</v>
      </c>
      <c r="I678" s="38" t="n">
        <f aca="false">Sens!$I$656</f>
        <v>122.294769708638</v>
      </c>
      <c r="J678" s="38" t="n">
        <f aca="false">Sens!$J$656</f>
        <v>157.133962573221</v>
      </c>
      <c r="K678" s="38" t="n">
        <f aca="false">Sens!$K$656</f>
        <v>191.350633353599</v>
      </c>
      <c r="L678" s="38" t="n">
        <f aca="false">Sens!$L$656</f>
        <v>223.909238335354</v>
      </c>
      <c r="M678" s="38" t="n">
        <f aca="false">Sens!$M$656</f>
        <v>257.576319867276</v>
      </c>
    </row>
    <row r="679" customFormat="false" ht="15" hidden="false" customHeight="false" outlineLevel="0" collapsed="false">
      <c r="A679" s="5" t="s">
        <v>732</v>
      </c>
      <c r="B679" s="0" t="s">
        <v>73</v>
      </c>
      <c r="C679" s="38" t="n">
        <f aca="false">Q!$D$48</f>
        <v>22.011</v>
      </c>
      <c r="D679" s="38" t="n">
        <f aca="false">Q!$E$48</f>
        <v>19.467</v>
      </c>
      <c r="E679" s="38" t="n">
        <f aca="false">Q!$P$48</f>
        <v>10.07</v>
      </c>
      <c r="F679" s="38" t="n">
        <f aca="false">sbc_r*Sens!$F$600</f>
        <v>11.2818914193413</v>
      </c>
      <c r="G679" s="38" t="n">
        <f aca="false">Sens!$E$679+Sens!$F$679</f>
        <v>21.3518914193413</v>
      </c>
      <c r="H679" s="38" t="n">
        <f aca="false">sbc_r*Sens!$H$600</f>
        <v>24.7064299115516</v>
      </c>
      <c r="I679" s="38" t="n">
        <f aca="false">sbc_r*Sens!$I$600</f>
        <v>28.7249185596581</v>
      </c>
      <c r="J679" s="38" t="n">
        <f aca="false">sbc_r*Sens!$J$600</f>
        <v>32.5282407542186</v>
      </c>
      <c r="K679" s="38" t="n">
        <f aca="false">sbc_r*Sens!$K$600</f>
        <v>35.9738736543324</v>
      </c>
      <c r="L679" s="38" t="n">
        <f aca="false">sbc_r*Sens!$L$600</f>
        <v>39.5555205212471</v>
      </c>
      <c r="M679" s="38" t="n">
        <f aca="false">sbc_r*Sens!$M$600</f>
        <v>43.2830354366834</v>
      </c>
    </row>
    <row r="680" customFormat="false" ht="17.15" hidden="false" customHeight="false" outlineLevel="0" collapsed="false">
      <c r="A680" s="5" t="s">
        <v>733</v>
      </c>
      <c r="B680" s="0" t="s">
        <v>73</v>
      </c>
      <c r="C680" s="38" t="n">
        <f aca="false">Q!$D$44-Sens!$C$677-Sens!$C$678-Sens!$C$679</f>
        <v>2.551</v>
      </c>
      <c r="D680" s="38" t="n">
        <f aca="false">Q!$E$44-Sens!$D$677-Sens!$D$678-Sens!$D$679</f>
        <v>0.51700000000001</v>
      </c>
      <c r="E680" s="38" t="n">
        <f aca="false">Q!$P$44-Sens!$E$677-Sens!$E$678-Sens!$E$679</f>
        <v>-58.256</v>
      </c>
      <c r="F680" s="38" t="n">
        <f aca="false">wc_2h26+oth_r*Sens!$F$600</f>
        <v>7.37719151794802</v>
      </c>
      <c r="G680" s="38" t="n">
        <f aca="false">Sens!$E$680+Sens!$F$680</f>
        <v>-50.878808482052</v>
      </c>
      <c r="H680" s="38" t="n">
        <f aca="false">oth_r*Sens!$H$600</f>
        <v>11.8916803182917</v>
      </c>
      <c r="I680" s="38" t="n">
        <f aca="false">oth_r*Sens!$I$600</f>
        <v>13.8258562610338</v>
      </c>
      <c r="J680" s="38" t="n">
        <f aca="false">oth_r*Sens!$J$600</f>
        <v>15.656468447703</v>
      </c>
      <c r="K680" s="38" t="n">
        <f aca="false">oth_r*Sens!$K$600</f>
        <v>17.3149178913916</v>
      </c>
      <c r="L680" s="38" t="n">
        <f aca="false">oth_r*Sens!$L$600</f>
        <v>19.0388334755872</v>
      </c>
      <c r="M680" s="38" t="n">
        <f aca="false">oth_r*Sens!$M$600</f>
        <v>20.8329581595144</v>
      </c>
      <c r="P680" s="8" t="s">
        <v>734</v>
      </c>
    </row>
    <row r="681" customFormat="false" ht="15" hidden="false" customHeight="false" outlineLevel="0" collapsed="false">
      <c r="A681" s="3" t="s">
        <v>515</v>
      </c>
      <c r="B681" s="8" t="s">
        <v>73</v>
      </c>
      <c r="C681" s="38" t="n">
        <f aca="false">Q!$D$44</f>
        <v>115.877</v>
      </c>
      <c r="D681" s="38" t="n">
        <f aca="false">Q!$E$44</f>
        <v>139.514</v>
      </c>
      <c r="E681" s="38" t="n">
        <f aca="false">Q!$P$44</f>
        <v>71.419</v>
      </c>
      <c r="F681" s="38" t="n">
        <f aca="false">Sens!$F$677+Sens!$F$678+Sens!$F$679+Sens!$F$680</f>
        <v>100.364222958228</v>
      </c>
      <c r="G681" s="38" t="n">
        <f aca="false">Sens!$E$681+Sens!$F$681</f>
        <v>171.783222958228</v>
      </c>
      <c r="H681" s="38" t="n">
        <f aca="false">Sens!$H$677+Sens!$H$678+Sens!$H$679+Sens!$H$680</f>
        <v>251.197434916792</v>
      </c>
      <c r="I681" s="38" t="n">
        <f aca="false">Sens!$I$677+Sens!$I$678+Sens!$I$679+Sens!$I$680</f>
        <v>329.589817650967</v>
      </c>
      <c r="J681" s="38" t="n">
        <f aca="false">Sens!$J$677+Sens!$J$678+Sens!$J$679+Sens!$J$680</f>
        <v>407.859895351518</v>
      </c>
      <c r="K681" s="38" t="n">
        <f aca="false">Sens!$K$677+Sens!$K$678+Sens!$K$679+Sens!$K$680</f>
        <v>483.689243405692</v>
      </c>
      <c r="L681" s="38" t="n">
        <f aca="false">Sens!$L$677+Sens!$L$678+Sens!$L$679+Sens!$L$680</f>
        <v>561.742200532851</v>
      </c>
      <c r="M681" s="38" t="n">
        <f aca="false">Sens!$M$677+Sens!$M$678+Sens!$M$679+Sens!$M$680</f>
        <v>642.885152147047</v>
      </c>
    </row>
    <row r="682" customFormat="false" ht="17.15" hidden="false" customHeight="false" outlineLevel="0" collapsed="false">
      <c r="A682" s="5" t="s">
        <v>735</v>
      </c>
      <c r="B682" s="0" t="s">
        <v>73</v>
      </c>
      <c r="C682" s="38" t="n">
        <f aca="false">Sens!$C$569</f>
        <v>25.2781053077374</v>
      </c>
      <c r="D682" s="38" t="n">
        <f aca="false">Sens!$D$569</f>
        <v>69.5686316310026</v>
      </c>
      <c r="E682" s="38" t="n">
        <f aca="false">Sens!$E$569</f>
        <v>64.1899206485108</v>
      </c>
      <c r="F682" s="38" t="n">
        <f aca="false">Sens!$F$569</f>
        <v>96.2481299895</v>
      </c>
      <c r="G682" s="38" t="n">
        <f aca="false">Sens!$G$569</f>
        <v>160.438050638011</v>
      </c>
      <c r="H682" s="38" t="n">
        <f aca="false">Sens!$H$569</f>
        <v>198.57136494475</v>
      </c>
      <c r="I682" s="38" t="n">
        <f aca="false">Sens!$I$569</f>
        <v>204.6464699105</v>
      </c>
      <c r="J682" s="38" t="n">
        <f aca="false">Sens!$J$569</f>
        <v>209.8832381105</v>
      </c>
      <c r="K682" s="38" t="n">
        <f aca="false">Sens!$K$569</f>
        <v>215.1200063105</v>
      </c>
      <c r="L682" s="38" t="n">
        <f aca="false">Sens!$L$569</f>
        <v>251.7773837105</v>
      </c>
      <c r="M682" s="38" t="n">
        <f aca="false">Sens!$M$569</f>
        <v>311.87584476575</v>
      </c>
    </row>
    <row r="683" customFormat="false" ht="17.15" hidden="false" customHeight="false" outlineLevel="0" collapsed="false">
      <c r="A683" s="5" t="s">
        <v>736</v>
      </c>
      <c r="B683" s="0" t="s">
        <v>73</v>
      </c>
      <c r="C683" s="38" t="n">
        <f aca="false">cx_awso*Sens!$C$598</f>
        <v>21.0469989286053</v>
      </c>
      <c r="D683" s="38" t="n">
        <f aca="false">cx_awso*Sens!$D$598</f>
        <v>24.0042459822698</v>
      </c>
      <c r="E683" s="38" t="n">
        <f aca="false">cx_awso*Sens!$E$598</f>
        <v>14.261729404886</v>
      </c>
      <c r="F683" s="38" t="n">
        <f aca="false">cx_awso*Sens!$F$598</f>
        <v>15.7190020837331</v>
      </c>
      <c r="G683" s="38" t="n">
        <f aca="false">Sens!$E$683+Sens!$F$683</f>
        <v>29.9807314886191</v>
      </c>
      <c r="H683" s="38" t="n">
        <f aca="false">cx_awso*Sens!$H$598</f>
        <v>36.1787121536283</v>
      </c>
      <c r="I683" s="38" t="n">
        <f aca="false">cx_awso*Sens!$I$598</f>
        <v>42.1296794430021</v>
      </c>
      <c r="J683" s="38" t="n">
        <f aca="false">cx_awso*Sens!$J$598</f>
        <v>47.279781889299</v>
      </c>
      <c r="K683" s="38" t="n">
        <f aca="false">cx_awso*Sens!$K$598</f>
        <v>51.0621644404429</v>
      </c>
      <c r="L683" s="38" t="n">
        <f aca="false">cx_awso*Sens!$L$598</f>
        <v>55.1471375956783</v>
      </c>
      <c r="M683" s="38" t="n">
        <f aca="false">cx_awso*Sens!$M$598</f>
        <v>59.5589086033326</v>
      </c>
    </row>
    <row r="684" customFormat="false" ht="17.15" hidden="false" customHeight="false" outlineLevel="0" collapsed="false">
      <c r="A684" s="5" t="s">
        <v>737</v>
      </c>
      <c r="B684" s="0" t="s">
        <v>73</v>
      </c>
      <c r="C684" s="38" t="n">
        <f aca="false">Q!$D$46-Sens!$C$682-Sens!$C$683</f>
        <v>31.3328957636573</v>
      </c>
      <c r="D684" s="38" t="n">
        <f aca="false">Q!$E$46-Sens!$D$682-Sens!$D$683</f>
        <v>34.7471223867276</v>
      </c>
      <c r="E684" s="38" t="n">
        <f aca="false">Q!$P$46-Sens!$E$682-Sens!$E$683</f>
        <v>17.8583499466032</v>
      </c>
      <c r="F684" s="38" t="n">
        <f aca="false">cx_rt*Sens!$F$533</f>
        <v>21.0855744229195</v>
      </c>
      <c r="G684" s="38" t="n">
        <f aca="false">Sens!$E$684+Sens!$F$684</f>
        <v>38.9439243695228</v>
      </c>
      <c r="H684" s="38" t="n">
        <f aca="false">cx_rt*Sens!$H$533</f>
        <v>43.1200434029767</v>
      </c>
      <c r="I684" s="38" t="n">
        <f aca="false">cx_rt*Sens!$I$533</f>
        <v>47.1583152318763</v>
      </c>
      <c r="J684" s="38" t="n">
        <f aca="false">cx_rt*Sens!$J$533</f>
        <v>50.9060281137911</v>
      </c>
      <c r="K684" s="38" t="n">
        <f aca="false">cx_rt*Sens!$K$533</f>
        <v>54.2035645673053</v>
      </c>
      <c r="L684" s="38" t="n">
        <f aca="false">cx_rt*Sens!$L$533</f>
        <v>57.7318979121519</v>
      </c>
      <c r="M684" s="38" t="n">
        <f aca="false">cx_rt*Sens!$M$533</f>
        <v>61.5084196557756</v>
      </c>
    </row>
    <row r="685" customFormat="false" ht="15" hidden="false" customHeight="false" outlineLevel="0" collapsed="false">
      <c r="A685" s="3" t="s">
        <v>738</v>
      </c>
      <c r="B685" s="8" t="s">
        <v>73</v>
      </c>
      <c r="C685" s="38" t="n">
        <f aca="false">Q!$D$46</f>
        <v>77.658</v>
      </c>
      <c r="D685" s="38" t="n">
        <f aca="false">Q!$E$46</f>
        <v>128.32</v>
      </c>
      <c r="E685" s="38" t="n">
        <f aca="false">Q!$P$46</f>
        <v>96.31</v>
      </c>
      <c r="F685" s="38" t="n">
        <f aca="false">Sens!$F$682+Sens!$F$683+Sens!$F$684</f>
        <v>133.052706496153</v>
      </c>
      <c r="G685" s="38" t="n">
        <f aca="false">Sens!$E$685+Sens!$F$685</f>
        <v>229.362706496153</v>
      </c>
      <c r="H685" s="38" t="n">
        <f aca="false">Sens!$H$682+Sens!$H$683+Sens!$H$684</f>
        <v>277.870120501355</v>
      </c>
      <c r="I685" s="38" t="n">
        <f aca="false">Sens!$I$682+Sens!$I$683+Sens!$I$684</f>
        <v>293.934464585378</v>
      </c>
      <c r="J685" s="38" t="n">
        <f aca="false">Sens!$J$682+Sens!$J$683+Sens!$J$684</f>
        <v>308.06904811359</v>
      </c>
      <c r="K685" s="38" t="n">
        <f aca="false">Sens!$K$682+Sens!$K$683+Sens!$K$684</f>
        <v>320.385735318248</v>
      </c>
      <c r="L685" s="38" t="n">
        <f aca="false">Sens!$L$682+Sens!$L$683+Sens!$L$684</f>
        <v>364.65641921833</v>
      </c>
      <c r="M685" s="38" t="n">
        <f aca="false">Sens!$M$682+Sens!$M$683+Sens!$M$684</f>
        <v>432.943173024858</v>
      </c>
    </row>
    <row r="686" customFormat="false" ht="17.15" hidden="false" customHeight="false" outlineLevel="0" collapsed="false">
      <c r="A686" s="5" t="s">
        <v>523</v>
      </c>
      <c r="B686" s="0" t="s">
        <v>73</v>
      </c>
      <c r="C686" s="38" t="n">
        <f aca="false">Q!$D$50</f>
        <v>2.043</v>
      </c>
      <c r="D686" s="38" t="n">
        <f aca="false">Q!$E$50</f>
        <v>1.557</v>
      </c>
      <c r="E686" s="38" t="n">
        <f aca="false">lease_pr/2</f>
        <v>0.8</v>
      </c>
      <c r="F686" s="38" t="n">
        <f aca="false">lease_pr/2</f>
        <v>0.8</v>
      </c>
      <c r="G686" s="38" t="n">
        <f aca="false">Sens!$E$686+Sens!$F$686</f>
        <v>1.6</v>
      </c>
      <c r="H686" s="38" t="n">
        <f aca="false">lease_pr</f>
        <v>1.6</v>
      </c>
      <c r="I686" s="38" t="n">
        <f aca="false">lease_pr</f>
        <v>1.6</v>
      </c>
      <c r="J686" s="38" t="n">
        <f aca="false">lease_pr</f>
        <v>1.6</v>
      </c>
      <c r="K686" s="38" t="n">
        <f aca="false">lease_pr</f>
        <v>1.6</v>
      </c>
      <c r="L686" s="38" t="n">
        <f aca="false">lease_pr</f>
        <v>1.6</v>
      </c>
      <c r="M686" s="38" t="n">
        <f aca="false">lease_pr</f>
        <v>1.6</v>
      </c>
      <c r="P686" s="8" t="s">
        <v>739</v>
      </c>
    </row>
    <row r="687" customFormat="false" ht="15" hidden="false" customHeight="false" outlineLevel="0" collapsed="false">
      <c r="A687" s="46" t="s">
        <v>740</v>
      </c>
      <c r="B687" s="13" t="s">
        <v>73</v>
      </c>
      <c r="C687" s="47" t="n">
        <f aca="false">Sens!$C$681-Sens!$C$685-Sens!$C$686</f>
        <v>36.176</v>
      </c>
      <c r="D687" s="47" t="n">
        <f aca="false">Sens!$D$681-Sens!$D$685-Sens!$D$686</f>
        <v>9.63700000000002</v>
      </c>
      <c r="E687" s="47" t="n">
        <f aca="false">Sens!$E$681-Sens!$E$685-Sens!$E$686</f>
        <v>-25.691</v>
      </c>
      <c r="F687" s="47" t="n">
        <f aca="false">Sens!$F$681-Sens!$F$685-Sens!$F$686</f>
        <v>-33.4884835379249</v>
      </c>
      <c r="G687" s="47" t="n">
        <f aca="false">Sens!$G$681-Sens!$G$685-Sens!$G$686</f>
        <v>-59.1794835379249</v>
      </c>
      <c r="H687" s="47" t="n">
        <f aca="false">Sens!$H$681-Sens!$H$685-Sens!$H$686</f>
        <v>-28.2726855845631</v>
      </c>
      <c r="I687" s="47" t="n">
        <f aca="false">Sens!$I$681-Sens!$I$685-Sens!$I$686</f>
        <v>34.0553530655887</v>
      </c>
      <c r="J687" s="47" t="n">
        <f aca="false">Sens!$J$681-Sens!$J$685-Sens!$J$686</f>
        <v>98.1908472379283</v>
      </c>
      <c r="K687" s="47" t="n">
        <f aca="false">Sens!$K$681-Sens!$K$685-Sens!$K$686</f>
        <v>161.703508087444</v>
      </c>
      <c r="L687" s="47" t="n">
        <f aca="false">Sens!$L$681-Sens!$L$685-Sens!$L$686</f>
        <v>195.485781314521</v>
      </c>
      <c r="M687" s="47" t="n">
        <f aca="false">Sens!$M$681-Sens!$M$685-Sens!$M$686</f>
        <v>208.341979122189</v>
      </c>
      <c r="N687" s="13"/>
      <c r="O687" s="13"/>
    </row>
    <row r="688" customFormat="false" ht="17.15" hidden="false" customHeight="false" outlineLevel="0" collapsed="false">
      <c r="A688" s="5" t="s">
        <v>741</v>
      </c>
      <c r="B688" s="0" t="s">
        <v>73</v>
      </c>
      <c r="C688" s="38" t="n">
        <f aca="false">dps*Sens!$C$669</f>
        <v>0</v>
      </c>
      <c r="D688" s="38" t="n">
        <f aca="false">dps*Sens!$D$669</f>
        <v>0</v>
      </c>
      <c r="E688" s="38" t="n">
        <f aca="false">dps*Sens!$E$669</f>
        <v>0</v>
      </c>
      <c r="F688" s="38" t="n">
        <f aca="false">0</f>
        <v>0</v>
      </c>
      <c r="G688" s="38" t="n">
        <f aca="false">dps*Sens!$G$669</f>
        <v>0</v>
      </c>
      <c r="H688" s="38" t="n">
        <f aca="false">dps*Sens!$H$669</f>
        <v>0</v>
      </c>
      <c r="I688" s="38" t="n">
        <f aca="false">dps*Sens!$I$669</f>
        <v>0</v>
      </c>
      <c r="J688" s="38" t="n">
        <f aca="false">dps*Sens!$J$669</f>
        <v>0</v>
      </c>
      <c r="K688" s="38" t="n">
        <f aca="false">dps*Sens!$K$669</f>
        <v>0</v>
      </c>
      <c r="L688" s="38" t="n">
        <f aca="false">dps*Sens!$L$669</f>
        <v>0</v>
      </c>
      <c r="M688" s="38" t="n">
        <f aca="false">dps*Sens!$M$669</f>
        <v>0</v>
      </c>
      <c r="P688" s="8" t="s">
        <v>742</v>
      </c>
    </row>
    <row r="689" customFormat="false" ht="17.15" hidden="false" customHeight="false" outlineLevel="0" collapsed="false">
      <c r="A689" s="5" t="s">
        <v>743</v>
      </c>
      <c r="B689" s="0" t="s">
        <v>73</v>
      </c>
      <c r="C689" s="38" t="n">
        <f aca="false">0</f>
        <v>0</v>
      </c>
      <c r="D689" s="38" t="n">
        <f aca="false">0</f>
        <v>0</v>
      </c>
      <c r="E689" s="38" t="n">
        <f aca="false">0</f>
        <v>0</v>
      </c>
      <c r="F689" s="38" t="n">
        <f aca="false">0</f>
        <v>0</v>
      </c>
      <c r="G689" s="38" t="n">
        <f aca="false">0</f>
        <v>0</v>
      </c>
      <c r="H689" s="38" t="n">
        <f aca="false">0</f>
        <v>0</v>
      </c>
      <c r="I689" s="38" t="n">
        <f aca="false">0</f>
        <v>0</v>
      </c>
      <c r="J689" s="38" t="n">
        <f aca="false">0</f>
        <v>0</v>
      </c>
      <c r="K689" s="38" t="n">
        <f aca="false">0</f>
        <v>0</v>
      </c>
      <c r="L689" s="38" t="n">
        <f aca="false">0</f>
        <v>0</v>
      </c>
      <c r="M689" s="38" t="n">
        <f aca="false">0</f>
        <v>0</v>
      </c>
      <c r="P689" s="8" t="s">
        <v>744</v>
      </c>
    </row>
    <row r="690" customFormat="false" ht="15" hidden="false" customHeight="false" outlineLevel="0" collapsed="false">
      <c r="A690" s="3" t="s">
        <v>745</v>
      </c>
      <c r="B690" s="8" t="s">
        <v>73</v>
      </c>
      <c r="C690" s="38" t="n">
        <f aca="false">Sens!$C$687-Sens!$C$688</f>
        <v>36.176</v>
      </c>
      <c r="D690" s="38" t="n">
        <f aca="false">Sens!$D$687-Sens!$D$688</f>
        <v>9.63700000000002</v>
      </c>
      <c r="E690" s="38" t="n">
        <f aca="false">Sens!$E$687-Sens!$E$688</f>
        <v>-25.691</v>
      </c>
      <c r="F690" s="38" t="n">
        <f aca="false">Sens!$F$687-Sens!$F$688</f>
        <v>-33.4884835379249</v>
      </c>
      <c r="G690" s="38" t="n">
        <f aca="false">Sens!$G$687-Sens!$G$688</f>
        <v>-59.1794835379249</v>
      </c>
      <c r="H690" s="38" t="n">
        <f aca="false">Sens!$H$687-Sens!$H$688</f>
        <v>-28.2726855845631</v>
      </c>
      <c r="I690" s="38" t="n">
        <f aca="false">Sens!$I$687-Sens!$I$688</f>
        <v>34.0553530655887</v>
      </c>
      <c r="J690" s="38" t="n">
        <f aca="false">Sens!$J$687-Sens!$J$688</f>
        <v>98.1908472379283</v>
      </c>
      <c r="K690" s="38" t="n">
        <f aca="false">Sens!$K$687-Sens!$K$688</f>
        <v>161.703508087444</v>
      </c>
      <c r="L690" s="38" t="n">
        <f aca="false">Sens!$L$687-Sens!$L$688</f>
        <v>195.485781314521</v>
      </c>
      <c r="M690" s="38" t="n">
        <f aca="false">Sens!$M$687-Sens!$M$688</f>
        <v>208.341979122189</v>
      </c>
    </row>
    <row r="691" customFormat="false" ht="17.15" hidden="false" customHeight="false" outlineLevel="0" collapsed="false">
      <c r="A691" s="5" t="s">
        <v>746</v>
      </c>
      <c r="B691" s="0" t="s">
        <v>73</v>
      </c>
      <c r="E691" s="38" t="n">
        <f aca="false">Q!$P$53</f>
        <v>39.767</v>
      </c>
      <c r="F691" s="38" t="n">
        <f aca="false">inv_2h26</f>
        <v>21.3</v>
      </c>
      <c r="G691" s="38" t="n">
        <f aca="false">Sens!$E$691+Sens!$F$691</f>
        <v>61.067</v>
      </c>
      <c r="H691" s="41" t="n">
        <v>0</v>
      </c>
      <c r="I691" s="41" t="n">
        <v>0</v>
      </c>
      <c r="J691" s="41" t="n">
        <v>0</v>
      </c>
      <c r="K691" s="41" t="n">
        <v>0</v>
      </c>
      <c r="L691" s="41" t="n">
        <v>0</v>
      </c>
      <c r="M691" s="41" t="n">
        <v>0</v>
      </c>
    </row>
    <row r="692" customFormat="false" ht="17.15" hidden="false" customHeight="false" outlineLevel="0" collapsed="false">
      <c r="A692" s="5" t="s">
        <v>747</v>
      </c>
      <c r="B692" s="0" t="s">
        <v>73</v>
      </c>
      <c r="F692" s="38" t="n">
        <f aca="false">iss_2h26</f>
        <v>29.25</v>
      </c>
      <c r="G692" s="38" t="n">
        <f aca="false">Sens!$F$692</f>
        <v>29.25</v>
      </c>
      <c r="H692" s="41" t="n">
        <v>0</v>
      </c>
      <c r="I692" s="41" t="n">
        <v>0</v>
      </c>
      <c r="J692" s="41" t="n">
        <v>0</v>
      </c>
      <c r="K692" s="41" t="n">
        <v>0</v>
      </c>
      <c r="L692" s="41" t="n">
        <v>0</v>
      </c>
      <c r="M692" s="41" t="n">
        <v>0</v>
      </c>
    </row>
    <row r="693" customFormat="false" ht="17.15" hidden="false" customHeight="false" outlineLevel="0" collapsed="false">
      <c r="A693" s="5" t="s">
        <v>748</v>
      </c>
      <c r="B693" s="0" t="s">
        <v>73</v>
      </c>
      <c r="F693" s="38" t="n">
        <f aca="false">cash_q2</f>
        <v>122.988</v>
      </c>
      <c r="G693" s="38" t="n">
        <f aca="false">cash_q2</f>
        <v>122.988</v>
      </c>
      <c r="H693" s="38" t="n">
        <f aca="false">Sens!$G$696</f>
        <v>97.4495164620751</v>
      </c>
      <c r="I693" s="38" t="n">
        <f aca="false">Sens!$H$696</f>
        <v>69.176830877512</v>
      </c>
      <c r="J693" s="38" t="n">
        <f aca="false">Sens!$I$696</f>
        <v>103.232183943101</v>
      </c>
      <c r="K693" s="38" t="n">
        <f aca="false">Sens!$J$696</f>
        <v>201.423031181029</v>
      </c>
      <c r="L693" s="38" t="n">
        <f aca="false">Sens!$K$696</f>
        <v>363.126539268473</v>
      </c>
      <c r="M693" s="38" t="n">
        <f aca="false">Sens!$L$696</f>
        <v>558.612320582994</v>
      </c>
    </row>
    <row r="694" customFormat="false" ht="15" hidden="false" customHeight="false" outlineLevel="0" collapsed="false">
      <c r="A694" s="5" t="s">
        <v>749</v>
      </c>
      <c r="B694" s="0" t="s">
        <v>73</v>
      </c>
      <c r="F694" s="38" t="n">
        <f aca="false">Sens!$F$693+Sens!$F$690-Sens!$F$689-Sens!$F$691+Sens!$F$692</f>
        <v>97.4495164620751</v>
      </c>
      <c r="H694" s="38" t="n">
        <f aca="false">Sens!$H$693+Sens!$H$690-Sens!$H$689-Sens!$H$691+Sens!$H$692</f>
        <v>69.176830877512</v>
      </c>
      <c r="I694" s="38" t="n">
        <f aca="false">Sens!$I$693+Sens!$I$690-Sens!$I$689-Sens!$I$691+Sens!$I$692</f>
        <v>103.232183943101</v>
      </c>
      <c r="J694" s="38" t="n">
        <f aca="false">Sens!$J$693+Sens!$J$690-Sens!$J$689-Sens!$J$691+Sens!$J$692</f>
        <v>201.423031181029</v>
      </c>
      <c r="K694" s="38" t="n">
        <f aca="false">Sens!$K$693+Sens!$K$690-Sens!$K$689-Sens!$K$691+Sens!$K$692</f>
        <v>363.126539268473</v>
      </c>
      <c r="L694" s="38" t="n">
        <f aca="false">Sens!$L$693+Sens!$L$690-Sens!$L$689-Sens!$L$691+Sens!$L$692</f>
        <v>558.612320582994</v>
      </c>
      <c r="M694" s="38" t="n">
        <f aca="false">Sens!$M$693+Sens!$M$690-Sens!$M$689-Sens!$M$691+Sens!$M$692</f>
        <v>766.954299705183</v>
      </c>
    </row>
    <row r="695" customFormat="false" ht="17.15" hidden="false" customHeight="false" outlineLevel="0" collapsed="false">
      <c r="A695" s="5" t="s">
        <v>750</v>
      </c>
      <c r="B695" s="0" t="s">
        <v>73</v>
      </c>
      <c r="F695" s="38" t="n">
        <f aca="false">MAX(0,min_cash-Sens!$F$694)</f>
        <v>0</v>
      </c>
      <c r="G695" s="38" t="n">
        <f aca="false">Sens!$F$695</f>
        <v>0</v>
      </c>
      <c r="H695" s="38" t="n">
        <f aca="false">MAX(0,min_cash-Sens!$H$694)</f>
        <v>0</v>
      </c>
      <c r="I695" s="38" t="n">
        <f aca="false">MAX(0,min_cash-Sens!$I$694)</f>
        <v>0</v>
      </c>
      <c r="J695" s="38" t="n">
        <f aca="false">MAX(0,min_cash-Sens!$J$694)</f>
        <v>0</v>
      </c>
      <c r="K695" s="38" t="n">
        <f aca="false">MAX(0,min_cash-Sens!$K$694)</f>
        <v>0</v>
      </c>
      <c r="L695" s="38" t="n">
        <f aca="false">MAX(0,min_cash-Sens!$L$694)</f>
        <v>0</v>
      </c>
      <c r="M695" s="38" t="n">
        <f aca="false">MAX(0,min_cash-Sens!$M$694)</f>
        <v>0</v>
      </c>
      <c r="P695" s="5" t="s">
        <v>751</v>
      </c>
    </row>
    <row r="696" customFormat="false" ht="15" hidden="false" customHeight="false" outlineLevel="0" collapsed="false">
      <c r="A696" s="5" t="s">
        <v>752</v>
      </c>
      <c r="B696" s="0" t="s">
        <v>73</v>
      </c>
      <c r="D696" s="38" t="n">
        <f aca="false">Q!$E$61</f>
        <v>123.029</v>
      </c>
      <c r="E696" s="38" t="n">
        <f aca="false">Q!$M$61</f>
        <v>122.988</v>
      </c>
      <c r="F696" s="38" t="n">
        <f aca="false">Sens!$F$694+Sens!$F$695</f>
        <v>97.4495164620751</v>
      </c>
      <c r="G696" s="38" t="n">
        <f aca="false">Sens!$F$696</f>
        <v>97.4495164620751</v>
      </c>
      <c r="H696" s="38" t="n">
        <f aca="false">Sens!$H$694+Sens!$H$695</f>
        <v>69.176830877512</v>
      </c>
      <c r="I696" s="38" t="n">
        <f aca="false">Sens!$I$694+Sens!$I$695</f>
        <v>103.232183943101</v>
      </c>
      <c r="J696" s="38" t="n">
        <f aca="false">Sens!$J$694+Sens!$J$695</f>
        <v>201.423031181029</v>
      </c>
      <c r="K696" s="38" t="n">
        <f aca="false">Sens!$K$694+Sens!$K$695</f>
        <v>363.126539268473</v>
      </c>
      <c r="L696" s="38" t="n">
        <f aca="false">Sens!$L$694+Sens!$L$695</f>
        <v>558.612320582994</v>
      </c>
      <c r="M696" s="38" t="n">
        <f aca="false">Sens!$M$694+Sens!$M$695</f>
        <v>766.954299705183</v>
      </c>
    </row>
    <row r="697" customFormat="false" ht="15" hidden="false" customHeight="false" outlineLevel="0" collapsed="false">
      <c r="A697" s="5" t="s">
        <v>753</v>
      </c>
      <c r="B697" s="0" t="s">
        <v>73</v>
      </c>
      <c r="D697" s="38" t="n">
        <f aca="false">Q!$E$62</f>
        <v>68.836</v>
      </c>
      <c r="E697" s="38" t="n">
        <f aca="false">Q!$M$62</f>
        <v>132.995</v>
      </c>
      <c r="F697" s="38" t="n">
        <f aca="false">debt_q2+Sens!$F$692+Sens!$F$695</f>
        <v>162.245</v>
      </c>
      <c r="G697" s="38" t="n">
        <f aca="false">Sens!$F$697</f>
        <v>162.245</v>
      </c>
      <c r="H697" s="38" t="n">
        <f aca="false">Sens!$G$697+Sens!$H$695</f>
        <v>162.245</v>
      </c>
      <c r="I697" s="38" t="n">
        <f aca="false">Sens!$H$697+Sens!$I$695</f>
        <v>162.245</v>
      </c>
      <c r="J697" s="38" t="n">
        <f aca="false">Sens!$I$697+Sens!$J$695</f>
        <v>162.245</v>
      </c>
      <c r="K697" s="38" t="n">
        <f aca="false">Sens!$J$697+Sens!$K$695</f>
        <v>162.245</v>
      </c>
      <c r="L697" s="38" t="n">
        <f aca="false">Sens!$K$697+Sens!$L$695</f>
        <v>162.245</v>
      </c>
      <c r="M697" s="38" t="n">
        <f aca="false">Sens!$L$697+Sens!$M$695</f>
        <v>162.245</v>
      </c>
    </row>
    <row r="698" customFormat="false" ht="15" hidden="false" customHeight="false" outlineLevel="0" collapsed="false">
      <c r="A698" s="5" t="s">
        <v>754</v>
      </c>
      <c r="B698" s="0" t="s">
        <v>73</v>
      </c>
      <c r="D698" s="38" t="n">
        <f aca="false">Sens!$D$697-Sens!$D$696</f>
        <v>-54.193</v>
      </c>
      <c r="E698" s="38" t="n">
        <f aca="false">Sens!$E$697-Sens!$E$696</f>
        <v>10.007</v>
      </c>
      <c r="F698" s="38" t="n">
        <f aca="false">Sens!$F$697-Sens!$F$696</f>
        <v>64.7954835379249</v>
      </c>
      <c r="G698" s="38" t="n">
        <f aca="false">Sens!$G$697-Sens!$G$696</f>
        <v>64.7954835379249</v>
      </c>
      <c r="H698" s="38" t="n">
        <f aca="false">Sens!$H$697-Sens!$H$696</f>
        <v>93.068169122488</v>
      </c>
      <c r="I698" s="38" t="n">
        <f aca="false">Sens!$I$697-Sens!$I$696</f>
        <v>59.0128160568993</v>
      </c>
      <c r="J698" s="38" t="n">
        <f aca="false">Sens!$J$697-Sens!$J$696</f>
        <v>-39.178031181029</v>
      </c>
      <c r="K698" s="38" t="n">
        <f aca="false">Sens!$K$697-Sens!$K$696</f>
        <v>-200.881539268473</v>
      </c>
      <c r="L698" s="38" t="n">
        <f aca="false">Sens!$L$697-Sens!$L$696</f>
        <v>-396.367320582994</v>
      </c>
      <c r="M698" s="38" t="n">
        <f aca="false">Sens!$M$697-Sens!$M$696</f>
        <v>-604.709299705183</v>
      </c>
    </row>
    <row r="699" customFormat="false" ht="17.15" hidden="false" customHeight="false" outlineLevel="0" collapsed="false">
      <c r="A699" s="5" t="s">
        <v>755</v>
      </c>
      <c r="B699" s="0" t="s">
        <v>73</v>
      </c>
      <c r="F699" s="38" t="n">
        <f aca="false">debt_q2*kd_book*0.5+iss_2h26*kd_new*0.25</f>
        <v>3.24888964316061</v>
      </c>
      <c r="H699" s="38" t="n">
        <f aca="false">debt_q2*kd_book+(Sens!$G$697-debt_q2)*kd_new</f>
        <v>7.42354178632123</v>
      </c>
      <c r="I699" s="38" t="n">
        <f aca="false">debt_q2*kd_book+(Sens!$H$697-debt_q2)*kd_new</f>
        <v>7.42354178632123</v>
      </c>
      <c r="J699" s="38" t="n">
        <f aca="false">debt_q2*kd_book+(Sens!$I$697-debt_q2)*kd_new</f>
        <v>7.42354178632123</v>
      </c>
      <c r="K699" s="38" t="n">
        <f aca="false">debt_q2*kd_book+(Sens!$J$697-debt_q2)*kd_new</f>
        <v>7.42354178632123</v>
      </c>
      <c r="L699" s="38" t="n">
        <f aca="false">debt_q2*kd_book+(Sens!$K$697-debt_q2)*kd_new</f>
        <v>7.42354178632123</v>
      </c>
      <c r="M699" s="38" t="n">
        <f aca="false">debt_q2*kd_book+(Sens!$L$697-debt_q2)*kd_new</f>
        <v>7.42354178632123</v>
      </c>
    </row>
    <row r="700" customFormat="false" ht="17.15" hidden="false" customHeight="false" outlineLevel="0" collapsed="false">
      <c r="A700" s="5" t="s">
        <v>756</v>
      </c>
      <c r="B700" s="0" t="s">
        <v>73</v>
      </c>
      <c r="F700" s="38" t="n">
        <f aca="false">cash_q2*y_cash*0.5</f>
        <v>2.59</v>
      </c>
      <c r="H700" s="38" t="n">
        <f aca="false">Sens!$G$696*y_cash</f>
        <v>4.10437193281905</v>
      </c>
      <c r="I700" s="38" t="n">
        <f aca="false">Sens!$H$696*y_cash</f>
        <v>2.91358493467259</v>
      </c>
      <c r="J700" s="38" t="n">
        <f aca="false">Sens!$I$696*y_cash</f>
        <v>4.34792591818114</v>
      </c>
      <c r="K700" s="38" t="n">
        <f aca="false">Sens!$J$696*y_cash</f>
        <v>8.48352116887607</v>
      </c>
      <c r="L700" s="38" t="n">
        <f aca="false">Sens!$K$696*y_cash</f>
        <v>15.2941382363376</v>
      </c>
      <c r="M700" s="38" t="n">
        <f aca="false">Sens!$L$696*y_cash</f>
        <v>23.527594729729</v>
      </c>
    </row>
    <row r="701" customFormat="false" ht="17.15" hidden="false" customHeight="false" outlineLevel="0" collapsed="false">
      <c r="A701" s="46" t="s">
        <v>757</v>
      </c>
      <c r="B701" s="13" t="s">
        <v>73</v>
      </c>
      <c r="C701" s="13"/>
      <c r="D701" s="13"/>
      <c r="E701" s="13"/>
      <c r="F701" s="13"/>
      <c r="G701" s="47" t="n">
        <f aca="false">SUM(Sens!$G$690:$K$690)</f>
        <v>206.497539268473</v>
      </c>
      <c r="H701" s="13"/>
      <c r="I701" s="13"/>
      <c r="J701" s="13"/>
      <c r="K701" s="13"/>
      <c r="L701" s="13"/>
      <c r="M701" s="13"/>
      <c r="N701" s="13"/>
      <c r="O701" s="13"/>
    </row>
    <row r="702" customFormat="false" ht="17.15" hidden="false" customHeight="false" outlineLevel="0" collapsed="false">
      <c r="A702" s="0" t="s">
        <v>724</v>
      </c>
      <c r="B702" s="0" t="s">
        <v>73</v>
      </c>
      <c r="G702" s="38" t="n">
        <f aca="false">SUM(Sens!$G$695:$K$695)</f>
        <v>0</v>
      </c>
    </row>
    <row r="705" customFormat="false" ht="19.4" hidden="false" customHeight="false" outlineLevel="0" collapsed="false">
      <c r="A705" s="31" t="s">
        <v>1059</v>
      </c>
    </row>
    <row r="706" customFormat="false" ht="17.15" hidden="false" customHeight="false" outlineLevel="0" collapsed="false">
      <c r="A706" s="6" t="s">
        <v>16</v>
      </c>
      <c r="B706" s="6" t="s">
        <v>17</v>
      </c>
      <c r="C706" s="20" t="s">
        <v>457</v>
      </c>
      <c r="D706" s="20" t="s">
        <v>458</v>
      </c>
      <c r="E706" s="20" t="s">
        <v>540</v>
      </c>
      <c r="F706" s="20" t="s">
        <v>541</v>
      </c>
      <c r="G706" s="20" t="s">
        <v>542</v>
      </c>
      <c r="H706" s="20" t="s">
        <v>543</v>
      </c>
      <c r="I706" s="20" t="s">
        <v>544</v>
      </c>
      <c r="J706" s="20" t="s">
        <v>545</v>
      </c>
      <c r="K706" s="20" t="s">
        <v>546</v>
      </c>
      <c r="L706" s="20" t="s">
        <v>547</v>
      </c>
      <c r="M706" s="20" t="s">
        <v>548</v>
      </c>
      <c r="N706" s="20" t="s">
        <v>549</v>
      </c>
      <c r="O706" s="20" t="s">
        <v>550</v>
      </c>
      <c r="P706" s="6" t="s">
        <v>23</v>
      </c>
      <c r="R706" s="20" t="n">
        <v>2023</v>
      </c>
      <c r="S706" s="20" t="n">
        <v>2024</v>
      </c>
      <c r="T706" s="20" t="n">
        <v>2025</v>
      </c>
      <c r="U706" s="20" t="n">
        <v>2026</v>
      </c>
      <c r="V706" s="20" t="n">
        <v>2027</v>
      </c>
      <c r="W706" s="20" t="n">
        <v>2028</v>
      </c>
      <c r="X706" s="20" t="n">
        <v>2029</v>
      </c>
      <c r="Y706" s="20" t="n">
        <v>2030</v>
      </c>
      <c r="Z706" s="20" t="n">
        <v>2031</v>
      </c>
      <c r="AA706" s="20" t="n">
        <v>2032</v>
      </c>
    </row>
    <row r="707" customFormat="false" ht="17.15" hidden="false" customHeight="false" outlineLevel="0" collapsed="false">
      <c r="A707" s="1" t="s">
        <v>852</v>
      </c>
    </row>
    <row r="708" customFormat="false" ht="17.15" hidden="false" customHeight="false" outlineLevel="0" collapsed="false">
      <c r="A708" s="0" t="s">
        <v>853</v>
      </c>
      <c r="B708" s="0" t="s">
        <v>73</v>
      </c>
      <c r="H708" s="38" t="n">
        <f aca="false">Sens!$H$644*(1-tax)</f>
        <v>129.657816193272</v>
      </c>
      <c r="I708" s="38" t="n">
        <f aca="false">Sens!$I$644*(1-tax)</f>
        <v>168.471371248111</v>
      </c>
      <c r="J708" s="38" t="n">
        <f aca="false">Sens!$J$644*(1-tax)</f>
        <v>205.082960119977</v>
      </c>
      <c r="K708" s="38" t="n">
        <f aca="false">Sens!$K$644*(1-tax)</f>
        <v>238.173835143163</v>
      </c>
      <c r="L708" s="38" t="n">
        <f aca="false">Sens!$L$644*(1-tax)</f>
        <v>272.734225509647</v>
      </c>
      <c r="M708" s="38" t="n">
        <f aca="false">Sens!$M$644*(1-tax)</f>
        <v>307.884200147027</v>
      </c>
    </row>
    <row r="709" customFormat="false" ht="15" hidden="false" customHeight="false" outlineLevel="0" collapsed="false">
      <c r="A709" s="5" t="s">
        <v>854</v>
      </c>
      <c r="B709" s="0" t="s">
        <v>73</v>
      </c>
      <c r="H709" s="38" t="n">
        <f aca="false">Sens!$H$656</f>
        <v>87.6845218193838</v>
      </c>
      <c r="I709" s="38" t="n">
        <f aca="false">Sens!$I$656</f>
        <v>122.294769708638</v>
      </c>
      <c r="J709" s="38" t="n">
        <f aca="false">Sens!$J$656</f>
        <v>157.133962573221</v>
      </c>
      <c r="K709" s="38" t="n">
        <f aca="false">Sens!$K$656</f>
        <v>191.350633353599</v>
      </c>
      <c r="L709" s="38" t="n">
        <f aca="false">Sens!$L$656</f>
        <v>223.909238335354</v>
      </c>
      <c r="M709" s="38" t="n">
        <f aca="false">Sens!$M$656</f>
        <v>257.576319867276</v>
      </c>
    </row>
    <row r="710" customFormat="false" ht="15" hidden="false" customHeight="false" outlineLevel="0" collapsed="false">
      <c r="A710" s="5" t="s">
        <v>855</v>
      </c>
      <c r="B710" s="0" t="s">
        <v>73</v>
      </c>
      <c r="H710" s="38" t="n">
        <f aca="false">Sens!$H$685</f>
        <v>277.870120501355</v>
      </c>
      <c r="I710" s="38" t="n">
        <f aca="false">Sens!$I$685</f>
        <v>293.934464585378</v>
      </c>
      <c r="J710" s="38" t="n">
        <f aca="false">Sens!$J$685</f>
        <v>308.06904811359</v>
      </c>
      <c r="K710" s="38" t="n">
        <f aca="false">Sens!$K$685</f>
        <v>320.385735318248</v>
      </c>
      <c r="L710" s="38" t="n">
        <f aca="false">Sens!$L$685</f>
        <v>364.65641921833</v>
      </c>
      <c r="M710" s="38" t="n">
        <f aca="false">Sens!$M$685</f>
        <v>432.943173024858</v>
      </c>
    </row>
    <row r="711" customFormat="false" ht="15" hidden="false" customHeight="false" outlineLevel="0" collapsed="false">
      <c r="A711" s="5" t="s">
        <v>856</v>
      </c>
      <c r="B711" s="0" t="s">
        <v>73</v>
      </c>
      <c r="H711" s="38" t="n">
        <f aca="false">Sens!$H$686</f>
        <v>1.6</v>
      </c>
      <c r="I711" s="38" t="n">
        <f aca="false">Sens!$I$686</f>
        <v>1.6</v>
      </c>
      <c r="J711" s="38" t="n">
        <f aca="false">Sens!$J$686</f>
        <v>1.6</v>
      </c>
      <c r="K711" s="38" t="n">
        <f aca="false">Sens!$K$686</f>
        <v>1.6</v>
      </c>
      <c r="L711" s="38" t="n">
        <f aca="false">Sens!$L$686</f>
        <v>1.6</v>
      </c>
      <c r="M711" s="38" t="n">
        <f aca="false">Sens!$M$686</f>
        <v>1.6</v>
      </c>
    </row>
    <row r="712" customFormat="false" ht="15" hidden="false" customHeight="false" outlineLevel="0" collapsed="false">
      <c r="A712" s="5" t="s">
        <v>857</v>
      </c>
      <c r="B712" s="0" t="s">
        <v>73</v>
      </c>
      <c r="H712" s="38" t="n">
        <f aca="false">Sens!$H$680</f>
        <v>11.8916803182917</v>
      </c>
      <c r="I712" s="38" t="n">
        <f aca="false">Sens!$I$680</f>
        <v>13.8258562610338</v>
      </c>
      <c r="J712" s="38" t="n">
        <f aca="false">Sens!$J$680</f>
        <v>15.656468447703</v>
      </c>
      <c r="K712" s="38" t="n">
        <f aca="false">Sens!$K$680</f>
        <v>17.3149178913916</v>
      </c>
      <c r="L712" s="38" t="n">
        <f aca="false">Sens!$L$680</f>
        <v>19.0388334755872</v>
      </c>
      <c r="M712" s="38" t="n">
        <f aca="false">Sens!$M$680</f>
        <v>20.8329581595144</v>
      </c>
    </row>
    <row r="713" customFormat="false" ht="17.15" hidden="false" customHeight="false" outlineLevel="0" collapsed="false">
      <c r="A713" s="1" t="s">
        <v>858</v>
      </c>
      <c r="B713" s="8" t="s">
        <v>73</v>
      </c>
      <c r="H713" s="38" t="n">
        <f aca="false">Sens!$H$708+Sens!$H$709-Sens!$H$710-Sens!$H$711+Sens!$H$712</f>
        <v>-50.2361021704075</v>
      </c>
      <c r="I713" s="38" t="n">
        <f aca="false">Sens!$I$708+Sens!$I$709-Sens!$I$710-Sens!$I$711+Sens!$I$712</f>
        <v>9.0575326324045</v>
      </c>
      <c r="J713" s="38" t="n">
        <f aca="false">Sens!$J$708+Sens!$J$709-Sens!$J$710-Sens!$J$711+Sens!$J$712</f>
        <v>68.2043430273106</v>
      </c>
      <c r="K713" s="38" t="n">
        <f aca="false">Sens!$K$708+Sens!$K$709-Sens!$K$710-Sens!$K$711+Sens!$K$712</f>
        <v>124.853651069905</v>
      </c>
      <c r="L713" s="38" t="n">
        <f aca="false">Sens!$L$708+Sens!$L$709-Sens!$L$710-Sens!$L$711+Sens!$L$712</f>
        <v>149.425878102259</v>
      </c>
      <c r="M713" s="38" t="n">
        <f aca="false">Sens!$M$708+Sens!$M$709-Sens!$M$710-Sens!$M$711+Sens!$M$712</f>
        <v>151.750305148959</v>
      </c>
    </row>
    <row r="714" customFormat="false" ht="15" hidden="false" customHeight="false" outlineLevel="0" collapsed="false">
      <c r="A714" s="5" t="s">
        <v>859</v>
      </c>
      <c r="B714" s="0" t="s">
        <v>57</v>
      </c>
      <c r="H714" s="51" t="n">
        <f aca="false">1/(1+wacc)^(2027-2026-0.5)</f>
        <v>0.942858177653364</v>
      </c>
      <c r="I714" s="51" t="n">
        <f aca="false">1/(1+wacc)^(2028-2026-0.5)</f>
        <v>0.838183517758688</v>
      </c>
      <c r="J714" s="51" t="n">
        <f aca="false">1/(1+wacc)^(2029-2026-0.5)</f>
        <v>0.745129677074952</v>
      </c>
      <c r="K714" s="51" t="n">
        <f aca="false">1/(1+wacc)^(2030-2026-0.5)</f>
        <v>0.662406530186232</v>
      </c>
      <c r="L714" s="51" t="n">
        <f aca="false">1/(1+wacc)^(2031-2026-0.5)</f>
        <v>0.588867179409399</v>
      </c>
      <c r="M714" s="51" t="n">
        <f aca="false">1/(1+wacc)^(2032-2026-0.5)</f>
        <v>0.52349205387225</v>
      </c>
    </row>
    <row r="715" customFormat="false" ht="15" hidden="false" customHeight="false" outlineLevel="0" collapsed="false">
      <c r="A715" s="5" t="s">
        <v>860</v>
      </c>
      <c r="B715" s="0" t="s">
        <v>73</v>
      </c>
      <c r="H715" s="38" t="n">
        <f aca="false">Sens!$H$713*Sens!$H$714</f>
        <v>-47.3655197447986</v>
      </c>
      <c r="I715" s="38" t="n">
        <f aca="false">Sens!$I$713*Sens!$I$714</f>
        <v>7.59187456404292</v>
      </c>
      <c r="J715" s="38" t="n">
        <f aca="false">Sens!$J$713*Sens!$J$714</f>
        <v>50.8210800950492</v>
      </c>
      <c r="K715" s="38" t="n">
        <f aca="false">Sens!$K$713*Sens!$K$714</f>
        <v>82.7038737862985</v>
      </c>
      <c r="L715" s="38" t="n">
        <f aca="false">Sens!$L$713*Sens!$L$714</f>
        <v>87.9919953688498</v>
      </c>
      <c r="M715" s="38" t="n">
        <f aca="false">Sens!$M$713*Sens!$M$714</f>
        <v>79.4400789181693</v>
      </c>
    </row>
    <row r="716" customFormat="false" ht="15" hidden="false" customHeight="false" outlineLevel="0" collapsed="false">
      <c r="A716" s="5" t="s">
        <v>861</v>
      </c>
      <c r="B716" s="0" t="s">
        <v>73</v>
      </c>
      <c r="C716" s="38" t="n">
        <f aca="false">SUM(Sens!$H$715:$M$715)</f>
        <v>261.183382987611</v>
      </c>
    </row>
    <row r="717" customFormat="false" ht="17.15" hidden="false" customHeight="false" outlineLevel="0" collapsed="false">
      <c r="A717" s="5" t="s">
        <v>862</v>
      </c>
      <c r="B717" s="0" t="s">
        <v>73</v>
      </c>
      <c r="C717" s="38" t="n">
        <f aca="false">Sens!$M$708*(1+tg)*(1-tg/ronic)/(wacc-tg)</f>
        <v>2539.34778548367</v>
      </c>
    </row>
    <row r="718" customFormat="false" ht="15" hidden="false" customHeight="false" outlineLevel="0" collapsed="false">
      <c r="A718" s="5" t="s">
        <v>863</v>
      </c>
      <c r="B718" s="0" t="s">
        <v>73</v>
      </c>
      <c r="C718" s="38" t="n">
        <f aca="false">Sens!$C$717/(1+wacc)^6</f>
        <v>1253.36814114743</v>
      </c>
    </row>
    <row r="719" customFormat="false" ht="17.15" hidden="false" customHeight="false" outlineLevel="0" collapsed="false">
      <c r="A719" s="5" t="s">
        <v>864</v>
      </c>
      <c r="B719" s="0" t="s">
        <v>73</v>
      </c>
      <c r="C719" s="38" t="n">
        <f aca="false">Sens!$C$716+Sens!$C$718</f>
        <v>1514.55152413504</v>
      </c>
    </row>
    <row r="720" customFormat="false" ht="17.15" hidden="false" customHeight="false" outlineLevel="0" collapsed="false">
      <c r="A720" s="5" t="s">
        <v>865</v>
      </c>
      <c r="B720" s="0" t="s">
        <v>52</v>
      </c>
      <c r="C720" s="12" t="n">
        <f aca="false">Sens!$C$718/Sens!$C$719</f>
        <v>0.827550678319265</v>
      </c>
    </row>
    <row r="721" customFormat="false" ht="17.15" hidden="false" customHeight="false" outlineLevel="0" collapsed="false">
      <c r="A721" s="5" t="s">
        <v>866</v>
      </c>
      <c r="B721" s="0" t="s">
        <v>73</v>
      </c>
      <c r="C721" s="38" t="n">
        <f aca="false">Sens!$G$698</f>
        <v>64.7954835379249</v>
      </c>
    </row>
    <row r="722" customFormat="false" ht="17.15" hidden="false" customHeight="false" outlineLevel="0" collapsed="false">
      <c r="A722" s="5" t="s">
        <v>867</v>
      </c>
      <c r="B722" s="0" t="s">
        <v>73</v>
      </c>
      <c r="C722" s="38" t="n">
        <f aca="false">(ant_val*ant_sh+oai_val*oai_sh)*(1-liq_disc)</f>
        <v>178.944</v>
      </c>
    </row>
    <row r="723" customFormat="false" ht="15" hidden="false" customHeight="false" outlineLevel="0" collapsed="false">
      <c r="A723" s="5" t="s">
        <v>868</v>
      </c>
      <c r="B723" s="0" t="s">
        <v>73</v>
      </c>
      <c r="C723" s="38" t="n">
        <f aca="false">Sens!$C$719-Sens!$C$721+Sens!$C$722</f>
        <v>1628.70004059712</v>
      </c>
    </row>
    <row r="724" customFormat="false" ht="17.15" hidden="false" customHeight="false" outlineLevel="0" collapsed="false">
      <c r="A724" s="5" t="s">
        <v>869</v>
      </c>
      <c r="B724" s="0" t="s">
        <v>27</v>
      </c>
      <c r="C724" s="30" t="n">
        <f aca="false">Sens!$C$723/sh_val</f>
        <v>147.656724966952</v>
      </c>
    </row>
    <row r="725" customFormat="false" ht="17.15" hidden="false" customHeight="false" outlineLevel="0" collapsed="false">
      <c r="A725" s="1" t="s">
        <v>870</v>
      </c>
      <c r="B725" s="8" t="s">
        <v>27</v>
      </c>
      <c r="C725" s="30" t="n">
        <f aca="false">Sens!$C$724*(1+ke)^tp_yf</f>
        <v>163.078719855935</v>
      </c>
    </row>
    <row r="726" customFormat="false" ht="17.15" hidden="false" customHeight="false" outlineLevel="0" collapsed="false">
      <c r="A726" s="3" t="s">
        <v>871</v>
      </c>
    </row>
    <row r="727" customFormat="false" ht="17.15" hidden="false" customHeight="false" outlineLevel="0" collapsed="false">
      <c r="A727" s="5" t="s">
        <v>872</v>
      </c>
      <c r="B727" s="0" t="s">
        <v>73</v>
      </c>
      <c r="C727" s="38" t="n">
        <f aca="false">0.25*Sens!$H$657+0.75*Sens!$I$657</f>
        <v>57.5541093268329</v>
      </c>
    </row>
    <row r="728" customFormat="false" ht="15" hidden="false" customHeight="false" outlineLevel="0" collapsed="false">
      <c r="A728" s="5" t="s">
        <v>873</v>
      </c>
      <c r="B728" s="0" t="s">
        <v>57</v>
      </c>
      <c r="C728" s="30" t="n">
        <f aca="false">m_ads*m_x</f>
        <v>9.11</v>
      </c>
    </row>
    <row r="729" customFormat="false" ht="17.15" hidden="false" customHeight="false" outlineLevel="0" collapsed="false">
      <c r="A729" s="5" t="s">
        <v>874</v>
      </c>
      <c r="B729" s="0" t="s">
        <v>73</v>
      </c>
      <c r="C729" s="38" t="n">
        <f aca="false">Sens!$C$727*Sens!$C$728</f>
        <v>524.317935967448</v>
      </c>
    </row>
    <row r="730" customFormat="false" ht="17.15" hidden="false" customHeight="false" outlineLevel="0" collapsed="false">
      <c r="A730" s="5" t="s">
        <v>875</v>
      </c>
      <c r="B730" s="0" t="s">
        <v>73</v>
      </c>
      <c r="C730" s="38" t="n">
        <f aca="false">0.25*Sens!$H$658+0.75*Sens!$I$658</f>
        <v>30.6290803533085</v>
      </c>
    </row>
    <row r="731" customFormat="false" ht="15" hidden="false" customHeight="false" outlineLevel="0" collapsed="false">
      <c r="A731" s="5" t="s">
        <v>876</v>
      </c>
      <c r="B731" s="0" t="s">
        <v>57</v>
      </c>
      <c r="C731" s="30" t="n">
        <f aca="false">m_retail*m_x</f>
        <v>17.72</v>
      </c>
    </row>
    <row r="732" customFormat="false" ht="17.15" hidden="false" customHeight="false" outlineLevel="0" collapsed="false">
      <c r="A732" s="5" t="s">
        <v>877</v>
      </c>
      <c r="B732" s="0" t="s">
        <v>73</v>
      </c>
      <c r="C732" s="38" t="n">
        <f aca="false">Sens!$C$730*Sens!$C$731</f>
        <v>542.747303860627</v>
      </c>
    </row>
    <row r="733" customFormat="false" ht="17.15" hidden="false" customHeight="false" outlineLevel="0" collapsed="false">
      <c r="A733" s="0" t="s">
        <v>878</v>
      </c>
      <c r="B733" s="0" t="s">
        <v>73</v>
      </c>
      <c r="C733" s="38" t="n">
        <f aca="false">0.25*Sens!$H$659+0.75*Sens!$I$659</f>
        <v>107.575398943098</v>
      </c>
    </row>
    <row r="734" customFormat="false" ht="17.15" hidden="false" customHeight="false" outlineLevel="0" collapsed="false">
      <c r="A734" s="0" t="s">
        <v>879</v>
      </c>
      <c r="B734" s="0" t="s">
        <v>57</v>
      </c>
      <c r="C734" s="30" t="n">
        <f aca="false">m_cloud*m_x</f>
        <v>13.82</v>
      </c>
    </row>
    <row r="735" customFormat="false" ht="17.15" hidden="false" customHeight="false" outlineLevel="0" collapsed="false">
      <c r="A735" s="0" t="s">
        <v>880</v>
      </c>
      <c r="B735" s="0" t="s">
        <v>73</v>
      </c>
      <c r="C735" s="38" t="n">
        <f aca="false">Sens!$C$733*Sens!$C$734</f>
        <v>1486.69201339361</v>
      </c>
    </row>
    <row r="736" customFormat="false" ht="17.15" hidden="false" customHeight="false" outlineLevel="0" collapsed="false">
      <c r="A736" s="0" t="s">
        <v>881</v>
      </c>
      <c r="B736" s="0" t="s">
        <v>73</v>
      </c>
      <c r="C736" s="38" t="n">
        <f aca="false">0.25*Sens!$H$660+0.75*Sens!$I$660</f>
        <v>110.000039483635</v>
      </c>
    </row>
    <row r="737" customFormat="false" ht="17.15" hidden="false" customHeight="false" outlineLevel="0" collapsed="false">
      <c r="A737" s="0" t="s">
        <v>882</v>
      </c>
      <c r="B737" s="0" t="s">
        <v>57</v>
      </c>
      <c r="C737" s="30" t="n">
        <f aca="false">m_ai</f>
        <v>6</v>
      </c>
    </row>
    <row r="738" customFormat="false" ht="17.15" hidden="false" customHeight="false" outlineLevel="0" collapsed="false">
      <c r="A738" s="0" t="s">
        <v>883</v>
      </c>
      <c r="B738" s="0" t="s">
        <v>73</v>
      </c>
      <c r="C738" s="38" t="n">
        <f aca="false">Sens!$C$736*Sens!$C$737</f>
        <v>660.000236901807</v>
      </c>
    </row>
    <row r="739" customFormat="false" ht="17.15" hidden="false" customHeight="false" outlineLevel="0" collapsed="false">
      <c r="A739" s="5" t="s">
        <v>884</v>
      </c>
      <c r="B739" s="0" t="s">
        <v>73</v>
      </c>
      <c r="C739" s="38" t="n">
        <f aca="false">Sens!$C$729+Sens!$C$732+Sens!$C$735+Sens!$C$738</f>
        <v>3213.75749012349</v>
      </c>
    </row>
    <row r="740" customFormat="false" ht="17.15" hidden="false" customHeight="false" outlineLevel="0" collapsed="false">
      <c r="A740" s="5" t="s">
        <v>885</v>
      </c>
      <c r="B740" s="0" t="s">
        <v>73</v>
      </c>
      <c r="C740" s="38" t="n">
        <f aca="false">Sens!$H$698</f>
        <v>93.068169122488</v>
      </c>
    </row>
    <row r="741" customFormat="false" ht="15" hidden="false" customHeight="false" outlineLevel="0" collapsed="false">
      <c r="A741" s="5" t="s">
        <v>886</v>
      </c>
      <c r="B741" s="0" t="s">
        <v>73</v>
      </c>
      <c r="C741" s="38" t="n">
        <f aca="false">Sens!$C$739-Sens!$C$740+Sens!$C$722</f>
        <v>3299.633321001</v>
      </c>
    </row>
    <row r="742" customFormat="false" ht="15" hidden="false" customHeight="false" outlineLevel="0" collapsed="false">
      <c r="A742" s="3" t="s">
        <v>887</v>
      </c>
      <c r="B742" s="8" t="s">
        <v>27</v>
      </c>
      <c r="C742" s="30" t="n">
        <f aca="false">Sens!$C$741/sh_val</f>
        <v>299.142283800897</v>
      </c>
    </row>
    <row r="743" customFormat="false" ht="17.15" hidden="false" customHeight="false" outlineLevel="0" collapsed="false">
      <c r="A743" s="46" t="s">
        <v>888</v>
      </c>
      <c r="B743" s="13" t="s">
        <v>27</v>
      </c>
      <c r="C743" s="43" t="n">
        <f aca="false">w_dcf*Sens!$C$725+(1-w_dcf)*Sens!$C$742</f>
        <v>231.110501828416</v>
      </c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</row>
    <row r="744" customFormat="false" ht="17.15" hidden="false" customHeight="false" outlineLevel="0" collapsed="false">
      <c r="A744" s="5" t="s">
        <v>889</v>
      </c>
      <c r="B744" s="0" t="s">
        <v>27</v>
      </c>
      <c r="C744" s="30" t="n">
        <f aca="false">0.45*Sens!$C$725+0.55*Sens!$C$742</f>
        <v>237.913680025664</v>
      </c>
    </row>
    <row r="747" customFormat="false" ht="19.4" hidden="false" customHeight="false" outlineLevel="0" collapsed="false">
      <c r="A747" s="31" t="s">
        <v>1060</v>
      </c>
    </row>
    <row r="748" customFormat="false" ht="17.15" hidden="false" customHeight="false" outlineLevel="0" collapsed="false">
      <c r="A748" s="6" t="s">
        <v>16</v>
      </c>
      <c r="B748" s="6" t="s">
        <v>17</v>
      </c>
      <c r="C748" s="20" t="s">
        <v>457</v>
      </c>
      <c r="D748" s="20" t="s">
        <v>458</v>
      </c>
      <c r="E748" s="20" t="s">
        <v>540</v>
      </c>
      <c r="F748" s="20" t="s">
        <v>541</v>
      </c>
      <c r="G748" s="20" t="s">
        <v>542</v>
      </c>
      <c r="H748" s="20" t="s">
        <v>543</v>
      </c>
      <c r="I748" s="20" t="s">
        <v>544</v>
      </c>
      <c r="J748" s="20" t="s">
        <v>545</v>
      </c>
      <c r="K748" s="20" t="s">
        <v>546</v>
      </c>
      <c r="L748" s="20" t="s">
        <v>547</v>
      </c>
      <c r="M748" s="20" t="s">
        <v>548</v>
      </c>
      <c r="N748" s="20" t="s">
        <v>549</v>
      </c>
      <c r="O748" s="20" t="s">
        <v>550</v>
      </c>
      <c r="P748" s="6" t="s">
        <v>23</v>
      </c>
      <c r="R748" s="20" t="n">
        <v>2023</v>
      </c>
      <c r="S748" s="20" t="n">
        <v>2024</v>
      </c>
      <c r="T748" s="20" t="n">
        <v>2025</v>
      </c>
      <c r="U748" s="20" t="n">
        <v>2026</v>
      </c>
      <c r="V748" s="20" t="n">
        <v>2027</v>
      </c>
      <c r="W748" s="20" t="n">
        <v>2028</v>
      </c>
      <c r="X748" s="20" t="n">
        <v>2029</v>
      </c>
      <c r="Y748" s="20" t="n">
        <v>2030</v>
      </c>
      <c r="Z748" s="20" t="n">
        <v>2031</v>
      </c>
      <c r="AA748" s="20" t="n">
        <v>2032</v>
      </c>
    </row>
    <row r="749" customFormat="false" ht="17.15" hidden="false" customHeight="false" outlineLevel="0" collapsed="false">
      <c r="A749" s="1" t="s">
        <v>621</v>
      </c>
    </row>
    <row r="750" customFormat="false" ht="17.15" hidden="false" customHeight="false" outlineLevel="0" collapsed="false">
      <c r="A750" s="0" t="s">
        <v>479</v>
      </c>
      <c r="B750" s="0" t="s">
        <v>73</v>
      </c>
      <c r="C750" s="38" t="n">
        <f aca="false">Q!$D$10</f>
        <v>247.029</v>
      </c>
      <c r="D750" s="38" t="n">
        <f aca="false">Q!$E$10</f>
        <v>269.287</v>
      </c>
      <c r="E750" s="38" t="n">
        <f aca="false">Q!$P$10</f>
        <v>134.686</v>
      </c>
      <c r="F750" s="38" t="n">
        <f aca="false">Sens!$O$750*(1+Sens!$F$751)-pd_amt*Q!$O$10/(Q!$O$10+Q!$O$12)</f>
        <v>160.728085930082</v>
      </c>
      <c r="G750" s="38" t="n">
        <f aca="false">Sens!$E$750+Sens!$F$750</f>
        <v>295.414085930082</v>
      </c>
      <c r="H750" s="38" t="n">
        <f aca="false">Sens!$G$750*(1+Sens!$H$751)</f>
        <v>320.828163943375</v>
      </c>
      <c r="I750" s="38" t="n">
        <f aca="false">Sens!$H$750*(1+Sens!$I$751)</f>
        <v>344.575578072228</v>
      </c>
      <c r="J750" s="38" t="n">
        <f aca="false">Sens!$I$750*(1+Sens!$J$751)</f>
        <v>365.942555779681</v>
      </c>
      <c r="K750" s="38" t="n">
        <f aca="false">Sens!$J$750*(1+Sens!$K$751)</f>
        <v>384.239683568665</v>
      </c>
      <c r="L750" s="38" t="n">
        <f aca="false">Sens!$K$750*(1+Sens!$L$751)</f>
        <v>403.451667747098</v>
      </c>
      <c r="M750" s="38" t="n">
        <f aca="false">Sens!$L$750*(1+Sens!$M$751)</f>
        <v>423.624251134453</v>
      </c>
      <c r="N750" s="38" t="n">
        <f aca="false">Q!$N$10</f>
        <v>118.892</v>
      </c>
      <c r="O750" s="38" t="n">
        <f aca="false">Q!$O$10</f>
        <v>150.395</v>
      </c>
      <c r="P750" s="8" t="s">
        <v>622</v>
      </c>
    </row>
    <row r="751" customFormat="false" ht="17.15" hidden="false" customHeight="false" outlineLevel="0" collapsed="false">
      <c r="A751" s="0" t="s">
        <v>623</v>
      </c>
      <c r="B751" s="0" t="s">
        <v>52</v>
      </c>
      <c r="E751" s="12" t="n">
        <f aca="false">Sens!$E$750/Sens!$N$750-1</f>
        <v>0.132843252699929</v>
      </c>
      <c r="F751" s="12" t="n">
        <f aca="false">Sens!$O$750/(Q!$F$10+Q!$G$10)-1</f>
        <v>0.0980382135842941</v>
      </c>
      <c r="G751" s="12" t="n">
        <f aca="false">Sens!$G$750/Sens!$D$750-1</f>
        <v>0.0970231980380869</v>
      </c>
      <c r="H751" s="12" t="n">
        <f aca="false">Sens!$F$751+(g_os-Sens!$F$751)*1/4</f>
        <v>0.0860286601882206</v>
      </c>
      <c r="I751" s="12" t="n">
        <f aca="false">Sens!$F$751+(g_os-Sens!$F$751)*2/4</f>
        <v>0.074019106792147</v>
      </c>
      <c r="J751" s="12" t="n">
        <f aca="false">Sens!$F$751+(g_os-Sens!$F$751)*3/4</f>
        <v>0.0620095533960735</v>
      </c>
      <c r="K751" s="12" t="n">
        <f aca="false">Sens!$F$751+(g_os-Sens!$F$751)*4/4</f>
        <v>0.05</v>
      </c>
      <c r="L751" s="12" t="n">
        <f aca="false">g_os</f>
        <v>0.05</v>
      </c>
      <c r="M751" s="12" t="n">
        <f aca="false">g_os</f>
        <v>0.05</v>
      </c>
      <c r="P751" s="8" t="s">
        <v>624</v>
      </c>
    </row>
    <row r="752" customFormat="false" ht="17.15" hidden="false" customHeight="false" outlineLevel="0" collapsed="false">
      <c r="A752" s="0" t="s">
        <v>480</v>
      </c>
      <c r="B752" s="0" t="s">
        <v>73</v>
      </c>
      <c r="C752" s="38" t="n">
        <f aca="false">Q!$D$11</f>
        <v>21.215</v>
      </c>
      <c r="D752" s="38" t="n">
        <f aca="false">Q!$E$11</f>
        <v>22.561</v>
      </c>
      <c r="E752" s="38" t="n">
        <f aca="false">Q!$P$11</f>
        <v>11.579</v>
      </c>
      <c r="F752" s="38" t="n">
        <f aca="false">Sens!$O$752*(1+Sens!$F$753)</f>
        <v>12.0952613121125</v>
      </c>
      <c r="G752" s="38" t="n">
        <f aca="false">Sens!$E$752+Sens!$F$752</f>
        <v>23.6742613121125</v>
      </c>
      <c r="H752" s="38" t="n">
        <f aca="false">Sens!$G$752*(1+Sens!$H$753)</f>
        <v>24.8803243963206</v>
      </c>
      <c r="I752" s="38" t="n">
        <f aca="false">Sens!$H$752*(1+Sens!$I$753)</f>
        <v>25.9741308664154</v>
      </c>
      <c r="J752" s="38" t="n">
        <f aca="false">Sens!$I$752*(1+Sens!$J$753)</f>
        <v>26.9346894124267</v>
      </c>
      <c r="K752" s="38" t="n">
        <f aca="false">Sens!$J$752*(1+Sens!$K$753)</f>
        <v>27.7427300947995</v>
      </c>
      <c r="L752" s="38" t="n">
        <f aca="false">Sens!$K$752*(1+Sens!$L$753)</f>
        <v>28.5750119976435</v>
      </c>
      <c r="M752" s="38" t="n">
        <f aca="false">Sens!$L$752*(1+Sens!$M$753)</f>
        <v>29.4322623575728</v>
      </c>
      <c r="N752" s="38" t="n">
        <f aca="false">Q!$N$11</f>
        <v>11.128</v>
      </c>
      <c r="O752" s="38" t="n">
        <f aca="false">Q!$O$11</f>
        <v>11.433</v>
      </c>
      <c r="P752" s="8" t="s">
        <v>622</v>
      </c>
    </row>
    <row r="753" customFormat="false" ht="17.15" hidden="false" customHeight="false" outlineLevel="0" collapsed="false">
      <c r="A753" s="0" t="s">
        <v>625</v>
      </c>
      <c r="B753" s="0" t="s">
        <v>52</v>
      </c>
      <c r="E753" s="12" t="n">
        <f aca="false">Sens!$E$752/Sens!$N$752-1</f>
        <v>0.0405283968368082</v>
      </c>
      <c r="F753" s="12" t="n">
        <f aca="false">Sens!$O$752/(Q!$F$11+Q!$G$11)-1</f>
        <v>0.0579254187100955</v>
      </c>
      <c r="G753" s="12" t="n">
        <f aca="false">Sens!$G$752/Sens!$D$752-1</f>
        <v>0.0493445021103904</v>
      </c>
      <c r="H753" s="12" t="n">
        <f aca="false">Sens!$F$753+(g_ps-Sens!$F$753)*1/4</f>
        <v>0.0509440640325716</v>
      </c>
      <c r="I753" s="12" t="n">
        <f aca="false">Sens!$F$753+(g_ps-Sens!$F$753)*2/4</f>
        <v>0.0439627093550477</v>
      </c>
      <c r="J753" s="12" t="n">
        <f aca="false">Sens!$F$753+(g_ps-Sens!$F$753)*3/4</f>
        <v>0.0369813546775239</v>
      </c>
      <c r="K753" s="12" t="n">
        <f aca="false">Sens!$F$753+(g_ps-Sens!$F$753)*4/4</f>
        <v>0.03</v>
      </c>
      <c r="L753" s="12" t="n">
        <f aca="false">g_ps</f>
        <v>0.03</v>
      </c>
      <c r="M753" s="12" t="n">
        <f aca="false">g_ps</f>
        <v>0.03</v>
      </c>
      <c r="P753" s="8" t="s">
        <v>626</v>
      </c>
    </row>
    <row r="754" customFormat="false" ht="17.15" hidden="false" customHeight="false" outlineLevel="0" collapsed="false">
      <c r="A754" s="0" t="s">
        <v>481</v>
      </c>
      <c r="B754" s="0" t="s">
        <v>73</v>
      </c>
      <c r="C754" s="38" t="n">
        <f aca="false">Q!$D$12</f>
        <v>156.146</v>
      </c>
      <c r="D754" s="38" t="n">
        <f aca="false">Q!$E$12</f>
        <v>172.162</v>
      </c>
      <c r="E754" s="38" t="n">
        <f aca="false">Q!$P$12</f>
        <v>88.358</v>
      </c>
      <c r="F754" s="38" t="n">
        <f aca="false">Sens!$O$754*(1+Sens!$F$755)-pd_amt*Q!$O$12/(Q!$O$10+Q!$O$12)</f>
        <v>103.62028337149</v>
      </c>
      <c r="G754" s="38" t="n">
        <f aca="false">Sens!$E$754+Sens!$F$754</f>
        <v>191.97828337149</v>
      </c>
      <c r="H754" s="38" t="n">
        <f aca="false">Sens!$G$754*(1+Sens!$H$755)</f>
        <v>212.128608444755</v>
      </c>
      <c r="I754" s="38" t="n">
        <f aca="false">Sens!$H$754*(1+Sens!$I$755)</f>
        <v>231.92183134134</v>
      </c>
      <c r="J754" s="38" t="n">
        <f aca="false">Sens!$I$754*(1+Sens!$J$755)</f>
        <v>250.859136487863</v>
      </c>
      <c r="K754" s="38" t="n">
        <f aca="false">Sens!$J$754*(1+Sens!$K$755)</f>
        <v>268.419276042014</v>
      </c>
      <c r="L754" s="38" t="n">
        <f aca="false">Sens!$K$754*(1+Sens!$L$755)</f>
        <v>287.208625364954</v>
      </c>
      <c r="M754" s="38" t="n">
        <f aca="false">Sens!$L$754*(1+Sens!$M$755)</f>
        <v>307.313229140501</v>
      </c>
      <c r="N754" s="38" t="n">
        <f aca="false">Q!$N$12</f>
        <v>76.86</v>
      </c>
      <c r="O754" s="38" t="n">
        <f aca="false">Q!$O$12</f>
        <v>95.302</v>
      </c>
      <c r="P754" s="8" t="s">
        <v>622</v>
      </c>
    </row>
    <row r="755" customFormat="false" ht="17.15" hidden="false" customHeight="false" outlineLevel="0" collapsed="false">
      <c r="A755" s="0" t="s">
        <v>627</v>
      </c>
      <c r="B755" s="0" t="s">
        <v>52</v>
      </c>
      <c r="E755" s="12" t="n">
        <f aca="false">Sens!$E$754/Sens!$N$754-1</f>
        <v>0.1495966692688</v>
      </c>
      <c r="F755" s="12" t="n">
        <f aca="false">Sens!$O$754/(Q!$F$12+Q!$G$12)-1</f>
        <v>0.11661530890813</v>
      </c>
      <c r="G755" s="12" t="n">
        <f aca="false">Sens!$G$754/Sens!$D$754-1</f>
        <v>0.115102539303041</v>
      </c>
      <c r="H755" s="12" t="n">
        <f aca="false">Sens!$F$755+(g_sp-Sens!$F$755)*1/4</f>
        <v>0.104961481681098</v>
      </c>
      <c r="I755" s="12" t="n">
        <f aca="false">Sens!$F$755+(g_sp-Sens!$F$755)*2/4</f>
        <v>0.0933076544540651</v>
      </c>
      <c r="J755" s="12" t="n">
        <f aca="false">Sens!$F$755+(g_sp-Sens!$F$755)*3/4</f>
        <v>0.0816538272270325</v>
      </c>
      <c r="K755" s="12" t="n">
        <f aca="false">Sens!$F$755+(g_sp-Sens!$F$755)*4/4</f>
        <v>0.07</v>
      </c>
      <c r="L755" s="12" t="n">
        <f aca="false">g_sp</f>
        <v>0.07</v>
      </c>
      <c r="M755" s="12" t="n">
        <f aca="false">g_sp</f>
        <v>0.07</v>
      </c>
      <c r="P755" s="8" t="s">
        <v>628</v>
      </c>
    </row>
    <row r="756" customFormat="false" ht="17.15" hidden="false" customHeight="false" outlineLevel="0" collapsed="false">
      <c r="A756" s="0" t="s">
        <v>482</v>
      </c>
      <c r="B756" s="0" t="s">
        <v>73</v>
      </c>
      <c r="C756" s="38" t="n">
        <f aca="false">Q!$D$13</f>
        <v>56.214</v>
      </c>
      <c r="D756" s="38" t="n">
        <f aca="false">Q!$E$13</f>
        <v>68.635</v>
      </c>
      <c r="E756" s="38" t="n">
        <f aca="false">Q!$P$13</f>
        <v>37.052</v>
      </c>
      <c r="F756" s="38" t="n">
        <f aca="false">Sens!$O$756*(1+Sens!$F$757)</f>
        <v>48.1533381827382</v>
      </c>
      <c r="G756" s="38" t="n">
        <f aca="false">Sens!$E$756+Sens!$F$756</f>
        <v>85.2053381827382</v>
      </c>
      <c r="H756" s="38" t="n">
        <f aca="false">Sens!$G$756*(1+Sens!$H$757)</f>
        <v>102.29336185894</v>
      </c>
      <c r="I756" s="38" t="n">
        <f aca="false">Sens!$H$756*(1+Sens!$I$757)</f>
        <v>119.379837585241</v>
      </c>
      <c r="J756" s="38" t="n">
        <f aca="false">Sens!$I$756*(1+Sens!$J$757)</f>
        <v>135.319079048844</v>
      </c>
      <c r="K756" s="38" t="n">
        <f aca="false">Sens!$J$756*(1+Sens!$K$757)</f>
        <v>148.850986953729</v>
      </c>
      <c r="L756" s="38" t="n">
        <f aca="false">Sens!$K$756*(1+Sens!$L$757)</f>
        <v>163.736085649102</v>
      </c>
      <c r="M756" s="38" t="n">
        <f aca="false">Sens!$L$756*(1+Sens!$M$757)</f>
        <v>180.109694214012</v>
      </c>
      <c r="N756" s="38" t="n">
        <f aca="false">Q!$N$13</f>
        <v>29.615</v>
      </c>
      <c r="O756" s="38" t="n">
        <f aca="false">Q!$O$13</f>
        <v>39.02</v>
      </c>
      <c r="P756" s="8" t="s">
        <v>622</v>
      </c>
    </row>
    <row r="757" customFormat="false" ht="17.15" hidden="false" customHeight="false" outlineLevel="0" collapsed="false">
      <c r="A757" s="0" t="s">
        <v>629</v>
      </c>
      <c r="B757" s="0" t="s">
        <v>52</v>
      </c>
      <c r="E757" s="12" t="n">
        <f aca="false">Sens!$E$756/Sens!$N$756-1</f>
        <v>0.25112274185379</v>
      </c>
      <c r="F757" s="12" t="n">
        <f aca="false">Sens!$O$756/(Q!$F$13+Q!$G$13)-1</f>
        <v>0.234068123596572</v>
      </c>
      <c r="G757" s="12" t="n">
        <f aca="false">Sens!$G$756/Sens!$D$756-1</f>
        <v>0.241426942270536</v>
      </c>
      <c r="H757" s="12" t="n">
        <f aca="false">Sens!$F$757+(g_ad-Sens!$F$757)*1/4</f>
        <v>0.200551092697429</v>
      </c>
      <c r="I757" s="12" t="n">
        <f aca="false">Sens!$F$757+(g_ad-Sens!$F$757)*2/4</f>
        <v>0.167034061798286</v>
      </c>
      <c r="J757" s="12" t="n">
        <f aca="false">Sens!$F$757+(g_ad-Sens!$F$757)*3/4</f>
        <v>0.133517030899143</v>
      </c>
      <c r="K757" s="12" t="n">
        <f aca="false">Sens!$F$757+(g_ad-Sens!$F$757)*4/4</f>
        <v>0.1</v>
      </c>
      <c r="L757" s="12" t="n">
        <f aca="false">g_ad</f>
        <v>0.1</v>
      </c>
      <c r="M757" s="12" t="n">
        <f aca="false">g_ad</f>
        <v>0.1</v>
      </c>
      <c r="P757" s="8" t="s">
        <v>630</v>
      </c>
    </row>
    <row r="758" customFormat="false" ht="17.15" hidden="false" customHeight="false" outlineLevel="0" collapsed="false">
      <c r="A758" s="0" t="s">
        <v>483</v>
      </c>
      <c r="B758" s="0" t="s">
        <v>73</v>
      </c>
      <c r="C758" s="38" t="n">
        <f aca="false">Q!$D$14</f>
        <v>44.374</v>
      </c>
      <c r="D758" s="38" t="n">
        <f aca="false">Q!$E$14</f>
        <v>49.619</v>
      </c>
      <c r="E758" s="38" t="n">
        <f aca="false">Q!$P$14</f>
        <v>27.157</v>
      </c>
      <c r="F758" s="38" t="n">
        <f aca="false">Sens!$O$758*(1+Sens!$F$759)</f>
        <v>28.9776360923374</v>
      </c>
      <c r="G758" s="38" t="n">
        <f aca="false">Sens!$E$758+Sens!$F$758</f>
        <v>56.1346360923374</v>
      </c>
      <c r="H758" s="38" t="n">
        <f aca="false">Sens!$G$758*(1+Sens!$H$759)</f>
        <v>62.4937078946075</v>
      </c>
      <c r="I758" s="38" t="n">
        <f aca="false">Sens!$H$758*(1+Sens!$I$759)</f>
        <v>68.6715233062498</v>
      </c>
      <c r="J758" s="38" t="n">
        <f aca="false">Sens!$I$758*(1+Sens!$J$759)</f>
        <v>74.4692882949818</v>
      </c>
      <c r="K758" s="38" t="n">
        <f aca="false">Sens!$J$758*(1+Sens!$K$759)</f>
        <v>79.6821384756306</v>
      </c>
      <c r="L758" s="38" t="n">
        <f aca="false">Sens!$K$758*(1+Sens!$L$759)</f>
        <v>85.2598881689247</v>
      </c>
      <c r="M758" s="38" t="n">
        <f aca="false">Sens!$L$758*(1+Sens!$M$759)</f>
        <v>91.2280803407494</v>
      </c>
      <c r="N758" s="38" t="n">
        <f aca="false">Q!$N$14</f>
        <v>23.923</v>
      </c>
      <c r="O758" s="38" t="n">
        <f aca="false">Q!$O$14</f>
        <v>25.696</v>
      </c>
      <c r="P758" s="8" t="s">
        <v>622</v>
      </c>
    </row>
    <row r="759" customFormat="false" ht="17.15" hidden="false" customHeight="false" outlineLevel="0" collapsed="false">
      <c r="A759" s="0" t="s">
        <v>631</v>
      </c>
      <c r="B759" s="0" t="s">
        <v>52</v>
      </c>
      <c r="E759" s="12" t="n">
        <f aca="false">Sens!$E$758/Sens!$N$758-1</f>
        <v>0.135183714417088</v>
      </c>
      <c r="F759" s="12" t="n">
        <f aca="false">Sens!$O$758/(Q!$F$14+Q!$G$14)-1</f>
        <v>0.127709997366804</v>
      </c>
      <c r="G759" s="12" t="n">
        <f aca="false">Sens!$G$758/Sens!$D$758-1</f>
        <v>0.131313329416905</v>
      </c>
      <c r="H759" s="12" t="n">
        <f aca="false">Sens!$F$759+(g_sub-Sens!$F$759)*1/4</f>
        <v>0.113282498025103</v>
      </c>
      <c r="I759" s="12" t="n">
        <f aca="false">Sens!$F$759+(g_sub-Sens!$F$759)*2/4</f>
        <v>0.0988549986834021</v>
      </c>
      <c r="J759" s="12" t="n">
        <f aca="false">Sens!$F$759+(g_sub-Sens!$F$759)*3/4</f>
        <v>0.084427499341701</v>
      </c>
      <c r="K759" s="12" t="n">
        <f aca="false">Sens!$F$759+(g_sub-Sens!$F$759)*4/4</f>
        <v>0.07</v>
      </c>
      <c r="L759" s="12" t="n">
        <f aca="false">g_sub</f>
        <v>0.07</v>
      </c>
      <c r="M759" s="12" t="n">
        <f aca="false">g_sub</f>
        <v>0.07</v>
      </c>
      <c r="P759" s="8" t="s">
        <v>632</v>
      </c>
    </row>
    <row r="760" customFormat="false" ht="17.15" hidden="false" customHeight="false" outlineLevel="0" collapsed="false">
      <c r="A760" s="0" t="s">
        <v>484</v>
      </c>
      <c r="B760" s="0" t="s">
        <v>73</v>
      </c>
      <c r="C760" s="38" t="n">
        <f aca="false">Q!$D$15</f>
        <v>5.425</v>
      </c>
      <c r="D760" s="38" t="n">
        <f aca="false">Q!$E$15</f>
        <v>5.935</v>
      </c>
      <c r="E760" s="38" t="n">
        <f aca="false">Q!$P$15</f>
        <v>3.474</v>
      </c>
      <c r="F760" s="38" t="n">
        <f aca="false">Sens!$O$760*(1+Sens!$F$761)</f>
        <v>3.36182431966931</v>
      </c>
      <c r="G760" s="38" t="n">
        <f aca="false">Sens!$E$760+Sens!$F$760</f>
        <v>6.83582431966931</v>
      </c>
      <c r="H760" s="38" t="n">
        <f aca="false">Sens!$G$760*(1+Sens!$H$761)</f>
        <v>7.31157108370141</v>
      </c>
      <c r="I760" s="38" t="n">
        <f aca="false">Sens!$H$760*(1+Sens!$I$761)</f>
        <v>7.77266852639815</v>
      </c>
      <c r="J760" s="38" t="n">
        <f aca="false">Sens!$I$760*(1+Sens!$J$761)</f>
        <v>8.2120733019884</v>
      </c>
      <c r="K760" s="38" t="n">
        <f aca="false">Sens!$J$760*(1+Sens!$K$761)</f>
        <v>8.62267696708783</v>
      </c>
      <c r="L760" s="38" t="n">
        <f aca="false">Sens!$K$760*(1+Sens!$L$761)</f>
        <v>9.05381081544222</v>
      </c>
      <c r="M760" s="38" t="n">
        <f aca="false">Sens!$L$760*(1+Sens!$M$761)</f>
        <v>9.50650135621433</v>
      </c>
      <c r="N760" s="38" t="n">
        <f aca="false">Q!$N$15</f>
        <v>2.811</v>
      </c>
      <c r="O760" s="38" t="n">
        <f aca="false">Q!$O$15</f>
        <v>3.124</v>
      </c>
      <c r="P760" s="8" t="s">
        <v>622</v>
      </c>
    </row>
    <row r="761" customFormat="false" ht="17.15" hidden="false" customHeight="false" outlineLevel="0" collapsed="false">
      <c r="A761" s="0" t="s">
        <v>633</v>
      </c>
      <c r="B761" s="0" t="s">
        <v>52</v>
      </c>
      <c r="E761" s="12" t="n">
        <f aca="false">Sens!$E$760/Sens!$N$760-1</f>
        <v>0.235859124866596</v>
      </c>
      <c r="F761" s="12" t="n">
        <f aca="false">Sens!$O$760/(Q!$F$15+Q!$G$15)-1</f>
        <v>0.0761281433000345</v>
      </c>
      <c r="G761" s="12" t="n">
        <f aca="false">Sens!$G$760/Sens!$D$760-1</f>
        <v>0.151781688234087</v>
      </c>
      <c r="H761" s="12" t="n">
        <f aca="false">Sens!$F$761+(g_ot-Sens!$F$761)*1/4</f>
        <v>0.0695961074750259</v>
      </c>
      <c r="I761" s="12" t="n">
        <f aca="false">Sens!$F$761+(g_ot-Sens!$F$761)*2/4</f>
        <v>0.0630640716500172</v>
      </c>
      <c r="J761" s="12" t="n">
        <f aca="false">Sens!$F$761+(g_ot-Sens!$F$761)*3/4</f>
        <v>0.0565320358250086</v>
      </c>
      <c r="K761" s="12" t="n">
        <f aca="false">Sens!$F$761+(g_ot-Sens!$F$761)*4/4</f>
        <v>0.05</v>
      </c>
      <c r="L761" s="12" t="n">
        <f aca="false">g_ot</f>
        <v>0.05</v>
      </c>
      <c r="M761" s="12" t="n">
        <f aca="false">g_ot</f>
        <v>0.05</v>
      </c>
      <c r="P761" s="8" t="s">
        <v>634</v>
      </c>
    </row>
    <row r="762" customFormat="false" ht="17.15" hidden="false" customHeight="false" outlineLevel="0" collapsed="false">
      <c r="A762" s="3" t="s">
        <v>635</v>
      </c>
      <c r="B762" s="8" t="s">
        <v>73</v>
      </c>
      <c r="C762" s="38" t="n">
        <f aca="false">Sens!$C$750+Sens!$C$752+Sens!$C$754+Sens!$C$756+Sens!$C$758+Sens!$C$760</f>
        <v>530.403</v>
      </c>
      <c r="D762" s="38" t="n">
        <f aca="false">Sens!$D$750+Sens!$D$752+Sens!$D$754+Sens!$D$756+Sens!$D$758+Sens!$D$760</f>
        <v>588.199</v>
      </c>
      <c r="E762" s="38" t="n">
        <f aca="false">Sens!$E$750+Sens!$E$752+Sens!$E$754+Sens!$E$756+Sens!$E$758+Sens!$E$760</f>
        <v>302.306</v>
      </c>
      <c r="F762" s="38" t="n">
        <f aca="false">Sens!$F$750+Sens!$F$752+Sens!$F$754+Sens!$F$756+Sens!$F$758+Sens!$F$760</f>
        <v>356.93642920843</v>
      </c>
      <c r="G762" s="38" t="n">
        <f aca="false">Sens!$G$750+Sens!$G$752+Sens!$G$754+Sens!$G$756+Sens!$G$758+Sens!$G$760</f>
        <v>659.24242920843</v>
      </c>
      <c r="H762" s="38" t="n">
        <f aca="false">Sens!$H$750+Sens!$H$752+Sens!$H$754+Sens!$H$756+Sens!$H$758+Sens!$H$760</f>
        <v>729.935737621701</v>
      </c>
      <c r="I762" s="38" t="n">
        <f aca="false">Sens!$I$750+Sens!$I$752+Sens!$I$754+Sens!$I$756+Sens!$I$758+Sens!$I$760</f>
        <v>798.295569697873</v>
      </c>
      <c r="J762" s="38" t="n">
        <f aca="false">Sens!$J$750+Sens!$J$752+Sens!$J$754+Sens!$J$756+Sens!$J$758+Sens!$J$760</f>
        <v>861.736822325785</v>
      </c>
      <c r="K762" s="38" t="n">
        <f aca="false">Sens!$K$750+Sens!$K$752+Sens!$K$754+Sens!$K$756+Sens!$K$758+Sens!$K$760</f>
        <v>917.557492101925</v>
      </c>
      <c r="L762" s="38" t="n">
        <f aca="false">Sens!$L$750+Sens!$L$752+Sens!$L$754+Sens!$L$756+Sens!$L$758+Sens!$L$760</f>
        <v>977.285089743165</v>
      </c>
      <c r="M762" s="38" t="n">
        <f aca="false">Sens!$M$750+Sens!$M$752+Sens!$M$754+Sens!$M$756+Sens!$M$758+Sens!$M$760</f>
        <v>1041.2140185435</v>
      </c>
      <c r="N762" s="38" t="n">
        <f aca="false">Sens!$N$750+Sens!$N$752+Sens!$N$754+Sens!$N$756+Sens!$N$758+Sens!$N$760</f>
        <v>263.229</v>
      </c>
      <c r="O762" s="38" t="n">
        <f aca="false">Sens!$O$750+Sens!$O$752+Sens!$O$754+Sens!$O$756+Sens!$O$758+Sens!$O$760</f>
        <v>324.97</v>
      </c>
    </row>
    <row r="763" customFormat="false" ht="17.15" hidden="false" customHeight="false" outlineLevel="0" collapsed="false">
      <c r="A763" s="5" t="s">
        <v>636</v>
      </c>
      <c r="B763" s="0" t="s">
        <v>52</v>
      </c>
      <c r="C763" s="12" t="n">
        <f aca="false">Q!$D$5/(Q!$D$5+Q!$D$6)</f>
        <v>0.730570905519011</v>
      </c>
      <c r="D763" s="12" t="n">
        <f aca="false">Q!$E$5/(Q!$E$5+Q!$E$6)</f>
        <v>0.724763217890544</v>
      </c>
      <c r="E763" s="12" t="n">
        <f aca="false">Q!$P$5/(Q!$P$5+Q!$P$6)</f>
        <v>0.728797972914861</v>
      </c>
      <c r="F763" s="12" t="n">
        <f aca="false">Sens!$O$763</f>
        <v>0.718066283041511</v>
      </c>
      <c r="G763" s="12" t="n">
        <f aca="false">Sens!$G$764/Sens!$G$762</f>
        <v>0.722987468473627</v>
      </c>
      <c r="H763" s="12" t="n">
        <f aca="false">Sens!$G$763</f>
        <v>0.722987468473627</v>
      </c>
      <c r="I763" s="12" t="n">
        <f aca="false">Sens!$G$763</f>
        <v>0.722987468473627</v>
      </c>
      <c r="J763" s="12" t="n">
        <f aca="false">Sens!$G$763</f>
        <v>0.722987468473627</v>
      </c>
      <c r="K763" s="12" t="n">
        <f aca="false">Sens!$G$763</f>
        <v>0.722987468473627</v>
      </c>
      <c r="L763" s="12" t="n">
        <f aca="false">Sens!$G$763</f>
        <v>0.722987468473627</v>
      </c>
      <c r="M763" s="12" t="n">
        <f aca="false">Sens!$G$763</f>
        <v>0.722987468473627</v>
      </c>
      <c r="N763" s="12" t="n">
        <f aca="false">Q!$N$5/(Q!$N$5+Q!$N$6)</f>
        <v>0.733030935041352</v>
      </c>
      <c r="O763" s="12" t="n">
        <f aca="false">Q!$O$5/(Q!$O$5+Q!$O$6)</f>
        <v>0.718066283041511</v>
      </c>
      <c r="P763" s="8" t="s">
        <v>637</v>
      </c>
    </row>
    <row r="764" customFormat="false" ht="17.15" hidden="false" customHeight="false" outlineLevel="0" collapsed="false">
      <c r="A764" s="1" t="s">
        <v>472</v>
      </c>
      <c r="B764" s="8" t="s">
        <v>73</v>
      </c>
      <c r="C764" s="38" t="n">
        <f aca="false">Q!$D$5</f>
        <v>387.497</v>
      </c>
      <c r="D764" s="38" t="n">
        <f aca="false">Q!$E$5</f>
        <v>426.305</v>
      </c>
      <c r="E764" s="38" t="n">
        <f aca="false">Q!$P$5</f>
        <v>220.32</v>
      </c>
      <c r="F764" s="38" t="n">
        <f aca="false">Sens!$F$762*Sens!$F$763</f>
        <v>256.304015003807</v>
      </c>
      <c r="G764" s="38" t="n">
        <f aca="false">Sens!$E$764+Sens!$F$764</f>
        <v>476.624015003807</v>
      </c>
      <c r="H764" s="38" t="n">
        <f aca="false">Sens!$H$762*Sens!$H$763</f>
        <v>527.734391091543</v>
      </c>
      <c r="I764" s="38" t="n">
        <f aca="false">Sens!$I$762*Sens!$I$763</f>
        <v>577.157693029577</v>
      </c>
      <c r="J764" s="38" t="n">
        <f aca="false">Sens!$J$762*Sens!$J$763</f>
        <v>623.024923663827</v>
      </c>
      <c r="K764" s="38" t="n">
        <f aca="false">Sens!$K$762*Sens!$K$763</f>
        <v>663.382568393781</v>
      </c>
      <c r="L764" s="38" t="n">
        <f aca="false">Sens!$L$762*Sens!$L$763</f>
        <v>706.564873010432</v>
      </c>
      <c r="M764" s="38" t="n">
        <f aca="false">Sens!$M$762*Sens!$M$763</f>
        <v>752.784687406019</v>
      </c>
      <c r="N764" s="38" t="n">
        <f aca="false">Q!$N$5</f>
        <v>192.955</v>
      </c>
      <c r="O764" s="38" t="n">
        <f aca="false">Q!$O$5</f>
        <v>233.35</v>
      </c>
      <c r="P764" s="5" t="s">
        <v>638</v>
      </c>
    </row>
    <row r="765" customFormat="false" ht="17.15" hidden="false" customHeight="false" outlineLevel="0" collapsed="false">
      <c r="A765" s="1" t="s">
        <v>475</v>
      </c>
      <c r="B765" s="8" t="s">
        <v>73</v>
      </c>
      <c r="C765" s="38" t="n">
        <f aca="false">Q!$D$6</f>
        <v>142.906</v>
      </c>
      <c r="D765" s="38" t="n">
        <f aca="false">Q!$E$6</f>
        <v>161.894</v>
      </c>
      <c r="E765" s="38" t="n">
        <f aca="false">Q!$P$6</f>
        <v>81.986</v>
      </c>
      <c r="F765" s="38" t="n">
        <f aca="false">Sens!$F$762*(1-Sens!$F$763)</f>
        <v>100.632414204623</v>
      </c>
      <c r="G765" s="38" t="n">
        <f aca="false">Sens!$E$765+Sens!$F$765</f>
        <v>182.618414204623</v>
      </c>
      <c r="H765" s="38" t="n">
        <f aca="false">Sens!$H$762*(1-Sens!$H$763)</f>
        <v>202.201346530158</v>
      </c>
      <c r="I765" s="38" t="n">
        <f aca="false">Sens!$I$762*(1-Sens!$I$763)</f>
        <v>221.137876668296</v>
      </c>
      <c r="J765" s="38" t="n">
        <f aca="false">Sens!$J$762*(1-Sens!$J$763)</f>
        <v>238.711898661958</v>
      </c>
      <c r="K765" s="38" t="n">
        <f aca="false">Sens!$K$762*(1-Sens!$K$763)</f>
        <v>254.174923708144</v>
      </c>
      <c r="L765" s="38" t="n">
        <f aca="false">Sens!$L$762*(1-Sens!$L$763)</f>
        <v>270.720216732733</v>
      </c>
      <c r="M765" s="38" t="n">
        <f aca="false">Sens!$M$762*(1-Sens!$M$763)</f>
        <v>288.429331137484</v>
      </c>
      <c r="N765" s="38" t="n">
        <f aca="false">Q!$N$6</f>
        <v>70.274</v>
      </c>
      <c r="O765" s="38" t="n">
        <f aca="false">Q!$O$6</f>
        <v>91.62</v>
      </c>
      <c r="P765" s="5" t="s">
        <v>639</v>
      </c>
    </row>
    <row r="766" customFormat="false" ht="17.15" hidden="false" customHeight="false" outlineLevel="0" collapsed="false">
      <c r="A766" s="5" t="s">
        <v>640</v>
      </c>
      <c r="B766" s="0" t="s">
        <v>73</v>
      </c>
      <c r="C766" s="38" t="n">
        <f aca="false">Sens!$C$756*Sens!$C$763</f>
        <v>41.0683128828457</v>
      </c>
      <c r="D766" s="38" t="n">
        <f aca="false">Sens!$D$756*Sens!$D$763</f>
        <v>49.7441234599175</v>
      </c>
      <c r="E766" s="38" t="n">
        <f aca="false">Sens!$E$756*Sens!$E$763</f>
        <v>27.0034224924414</v>
      </c>
      <c r="F766" s="38" t="n">
        <f aca="false">Sens!$F$756*Sens!$F$763</f>
        <v>34.5772885649197</v>
      </c>
      <c r="G766" s="38" t="n">
        <f aca="false">Sens!$G$756*Sens!$G$763</f>
        <v>61.6023917531772</v>
      </c>
      <c r="H766" s="38" t="n">
        <f aca="false">Sens!$H$756*Sens!$H$763</f>
        <v>73.9568187320519</v>
      </c>
      <c r="I766" s="38" t="n">
        <f aca="false">Sens!$I$756*Sens!$I$763</f>
        <v>86.3101265625461</v>
      </c>
      <c r="J766" s="38" t="n">
        <f aca="false">Sens!$J$756*Sens!$J$763</f>
        <v>97.8339983977065</v>
      </c>
      <c r="K766" s="38" t="n">
        <f aca="false">Sens!$K$756*Sens!$K$763</f>
        <v>107.617398237477</v>
      </c>
      <c r="L766" s="38" t="n">
        <f aca="false">Sens!$L$756*Sens!$L$763</f>
        <v>118.379138061225</v>
      </c>
      <c r="M766" s="38" t="n">
        <f aca="false">Sens!$M$756*Sens!$M$763</f>
        <v>130.217051867347</v>
      </c>
      <c r="N766" s="38" t="n">
        <f aca="false">Sens!$N$756*Sens!$N$763</f>
        <v>21.7087111412496</v>
      </c>
      <c r="O766" s="38" t="n">
        <f aca="false">Sens!$O$756*Sens!$O$763</f>
        <v>28.0189463642798</v>
      </c>
      <c r="P766" s="5" t="s">
        <v>641</v>
      </c>
    </row>
    <row r="767" customFormat="false" ht="15" hidden="false" customHeight="false" outlineLevel="0" collapsed="false">
      <c r="A767" s="5" t="s">
        <v>642</v>
      </c>
      <c r="B767" s="0" t="s">
        <v>73</v>
      </c>
      <c r="C767" s="38" t="n">
        <f aca="false">Sens!$C$756-Sens!$C$766</f>
        <v>15.1456871171543</v>
      </c>
      <c r="D767" s="38" t="n">
        <f aca="false">Sens!$D$756-Sens!$D$766</f>
        <v>18.8908765400825</v>
      </c>
      <c r="E767" s="38" t="n">
        <f aca="false">Sens!$E$756-Sens!$E$766</f>
        <v>10.0485775075586</v>
      </c>
      <c r="F767" s="38" t="n">
        <f aca="false">Sens!$F$756-Sens!$F$766</f>
        <v>13.5760496178185</v>
      </c>
      <c r="G767" s="38" t="n">
        <f aca="false">Sens!$G$756-Sens!$G$766</f>
        <v>23.6029464295611</v>
      </c>
      <c r="H767" s="38" t="n">
        <f aca="false">Sens!$H$756-Sens!$H$766</f>
        <v>28.3365431268884</v>
      </c>
      <c r="I767" s="38" t="n">
        <f aca="false">Sens!$I$756-Sens!$I$766</f>
        <v>33.0697110226949</v>
      </c>
      <c r="J767" s="38" t="n">
        <f aca="false">Sens!$J$756-Sens!$J$766</f>
        <v>37.4850806511378</v>
      </c>
      <c r="K767" s="38" t="n">
        <f aca="false">Sens!$K$756-Sens!$K$766</f>
        <v>41.2335887162515</v>
      </c>
      <c r="L767" s="38" t="n">
        <f aca="false">Sens!$L$756-Sens!$L$766</f>
        <v>45.3569475878767</v>
      </c>
      <c r="M767" s="38" t="n">
        <f aca="false">Sens!$M$756-Sens!$M$766</f>
        <v>49.8926423466644</v>
      </c>
      <c r="N767" s="38" t="n">
        <f aca="false">Sens!$N$756-Sens!$N$766</f>
        <v>7.90628885875037</v>
      </c>
      <c r="O767" s="38" t="n">
        <f aca="false">Sens!$O$756-Sens!$O$766</f>
        <v>11.0010536357202</v>
      </c>
    </row>
    <row r="768" customFormat="false" ht="19.4" hidden="false" customHeight="false" outlineLevel="0" collapsed="false">
      <c r="A768" s="31" t="s">
        <v>1061</v>
      </c>
    </row>
    <row r="769" customFormat="false" ht="17.15" hidden="false" customHeight="false" outlineLevel="0" collapsed="false">
      <c r="A769" s="6" t="s">
        <v>16</v>
      </c>
      <c r="B769" s="6" t="s">
        <v>17</v>
      </c>
      <c r="C769" s="20" t="s">
        <v>457</v>
      </c>
      <c r="D769" s="20" t="s">
        <v>458</v>
      </c>
      <c r="E769" s="20" t="s">
        <v>540</v>
      </c>
      <c r="F769" s="20" t="s">
        <v>541</v>
      </c>
      <c r="G769" s="20" t="s">
        <v>542</v>
      </c>
      <c r="H769" s="20" t="s">
        <v>543</v>
      </c>
      <c r="I769" s="20" t="s">
        <v>544</v>
      </c>
      <c r="J769" s="20" t="s">
        <v>545</v>
      </c>
      <c r="K769" s="20" t="s">
        <v>546</v>
      </c>
      <c r="L769" s="20" t="s">
        <v>547</v>
      </c>
      <c r="M769" s="20" t="s">
        <v>548</v>
      </c>
      <c r="N769" s="20" t="s">
        <v>549</v>
      </c>
      <c r="O769" s="20" t="s">
        <v>550</v>
      </c>
      <c r="P769" s="6" t="s">
        <v>23</v>
      </c>
      <c r="R769" s="20" t="n">
        <v>2023</v>
      </c>
      <c r="S769" s="20" t="n">
        <v>2024</v>
      </c>
      <c r="T769" s="20" t="n">
        <v>2025</v>
      </c>
      <c r="U769" s="20" t="n">
        <v>2026</v>
      </c>
      <c r="V769" s="20" t="n">
        <v>2027</v>
      </c>
      <c r="W769" s="20" t="n">
        <v>2028</v>
      </c>
      <c r="X769" s="20" t="n">
        <v>2029</v>
      </c>
      <c r="Y769" s="20" t="n">
        <v>2030</v>
      </c>
      <c r="Z769" s="20" t="n">
        <v>2031</v>
      </c>
      <c r="AA769" s="20" t="n">
        <v>2032</v>
      </c>
    </row>
    <row r="770" customFormat="false" ht="17.15" hidden="false" customHeight="false" outlineLevel="0" collapsed="false">
      <c r="A770" s="1" t="s">
        <v>551</v>
      </c>
    </row>
    <row r="771" customFormat="false" ht="17.15" hidden="false" customHeight="false" outlineLevel="0" collapsed="false">
      <c r="A771" s="14" t="s">
        <v>552</v>
      </c>
      <c r="B771" s="13" t="s">
        <v>108</v>
      </c>
      <c r="C771" s="32" t="n">
        <f aca="false">mw_ye24</f>
        <v>360</v>
      </c>
      <c r="D771" s="32" t="n">
        <f aca="false">mw_ye25</f>
        <v>1440</v>
      </c>
      <c r="E771" s="32" t="n">
        <f aca="false">mw_open</f>
        <v>2080</v>
      </c>
      <c r="F771" s="32" t="n">
        <f aca="false">Sens!$E$771+pace_B*0.5</f>
        <v>3897.15</v>
      </c>
      <c r="G771" s="32" t="n">
        <f aca="false">Sens!$F$771</f>
        <v>3897.15</v>
      </c>
      <c r="H771" s="32" t="n">
        <f aca="false">Sens!$G$771+pace_B</f>
        <v>7531.45</v>
      </c>
      <c r="I771" s="32" t="n">
        <f aca="false">Sens!$H$771+pace_B</f>
        <v>11165.75</v>
      </c>
      <c r="J771" s="32" t="n">
        <f aca="false">Sens!$I$771+pace_B</f>
        <v>14800.05</v>
      </c>
      <c r="K771" s="32" t="n">
        <f aca="false">Sens!$J$771+pace_B</f>
        <v>18434.35</v>
      </c>
      <c r="L771" s="32" t="n">
        <f aca="false">Sens!$K$771+pace_B</f>
        <v>22068.65</v>
      </c>
      <c r="M771" s="32" t="n">
        <f aca="false">Sens!$L$771+pace_B</f>
        <v>25702.95</v>
      </c>
      <c r="N771" s="32" t="n">
        <f aca="false">(mw_ye24+mw_ye25)/2</f>
        <v>900</v>
      </c>
      <c r="O771" s="32" t="n">
        <f aca="false">mw_ye25</f>
        <v>1440</v>
      </c>
      <c r="P771" s="5" t="s">
        <v>553</v>
      </c>
    </row>
    <row r="772" customFormat="false" ht="17.15" hidden="false" customHeight="false" outlineLevel="0" collapsed="false">
      <c r="A772" s="5" t="s">
        <v>554</v>
      </c>
      <c r="B772" s="0" t="s">
        <v>108</v>
      </c>
      <c r="C772" s="33" t="n">
        <f aca="false">(mw_ye23+mw_ye24)/2</f>
        <v>240</v>
      </c>
      <c r="D772" s="33" t="n">
        <f aca="false">(Sens!$C$771+Sens!$D$771)/2</f>
        <v>900</v>
      </c>
      <c r="E772" s="33" t="n">
        <f aca="false">(Sens!$D$771+Sens!$E$771)/2</f>
        <v>1760</v>
      </c>
      <c r="F772" s="33" t="n">
        <f aca="false">(Sens!$E$771+Sens!$F$771)/2</f>
        <v>2988.575</v>
      </c>
      <c r="G772" s="33" t="n">
        <f aca="false">(Sens!$E$772+Sens!$F$772)/2</f>
        <v>2374.2875</v>
      </c>
      <c r="H772" s="33" t="n">
        <f aca="false">(Sens!$G$771+Sens!$H$771)/2</f>
        <v>5714.3</v>
      </c>
      <c r="I772" s="33" t="n">
        <f aca="false">(Sens!$H$771+Sens!$I$771)/2</f>
        <v>9348.6</v>
      </c>
      <c r="J772" s="33" t="n">
        <f aca="false">(Sens!$I$771+Sens!$J$771)/2</f>
        <v>12982.9</v>
      </c>
      <c r="K772" s="33" t="n">
        <f aca="false">(Sens!$J$771+Sens!$K$771)/2</f>
        <v>16617.2</v>
      </c>
      <c r="L772" s="33" t="n">
        <f aca="false">(Sens!$K$771+Sens!$L$771)/2</f>
        <v>20251.5</v>
      </c>
      <c r="M772" s="33" t="n">
        <f aca="false">(Sens!$L$771+Sens!$M$771)/2</f>
        <v>23885.8</v>
      </c>
      <c r="N772" s="33" t="n">
        <f aca="false">(Sens!$C$771+Sens!$N$771)/2</f>
        <v>630</v>
      </c>
      <c r="O772" s="33" t="n">
        <f aca="false">(Sens!$N$771+Sens!$O$771)/2</f>
        <v>1170</v>
      </c>
    </row>
    <row r="773" customFormat="false" ht="15" hidden="false" customHeight="false" outlineLevel="0" collapsed="false">
      <c r="A773" s="5" t="s">
        <v>555</v>
      </c>
      <c r="B773" s="5" t="s">
        <v>102</v>
      </c>
      <c r="C773" s="34" t="n">
        <v>1</v>
      </c>
      <c r="D773" s="34" t="n">
        <v>1</v>
      </c>
      <c r="E773" s="34" t="n">
        <v>0.5</v>
      </c>
      <c r="F773" s="34" t="n">
        <v>0.5</v>
      </c>
      <c r="G773" s="34" t="n">
        <v>1</v>
      </c>
      <c r="H773" s="34" t="n">
        <v>1</v>
      </c>
      <c r="I773" s="34" t="n">
        <v>1</v>
      </c>
      <c r="J773" s="34" t="n">
        <v>1</v>
      </c>
      <c r="K773" s="34" t="n">
        <v>1</v>
      </c>
      <c r="L773" s="34" t="n">
        <v>1</v>
      </c>
      <c r="M773" s="34" t="n">
        <v>1</v>
      </c>
      <c r="N773" s="34" t="n">
        <v>0.5</v>
      </c>
      <c r="O773" s="34" t="n">
        <v>0.5</v>
      </c>
    </row>
    <row r="774" customFormat="false" ht="17.15" hidden="false" customHeight="false" outlineLevel="0" collapsed="false">
      <c r="A774" s="5" t="s">
        <v>556</v>
      </c>
      <c r="B774" s="0" t="s">
        <v>108</v>
      </c>
      <c r="C774" s="33" t="n">
        <f aca="false">Sens!$C$771-mw_ye23</f>
        <v>240</v>
      </c>
      <c r="D774" s="33" t="n">
        <f aca="false">Sens!$D$771-Sens!$C$771</f>
        <v>1080</v>
      </c>
      <c r="E774" s="33" t="n">
        <f aca="false">Sens!$E$771-Sens!$D$771</f>
        <v>640</v>
      </c>
      <c r="F774" s="33" t="n">
        <f aca="false">Sens!$F$771-Sens!$E$771</f>
        <v>1817.15</v>
      </c>
      <c r="G774" s="33" t="n">
        <f aca="false">Sens!$E$774+Sens!$F$774</f>
        <v>2457.15</v>
      </c>
      <c r="H774" s="33" t="n">
        <f aca="false">Sens!$H$771-Sens!$G$771</f>
        <v>3634.3</v>
      </c>
      <c r="I774" s="33" t="n">
        <f aca="false">Sens!$I$771-Sens!$H$771</f>
        <v>3634.3</v>
      </c>
      <c r="J774" s="33" t="n">
        <f aca="false">Sens!$J$771-Sens!$I$771</f>
        <v>3634.3</v>
      </c>
      <c r="K774" s="33" t="n">
        <f aca="false">Sens!$K$771-Sens!$J$771</f>
        <v>3634.3</v>
      </c>
      <c r="L774" s="33" t="n">
        <f aca="false">Sens!$L$771-Sens!$K$771</f>
        <v>3634.3</v>
      </c>
      <c r="M774" s="33" t="n">
        <f aca="false">Sens!$M$771-Sens!$L$771</f>
        <v>3634.3</v>
      </c>
      <c r="N774" s="33" t="n">
        <f aca="false">Sens!$N$771-Sens!$C$771</f>
        <v>540</v>
      </c>
      <c r="O774" s="33" t="n">
        <f aca="false">Sens!$O$771-Sens!$N$771</f>
        <v>540</v>
      </c>
    </row>
    <row r="775" customFormat="false" ht="17.15" hidden="false" customHeight="false" outlineLevel="0" collapsed="false">
      <c r="A775" s="5" t="s">
        <v>557</v>
      </c>
      <c r="B775" s="0" t="s">
        <v>108</v>
      </c>
      <c r="C775" s="33" t="n">
        <f aca="false">Sens!$C$774/ext_sh_lo</f>
        <v>400</v>
      </c>
      <c r="D775" s="33" t="n">
        <f aca="false">Sens!$D$774/ext_sh_lo</f>
        <v>1800</v>
      </c>
      <c r="E775" s="33" t="n">
        <f aca="false">Sens!$E$774/ext_sh_lo</f>
        <v>1066.66666666667</v>
      </c>
      <c r="F775" s="33" t="n">
        <f aca="false">Sens!$F$774/ext_sh_lo</f>
        <v>3028.58333333333</v>
      </c>
      <c r="G775" s="33" t="n">
        <f aca="false">Sens!$G$774/ext_sh_lo</f>
        <v>4095.25</v>
      </c>
      <c r="H775" s="33" t="n">
        <f aca="false">Sens!$H$774/ext_sh_lo</f>
        <v>6057.16666666667</v>
      </c>
      <c r="I775" s="33" t="n">
        <f aca="false">Sens!$I$774/ext_sh_lo</f>
        <v>6057.16666666667</v>
      </c>
      <c r="J775" s="33" t="n">
        <f aca="false">Sens!$J$774/ext_sh_lo</f>
        <v>6057.16666666667</v>
      </c>
      <c r="K775" s="33" t="n">
        <f aca="false">Sens!$K$774/ext_sh_lo</f>
        <v>6057.16666666667</v>
      </c>
      <c r="L775" s="33" t="n">
        <f aca="false">Sens!$L$774/ext_sh_lo</f>
        <v>6057.16666666667</v>
      </c>
      <c r="M775" s="33" t="n">
        <f aca="false">Sens!$M$774/ext_sh_lo</f>
        <v>6057.16666666667</v>
      </c>
      <c r="N775" s="33" t="n">
        <f aca="false">Sens!$N$774/ext_sh_lo</f>
        <v>900</v>
      </c>
      <c r="O775" s="33" t="n">
        <f aca="false">Sens!$O$774/ext_sh_lo</f>
        <v>900</v>
      </c>
      <c r="P775" s="8" t="s">
        <v>558</v>
      </c>
      <c r="R775" s="33" t="n">
        <f aca="false">mw_ye23/ext_sh_lo</f>
        <v>200</v>
      </c>
      <c r="S775" s="33" t="n">
        <f aca="false">Sens!$C$775</f>
        <v>400</v>
      </c>
      <c r="T775" s="33" t="n">
        <f aca="false">Sens!$D$775</f>
        <v>1800</v>
      </c>
      <c r="U775" s="33" t="n">
        <f aca="false">Sens!$G$775</f>
        <v>4095.25</v>
      </c>
      <c r="V775" s="33" t="n">
        <f aca="false">Sens!$H$775</f>
        <v>6057.16666666667</v>
      </c>
      <c r="W775" s="33" t="n">
        <f aca="false">Sens!$I$775</f>
        <v>6057.16666666667</v>
      </c>
      <c r="X775" s="33" t="n">
        <f aca="false">Sens!$J$775</f>
        <v>6057.16666666667</v>
      </c>
      <c r="Y775" s="33" t="n">
        <f aca="false">Sens!$K$775</f>
        <v>6057.16666666667</v>
      </c>
      <c r="Z775" s="33" t="n">
        <f aca="false">Sens!$L$775</f>
        <v>6057.16666666667</v>
      </c>
      <c r="AA775" s="33" t="n">
        <f aca="false">Sens!$M$775</f>
        <v>6057.16666666667</v>
      </c>
    </row>
    <row r="776" customFormat="false" ht="17.15" hidden="false" customHeight="false" outlineLevel="0" collapsed="false">
      <c r="A776" s="1" t="s">
        <v>559</v>
      </c>
    </row>
    <row r="777" customFormat="false" ht="17.15" hidden="false" customHeight="false" outlineLevel="0" collapsed="false">
      <c r="A777" s="0" t="s">
        <v>560</v>
      </c>
      <c r="B777" s="0" t="s">
        <v>52</v>
      </c>
      <c r="F777" s="35" t="n">
        <f aca="false">na_vr26</f>
        <v>0</v>
      </c>
      <c r="G777" s="35" t="n">
        <f aca="false">na_vr26</f>
        <v>0</v>
      </c>
      <c r="H777" s="35" t="n">
        <f aca="false">na_vr27</f>
        <v>0.5</v>
      </c>
      <c r="I777" s="35" t="n">
        <f aca="false">na_vr28</f>
        <v>1</v>
      </c>
      <c r="J777" s="35" t="n">
        <f aca="false">na_vr28</f>
        <v>1</v>
      </c>
      <c r="K777" s="35" t="n">
        <f aca="false">na_vr28</f>
        <v>1</v>
      </c>
      <c r="L777" s="35" t="n">
        <f aca="false">na_vr28</f>
        <v>1</v>
      </c>
      <c r="M777" s="35" t="n">
        <f aca="false">na_vr28</f>
        <v>1</v>
      </c>
    </row>
    <row r="778" customFormat="false" ht="17.15" hidden="false" customHeight="false" outlineLevel="0" collapsed="false">
      <c r="A778" s="5" t="s">
        <v>561</v>
      </c>
      <c r="B778" s="0" t="s">
        <v>151</v>
      </c>
      <c r="F778" s="36" t="n">
        <f aca="false">cust_sh*tk_he_gb300*cf_chip+(1-cust_sh)*((1-Sens!$F$777)*tk_he_gb300+Sens!$F$777*tk_he_vr200)</f>
        <v>10.8864110021101</v>
      </c>
      <c r="G778" s="36" t="n">
        <f aca="false">cust_sh*tk_he_gb300*cf_chip+(1-cust_sh)*((1-Sens!$G$777)*tk_he_gb300+Sens!$G$777*tk_he_vr200)</f>
        <v>10.8864110021101</v>
      </c>
      <c r="H778" s="36" t="n">
        <f aca="false">cust_sh*tk_he_gb300*cf_chip+(1-cust_sh)*((1-Sens!$H$777)*tk_he_gb300+Sens!$H$777*tk_he_vr200)</f>
        <v>11.2211760027286</v>
      </c>
      <c r="I778" s="36" t="n">
        <f aca="false">cust_sh*tk_he_gb300*cf_chip+(1-cust_sh)*((1-Sens!$I$777)*tk_he_gb300+Sens!$I$777*tk_he_vr200)</f>
        <v>11.5559410033471</v>
      </c>
      <c r="J778" s="36" t="n">
        <f aca="false">cust_sh*tk_he_gb300*cf_chip+(1-cust_sh)*((1-Sens!$J$777)*tk_he_gb300+Sens!$J$777*tk_he_vr200)</f>
        <v>11.5559410033471</v>
      </c>
      <c r="K778" s="36" t="n">
        <f aca="false">cust_sh*tk_he_gb300*cf_chip+(1-cust_sh)*((1-Sens!$K$777)*tk_he_gb300+Sens!$K$777*tk_he_vr200)</f>
        <v>11.5559410033471</v>
      </c>
      <c r="L778" s="36" t="n">
        <f aca="false">cust_sh*tk_he_gb300*cf_chip+(1-cust_sh)*((1-Sens!$L$777)*tk_he_gb300+Sens!$L$777*tk_he_vr200)</f>
        <v>11.5559410033471</v>
      </c>
      <c r="M778" s="36" t="n">
        <f aca="false">cust_sh*tk_he_gb300*cf_chip+(1-cust_sh)*((1-Sens!$M$777)*tk_he_gb300+Sens!$M$777*tk_he_vr200)</f>
        <v>11.5559410033471</v>
      </c>
    </row>
    <row r="779" customFormat="false" ht="17.15" hidden="false" customHeight="false" outlineLevel="0" collapsed="false">
      <c r="A779" s="5" t="s">
        <v>562</v>
      </c>
      <c r="B779" s="0" t="s">
        <v>151</v>
      </c>
      <c r="F779" s="36" t="n">
        <f aca="false">cust_sh*tk_ox_gb300+(1-cust_sh)*((1-Sens!$F$777)*tk_ox_gb300+Sens!$F$777*tk_ox_vr200)</f>
        <v>1.98263481314457</v>
      </c>
      <c r="G779" s="36" t="n">
        <f aca="false">cust_sh*tk_ox_gb300+(1-cust_sh)*((1-Sens!$G$777)*tk_ox_gb300+Sens!$G$777*tk_ox_vr200)</f>
        <v>1.98263481314457</v>
      </c>
      <c r="H779" s="36" t="n">
        <f aca="false">cust_sh*tk_ox_gb300+(1-cust_sh)*((1-Sens!$H$777)*tk_ox_gb300+Sens!$H$777*tk_ox_vr200)</f>
        <v>2.01034999693694</v>
      </c>
      <c r="I779" s="36" t="n">
        <f aca="false">cust_sh*tk_ox_gb300+(1-cust_sh)*((1-Sens!$I$777)*tk_ox_gb300+Sens!$I$777*tk_ox_vr200)</f>
        <v>2.0380651807293</v>
      </c>
      <c r="J779" s="36" t="n">
        <f aca="false">cust_sh*tk_ox_gb300+(1-cust_sh)*((1-Sens!$J$777)*tk_ox_gb300+Sens!$J$777*tk_ox_vr200)</f>
        <v>2.0380651807293</v>
      </c>
      <c r="K779" s="36" t="n">
        <f aca="false">cust_sh*tk_ox_gb300+(1-cust_sh)*((1-Sens!$K$777)*tk_ox_gb300+Sens!$K$777*tk_ox_vr200)</f>
        <v>2.0380651807293</v>
      </c>
      <c r="L779" s="36" t="n">
        <f aca="false">cust_sh*tk_ox_gb300+(1-cust_sh)*((1-Sens!$L$777)*tk_ox_gb300+Sens!$L$777*tk_ox_vr200)</f>
        <v>2.0380651807293</v>
      </c>
      <c r="M779" s="36" t="n">
        <f aca="false">cust_sh*tk_ox_gb300+(1-cust_sh)*((1-Sens!$M$777)*tk_ox_gb300+Sens!$M$777*tk_ox_vr200)</f>
        <v>2.0380651807293</v>
      </c>
    </row>
    <row r="780" customFormat="false" ht="17.15" hidden="false" customHeight="false" outlineLevel="0" collapsed="false">
      <c r="A780" s="5" t="s">
        <v>563</v>
      </c>
      <c r="B780" s="0" t="s">
        <v>170</v>
      </c>
      <c r="F780" s="36" t="n">
        <f aca="false">cust_sh*tk_cx_gb300*cf_cx+(1-cust_sh)*((1-Sens!$F$777)*tk_cx_gb300+Sens!$F$777*tk_cx_vr200)</f>
        <v>32.237224</v>
      </c>
      <c r="G780" s="36" t="n">
        <f aca="false">cust_sh*tk_cx_gb300*cf_cx+(1-cust_sh)*((1-Sens!$G$777)*tk_cx_gb300+Sens!$G$777*tk_cx_vr200)</f>
        <v>32.237224</v>
      </c>
      <c r="H780" s="36" t="n">
        <f aca="false">cust_sh*tk_cx_gb300*cf_cx+(1-cust_sh)*((1-Sens!$H$777)*tk_cx_gb300+Sens!$H$777*tk_cx_vr200)</f>
        <v>33.574506</v>
      </c>
      <c r="I780" s="36" t="n">
        <f aca="false">cust_sh*tk_cx_gb300*cf_cx+(1-cust_sh)*((1-Sens!$I$777)*tk_cx_gb300+Sens!$I$777*tk_cx_vr200)</f>
        <v>34.911788</v>
      </c>
      <c r="J780" s="36" t="n">
        <f aca="false">cust_sh*tk_cx_gb300*cf_cx+(1-cust_sh)*((1-Sens!$J$777)*tk_cx_gb300+Sens!$J$777*tk_cx_vr200)</f>
        <v>34.911788</v>
      </c>
      <c r="K780" s="36" t="n">
        <f aca="false">cust_sh*tk_cx_gb300*cf_cx+(1-cust_sh)*((1-Sens!$K$777)*tk_cx_gb300+Sens!$K$777*tk_cx_vr200)</f>
        <v>34.911788</v>
      </c>
      <c r="L780" s="36" t="n">
        <f aca="false">cust_sh*tk_cx_gb300*cf_cx+(1-cust_sh)*((1-Sens!$L$777)*tk_cx_gb300+Sens!$L$777*tk_cx_vr200)</f>
        <v>34.911788</v>
      </c>
      <c r="M780" s="36" t="n">
        <f aca="false">cust_sh*tk_cx_gb300*cf_cx+(1-cust_sh)*((1-Sens!$M$777)*tk_cx_gb300+Sens!$M$777*tk_cx_vr200)</f>
        <v>34.911788</v>
      </c>
    </row>
    <row r="781" customFormat="false" ht="17.15" hidden="false" customHeight="false" outlineLevel="0" collapsed="false">
      <c r="A781" s="5" t="s">
        <v>564</v>
      </c>
      <c r="B781" s="0" t="s">
        <v>108</v>
      </c>
      <c r="F781" s="33" t="n">
        <f aca="false">Sens!$F$771-mw_open</f>
        <v>1817.15</v>
      </c>
      <c r="G781" s="33" t="n">
        <f aca="false">Sens!$F$781</f>
        <v>1817.15</v>
      </c>
      <c r="H781" s="33" t="n">
        <f aca="false">Sens!$H$771-mw_open</f>
        <v>5451.45</v>
      </c>
      <c r="I781" s="33" t="n">
        <f aca="false">Sens!$I$771-mw_open</f>
        <v>9085.75</v>
      </c>
      <c r="J781" s="33" t="n">
        <f aca="false">Sens!$J$771-mw_open</f>
        <v>12720.05</v>
      </c>
      <c r="K781" s="33" t="n">
        <f aca="false">Sens!$K$771-mw_open</f>
        <v>16354.35</v>
      </c>
      <c r="L781" s="33" t="n">
        <f aca="false">Sens!$L$771-mw_open</f>
        <v>19988.65</v>
      </c>
      <c r="M781" s="33" t="n">
        <f aca="false">Sens!$M$771-mw_open</f>
        <v>23622.95</v>
      </c>
    </row>
    <row r="782" customFormat="false" ht="17.15" hidden="false" customHeight="false" outlineLevel="0" collapsed="false">
      <c r="A782" s="0" t="s">
        <v>565</v>
      </c>
      <c r="B782" s="0" t="s">
        <v>566</v>
      </c>
      <c r="F782" s="33" t="n">
        <f aca="false">Sens!$F$774*Sens!$F$778</f>
        <v>19782.2417524844</v>
      </c>
      <c r="G782" s="33" t="n">
        <f aca="false">Sens!$F$782</f>
        <v>19782.2417524844</v>
      </c>
      <c r="H782" s="33" t="n">
        <f aca="false">Sens!$G$782+Sens!$H$774*Sens!$H$778</f>
        <v>60563.3616992009</v>
      </c>
      <c r="I782" s="33" t="n">
        <f aca="false">Sens!$H$782+Sens!$I$774*Sens!$I$778</f>
        <v>102561.118087665</v>
      </c>
      <c r="J782" s="33" t="n">
        <f aca="false">Sens!$I$782+Sens!$J$774*Sens!$J$778</f>
        <v>144558.87447613</v>
      </c>
      <c r="K782" s="33" t="n">
        <f aca="false">Sens!$J$782+Sens!$K$774*Sens!$K$778</f>
        <v>186556.630864594</v>
      </c>
      <c r="L782" s="33" t="n">
        <f aca="false">Sens!$K$782+Sens!$L$774*Sens!$L$778</f>
        <v>228554.387253058</v>
      </c>
      <c r="M782" s="33" t="n">
        <f aca="false">Sens!$L$782+Sens!$M$774*Sens!$M$778</f>
        <v>270552.143641523</v>
      </c>
    </row>
    <row r="783" customFormat="false" ht="17.15" hidden="false" customHeight="false" outlineLevel="0" collapsed="false">
      <c r="A783" s="0" t="s">
        <v>567</v>
      </c>
      <c r="B783" s="0" t="s">
        <v>566</v>
      </c>
      <c r="F783" s="33" t="n">
        <f aca="false">Sens!$F$774*Sens!$F$779</f>
        <v>3602.74485070566</v>
      </c>
      <c r="G783" s="33" t="n">
        <f aca="false">Sens!$F$783</f>
        <v>3602.74485070566</v>
      </c>
      <c r="H783" s="33" t="n">
        <f aca="false">Sens!$G$783+Sens!$H$774*Sens!$H$779</f>
        <v>10908.9598445736</v>
      </c>
      <c r="I783" s="33" t="n">
        <f aca="false">Sens!$H$783+Sens!$I$774*Sens!$I$779</f>
        <v>18315.9001308981</v>
      </c>
      <c r="J783" s="33" t="n">
        <f aca="false">Sens!$I$783+Sens!$J$774*Sens!$J$779</f>
        <v>25722.8404172225</v>
      </c>
      <c r="K783" s="33" t="n">
        <f aca="false">Sens!$J$783+Sens!$K$774*Sens!$K$779</f>
        <v>33129.780703547</v>
      </c>
      <c r="L783" s="33" t="n">
        <f aca="false">Sens!$K$783+Sens!$L$774*Sens!$L$779</f>
        <v>40536.7209898715</v>
      </c>
      <c r="M783" s="33" t="n">
        <f aca="false">Sens!$L$783+Sens!$M$774*Sens!$M$779</f>
        <v>47943.661276196</v>
      </c>
    </row>
    <row r="784" customFormat="false" ht="17.15" hidden="false" customHeight="false" outlineLevel="0" collapsed="false">
      <c r="A784" s="5" t="s">
        <v>568</v>
      </c>
      <c r="B784" s="0" t="s">
        <v>151</v>
      </c>
      <c r="F784" s="36" t="n">
        <f aca="false">IF(Sens!$F$781&gt;0,Sens!$F$782/Sens!$F$781,Sens!$F$778)</f>
        <v>10.8864110021101</v>
      </c>
      <c r="G784" s="36" t="n">
        <f aca="false">IF(Sens!$G$781&gt;0,Sens!$G$782/Sens!$G$781,Sens!$G$778)</f>
        <v>10.8864110021101</v>
      </c>
      <c r="H784" s="36" t="n">
        <f aca="false">IF(Sens!$H$781&gt;0,Sens!$H$782/Sens!$H$781,Sens!$H$778)</f>
        <v>11.1095876691891</v>
      </c>
      <c r="I784" s="36" t="n">
        <f aca="false">IF(Sens!$I$781&gt;0,Sens!$I$782/Sens!$I$781,Sens!$I$778)</f>
        <v>11.2881290028523</v>
      </c>
      <c r="J784" s="36" t="n">
        <f aca="false">IF(Sens!$J$781&gt;0,Sens!$J$782/Sens!$J$781,Sens!$J$778)</f>
        <v>11.3646467172794</v>
      </c>
      <c r="K784" s="36" t="n">
        <f aca="false">IF(Sens!$K$781&gt;0,Sens!$K$782/Sens!$K$781,Sens!$K$778)</f>
        <v>11.4071565586278</v>
      </c>
      <c r="L784" s="36" t="n">
        <f aca="false">IF(Sens!$L$781&gt;0,Sens!$L$782/Sens!$L$781,Sens!$L$778)</f>
        <v>11.4342082758495</v>
      </c>
      <c r="M784" s="36" t="n">
        <f aca="false">IF(Sens!$M$781&gt;0,Sens!$M$782/Sens!$M$781,Sens!$M$778)</f>
        <v>11.4529363877722</v>
      </c>
    </row>
    <row r="785" customFormat="false" ht="17.15" hidden="false" customHeight="false" outlineLevel="0" collapsed="false">
      <c r="A785" s="5" t="s">
        <v>569</v>
      </c>
      <c r="B785" s="0" t="s">
        <v>151</v>
      </c>
      <c r="F785" s="36" t="n">
        <f aca="false">IF(Sens!$F$781&gt;0,Sens!$F$783/Sens!$F$781,Sens!$F$779)</f>
        <v>1.98263481314457</v>
      </c>
      <c r="G785" s="36" t="n">
        <f aca="false">IF(Sens!$G$781&gt;0,Sens!$G$783/Sens!$G$781,Sens!$G$779)</f>
        <v>1.98263481314457</v>
      </c>
      <c r="H785" s="36" t="n">
        <f aca="false">IF(Sens!$H$781&gt;0,Sens!$H$783/Sens!$H$781,Sens!$H$779)</f>
        <v>2.00111160233948</v>
      </c>
      <c r="I785" s="36" t="n">
        <f aca="false">IF(Sens!$I$781&gt;0,Sens!$I$783/Sens!$I$781,Sens!$I$779)</f>
        <v>2.01589303369541</v>
      </c>
      <c r="J785" s="36" t="n">
        <f aca="false">IF(Sens!$J$781&gt;0,Sens!$J$783/Sens!$J$781,Sens!$J$779)</f>
        <v>2.02222793284795</v>
      </c>
      <c r="K785" s="36" t="n">
        <f aca="false">IF(Sens!$K$781&gt;0,Sens!$K$783/Sens!$K$781,Sens!$K$779)</f>
        <v>2.02574732126603</v>
      </c>
      <c r="L785" s="36" t="n">
        <f aca="false">IF(Sens!$L$781&gt;0,Sens!$L$783/Sens!$L$781,Sens!$L$779)</f>
        <v>2.02798693207753</v>
      </c>
      <c r="M785" s="36" t="n">
        <f aca="false">IF(Sens!$M$781&gt;0,Sens!$M$783/Sens!$M$781,Sens!$M$779)</f>
        <v>2.02953743187011</v>
      </c>
    </row>
    <row r="786" customFormat="false" ht="17.15" hidden="false" customHeight="false" outlineLevel="0" collapsed="false">
      <c r="A786" s="14" t="s">
        <v>570</v>
      </c>
      <c r="B786" s="13" t="s">
        <v>151</v>
      </c>
      <c r="C786" s="13"/>
      <c r="D786" s="13"/>
      <c r="E786" s="13"/>
      <c r="F786" s="37" t="n">
        <f aca="false">Sens!$F$784*k_B</f>
        <v>10.7987645808025</v>
      </c>
      <c r="G786" s="37" t="n">
        <f aca="false">Sens!$G$784*k_B</f>
        <v>10.7987645808025</v>
      </c>
      <c r="H786" s="37" t="n">
        <f aca="false">Sens!$H$784*k_B</f>
        <v>11.0201444540452</v>
      </c>
      <c r="I786" s="37" t="n">
        <f aca="false">Sens!$I$784*k_B</f>
        <v>11.1972483526393</v>
      </c>
      <c r="J786" s="37" t="n">
        <f aca="false">Sens!$J$784*k_B</f>
        <v>11.2731500234653</v>
      </c>
      <c r="K786" s="37" t="n">
        <f aca="false">Sens!$K$784*k_B</f>
        <v>11.3153176183687</v>
      </c>
      <c r="L786" s="37" t="n">
        <f aca="false">Sens!$L$784*k_B</f>
        <v>11.3421515423981</v>
      </c>
      <c r="M786" s="37" t="n">
        <f aca="false">Sens!$M$784*k_B</f>
        <v>11.3607288744184</v>
      </c>
      <c r="N786" s="13"/>
      <c r="O786" s="13"/>
      <c r="P786" s="5" t="s">
        <v>571</v>
      </c>
    </row>
    <row r="787" customFormat="false" ht="17.15" hidden="false" customHeight="false" outlineLevel="0" collapsed="false">
      <c r="A787" s="5" t="s">
        <v>572</v>
      </c>
      <c r="B787" s="0" t="s">
        <v>108</v>
      </c>
      <c r="F787" s="33" t="n">
        <f aca="false">Sens!$F$781/2</f>
        <v>908.575</v>
      </c>
      <c r="H787" s="33" t="n">
        <f aca="false">(Sens!$G$781+Sens!$H$781)/2</f>
        <v>3634.3</v>
      </c>
      <c r="I787" s="33" t="n">
        <f aca="false">(Sens!$H$781+Sens!$I$781)/2</f>
        <v>7268.6</v>
      </c>
      <c r="J787" s="33" t="n">
        <f aca="false">(Sens!$I$781+Sens!$J$781)/2</f>
        <v>10902.9</v>
      </c>
      <c r="K787" s="33" t="n">
        <f aca="false">(Sens!$J$781+Sens!$K$781)/2</f>
        <v>14537.2</v>
      </c>
      <c r="L787" s="33" t="n">
        <f aca="false">(Sens!$K$781+Sens!$L$781)/2</f>
        <v>18171.5</v>
      </c>
      <c r="M787" s="33" t="n">
        <f aca="false">(Sens!$L$781+Sens!$M$781)/2</f>
        <v>21805.8</v>
      </c>
    </row>
    <row r="788" customFormat="false" ht="17.15" hidden="false" customHeight="false" outlineLevel="0" collapsed="false">
      <c r="A788" s="1" t="s">
        <v>573</v>
      </c>
    </row>
    <row r="789" customFormat="false" ht="17.15" hidden="false" customHeight="false" outlineLevel="0" collapsed="false">
      <c r="A789" s="1" t="s">
        <v>574</v>
      </c>
      <c r="B789" s="8" t="s">
        <v>73</v>
      </c>
      <c r="C789" s="38" t="n">
        <f aca="false">Sens!$C$772*rpm_open*Sens!$C$773/1000</f>
        <v>2.32100535697364</v>
      </c>
      <c r="D789" s="38" t="n">
        <f aca="false">Sens!$D$772*rpm_open*Sens!$D$773/1000</f>
        <v>8.70377008865116</v>
      </c>
      <c r="E789" s="38" t="n">
        <f aca="false">Sens!$E$772*rpm_open*Sens!$E$773/1000</f>
        <v>8.51035297557002</v>
      </c>
      <c r="F789" s="38" t="n">
        <f aca="false">(mw_open*rpm_open+Sens!$F$787*Sens!$F$786)*Sens!$F$773/1000</f>
        <v>14.9634336447205</v>
      </c>
      <c r="G789" s="38" t="n">
        <f aca="false">Sens!$E$789+Sens!$F$789</f>
        <v>23.4737866202905</v>
      </c>
      <c r="H789" s="38" t="n">
        <f aca="false">(mw_open*rpm_open+Sens!$H$787*Sens!$H$786)/1000</f>
        <v>60.1658907497746</v>
      </c>
      <c r="I789" s="38" t="n">
        <f aca="false">(mw_open*rpm_open+Sens!$I$787*Sens!$I$786)/1000</f>
        <v>101.503699136432</v>
      </c>
      <c r="J789" s="38" t="n">
        <f aca="false">(mw_open*rpm_open+Sens!$J$787*Sens!$J$786)/1000</f>
        <v>143.025407151278</v>
      </c>
      <c r="K789" s="38" t="n">
        <f aca="false">(mw_open*rpm_open+Sens!$K$787*Sens!$K$786)/1000</f>
        <v>184.608415042187</v>
      </c>
      <c r="L789" s="38" t="n">
        <f aca="false">(mw_open*rpm_open+Sens!$L$787*Sens!$L$786)/1000</f>
        <v>226.219286513125</v>
      </c>
      <c r="M789" s="38" t="n">
        <f aca="false">(mw_open*rpm_open+Sens!$M$787*Sens!$M$786)/1000</f>
        <v>267.845161450232</v>
      </c>
      <c r="N789" s="38" t="n">
        <f aca="false">Sens!$N$772*rpm_open*Sens!$N$773/1000</f>
        <v>3.04631953102791</v>
      </c>
      <c r="O789" s="38" t="n">
        <f aca="false">Sens!$O$772*rpm_open*Sens!$O$773/1000</f>
        <v>5.65745055762326</v>
      </c>
      <c r="P789" s="5" t="s">
        <v>575</v>
      </c>
    </row>
    <row r="790" customFormat="false" ht="17.15" hidden="false" customHeight="false" outlineLevel="0" collapsed="false">
      <c r="A790" s="5" t="s">
        <v>576</v>
      </c>
      <c r="B790" s="0" t="s">
        <v>151</v>
      </c>
      <c r="C790" s="36" t="n">
        <f aca="false">Sens!$C$789*1000/(Sens!$C$772*Sens!$C$773)</f>
        <v>9.67085565405685</v>
      </c>
      <c r="D790" s="36" t="n">
        <f aca="false">Sens!$D$789*1000/(Sens!$D$772*Sens!$D$773)</f>
        <v>9.67085565405685</v>
      </c>
      <c r="E790" s="36" t="n">
        <f aca="false">Sens!$E$789*1000/(Sens!$E$772*Sens!$E$773)</f>
        <v>9.67085565405685</v>
      </c>
      <c r="F790" s="36" t="n">
        <f aca="false">Sens!$F$789*1000/(Sens!$F$772*Sens!$F$773)</f>
        <v>10.0137581588017</v>
      </c>
      <c r="G790" s="36" t="n">
        <f aca="false">Sens!$G$789*1000/(Sens!$G$772*Sens!$G$773)</f>
        <v>9.88666562928478</v>
      </c>
      <c r="H790" s="36" t="n">
        <f aca="false">Sens!$H$789*1000/(Sens!$H$772*Sens!$H$773)</f>
        <v>10.5290045586992</v>
      </c>
      <c r="I790" s="36" t="n">
        <f aca="false">Sens!$I$789*1000/(Sens!$I$772*Sens!$I$773)</f>
        <v>10.8576363451674</v>
      </c>
      <c r="J790" s="36" t="n">
        <f aca="false">Sens!$J$789*1000/(Sens!$J$772*Sens!$J$773)</f>
        <v>11.0164452588619</v>
      </c>
      <c r="K790" s="36" t="n">
        <f aca="false">Sens!$K$789*1000/(Sens!$K$772*Sens!$K$773)</f>
        <v>11.1094778327388</v>
      </c>
      <c r="L790" s="36" t="n">
        <f aca="false">Sens!$L$789*1000/(Sens!$L$772*Sens!$L$773)</f>
        <v>11.1704953466718</v>
      </c>
      <c r="M790" s="36" t="n">
        <f aca="false">Sens!$M$789*1000/(Sens!$M$772*Sens!$M$773)</f>
        <v>11.2135729785158</v>
      </c>
      <c r="N790" s="36" t="n">
        <f aca="false">Sens!$N$789*1000/(Sens!$N$772*Sens!$N$773)</f>
        <v>9.67085565405685</v>
      </c>
      <c r="O790" s="36" t="n">
        <f aca="false">Sens!$O$789*1000/(Sens!$O$772*Sens!$O$773)</f>
        <v>9.67085565405685</v>
      </c>
    </row>
    <row r="791" customFormat="false" ht="17.15" hidden="false" customHeight="false" outlineLevel="0" collapsed="false">
      <c r="A791" s="0" t="s">
        <v>577</v>
      </c>
      <c r="B791" s="0" t="s">
        <v>73</v>
      </c>
      <c r="C791" s="38" t="n">
        <f aca="false">Sens!$C$772/ext_sh_lo*(ox_open+rent_mw)*Sens!$C$773/1000</f>
        <v>0.85675894756671</v>
      </c>
      <c r="D791" s="38" t="n">
        <f aca="false">Sens!$D$772/ext_sh_lo*(ox_open+rent_mw)*Sens!$D$773/1000</f>
        <v>3.21284605337516</v>
      </c>
      <c r="E791" s="38" t="n">
        <f aca="false">Sens!$E$772/ext_sh_lo*(ox_open+rent_mw)*Sens!$E$773/1000</f>
        <v>3.14144947441127</v>
      </c>
      <c r="F791" s="38" t="n">
        <f aca="false">((mw_open*ox_open+Sens!$F$787*Sens!$F$785)/ext_sh_lo+Sens!$F$772/ext_sh_lo*rent_mw)*Sens!$F$773/1000</f>
        <v>5.4056265480831</v>
      </c>
      <c r="G791" s="38" t="n">
        <f aca="false">Sens!$E$791+Sens!$F$791</f>
        <v>8.54707602249437</v>
      </c>
      <c r="H791" s="38" t="n">
        <f aca="false">((mw_open*ox_open+Sens!$H$787*Sens!$H$785)/ext_sh_lo+Sens!$H$772/ext_sh_lo*rent_mw)*Sens!$H$773/1000</f>
        <v>21.0811967395488</v>
      </c>
      <c r="I791" s="38" t="n">
        <f aca="false">((mw_open*ox_open+Sens!$I$787*Sens!$I$785)/ext_sh_lo+Sens!$I$772/ext_sh_lo*rent_mw)*Sens!$I$773/1000</f>
        <v>34.9162164534422</v>
      </c>
      <c r="J791" s="38" t="n">
        <f aca="false">((mw_open*ox_open+Sens!$J$787*Sens!$J$785)/ext_sh_lo+Sens!$J$772/ext_sh_lo*rent_mw)*Sens!$J$773/1000</f>
        <v>48.7768171939913</v>
      </c>
      <c r="K791" s="38" t="n">
        <f aca="false">((mw_open*ox_open+Sens!$K$787*Sens!$K$785)/ext_sh_lo+Sens!$K$772/ext_sh_lo*rent_mw)*Sens!$K$773/1000</f>
        <v>62.6459449434256</v>
      </c>
      <c r="L791" s="38" t="n">
        <f aca="false">((mw_open*ox_open+Sens!$L$787*Sens!$L$785)/ext_sh_lo+Sens!$L$772/ext_sh_lo*rent_mw)*Sens!$L$773/1000</f>
        <v>76.5189486059896</v>
      </c>
      <c r="M791" s="38" t="n">
        <f aca="false">((mw_open*ox_open+Sens!$M$787*Sens!$M$785)/ext_sh_lo+Sens!$M$772/ext_sh_lo*rent_mw)*Sens!$M$773/1000</f>
        <v>90.3940392987002</v>
      </c>
      <c r="N791" s="38" t="n">
        <f aca="false">Sens!$N$772/ext_sh_lo*(ox_open+rent_mw)*Sens!$N$773/1000</f>
        <v>1.12449611868131</v>
      </c>
      <c r="O791" s="38" t="n">
        <f aca="false">Sens!$O$772/ext_sh_lo*(ox_open+rent_mw)*Sens!$O$773/1000</f>
        <v>2.08834993469385</v>
      </c>
    </row>
    <row r="792" customFormat="false" ht="17.15" hidden="false" customHeight="false" outlineLevel="0" collapsed="false">
      <c r="A792" s="0" t="s">
        <v>578</v>
      </c>
      <c r="B792" s="0" t="s">
        <v>73</v>
      </c>
      <c r="C792" s="38" t="n">
        <f aca="false">Q!$D$7</f>
        <v>107.556</v>
      </c>
      <c r="D792" s="38" t="n">
        <f aca="false">Q!$E$7</f>
        <v>128.725</v>
      </c>
      <c r="E792" s="38" t="n">
        <f aca="false">Q!$P$7</f>
        <v>79.819</v>
      </c>
      <c r="N792" s="38" t="n">
        <f aca="false">Q!$N$7</f>
        <v>60.14</v>
      </c>
      <c r="O792" s="38" t="n">
        <f aca="false">Q!$O$7</f>
        <v>68.585</v>
      </c>
    </row>
    <row r="793" customFormat="false" ht="17.15" hidden="false" customHeight="false" outlineLevel="0" collapsed="false">
      <c r="A793" s="1" t="s">
        <v>579</v>
      </c>
      <c r="B793" s="8" t="s">
        <v>73</v>
      </c>
      <c r="C793" s="38" t="n">
        <f aca="false">Sens!$C$792-Sens!$C$789</f>
        <v>105.234994643026</v>
      </c>
      <c r="D793" s="38" t="n">
        <f aca="false">Sens!$D$792-Sens!$D$789</f>
        <v>120.021229911349</v>
      </c>
      <c r="E793" s="38" t="n">
        <f aca="false">Sens!$E$792-Sens!$E$789</f>
        <v>71.30864702443</v>
      </c>
      <c r="F793" s="38" t="n">
        <f aca="false">Sens!$O$793*(1+Sens!$F$794)</f>
        <v>78.5950104186653</v>
      </c>
      <c r="G793" s="38" t="n">
        <f aca="false">Sens!$E$793+Sens!$F$793</f>
        <v>149.903657443095</v>
      </c>
      <c r="H793" s="38" t="n">
        <f aca="false">Sens!$G$793*(1+Sens!$H$794)</f>
        <v>180.893560768142</v>
      </c>
      <c r="I793" s="38" t="n">
        <f aca="false">Sens!$H$793*(1+Sens!$I$794)</f>
        <v>210.64839721501</v>
      </c>
      <c r="J793" s="38" t="n">
        <f aca="false">Sens!$I$793*(1+Sens!$J$794)</f>
        <v>236.398909446495</v>
      </c>
      <c r="K793" s="38" t="n">
        <f aca="false">Sens!$J$793*(1+Sens!$K$794)</f>
        <v>255.310822202215</v>
      </c>
      <c r="L793" s="38" t="n">
        <f aca="false">Sens!$K$793*(1+Sens!$L$794)</f>
        <v>275.735687978392</v>
      </c>
      <c r="M793" s="38" t="n">
        <f aca="false">Sens!$L$793*(1+Sens!$M$794)</f>
        <v>297.794543016663</v>
      </c>
      <c r="N793" s="38" t="n">
        <f aca="false">Sens!$N$792-Sens!$N$789</f>
        <v>57.0936804689721</v>
      </c>
      <c r="O793" s="38" t="n">
        <f aca="false">Sens!$O$792-Sens!$O$789</f>
        <v>62.9275494423768</v>
      </c>
      <c r="P793" s="5" t="s">
        <v>580</v>
      </c>
    </row>
    <row r="794" customFormat="false" ht="17.15" hidden="false" customHeight="false" outlineLevel="0" collapsed="false">
      <c r="A794" s="0" t="s">
        <v>581</v>
      </c>
      <c r="B794" s="0" t="s">
        <v>52</v>
      </c>
      <c r="E794" s="12" t="n">
        <f aca="false">Sens!$E$793/Sens!$N$793-1</f>
        <v>0.248976181579029</v>
      </c>
      <c r="F794" s="12" t="n">
        <f aca="false">Sens!$E$794</f>
        <v>0.248976181579029</v>
      </c>
      <c r="G794" s="12" t="n">
        <f aca="false">Sens!$G$793/Sens!$D$793-1</f>
        <v>0.248976181579029</v>
      </c>
      <c r="H794" s="12" t="n">
        <f aca="false">Sens!$E$794+(g_awso_lt-Sens!$E$794)*1/4</f>
        <v>0.206732136184272</v>
      </c>
      <c r="I794" s="12" t="n">
        <f aca="false">Sens!$E$794+(g_awso_lt-Sens!$E$794)*2/4</f>
        <v>0.164488090789515</v>
      </c>
      <c r="J794" s="12" t="n">
        <f aca="false">Sens!$E$794+(g_awso_lt-Sens!$E$794)*3/4</f>
        <v>0.122244045394757</v>
      </c>
      <c r="K794" s="12" t="n">
        <f aca="false">Sens!$E$794+(g_awso_lt-Sens!$E$794)*4/4</f>
        <v>0.08</v>
      </c>
      <c r="L794" s="12" t="n">
        <f aca="false">g_awso_lt</f>
        <v>0.08</v>
      </c>
      <c r="M794" s="12" t="n">
        <f aca="false">g_awso_lt</f>
        <v>0.08</v>
      </c>
      <c r="P794" s="8" t="s">
        <v>582</v>
      </c>
    </row>
    <row r="795" customFormat="false" ht="17.15" hidden="false" customHeight="false" outlineLevel="0" collapsed="false">
      <c r="A795" s="1" t="s">
        <v>583</v>
      </c>
    </row>
    <row r="796" customFormat="false" ht="17.15" hidden="false" customHeight="false" outlineLevel="0" collapsed="false">
      <c r="A796" s="0" t="s">
        <v>584</v>
      </c>
      <c r="B796" s="0" t="s">
        <v>73</v>
      </c>
      <c r="F796" s="38" t="n">
        <f aca="false">cx_rt*Sens!$F$762+cx_awso*Sens!$F$793</f>
        <v>36.8045765066526</v>
      </c>
    </row>
    <row r="797" customFormat="false" ht="17.15" hidden="false" customHeight="false" outlineLevel="0" collapsed="false">
      <c r="A797" s="0" t="s">
        <v>585</v>
      </c>
      <c r="B797" s="0" t="s">
        <v>52</v>
      </c>
      <c r="C797" s="12" t="n">
        <f aca="false">tk_cx_h100/(tk_cx_h100+tk_fac*(1-colo_sh))</f>
        <v>0.730756458006641</v>
      </c>
      <c r="D797" s="12" t="n">
        <f aca="false">tk_cx_h100/(tk_cx_h100+tk_fac*(1-colo_sh))</f>
        <v>0.730756458006641</v>
      </c>
      <c r="E797" s="12" t="n">
        <f aca="false">Sens!$F$797</f>
        <v>0.760792334328868</v>
      </c>
      <c r="F797" s="12" t="n">
        <f aca="false">Sens!$F$780/(Sens!$F$780+tk_fac*(1-colo_sh))</f>
        <v>0.760792334328868</v>
      </c>
      <c r="G797" s="12" t="n">
        <f aca="false">Sens!$G$780/(Sens!$G$780+tk_fac*(1-colo_sh))</f>
        <v>0.760792334328868</v>
      </c>
      <c r="H797" s="12" t="n">
        <f aca="false">Sens!$H$780/(Sens!$H$780+tk_fac*(1-colo_sh))</f>
        <v>0.768110668862996</v>
      </c>
      <c r="I797" s="12" t="n">
        <f aca="false">Sens!$I$780/(Sens!$I$780+tk_fac*(1-colo_sh))</f>
        <v>0.77499450139483</v>
      </c>
      <c r="J797" s="12" t="n">
        <f aca="false">Sens!$J$780/(Sens!$J$780+tk_fac*(1-colo_sh))</f>
        <v>0.77499450139483</v>
      </c>
      <c r="K797" s="12" t="n">
        <f aca="false">Sens!$K$780/(Sens!$K$780+tk_fac*(1-colo_sh))</f>
        <v>0.77499450139483</v>
      </c>
      <c r="L797" s="12" t="n">
        <f aca="false">Sens!$L$780/(Sens!$L$780+tk_fac*(1-colo_sh))</f>
        <v>0.77499450139483</v>
      </c>
      <c r="M797" s="12" t="n">
        <f aca="false">Sens!$M$780/(Sens!$M$780+tk_fac*(1-colo_sh))</f>
        <v>0.77499450139483</v>
      </c>
    </row>
    <row r="798" customFormat="false" ht="17.15" hidden="false" customHeight="false" outlineLevel="0" collapsed="false">
      <c r="A798" s="1" t="s">
        <v>586</v>
      </c>
      <c r="B798" s="8" t="s">
        <v>73</v>
      </c>
      <c r="C798" s="38" t="n">
        <f aca="false">Q!$D$46-cx_rt*Q!$D$16-cx_awso*Sens!$C$793</f>
        <v>25.2781053077374</v>
      </c>
      <c r="D798" s="38" t="n">
        <f aca="false">Q!$E$46-cx_rt*Q!$E$16-cx_awso*Sens!$D$793</f>
        <v>69.5686316310026</v>
      </c>
      <c r="E798" s="38" t="n">
        <f aca="false">Q!$P$46-cx_rt*Q!$P$16-cx_awso*Sens!$E$793</f>
        <v>64.1899206485108</v>
      </c>
      <c r="F798" s="38" t="n">
        <f aca="false">MAX(Sens!$F$775*(Sens!$F$780+tk_fac*(1-colo_sh))/1000,capex_g26-Q!$P$46-Sens!$F$796)</f>
        <v>128.330839986</v>
      </c>
      <c r="G798" s="38" t="n">
        <f aca="false">Sens!$E$798+Sens!$F$798</f>
        <v>192.520760634511</v>
      </c>
      <c r="H798" s="38" t="n">
        <f aca="false">Sens!$H$775*(Sens!$H$780+tk_fac*(1-colo_sh))/1000+Sens!$H$799</f>
        <v>264.761819926333</v>
      </c>
      <c r="I798" s="38" t="n">
        <f aca="false">Sens!$I$775*(Sens!$I$780+tk_fac*(1-colo_sh))/1000+Sens!$I$799</f>
        <v>272.861959880667</v>
      </c>
      <c r="J798" s="38" t="n">
        <f aca="false">Sens!$J$775*(Sens!$J$780+tk_fac*(1-colo_sh))/1000+Sens!$J$799</f>
        <v>279.844317480667</v>
      </c>
      <c r="K798" s="38" t="n">
        <f aca="false">Sens!$K$775*(Sens!$K$780+tk_fac*(1-colo_sh))/1000+Sens!$K$799</f>
        <v>286.826675080667</v>
      </c>
      <c r="L798" s="38" t="n">
        <f aca="false">Sens!$L$775*(Sens!$L$780+tk_fac*(1-colo_sh))/1000+Sens!$L$799</f>
        <v>335.703178280667</v>
      </c>
      <c r="M798" s="38" t="n">
        <f aca="false">Sens!$M$775*(Sens!$M$780+tk_fac*(1-colo_sh))/1000+Sens!$M$799</f>
        <v>415.834459687667</v>
      </c>
      <c r="P798" s="5" t="s">
        <v>587</v>
      </c>
      <c r="R798" s="38" t="n">
        <f aca="false">Q!$C$46-cx_rt*Q!$C$16-cx_awso*(Q!$C$7-mw_ye23/2*rpm_open/1000)</f>
        <v>1.50429979529945</v>
      </c>
      <c r="S798" s="38" t="n">
        <f aca="false">Sens!$C$798</f>
        <v>25.2781053077374</v>
      </c>
      <c r="T798" s="38" t="n">
        <f aca="false">Sens!$D$798</f>
        <v>69.5686316310026</v>
      </c>
      <c r="U798" s="38" t="n">
        <f aca="false">Sens!$G$798</f>
        <v>192.520760634511</v>
      </c>
      <c r="V798" s="38" t="n">
        <f aca="false">Sens!$H$798</f>
        <v>264.761819926333</v>
      </c>
      <c r="W798" s="38" t="n">
        <f aca="false">Sens!$I$798</f>
        <v>272.861959880667</v>
      </c>
      <c r="X798" s="38" t="n">
        <f aca="false">Sens!$J$798</f>
        <v>279.844317480667</v>
      </c>
      <c r="Y798" s="38" t="n">
        <f aca="false">Sens!$K$798</f>
        <v>286.826675080667</v>
      </c>
      <c r="Z798" s="38" t="n">
        <f aca="false">Sens!$L$798</f>
        <v>335.703178280667</v>
      </c>
      <c r="AA798" s="38" t="n">
        <f aca="false">Sens!$M$798</f>
        <v>415.834459687667</v>
      </c>
    </row>
    <row r="799" customFormat="false" ht="17.15" hidden="false" customHeight="false" outlineLevel="0" collapsed="false">
      <c r="A799" s="0" t="s">
        <v>588</v>
      </c>
      <c r="B799" s="0" t="s">
        <v>73</v>
      </c>
      <c r="H799" s="38" t="n">
        <f aca="false">SUMPRODUCT(--(Sens!$R$769:$AA$769=2027-tk_life),Sens!$R$775:$AA$775)*Sens!$H$780/1000</f>
        <v>0</v>
      </c>
      <c r="I799" s="38" t="n">
        <f aca="false">SUMPRODUCT(--(Sens!$R$769:$AA$769=2028-tk_life),Sens!$R$775:$AA$775)*Sens!$I$780/1000</f>
        <v>0</v>
      </c>
      <c r="J799" s="38" t="n">
        <f aca="false">SUMPRODUCT(--(Sens!$R$769:$AA$769=2029-tk_life),Sens!$R$775:$AA$775)*Sens!$J$780/1000</f>
        <v>6.9823576</v>
      </c>
      <c r="K799" s="38" t="n">
        <f aca="false">SUMPRODUCT(--(Sens!$R$769:$AA$769=2030-tk_life),Sens!$R$775:$AA$775)*Sens!$K$780/1000</f>
        <v>13.9647152</v>
      </c>
      <c r="L799" s="38" t="n">
        <f aca="false">SUMPRODUCT(--(Sens!$R$769:$AA$769=2031-tk_life),Sens!$R$775:$AA$775)*Sens!$L$780/1000</f>
        <v>62.8412184</v>
      </c>
      <c r="M799" s="38" t="n">
        <f aca="false">SUMPRODUCT(--(Sens!$R$769:$AA$769=2032-tk_life),Sens!$R$775:$AA$775)*Sens!$M$780/1000</f>
        <v>142.972499807</v>
      </c>
    </row>
    <row r="800" customFormat="false" ht="17.15" hidden="false" customHeight="false" outlineLevel="0" collapsed="false">
      <c r="A800" s="5" t="s">
        <v>589</v>
      </c>
      <c r="B800" s="0" t="s">
        <v>73</v>
      </c>
      <c r="C800" s="38" t="n">
        <f aca="false">Sens!$C$798*Sens!$C$797</f>
        <v>18.472138699801</v>
      </c>
      <c r="D800" s="38" t="n">
        <f aca="false">Sens!$D$798*Sens!$D$797</f>
        <v>50.8377268390402</v>
      </c>
      <c r="E800" s="38" t="n">
        <f aca="false">Sens!$E$798*Sens!$E$797</f>
        <v>48.8351995705653</v>
      </c>
      <c r="F800" s="38" t="n">
        <f aca="false">Sens!$F$798*Sens!$F$797</f>
        <v>97.6331193193333</v>
      </c>
      <c r="G800" s="38" t="n">
        <f aca="false">Sens!$E$800+Sens!$F$800</f>
        <v>146.468318889899</v>
      </c>
      <c r="H800" s="38" t="n">
        <f aca="false">(Sens!$H$798-Sens!$H$799)*Sens!$H$797+Sens!$H$799</f>
        <v>203.366378593</v>
      </c>
      <c r="I800" s="38" t="n">
        <f aca="false">(Sens!$I$798-Sens!$I$799)*Sens!$I$797+Sens!$I$799</f>
        <v>211.466518547333</v>
      </c>
      <c r="J800" s="38" t="n">
        <f aca="false">(Sens!$J$798-Sens!$J$799)*Sens!$J$797+Sens!$J$799</f>
        <v>218.448876147333</v>
      </c>
      <c r="K800" s="38" t="n">
        <f aca="false">(Sens!$K$798-Sens!$K$799)*Sens!$K$797+Sens!$K$799</f>
        <v>225.431233747333</v>
      </c>
      <c r="L800" s="38" t="n">
        <f aca="false">(Sens!$L$798-Sens!$L$799)*Sens!$L$797+Sens!$L$799</f>
        <v>274.307736947333</v>
      </c>
      <c r="M800" s="38" t="n">
        <f aca="false">(Sens!$M$798-Sens!$M$799)*Sens!$M$797+Sens!$M$799</f>
        <v>354.439018354333</v>
      </c>
      <c r="R800" s="38" t="n">
        <f aca="false">Sens!$R$798*Sens!$C$797</f>
        <v>1.09927679019314</v>
      </c>
      <c r="S800" s="38" t="n">
        <f aca="false">Sens!$C$800</f>
        <v>18.472138699801</v>
      </c>
      <c r="T800" s="38" t="n">
        <f aca="false">Sens!$D$800</f>
        <v>50.8377268390402</v>
      </c>
      <c r="U800" s="38" t="n">
        <f aca="false">Sens!$G$800</f>
        <v>146.468318889899</v>
      </c>
      <c r="V800" s="38" t="n">
        <f aca="false">Sens!$H$800</f>
        <v>203.366378593</v>
      </c>
      <c r="W800" s="38" t="n">
        <f aca="false">Sens!$I$800</f>
        <v>211.466518547333</v>
      </c>
      <c r="X800" s="38" t="n">
        <f aca="false">Sens!$J$800</f>
        <v>218.448876147333</v>
      </c>
      <c r="Y800" s="38" t="n">
        <f aca="false">Sens!$K$800</f>
        <v>225.431233747333</v>
      </c>
      <c r="Z800" s="38" t="n">
        <f aca="false">Sens!$L$800</f>
        <v>274.307736947333</v>
      </c>
      <c r="AA800" s="38" t="n">
        <f aca="false">Sens!$M$800</f>
        <v>354.439018354333</v>
      </c>
    </row>
    <row r="801" customFormat="false" ht="15" hidden="false" customHeight="false" outlineLevel="0" collapsed="false">
      <c r="A801" s="5" t="s">
        <v>590</v>
      </c>
      <c r="B801" s="0" t="s">
        <v>73</v>
      </c>
      <c r="C801" s="38" t="n">
        <f aca="false">Sens!$C$798-Sens!$C$800</f>
        <v>6.80596660793636</v>
      </c>
      <c r="D801" s="38" t="n">
        <f aca="false">Sens!$D$798-Sens!$D$800</f>
        <v>18.7309047919624</v>
      </c>
      <c r="E801" s="38" t="n">
        <f aca="false">Sens!$E$798-Sens!$E$800</f>
        <v>15.3547210779455</v>
      </c>
      <c r="F801" s="38" t="n">
        <f aca="false">Sens!$F$798-Sens!$F$800</f>
        <v>30.6977206666667</v>
      </c>
      <c r="G801" s="38" t="n">
        <f aca="false">Sens!$G$798-Sens!$G$800</f>
        <v>46.0524417446122</v>
      </c>
      <c r="H801" s="38" t="n">
        <f aca="false">Sens!$H$798-Sens!$H$800</f>
        <v>61.3954413333334</v>
      </c>
      <c r="I801" s="38" t="n">
        <f aca="false">Sens!$I$798-Sens!$I$800</f>
        <v>61.3954413333333</v>
      </c>
      <c r="J801" s="38" t="n">
        <f aca="false">Sens!$J$798-Sens!$J$800</f>
        <v>61.3954413333333</v>
      </c>
      <c r="K801" s="38" t="n">
        <f aca="false">Sens!$K$798-Sens!$K$800</f>
        <v>61.3954413333333</v>
      </c>
      <c r="L801" s="38" t="n">
        <f aca="false">Sens!$L$798-Sens!$L$800</f>
        <v>61.3954413333333</v>
      </c>
      <c r="M801" s="38" t="n">
        <f aca="false">Sens!$M$798-Sens!$M$800</f>
        <v>61.3954413333333</v>
      </c>
      <c r="R801" s="38" t="n">
        <f aca="false">Sens!$R$798-Sens!$R$800</f>
        <v>0.405023005106309</v>
      </c>
      <c r="S801" s="38" t="n">
        <f aca="false">Sens!$S$798-Sens!$S$800</f>
        <v>6.80596660793636</v>
      </c>
      <c r="T801" s="38" t="n">
        <f aca="false">Sens!$T$798-Sens!$T$800</f>
        <v>18.7309047919624</v>
      </c>
      <c r="U801" s="38" t="n">
        <f aca="false">Sens!$U$798-Sens!$U$800</f>
        <v>46.0524417446122</v>
      </c>
      <c r="V801" s="38" t="n">
        <f aca="false">Sens!$V$798-Sens!$V$800</f>
        <v>61.3954413333334</v>
      </c>
      <c r="W801" s="38" t="n">
        <f aca="false">Sens!$W$798-Sens!$W$800</f>
        <v>61.3954413333333</v>
      </c>
      <c r="X801" s="38" t="n">
        <f aca="false">Sens!$X$798-Sens!$X$800</f>
        <v>61.3954413333333</v>
      </c>
      <c r="Y801" s="38" t="n">
        <f aca="false">Sens!$Y$798-Sens!$Y$800</f>
        <v>61.3954413333333</v>
      </c>
      <c r="Z801" s="38" t="n">
        <f aca="false">Sens!$Z$798-Sens!$Z$800</f>
        <v>61.3954413333333</v>
      </c>
      <c r="AA801" s="38" t="n">
        <f aca="false">Sens!$AA$798-Sens!$AA$800</f>
        <v>61.3954413333333</v>
      </c>
    </row>
    <row r="802" customFormat="false" ht="17.15" hidden="false" customHeight="false" outlineLevel="0" collapsed="false">
      <c r="A802" s="0" t="s">
        <v>591</v>
      </c>
      <c r="B802" s="0" t="s">
        <v>52</v>
      </c>
      <c r="C802" s="12" t="n">
        <f aca="false">Sens!$C$798/Sens!$C$914</f>
        <v>0.325505489553393</v>
      </c>
      <c r="D802" s="12" t="n">
        <f aca="false">Sens!$D$798/Sens!$D$914</f>
        <v>0.54214956071542</v>
      </c>
      <c r="E802" s="12" t="n">
        <f aca="false">Sens!$E$798/Sens!$E$914</f>
        <v>0.666492790452817</v>
      </c>
      <c r="F802" s="12" t="n">
        <f aca="false">Sens!$F$798/Sens!$F$914</f>
        <v>0.777124875521235</v>
      </c>
      <c r="G802" s="12" t="n">
        <f aca="false">Sens!$G$798/Sens!$G$914</f>
        <v>0.736370762269306</v>
      </c>
      <c r="H802" s="12" t="n">
        <f aca="false">Sens!$H$798/Sens!$H$914</f>
        <v>0.769520947160837</v>
      </c>
      <c r="I802" s="12" t="n">
        <f aca="false">Sens!$I$798/Sens!$I$914</f>
        <v>0.753450211572003</v>
      </c>
      <c r="J802" s="12" t="n">
        <f aca="false">Sens!$J$798/Sens!$J$914</f>
        <v>0.740269880983735</v>
      </c>
      <c r="K802" s="12" t="n">
        <f aca="false">Sens!$K$798/Sens!$K$914</f>
        <v>0.731528262444964</v>
      </c>
      <c r="L802" s="12" t="n">
        <f aca="false">Sens!$L$798/Sens!$L$914</f>
        <v>0.748364888223028</v>
      </c>
      <c r="M802" s="12" t="n">
        <f aca="false">Sens!$M$798/Sens!$M$914</f>
        <v>0.774507496571961</v>
      </c>
    </row>
    <row r="803" customFormat="false" ht="17.15" hidden="false" customHeight="false" outlineLevel="0" collapsed="false">
      <c r="A803" s="0" t="s">
        <v>592</v>
      </c>
      <c r="B803" s="0" t="s">
        <v>73</v>
      </c>
      <c r="C803" s="38" t="n">
        <f aca="false">Sens!$S$803</f>
        <v>0.183212798365523</v>
      </c>
      <c r="D803" s="38" t="n">
        <f aca="false">Sens!$T$803</f>
        <v>3.2619025816657</v>
      </c>
      <c r="E803" s="38" t="n">
        <f aca="false">Sens!$G$803/2</f>
        <v>5.86742852741953</v>
      </c>
      <c r="F803" s="38" t="n">
        <f aca="false">Sens!$G$803/2</f>
        <v>5.86742852741953</v>
      </c>
      <c r="G803" s="38" t="n">
        <f aca="false">Sens!$U$803</f>
        <v>11.7348570548391</v>
      </c>
      <c r="H803" s="38" t="n">
        <f aca="false">Sens!$V$803</f>
        <v>36.1462435364888</v>
      </c>
      <c r="I803" s="38" t="n">
        <f aca="false">Sens!$W$803</f>
        <v>70.0406399686555</v>
      </c>
      <c r="J803" s="38" t="n">
        <f aca="false">Sens!$X$803</f>
        <v>105.285059726544</v>
      </c>
      <c r="K803" s="38" t="n">
        <f aca="false">Sens!$Y$803</f>
        <v>141.509992952734</v>
      </c>
      <c r="L803" s="38" t="n">
        <f aca="false">Sens!$Z$803</f>
        <v>176.003175460656</v>
      </c>
      <c r="M803" s="38" t="n">
        <f aca="false">Sens!$AA$803</f>
        <v>213.248177145372</v>
      </c>
      <c r="N803" s="38" t="n">
        <f aca="false">Sens!$D$803/2</f>
        <v>1.63095129083285</v>
      </c>
      <c r="O803" s="38" t="n">
        <f aca="false">Sens!$D$803/2</f>
        <v>1.63095129083285</v>
      </c>
      <c r="R803" s="38" t="n">
        <f aca="false">SUMPRODUCT(--(Sens!$R$769:$AA$769&lt;Sens!R$769),--(Sens!$R$769:$AA$769&gt;=Sens!R$769-tk_life),Sens!$R$800:$AA$800)/tk_life</f>
        <v>0</v>
      </c>
      <c r="S803" s="38" t="n">
        <f aca="false">SUMPRODUCT(--(Sens!$R$769:$AA$769&lt;Sens!S$769),--(Sens!$R$769:$AA$769&gt;=Sens!S$769-tk_life),Sens!$R$800:$AA$800)/tk_life</f>
        <v>0.183212798365523</v>
      </c>
      <c r="T803" s="38" t="n">
        <f aca="false">SUMPRODUCT(--(Sens!$R$769:$AA$769&lt;Sens!T$769),--(Sens!$R$769:$AA$769&gt;=Sens!T$769-tk_life),Sens!$R$800:$AA$800)/tk_life</f>
        <v>3.2619025816657</v>
      </c>
      <c r="U803" s="38" t="n">
        <f aca="false">SUMPRODUCT(--(Sens!$R$769:$AA$769&lt;Sens!U$769),--(Sens!$R$769:$AA$769&gt;=Sens!U$769-tk_life),Sens!$R$800:$AA$800)/tk_life</f>
        <v>11.7348570548391</v>
      </c>
      <c r="V803" s="38" t="n">
        <f aca="false">SUMPRODUCT(--(Sens!$R$769:$AA$769&lt;Sens!V$769),--(Sens!$R$769:$AA$769&gt;=Sens!V$769-tk_life),Sens!$R$800:$AA$800)/tk_life</f>
        <v>36.1462435364888</v>
      </c>
      <c r="W803" s="38" t="n">
        <f aca="false">SUMPRODUCT(--(Sens!$R$769:$AA$769&lt;Sens!W$769),--(Sens!$R$769:$AA$769&gt;=Sens!W$769-tk_life),Sens!$R$800:$AA$800)/tk_life</f>
        <v>70.0406399686555</v>
      </c>
      <c r="X803" s="38" t="n">
        <f aca="false">SUMPRODUCT(--(Sens!$R$769:$AA$769&lt;Sens!X$769),--(Sens!$R$769:$AA$769&gt;=Sens!X$769-tk_life),Sens!$R$800:$AA$800)/tk_life</f>
        <v>105.285059726544</v>
      </c>
      <c r="Y803" s="38" t="n">
        <f aca="false">SUMPRODUCT(--(Sens!$R$769:$AA$769&lt;Sens!Y$769),--(Sens!$R$769:$AA$769&gt;=Sens!Y$769-tk_life),Sens!$R$800:$AA$800)/tk_life</f>
        <v>141.509992952734</v>
      </c>
      <c r="Z803" s="38" t="n">
        <f aca="false">SUMPRODUCT(--(Sens!$R$769:$AA$769&lt;Sens!Z$769),--(Sens!$R$769:$AA$769&gt;=Sens!Z$769-tk_life),Sens!$R$800:$AA$800)/tk_life</f>
        <v>176.003175460656</v>
      </c>
      <c r="AA803" s="38" t="n">
        <f aca="false">SUMPRODUCT(--(Sens!$R$769:$AA$769&lt;Sens!AA$769),--(Sens!$R$769:$AA$769&gt;=Sens!AA$769-tk_life),Sens!$R$800:$AA$800)/tk_life</f>
        <v>213.248177145372</v>
      </c>
    </row>
    <row r="804" customFormat="false" ht="17.15" hidden="false" customHeight="false" outlineLevel="0" collapsed="false">
      <c r="A804" s="0" t="s">
        <v>593</v>
      </c>
      <c r="B804" s="0" t="s">
        <v>73</v>
      </c>
      <c r="C804" s="38" t="n">
        <f aca="false">Sens!$S$804</f>
        <v>0.0202511502553155</v>
      </c>
      <c r="D804" s="38" t="n">
        <f aca="false">Sens!$T$804</f>
        <v>0.360549480652134</v>
      </c>
      <c r="E804" s="38" t="n">
        <f aca="false">Sens!$G$804/2</f>
        <v>0.648547360125127</v>
      </c>
      <c r="F804" s="38" t="n">
        <f aca="false">Sens!$G$804/2</f>
        <v>0.648547360125127</v>
      </c>
      <c r="G804" s="38" t="n">
        <f aca="false">Sens!$U$804</f>
        <v>1.29709472025025</v>
      </c>
      <c r="H804" s="38" t="n">
        <f aca="false">Sens!$V$804</f>
        <v>3.59971680748086</v>
      </c>
      <c r="I804" s="38" t="n">
        <f aca="false">Sens!$W$804</f>
        <v>6.66948887414753</v>
      </c>
      <c r="J804" s="38" t="n">
        <f aca="false">Sens!$X$804</f>
        <v>9.7392609408142</v>
      </c>
      <c r="K804" s="38" t="n">
        <f aca="false">Sens!$Y$804</f>
        <v>12.8090330074809</v>
      </c>
      <c r="L804" s="38" t="n">
        <f aca="false">Sens!$Z$804</f>
        <v>15.8788050741475</v>
      </c>
      <c r="M804" s="38" t="n">
        <f aca="false">Sens!$AA$804</f>
        <v>18.9485771408142</v>
      </c>
      <c r="N804" s="38" t="n">
        <f aca="false">Sens!$D$804/2</f>
        <v>0.180274740326067</v>
      </c>
      <c r="O804" s="38" t="n">
        <f aca="false">Sens!$D$804/2</f>
        <v>0.180274740326067</v>
      </c>
      <c r="R804" s="38" t="n">
        <f aca="false">SUMPRODUCT(--(Sens!$R$769:$AA$769&lt;Sens!R$769),Sens!$R$801:$AA$801)/fac_life</f>
        <v>0</v>
      </c>
      <c r="S804" s="38" t="n">
        <f aca="false">SUMPRODUCT(--(Sens!$R$769:$AA$769&lt;Sens!S$769),Sens!$R$801:$AA$801)/fac_life</f>
        <v>0.0202511502553155</v>
      </c>
      <c r="T804" s="38" t="n">
        <f aca="false">SUMPRODUCT(--(Sens!$R$769:$AA$769&lt;Sens!T$769),Sens!$R$801:$AA$801)/fac_life</f>
        <v>0.360549480652134</v>
      </c>
      <c r="U804" s="38" t="n">
        <f aca="false">SUMPRODUCT(--(Sens!$R$769:$AA$769&lt;Sens!U$769),Sens!$R$801:$AA$801)/fac_life</f>
        <v>1.29709472025025</v>
      </c>
      <c r="V804" s="38" t="n">
        <f aca="false">SUMPRODUCT(--(Sens!$R$769:$AA$769&lt;Sens!V$769),Sens!$R$801:$AA$801)/fac_life</f>
        <v>3.59971680748086</v>
      </c>
      <c r="W804" s="38" t="n">
        <f aca="false">SUMPRODUCT(--(Sens!$R$769:$AA$769&lt;Sens!W$769),Sens!$R$801:$AA$801)/fac_life</f>
        <v>6.66948887414753</v>
      </c>
      <c r="X804" s="38" t="n">
        <f aca="false">SUMPRODUCT(--(Sens!$R$769:$AA$769&lt;Sens!X$769),Sens!$R$801:$AA$801)/fac_life</f>
        <v>9.7392609408142</v>
      </c>
      <c r="Y804" s="38" t="n">
        <f aca="false">SUMPRODUCT(--(Sens!$R$769:$AA$769&lt;Sens!Y$769),Sens!$R$801:$AA$801)/fac_life</f>
        <v>12.8090330074809</v>
      </c>
      <c r="Z804" s="38" t="n">
        <f aca="false">SUMPRODUCT(--(Sens!$R$769:$AA$769&lt;Sens!Z$769),Sens!$R$801:$AA$801)/fac_life</f>
        <v>15.8788050741475</v>
      </c>
      <c r="AA804" s="38" t="n">
        <f aca="false">SUMPRODUCT(--(Sens!$R$769:$AA$769&lt;Sens!AA$769),Sens!$R$801:$AA$801)/fac_life</f>
        <v>18.9485771408142</v>
      </c>
    </row>
    <row r="805" customFormat="false" ht="17.15" hidden="false" customHeight="false" outlineLevel="0" collapsed="false">
      <c r="A805" s="1" t="s">
        <v>594</v>
      </c>
      <c r="B805" s="8" t="s">
        <v>73</v>
      </c>
      <c r="C805" s="38" t="n">
        <f aca="false">Sens!$C$803+Sens!$C$804</f>
        <v>0.203463948620839</v>
      </c>
      <c r="D805" s="38" t="n">
        <f aca="false">Sens!$D$803+Sens!$D$804</f>
        <v>3.62245206231783</v>
      </c>
      <c r="E805" s="38" t="n">
        <f aca="false">Sens!$E$803+Sens!$E$804</f>
        <v>6.51597588754466</v>
      </c>
      <c r="F805" s="38" t="n">
        <f aca="false">Sens!$F$803+Sens!$F$804</f>
        <v>6.51597588754466</v>
      </c>
      <c r="G805" s="38" t="n">
        <f aca="false">Sens!$G$803+Sens!$G$804</f>
        <v>13.0319517750893</v>
      </c>
      <c r="H805" s="38" t="n">
        <f aca="false">Sens!$H$803+Sens!$H$804</f>
        <v>39.7459603439697</v>
      </c>
      <c r="I805" s="38" t="n">
        <f aca="false">Sens!$I$803+Sens!$I$804</f>
        <v>76.710128842803</v>
      </c>
      <c r="J805" s="38" t="n">
        <f aca="false">Sens!$J$803+Sens!$J$804</f>
        <v>115.024320667359</v>
      </c>
      <c r="K805" s="38" t="n">
        <f aca="false">Sens!$K$803+Sens!$K$804</f>
        <v>154.319025960215</v>
      </c>
      <c r="L805" s="38" t="n">
        <f aca="false">Sens!$L$803+Sens!$L$804</f>
        <v>191.881980534804</v>
      </c>
      <c r="M805" s="38" t="n">
        <f aca="false">Sens!$M$803+Sens!$M$804</f>
        <v>232.196754286186</v>
      </c>
      <c r="N805" s="38" t="n">
        <f aca="false">Sens!$N$803+Sens!$N$804</f>
        <v>1.81122603115892</v>
      </c>
      <c r="O805" s="38" t="n">
        <f aca="false">Sens!$O$803+Sens!$O$804</f>
        <v>1.81122603115892</v>
      </c>
      <c r="R805" s="38" t="n">
        <f aca="false">Sens!$R$803+Sens!$R$804</f>
        <v>0</v>
      </c>
      <c r="S805" s="38" t="n">
        <f aca="false">Sens!$S$803+Sens!$S$804</f>
        <v>0.203463948620839</v>
      </c>
      <c r="T805" s="38" t="n">
        <f aca="false">Sens!$T$803+Sens!$T$804</f>
        <v>3.62245206231783</v>
      </c>
      <c r="U805" s="38" t="n">
        <f aca="false">Sens!$U$803+Sens!$U$804</f>
        <v>13.0319517750893</v>
      </c>
      <c r="V805" s="38" t="n">
        <f aca="false">Sens!$V$803+Sens!$V$804</f>
        <v>39.7459603439697</v>
      </c>
      <c r="W805" s="38" t="n">
        <f aca="false">Sens!$W$803+Sens!$W$804</f>
        <v>76.710128842803</v>
      </c>
      <c r="X805" s="38" t="n">
        <f aca="false">Sens!$X$803+Sens!$X$804</f>
        <v>115.024320667359</v>
      </c>
      <c r="Y805" s="38" t="n">
        <f aca="false">Sens!$Y$803+Sens!$Y$804</f>
        <v>154.319025960215</v>
      </c>
      <c r="Z805" s="38" t="n">
        <f aca="false">Sens!$Z$803+Sens!$Z$804</f>
        <v>191.881980534804</v>
      </c>
      <c r="AA805" s="38" t="n">
        <f aca="false">Sens!$AA$803+Sens!$AA$804</f>
        <v>232.196754286186</v>
      </c>
    </row>
    <row r="806" customFormat="false" ht="17.15" hidden="false" customHeight="false" outlineLevel="0" collapsed="false">
      <c r="A806" s="0" t="s">
        <v>595</v>
      </c>
      <c r="B806" s="0" t="s">
        <v>73</v>
      </c>
      <c r="C806" s="38" t="n">
        <f aca="false">Sens!$S$806</f>
        <v>26.578941154416</v>
      </c>
      <c r="D806" s="38" t="n">
        <f aca="false">Sens!$T$806</f>
        <v>92.5251207231008</v>
      </c>
      <c r="G806" s="38" t="n">
        <f aca="false">Sens!$U$806</f>
        <v>272.013929582522</v>
      </c>
      <c r="H806" s="38" t="n">
        <f aca="false">Sens!$V$806</f>
        <v>497.029789164886</v>
      </c>
      <c r="I806" s="38" t="n">
        <f aca="false">Sens!$W$806</f>
        <v>693.18162020275</v>
      </c>
      <c r="J806" s="38" t="n">
        <f aca="false">Sens!$X$806</f>
        <v>858.001617016058</v>
      </c>
      <c r="K806" s="38" t="n">
        <f aca="false">Sens!$Y$806</f>
        <v>990.509266136509</v>
      </c>
      <c r="L806" s="38" t="n">
        <f aca="false">Sens!$Z$806</f>
        <v>1134.33046388237</v>
      </c>
      <c r="M806" s="38" t="n">
        <f aca="false">Sens!$AA$806</f>
        <v>1317.96816928385</v>
      </c>
      <c r="R806" s="38" t="n">
        <f aca="false">SUM(Sens!$R$798:$R$798)-SUM(Sens!$R$805:$R$805)</f>
        <v>1.50429979529945</v>
      </c>
      <c r="S806" s="38" t="n">
        <f aca="false">SUM(Sens!$R$798:$S$798)-SUM(Sens!$R$805:$S$805)</f>
        <v>26.578941154416</v>
      </c>
      <c r="T806" s="38" t="n">
        <f aca="false">SUM(Sens!$R$798:$T$798)-SUM(Sens!$R$805:$T$805)</f>
        <v>92.5251207231008</v>
      </c>
      <c r="U806" s="38" t="n">
        <f aca="false">SUM(Sens!$R$798:$U$798)-SUM(Sens!$R$805:$U$805)</f>
        <v>272.013929582522</v>
      </c>
      <c r="V806" s="38" t="n">
        <f aca="false">SUM(Sens!$R$798:$V$798)-SUM(Sens!$R$805:$V$805)</f>
        <v>497.029789164886</v>
      </c>
      <c r="W806" s="38" t="n">
        <f aca="false">SUM(Sens!$R$798:$W$798)-SUM(Sens!$R$805:$W$805)</f>
        <v>693.18162020275</v>
      </c>
      <c r="X806" s="38" t="n">
        <f aca="false">SUM(Sens!$R$798:$X$798)-SUM(Sens!$R$805:$X$805)</f>
        <v>858.001617016058</v>
      </c>
      <c r="Y806" s="38" t="n">
        <f aca="false">SUM(Sens!$R$798:$Y$798)-SUM(Sens!$R$805:$Y$805)</f>
        <v>990.509266136509</v>
      </c>
      <c r="Z806" s="38" t="n">
        <f aca="false">SUM(Sens!$R$798:$Z$798)-SUM(Sens!$R$805:$Z$805)</f>
        <v>1134.33046388237</v>
      </c>
      <c r="AA806" s="38" t="n">
        <f aca="false">SUM(Sens!$R$798:$AA$798)-SUM(Sens!$R$805:$AA$805)</f>
        <v>1317.96816928385</v>
      </c>
    </row>
    <row r="807" customFormat="false" ht="17.15" hidden="false" customHeight="false" outlineLevel="0" collapsed="false">
      <c r="A807" s="1" t="s">
        <v>596</v>
      </c>
    </row>
    <row r="808" customFormat="false" ht="17.15" hidden="false" customHeight="false" outlineLevel="0" collapsed="false">
      <c r="A808" s="0" t="s">
        <v>597</v>
      </c>
      <c r="B808" s="0" t="s">
        <v>73</v>
      </c>
      <c r="C808" s="38" t="n">
        <f aca="false">Sens!$C$789-ext_sh_lo*Sens!$C$791</f>
        <v>1.80694998843362</v>
      </c>
      <c r="D808" s="38" t="n">
        <f aca="false">Sens!$D$789-ext_sh_lo*Sens!$D$791</f>
        <v>6.77606245662607</v>
      </c>
      <c r="E808" s="38" t="n">
        <f aca="false">Sens!$E$789-ext_sh_lo*Sens!$E$791</f>
        <v>6.62548329092326</v>
      </c>
      <c r="F808" s="38" t="n">
        <f aca="false">Sens!$F$789-ext_sh_lo*Sens!$F$791</f>
        <v>11.7200577158706</v>
      </c>
      <c r="G808" s="38" t="n">
        <f aca="false">Sens!$G$789-ext_sh_lo*Sens!$G$791</f>
        <v>18.3455410067939</v>
      </c>
      <c r="H808" s="38" t="n">
        <f aca="false">Sens!$H$789-ext_sh_lo*Sens!$H$791</f>
        <v>47.5171727060453</v>
      </c>
      <c r="I808" s="38" t="n">
        <f aca="false">Sens!$I$789-ext_sh_lo*Sens!$I$791</f>
        <v>80.5539692643667</v>
      </c>
      <c r="J808" s="38" t="n">
        <f aca="false">Sens!$J$789-ext_sh_lo*Sens!$J$791</f>
        <v>113.759316834883</v>
      </c>
      <c r="K808" s="38" t="n">
        <f aca="false">Sens!$K$789-ext_sh_lo*Sens!$K$791</f>
        <v>147.020848076132</v>
      </c>
      <c r="L808" s="38" t="n">
        <f aca="false">Sens!$L$789-ext_sh_lo*Sens!$L$791</f>
        <v>180.307917349531</v>
      </c>
      <c r="M808" s="38" t="n">
        <f aca="false">Sens!$M$789-ext_sh_lo*Sens!$M$791</f>
        <v>213.608737871012</v>
      </c>
      <c r="N808" s="38" t="n">
        <f aca="false">Sens!$N$789-ext_sh_lo*Sens!$N$791</f>
        <v>2.37162185981912</v>
      </c>
      <c r="O808" s="38" t="n">
        <f aca="false">Sens!$O$789-ext_sh_lo*Sens!$O$791</f>
        <v>4.40444059680694</v>
      </c>
    </row>
    <row r="809" customFormat="false" ht="17.15" hidden="false" customHeight="false" outlineLevel="0" collapsed="false">
      <c r="A809" s="1" t="s">
        <v>598</v>
      </c>
      <c r="B809" s="8" t="s">
        <v>73</v>
      </c>
      <c r="C809" s="38" t="n">
        <f aca="false">Sens!$C$808-ext_sh_lo*Sens!$C$805</f>
        <v>1.68487161926111</v>
      </c>
      <c r="D809" s="38" t="n">
        <f aca="false">Sens!$D$808-ext_sh_lo*Sens!$D$805</f>
        <v>4.60259121923537</v>
      </c>
      <c r="E809" s="38" t="n">
        <f aca="false">Sens!$E$808-ext_sh_lo*Sens!$E$805</f>
        <v>2.71589775839647</v>
      </c>
      <c r="F809" s="38" t="n">
        <f aca="false">Sens!$F$808-ext_sh_lo*Sens!$F$805</f>
        <v>7.8104721833438</v>
      </c>
      <c r="G809" s="38" t="n">
        <f aca="false">Sens!$G$808-ext_sh_lo*Sens!$G$805</f>
        <v>10.5263699417403</v>
      </c>
      <c r="H809" s="38" t="n">
        <f aca="false">Sens!$H$808-ext_sh_lo*Sens!$H$805</f>
        <v>23.6695964996635</v>
      </c>
      <c r="I809" s="38" t="n">
        <f aca="false">Sens!$I$808-ext_sh_lo*Sens!$I$805</f>
        <v>34.5278919586849</v>
      </c>
      <c r="J809" s="38" t="n">
        <f aca="false">Sens!$J$808-ext_sh_lo*Sens!$J$805</f>
        <v>44.7447244344682</v>
      </c>
      <c r="K809" s="38" t="n">
        <f aca="false">Sens!$K$808-ext_sh_lo*Sens!$K$805</f>
        <v>54.4294325000026</v>
      </c>
      <c r="L809" s="38" t="n">
        <f aca="false">Sens!$L$808-ext_sh_lo*Sens!$L$805</f>
        <v>65.1787290286487</v>
      </c>
      <c r="M809" s="38" t="n">
        <f aca="false">Sens!$M$808-ext_sh_lo*Sens!$M$805</f>
        <v>74.2906852993</v>
      </c>
      <c r="N809" s="38" t="n">
        <f aca="false">Sens!$N$808-ext_sh_lo*Sens!$N$805</f>
        <v>1.28488624112377</v>
      </c>
      <c r="O809" s="38" t="n">
        <f aca="false">Sens!$O$808-ext_sh_lo*Sens!$O$805</f>
        <v>3.31770497811159</v>
      </c>
    </row>
    <row r="810" customFormat="false" ht="17.15" hidden="false" customHeight="false" outlineLevel="0" collapsed="false">
      <c r="A810" s="0" t="s">
        <v>599</v>
      </c>
      <c r="B810" s="0" t="s">
        <v>52</v>
      </c>
      <c r="C810" s="12" t="n">
        <f aca="false">Sens!$C$809/Sens!$C$789</f>
        <v>0.725923192809006</v>
      </c>
      <c r="D810" s="12" t="n">
        <f aca="false">Sens!$D$809/Sens!$D$789</f>
        <v>0.528804319548454</v>
      </c>
      <c r="E810" s="12" t="n">
        <f aca="false">Sens!$E$809/Sens!$E$789</f>
        <v>0.319128685519011</v>
      </c>
      <c r="F810" s="12" t="n">
        <f aca="false">Sens!$F$809/Sens!$F$789</f>
        <v>0.521970583008504</v>
      </c>
      <c r="G810" s="12" t="n">
        <f aca="false">Sens!$G$809/Sens!$G$789</f>
        <v>0.448430843817988</v>
      </c>
      <c r="H810" s="12" t="n">
        <f aca="false">Sens!$H$809/Sens!$H$789</f>
        <v>0.393405569246927</v>
      </c>
      <c r="I810" s="12" t="n">
        <f aca="false">Sens!$I$809/Sens!$I$789</f>
        <v>0.3401638782866</v>
      </c>
      <c r="J810" s="12" t="n">
        <f aca="false">Sens!$J$809/Sens!$J$789</f>
        <v>0.312844587026008</v>
      </c>
      <c r="K810" s="12" t="n">
        <f aca="false">Sens!$K$809/Sens!$K$789</f>
        <v>0.294837223360399</v>
      </c>
      <c r="L810" s="12" t="n">
        <f aca="false">Sens!$L$809/Sens!$L$789</f>
        <v>0.288121892846953</v>
      </c>
      <c r="M810" s="12" t="n">
        <f aca="false">Sens!$M$809/Sens!$M$789</f>
        <v>0.277364298451603</v>
      </c>
      <c r="N810" s="12" t="n">
        <f aca="false">Sens!$N$809/Sens!$N$789</f>
        <v>0.421783147840115</v>
      </c>
      <c r="O810" s="12" t="n">
        <f aca="false">Sens!$O$809/Sens!$O$789</f>
        <v>0.586431104314483</v>
      </c>
    </row>
    <row r="811" customFormat="false" ht="17.15" hidden="false" customHeight="false" outlineLevel="0" collapsed="false">
      <c r="A811" s="5" t="s">
        <v>600</v>
      </c>
      <c r="B811" s="0" t="s">
        <v>73</v>
      </c>
      <c r="C811" s="38" t="n">
        <f aca="false">rd2*(1-ext_sh_lo)/ext_sh_lo*Sens!$C$772*he_open*Sens!$C$773/1000</f>
        <v>0</v>
      </c>
      <c r="D811" s="38" t="n">
        <f aca="false">rd2*(1-ext_sh_lo)/ext_sh_lo*Sens!$D$772*he_open*Sens!$D$773/1000</f>
        <v>0</v>
      </c>
      <c r="E811" s="38" t="n">
        <f aca="false">rd2*(1-ext_sh_lo)/ext_sh_lo*Sens!$E$772*he_open*Sens!$E$773/1000</f>
        <v>0</v>
      </c>
      <c r="F811" s="38" t="n">
        <f aca="false">rd2*(1-ext_sh_lo)/ext_sh_lo*(mw_open*he_open+Sens!$F$787*Sens!$F$784)*Sens!$F$773/1000</f>
        <v>0</v>
      </c>
      <c r="G811" s="38" t="n">
        <f aca="false">Sens!$E$811+Sens!$F$811</f>
        <v>0</v>
      </c>
      <c r="H811" s="38" t="n">
        <f aca="false">rd2*(1-ext_sh_lo)/ext_sh_lo*(mw_open*he_open+Sens!$H$787*Sens!$H$784)*Sens!$H$773/1000</f>
        <v>0</v>
      </c>
      <c r="I811" s="38" t="n">
        <f aca="false">rd2*(1-ext_sh_lo)/ext_sh_lo*(mw_open*he_open+Sens!$I$787*Sens!$I$784)*Sens!$I$773/1000</f>
        <v>0</v>
      </c>
      <c r="J811" s="38" t="n">
        <f aca="false">rd2*(1-ext_sh_lo)/ext_sh_lo*(mw_open*he_open+Sens!$J$787*Sens!$J$784)*Sens!$J$773/1000</f>
        <v>0</v>
      </c>
      <c r="K811" s="38" t="n">
        <f aca="false">rd2*(1-ext_sh_lo)/ext_sh_lo*(mw_open*he_open+Sens!$K$787*Sens!$K$784)*Sens!$K$773/1000</f>
        <v>0</v>
      </c>
      <c r="L811" s="38" t="n">
        <f aca="false">rd2*(1-ext_sh_lo)/ext_sh_lo*(mw_open*he_open+Sens!$L$787*Sens!$L$784)*Sens!$L$773/1000</f>
        <v>0</v>
      </c>
      <c r="M811" s="38" t="n">
        <f aca="false">rd2*(1-ext_sh_lo)/ext_sh_lo*(mw_open*he_open+Sens!$M$787*Sens!$M$784)*Sens!$M$773/1000</f>
        <v>0</v>
      </c>
      <c r="N811" s="38" t="n">
        <f aca="false">rd2*(1-ext_sh_lo)/ext_sh_lo*Sens!$N$772*he_open*Sens!$N$773/1000</f>
        <v>0</v>
      </c>
      <c r="O811" s="38" t="n">
        <f aca="false">rd2*(1-ext_sh_lo)/ext_sh_lo*Sens!$O$772*he_open*Sens!$O$773/1000</f>
        <v>0</v>
      </c>
      <c r="P811" s="8" t="s">
        <v>601</v>
      </c>
    </row>
    <row r="812" customFormat="false" ht="17.15" hidden="false" customHeight="false" outlineLevel="0" collapsed="false">
      <c r="A812" s="5" t="s">
        <v>602</v>
      </c>
      <c r="B812" s="0" t="s">
        <v>73</v>
      </c>
      <c r="C812" s="38" t="n">
        <f aca="false">(1-ext_sh_lo)*(Sens!$C$791+Sens!$C$805)-Sens!$C$811</f>
        <v>0.424089158475019</v>
      </c>
      <c r="D812" s="38" t="n">
        <f aca="false">(1-ext_sh_lo)*(Sens!$D$791+Sens!$D$805)-Sens!$D$811</f>
        <v>2.7341192462772</v>
      </c>
      <c r="E812" s="38" t="n">
        <f aca="false">(1-ext_sh_lo)*(Sens!$E$791+Sens!$E$805)-Sens!$E$811</f>
        <v>3.86297014478237</v>
      </c>
      <c r="F812" s="38" t="n">
        <f aca="false">(1-ext_sh_lo)*(Sens!$F$791+Sens!$F$805)-Sens!$F$811</f>
        <v>4.7686409742511</v>
      </c>
      <c r="G812" s="38" t="n">
        <f aca="false">(1-ext_sh_lo)*(Sens!$G$791+Sens!$G$805)-Sens!$G$811</f>
        <v>8.63161111903347</v>
      </c>
      <c r="H812" s="38" t="n">
        <f aca="false">(1-ext_sh_lo)*(Sens!$H$791+Sens!$H$805)-Sens!$H$811</f>
        <v>24.3308628334074</v>
      </c>
      <c r="I812" s="38" t="n">
        <f aca="false">(1-ext_sh_lo)*(Sens!$I$791+Sens!$I$805)-Sens!$I$811</f>
        <v>44.6505381184981</v>
      </c>
      <c r="J812" s="38" t="n">
        <f aca="false">(1-ext_sh_lo)*(Sens!$J$791+Sens!$J$805)-Sens!$J$811</f>
        <v>65.52045514454</v>
      </c>
      <c r="K812" s="38" t="n">
        <f aca="false">(1-ext_sh_lo)*(Sens!$K$791+Sens!$K$805)-Sens!$K$811</f>
        <v>86.7859883614564</v>
      </c>
      <c r="L812" s="38" t="n">
        <f aca="false">(1-ext_sh_lo)*(Sens!$L$791+Sens!$L$805)-Sens!$L$811</f>
        <v>107.360371656317</v>
      </c>
      <c r="M812" s="38" t="n">
        <f aca="false">(1-ext_sh_lo)*(Sens!$M$791+Sens!$M$805)-Sens!$M$811</f>
        <v>129.036317433955</v>
      </c>
      <c r="N812" s="38" t="n">
        <f aca="false">(1-ext_sh_lo)*(Sens!$N$791+Sens!$N$805)-Sens!$N$811</f>
        <v>1.17428885993609</v>
      </c>
      <c r="O812" s="38" t="n">
        <f aca="false">(1-ext_sh_lo)*(Sens!$O$791+Sens!$O$805)-Sens!$O$811</f>
        <v>1.55983038634111</v>
      </c>
    </row>
    <row r="813" customFormat="false" ht="17.15" hidden="false" customHeight="false" outlineLevel="0" collapsed="false">
      <c r="A813" s="0" t="s">
        <v>603</v>
      </c>
      <c r="B813" s="0" t="s">
        <v>73</v>
      </c>
      <c r="C813" s="38" t="n">
        <f aca="false">Q!$D$24</f>
        <v>39.834</v>
      </c>
      <c r="D813" s="38" t="n">
        <f aca="false">Q!$E$24</f>
        <v>45.606</v>
      </c>
      <c r="E813" s="38" t="n">
        <f aca="false">Q!$P$24</f>
        <v>30.782</v>
      </c>
      <c r="N813" s="38" t="n">
        <f aca="false">Q!$N$24</f>
        <v>21.707</v>
      </c>
      <c r="O813" s="38" t="n">
        <f aca="false">Q!$O$24</f>
        <v>23.899</v>
      </c>
    </row>
    <row r="814" customFormat="false" ht="17.15" hidden="false" customHeight="false" outlineLevel="0" collapsed="false">
      <c r="A814" s="0" t="s">
        <v>604</v>
      </c>
      <c r="B814" s="0" t="s">
        <v>73</v>
      </c>
      <c r="C814" s="38" t="n">
        <f aca="false">Sens!$C$813-Sens!$C$809</f>
        <v>38.1491283807389</v>
      </c>
      <c r="D814" s="38" t="n">
        <f aca="false">Sens!$D$813-Sens!$D$809</f>
        <v>41.0034087807646</v>
      </c>
      <c r="E814" s="38" t="n">
        <f aca="false">Sens!$E$813-Sens!$E$809</f>
        <v>28.0661022416035</v>
      </c>
      <c r="F814" s="38" t="n">
        <f aca="false">Sens!$F$793*Sens!$F$815</f>
        <v>28.4829486785298</v>
      </c>
      <c r="G814" s="38" t="n">
        <f aca="false">Sens!$E$814+Sens!$F$814</f>
        <v>56.5490509201333</v>
      </c>
      <c r="H814" s="38" t="n">
        <f aca="false">Sens!$H$793*Sens!$H$815</f>
        <v>65.5560954848079</v>
      </c>
      <c r="I814" s="38" t="n">
        <f aca="false">Sens!$I$793*Sens!$I$815</f>
        <v>76.339292470719</v>
      </c>
      <c r="J814" s="38" t="n">
        <f aca="false">Sens!$J$793*Sens!$J$815</f>
        <v>85.6713164049132</v>
      </c>
      <c r="K814" s="38" t="n">
        <f aca="false">Sens!$K$793*Sens!$K$815</f>
        <v>92.5250217173063</v>
      </c>
      <c r="L814" s="38" t="n">
        <f aca="false">Sens!$L$793*Sens!$L$815</f>
        <v>99.9270234546908</v>
      </c>
      <c r="M814" s="38" t="n">
        <f aca="false">Sens!$M$793*Sens!$M$815</f>
        <v>107.921185331066</v>
      </c>
      <c r="N814" s="38" t="n">
        <f aca="false">Sens!$N$813-Sens!$N$809</f>
        <v>20.4221137588762</v>
      </c>
      <c r="O814" s="38" t="n">
        <f aca="false">Sens!$O$813-Sens!$O$809</f>
        <v>20.5812950218884</v>
      </c>
      <c r="P814" s="5" t="s">
        <v>605</v>
      </c>
    </row>
    <row r="815" customFormat="false" ht="17.15" hidden="false" customHeight="false" outlineLevel="0" collapsed="false">
      <c r="A815" s="0" t="s">
        <v>606</v>
      </c>
      <c r="B815" s="0" t="s">
        <v>52</v>
      </c>
      <c r="C815" s="12" t="n">
        <f aca="false">Sens!$C$814/Sens!$C$793</f>
        <v>0.362513710483349</v>
      </c>
      <c r="D815" s="12" t="n">
        <f aca="false">Sens!$D$814/Sens!$D$793</f>
        <v>0.341634632565013</v>
      </c>
      <c r="E815" s="12" t="n">
        <f aca="false">Sens!$E$814/Sens!$E$793</f>
        <v>0.393586239716317</v>
      </c>
      <c r="F815" s="12" t="n">
        <f aca="false">(Sens!$O$814+Sens!$E$814)/(Sens!$O$793+Sens!$E$793)</f>
        <v>0.362401487407469</v>
      </c>
      <c r="G815" s="12" t="n">
        <f aca="false">Sens!$G$814/Sens!$G$793</f>
        <v>0.377235965317256</v>
      </c>
      <c r="H815" s="12" t="n">
        <f aca="false">Sens!$F$815</f>
        <v>0.362401487407469</v>
      </c>
      <c r="I815" s="12" t="n">
        <f aca="false">Sens!$F$815</f>
        <v>0.362401487407469</v>
      </c>
      <c r="J815" s="12" t="n">
        <f aca="false">Sens!$F$815</f>
        <v>0.362401487407469</v>
      </c>
      <c r="K815" s="12" t="n">
        <f aca="false">Sens!$F$815</f>
        <v>0.362401487407469</v>
      </c>
      <c r="L815" s="12" t="n">
        <f aca="false">Sens!$F$815</f>
        <v>0.362401487407469</v>
      </c>
      <c r="M815" s="12" t="n">
        <f aca="false">Sens!$F$815</f>
        <v>0.362401487407469</v>
      </c>
      <c r="N815" s="12" t="n">
        <f aca="false">Sens!$N$814/Sens!$N$793</f>
        <v>0.357694820006826</v>
      </c>
      <c r="O815" s="12" t="n">
        <f aca="false">Sens!$O$814/Sens!$O$793</f>
        <v>0.327063348315111</v>
      </c>
      <c r="P815" s="8" t="s">
        <v>607</v>
      </c>
    </row>
    <row r="816" customFormat="false" ht="17.15" hidden="false" customHeight="false" outlineLevel="0" collapsed="false">
      <c r="A816" s="0" t="s">
        <v>608</v>
      </c>
      <c r="B816" s="0" t="s">
        <v>52</v>
      </c>
      <c r="D816" s="12" t="n">
        <f aca="false">(Q!$E$31-ext_sh_lo*Sens!$D$805)/Sens!$D$793</f>
        <v>0.160609325340588</v>
      </c>
    </row>
    <row r="817" customFormat="false" ht="17.15" hidden="false" customHeight="false" outlineLevel="0" collapsed="false">
      <c r="A817" s="0" t="s">
        <v>609</v>
      </c>
      <c r="B817" s="0" t="s">
        <v>73</v>
      </c>
      <c r="C817" s="38" t="n">
        <f aca="false">Q!$D$31</f>
        <v>13.32</v>
      </c>
      <c r="D817" s="38" t="n">
        <f aca="false">Q!$E$31</f>
        <v>21.45</v>
      </c>
      <c r="E817" s="38" t="n">
        <f aca="false">Q!$P$31</f>
        <v>15.353</v>
      </c>
      <c r="F817" s="38" t="n">
        <f aca="false">ext_sh_lo*Sens!$F$805+Sens!$D$816*Sens!$F$793</f>
        <v>16.5326771310051</v>
      </c>
      <c r="G817" s="38" t="n">
        <f aca="false">Sens!$E$817+Sens!$F$817</f>
        <v>31.8856771310051</v>
      </c>
      <c r="H817" s="38" t="n">
        <f aca="false">ext_sh_lo*Sens!$H$805+Sens!$D$816*Sens!$H$793</f>
        <v>52.9007689598097</v>
      </c>
      <c r="I817" s="38" t="n">
        <f aca="false">ext_sh_lo*Sens!$I$805+Sens!$D$816*Sens!$I$793</f>
        <v>79.8581742664608</v>
      </c>
      <c r="J817" s="38" t="n">
        <f aca="false">ext_sh_lo*Sens!$J$805+Sens!$D$816*Sens!$J$793</f>
        <v>106.982461757867</v>
      </c>
      <c r="K817" s="38" t="n">
        <f aca="false">ext_sh_lo*Sens!$K$805+Sens!$D$816*Sens!$K$793</f>
        <v>133.596714482178</v>
      </c>
      <c r="L817" s="38" t="n">
        <f aca="false">ext_sh_lo*Sens!$L$805+Sens!$D$816*Sens!$L$793</f>
        <v>159.414911139415</v>
      </c>
      <c r="M817" s="38" t="n">
        <f aca="false">ext_sh_lo*Sens!$M$805+Sens!$D$816*Sens!$M$793</f>
        <v>187.146633215727</v>
      </c>
      <c r="N817" s="38" t="n">
        <f aca="false">Q!$N$31</f>
        <v>9.234</v>
      </c>
      <c r="O817" s="38" t="n">
        <f aca="false">Q!$O$31</f>
        <v>12.216</v>
      </c>
    </row>
    <row r="818" customFormat="false" ht="17.15" hidden="false" customHeight="false" outlineLevel="0" collapsed="false">
      <c r="A818" s="1" t="s">
        <v>610</v>
      </c>
    </row>
    <row r="819" customFormat="false" ht="17.15" hidden="false" customHeight="false" outlineLevel="0" collapsed="false">
      <c r="A819" s="14" t="s">
        <v>611</v>
      </c>
      <c r="B819" s="13" t="s">
        <v>52</v>
      </c>
      <c r="C819" s="13"/>
      <c r="D819" s="13"/>
      <c r="E819" s="13"/>
      <c r="F819" s="13"/>
      <c r="G819" s="16" t="n">
        <f aca="false">Sens!$G$809*(1-tax)/(ext_sh_lo*(Sens!$D$806+Sens!$G$806)/2)</f>
        <v>0.0795447930847854</v>
      </c>
      <c r="H819" s="16" t="n">
        <f aca="false">Sens!$H$809*(1-tax)/(ext_sh_lo*(Sens!$G$806+Sens!$H$806)/2)</f>
        <v>0.0847846068180141</v>
      </c>
      <c r="I819" s="16" t="n">
        <f aca="false">Sens!$I$809*(1-tax)/(ext_sh_lo*(Sens!$H$806+Sens!$I$806)/2)</f>
        <v>0.0799140498716809</v>
      </c>
      <c r="J819" s="16" t="n">
        <f aca="false">Sens!$J$809*(1-tax)/(ext_sh_lo*(Sens!$I$806+Sens!$J$806)/2)</f>
        <v>0.0794613465331623</v>
      </c>
      <c r="K819" s="16" t="n">
        <f aca="false">Sens!$K$809*(1-tax)/(ext_sh_lo*(Sens!$J$806+Sens!$K$806)/2)</f>
        <v>0.0811127227420387</v>
      </c>
      <c r="L819" s="16" t="n">
        <f aca="false">Sens!$L$809*(1-tax)/(ext_sh_lo*(Sens!$K$806+Sens!$L$806)/2)</f>
        <v>0.0845000361571929</v>
      </c>
      <c r="M819" s="16" t="n">
        <f aca="false">Sens!$M$809*(1-tax)/(ext_sh_lo*(Sens!$L$806+Sens!$M$806)/2)</f>
        <v>0.0834522775610473</v>
      </c>
      <c r="N819" s="13"/>
      <c r="O819" s="13"/>
      <c r="P819" s="8" t="s">
        <v>612</v>
      </c>
    </row>
    <row r="820" customFormat="false" ht="17.15" hidden="false" customHeight="false" outlineLevel="0" collapsed="false">
      <c r="A820" s="5" t="s">
        <v>613</v>
      </c>
      <c r="B820" s="0" t="s">
        <v>57</v>
      </c>
      <c r="H820" s="36" t="n">
        <f aca="false">Sens!$H$789*1000/(mw_open*he_open+Sens!$H$787*Sens!$H$784)</f>
        <v>0.991949006767191</v>
      </c>
      <c r="I820" s="36" t="n">
        <f aca="false">Sens!$I$789*1000/(mw_open*he_open+Sens!$I$787*Sens!$I$784)</f>
        <v>0.991949006767191</v>
      </c>
      <c r="J820" s="36" t="n">
        <f aca="false">Sens!$J$789*1000/(mw_open*he_open+Sens!$J$787*Sens!$J$784)</f>
        <v>0.991949006767191</v>
      </c>
      <c r="K820" s="36" t="n">
        <f aca="false">Sens!$K$789*1000/(mw_open*he_open+Sens!$K$787*Sens!$K$784)</f>
        <v>0.991949006767191</v>
      </c>
      <c r="L820" s="36" t="n">
        <f aca="false">Sens!$L$789*1000/(mw_open*he_open+Sens!$L$787*Sens!$L$784)</f>
        <v>0.991949006767191</v>
      </c>
      <c r="M820" s="36" t="n">
        <f aca="false">Sens!$M$789*1000/(mw_open*he_open+Sens!$M$787*Sens!$M$784)</f>
        <v>0.991949006767192</v>
      </c>
    </row>
    <row r="821" customFormat="false" ht="17.15" hidden="false" customHeight="false" outlineLevel="0" collapsed="false">
      <c r="A821" s="5" t="s">
        <v>614</v>
      </c>
      <c r="B821" s="0" t="s">
        <v>57</v>
      </c>
      <c r="H821" s="36" t="n">
        <f aca="false">Sens!$H$820*(Sens!$H$789+wacc*ext_sh_lo*(Sens!$G$806+Sens!$H$806)/2/(1-tax)-Sens!$H$809)/Sens!$H$789</f>
        <v>1.17650878774446</v>
      </c>
      <c r="I821" s="36" t="n">
        <f aca="false">Sens!$I$820*(Sens!$I$789+wacc*ext_sh_lo*(Sens!$H$806+Sens!$I$806)/2/(1-tax)-Sens!$I$809)/Sens!$I$789</f>
        <v>1.18182265829844</v>
      </c>
      <c r="J821" s="36" t="n">
        <f aca="false">Sens!$J$820*(Sens!$J$789+wacc*ext_sh_lo*(Sens!$I$806+Sens!$J$806)/2/(1-tax)-Sens!$J$809)/Sens!$J$789</f>
        <v>1.16933633353444</v>
      </c>
      <c r="K821" s="36" t="n">
        <f aca="false">Sens!$K$820*(Sens!$K$789+wacc*ext_sh_lo*(Sens!$J$806+Sens!$K$806)/2/(1-tax)-Sens!$K$809)/Sens!$K$789</f>
        <v>1.14976807084159</v>
      </c>
      <c r="L821" s="36" t="n">
        <f aca="false">Sens!$L$820*(Sens!$L$789+wacc*ext_sh_lo*(Sens!$K$806+Sens!$L$806)/2/(1-tax)-Sens!$L$809)/Sens!$L$789</f>
        <v>1.12853437469107</v>
      </c>
      <c r="M821" s="36" t="n">
        <f aca="false">Sens!$M$820*(Sens!$M$789+wacc*ext_sh_lo*(Sens!$L$806+Sens!$M$806)/2/(1-tax)-Sens!$M$809)/Sens!$M$789</f>
        <v>1.12853984266072</v>
      </c>
    </row>
    <row r="822" customFormat="false" ht="17.15" hidden="false" customHeight="false" outlineLevel="0" collapsed="false">
      <c r="A822" s="5" t="s">
        <v>615</v>
      </c>
      <c r="B822" s="0" t="s">
        <v>52</v>
      </c>
      <c r="C822" s="12" t="n">
        <f aca="false">Sens!$C$790/tk_pq</f>
        <v>0.195316432429398</v>
      </c>
      <c r="D822" s="12" t="n">
        <f aca="false">Sens!$D$790/tk_pq</f>
        <v>0.195316432429398</v>
      </c>
      <c r="E822" s="12" t="n">
        <f aca="false">Sens!$E$790/tk_pq</f>
        <v>0.195316432429398</v>
      </c>
      <c r="F822" s="12" t="n">
        <f aca="false">Sens!$F$790/tk_pq</f>
        <v>0.202241827274866</v>
      </c>
      <c r="G822" s="12" t="n">
        <f aca="false">Sens!$G$790/tk_pq</f>
        <v>0.199675016194063</v>
      </c>
      <c r="H822" s="12" t="n">
        <f aca="false">Sens!$H$790/tk_pq</f>
        <v>0.212647947710325</v>
      </c>
      <c r="I822" s="12" t="n">
        <f aca="false">Sens!$I$790/tk_pq</f>
        <v>0.219285125475351</v>
      </c>
      <c r="J822" s="12" t="n">
        <f aca="false">Sens!$J$790/tk_pq</f>
        <v>0.222492493217189</v>
      </c>
      <c r="K822" s="12" t="n">
        <f aca="false">Sens!$K$790/tk_pq</f>
        <v>0.224371415939166</v>
      </c>
      <c r="L822" s="12" t="n">
        <f aca="false">Sens!$L$790/tk_pq</f>
        <v>0.225603749825993</v>
      </c>
      <c r="M822" s="12" t="n">
        <f aca="false">Sens!$M$790/tk_pq</f>
        <v>0.22647376274628</v>
      </c>
      <c r="N822" s="12" t="n">
        <f aca="false">Sens!$N$790/tk_pq</f>
        <v>0.195316432429398</v>
      </c>
      <c r="O822" s="12" t="n">
        <f aca="false">Sens!$O$790/tk_pq</f>
        <v>0.195316432429398</v>
      </c>
      <c r="P822" s="5" t="s">
        <v>616</v>
      </c>
    </row>
    <row r="825" customFormat="false" ht="17.15" hidden="false" customHeight="false" outlineLevel="0" collapsed="false">
      <c r="A825" s="1" t="s">
        <v>643</v>
      </c>
    </row>
    <row r="826" customFormat="false" ht="17.15" hidden="false" customHeight="false" outlineLevel="0" collapsed="false">
      <c r="A826" s="0" t="s">
        <v>644</v>
      </c>
      <c r="B826" s="0" t="s">
        <v>73</v>
      </c>
      <c r="C826" s="38" t="n">
        <f aca="false">Sens!$C$789</f>
        <v>2.32100535697364</v>
      </c>
      <c r="D826" s="38" t="n">
        <f aca="false">Sens!$D$789</f>
        <v>8.70377008865116</v>
      </c>
      <c r="E826" s="38" t="n">
        <f aca="false">Sens!$E$789</f>
        <v>8.51035297557002</v>
      </c>
      <c r="F826" s="38" t="n">
        <f aca="false">Sens!$F$789</f>
        <v>14.9634336447205</v>
      </c>
      <c r="G826" s="38" t="n">
        <f aca="false">Sens!$G$789</f>
        <v>23.4737866202905</v>
      </c>
      <c r="H826" s="38" t="n">
        <f aca="false">Sens!$H$789</f>
        <v>60.1658907497746</v>
      </c>
      <c r="I826" s="38" t="n">
        <f aca="false">Sens!$I$789</f>
        <v>101.503699136432</v>
      </c>
      <c r="J826" s="38" t="n">
        <f aca="false">Sens!$J$789</f>
        <v>143.025407151278</v>
      </c>
      <c r="K826" s="38" t="n">
        <f aca="false">Sens!$K$789</f>
        <v>184.608415042187</v>
      </c>
      <c r="L826" s="38" t="n">
        <f aca="false">Sens!$L$789</f>
        <v>226.219286513125</v>
      </c>
      <c r="M826" s="38" t="n">
        <f aca="false">Sens!$M$789</f>
        <v>267.845161450232</v>
      </c>
      <c r="N826" s="38" t="n">
        <f aca="false">Sens!$N$789</f>
        <v>3.04631953102791</v>
      </c>
      <c r="O826" s="38" t="n">
        <f aca="false">Sens!$O$789</f>
        <v>5.65745055762326</v>
      </c>
      <c r="P826" s="8" t="s">
        <v>645</v>
      </c>
    </row>
    <row r="827" customFormat="false" ht="17.15" hidden="false" customHeight="false" outlineLevel="0" collapsed="false">
      <c r="A827" s="0" t="s">
        <v>646</v>
      </c>
      <c r="B827" s="0" t="s">
        <v>73</v>
      </c>
      <c r="C827" s="38" t="n">
        <f aca="false">Sens!$C$793</f>
        <v>105.234994643026</v>
      </c>
      <c r="D827" s="38" t="n">
        <f aca="false">Sens!$D$793</f>
        <v>120.021229911349</v>
      </c>
      <c r="E827" s="38" t="n">
        <f aca="false">Sens!$E$793</f>
        <v>71.30864702443</v>
      </c>
      <c r="F827" s="38" t="n">
        <f aca="false">Sens!$F$793</f>
        <v>78.5950104186653</v>
      </c>
      <c r="G827" s="38" t="n">
        <f aca="false">Sens!$G$793</f>
        <v>149.903657443095</v>
      </c>
      <c r="H827" s="38" t="n">
        <f aca="false">Sens!$H$793</f>
        <v>180.893560768142</v>
      </c>
      <c r="I827" s="38" t="n">
        <f aca="false">Sens!$I$793</f>
        <v>210.64839721501</v>
      </c>
      <c r="J827" s="38" t="n">
        <f aca="false">Sens!$J$793</f>
        <v>236.398909446495</v>
      </c>
      <c r="K827" s="38" t="n">
        <f aca="false">Sens!$K$793</f>
        <v>255.310822202215</v>
      </c>
      <c r="L827" s="38" t="n">
        <f aca="false">Sens!$L$793</f>
        <v>275.735687978392</v>
      </c>
      <c r="M827" s="38" t="n">
        <f aca="false">Sens!$M$793</f>
        <v>297.794543016663</v>
      </c>
      <c r="N827" s="38" t="n">
        <f aca="false">Sens!$N$793</f>
        <v>57.0936804689721</v>
      </c>
      <c r="O827" s="38" t="n">
        <f aca="false">Sens!$O$793</f>
        <v>62.9275494423768</v>
      </c>
      <c r="P827" s="8" t="s">
        <v>645</v>
      </c>
    </row>
    <row r="828" customFormat="false" ht="17.15" hidden="false" customHeight="false" outlineLevel="0" collapsed="false">
      <c r="A828" s="1" t="s">
        <v>476</v>
      </c>
      <c r="B828" s="8" t="s">
        <v>73</v>
      </c>
      <c r="C828" s="38" t="n">
        <f aca="false">Q!$D$7</f>
        <v>107.556</v>
      </c>
      <c r="D828" s="38" t="n">
        <f aca="false">Q!$E$7</f>
        <v>128.725</v>
      </c>
      <c r="E828" s="38" t="n">
        <f aca="false">Q!$P$7</f>
        <v>79.819</v>
      </c>
      <c r="F828" s="38" t="n">
        <f aca="false">Sens!$F$826+Sens!$F$827</f>
        <v>93.5584440633857</v>
      </c>
      <c r="G828" s="38" t="n">
        <f aca="false">Sens!$G$826+Sens!$G$827</f>
        <v>173.377444063386</v>
      </c>
      <c r="H828" s="38" t="n">
        <f aca="false">Sens!$H$826+Sens!$H$827</f>
        <v>241.059451517916</v>
      </c>
      <c r="I828" s="38" t="n">
        <f aca="false">Sens!$I$826+Sens!$I$827</f>
        <v>312.152096351442</v>
      </c>
      <c r="J828" s="38" t="n">
        <f aca="false">Sens!$J$826+Sens!$J$827</f>
        <v>379.424316597773</v>
      </c>
      <c r="K828" s="38" t="n">
        <f aca="false">Sens!$K$826+Sens!$K$827</f>
        <v>439.919237244402</v>
      </c>
      <c r="L828" s="38" t="n">
        <f aca="false">Sens!$L$826+Sens!$L$827</f>
        <v>501.954974491517</v>
      </c>
      <c r="M828" s="38" t="n">
        <f aca="false">Sens!$M$826+Sens!$M$827</f>
        <v>565.639704466895</v>
      </c>
      <c r="N828" s="38" t="n">
        <f aca="false">Q!$N$7</f>
        <v>60.14</v>
      </c>
      <c r="O828" s="38" t="n">
        <f aca="false">Q!$O$7</f>
        <v>68.585</v>
      </c>
      <c r="P828" s="5" t="s">
        <v>647</v>
      </c>
    </row>
    <row r="829" customFormat="false" ht="15" hidden="false" customHeight="false" outlineLevel="0" collapsed="false">
      <c r="A829" s="3" t="s">
        <v>648</v>
      </c>
      <c r="B829" s="8" t="s">
        <v>73</v>
      </c>
      <c r="C829" s="38" t="n">
        <f aca="false">Q!$D$8</f>
        <v>637.959</v>
      </c>
      <c r="D829" s="38" t="n">
        <f aca="false">Q!$E$8</f>
        <v>716.924</v>
      </c>
      <c r="E829" s="38" t="n">
        <f aca="false">Q!$P$8</f>
        <v>382.125</v>
      </c>
      <c r="F829" s="38" t="n">
        <f aca="false">Sens!$F$762+Sens!$F$828</f>
        <v>450.494873271816</v>
      </c>
      <c r="G829" s="38" t="n">
        <f aca="false">Sens!$G$762+Sens!$G$828</f>
        <v>832.619873271816</v>
      </c>
      <c r="H829" s="38" t="n">
        <f aca="false">Sens!$H$762+Sens!$H$828</f>
        <v>970.995189139617</v>
      </c>
      <c r="I829" s="38" t="n">
        <f aca="false">Sens!$I$762+Sens!$I$828</f>
        <v>1110.44766604932</v>
      </c>
      <c r="J829" s="38" t="n">
        <f aca="false">Sens!$J$762+Sens!$J$828</f>
        <v>1241.16113892356</v>
      </c>
      <c r="K829" s="38" t="n">
        <f aca="false">Sens!$K$762+Sens!$K$828</f>
        <v>1357.47672934633</v>
      </c>
      <c r="L829" s="38" t="n">
        <f aca="false">Sens!$L$762+Sens!$L$828</f>
        <v>1479.24006423468</v>
      </c>
      <c r="M829" s="38" t="n">
        <f aca="false">Sens!$M$762+Sens!$M$828</f>
        <v>1606.8537230104</v>
      </c>
      <c r="N829" s="38" t="n">
        <f aca="false">Q!$N$8</f>
        <v>323.369</v>
      </c>
      <c r="O829" s="38" t="n">
        <f aca="false">Q!$O$8</f>
        <v>393.555</v>
      </c>
    </row>
    <row r="830" customFormat="false" ht="17.15" hidden="false" customHeight="false" outlineLevel="0" collapsed="false">
      <c r="A830" s="24" t="s">
        <v>656</v>
      </c>
      <c r="B830" s="25" t="s">
        <v>73</v>
      </c>
      <c r="C830" s="39" t="n">
        <f aca="false">Sens!$C$762-(Sens!$C$764+Sens!$C$765)</f>
        <v>0</v>
      </c>
      <c r="D830" s="39" t="n">
        <f aca="false">Sens!$D$762-(Sens!$D$764+Sens!$D$765)</f>
        <v>0</v>
      </c>
      <c r="E830" s="39" t="n">
        <f aca="false">Sens!$E$762-(Sens!$E$764+Sens!$E$765)</f>
        <v>0</v>
      </c>
      <c r="F830" s="39" t="n">
        <f aca="false">Sens!$F$762-(Sens!$F$764+Sens!$F$765)</f>
        <v>0</v>
      </c>
      <c r="G830" s="39" t="n">
        <f aca="false">Sens!$G$762-(Sens!$G$764+Sens!$G$765)</f>
        <v>0</v>
      </c>
      <c r="H830" s="39" t="n">
        <f aca="false">Sens!$H$762-(Sens!$H$764+Sens!$H$765)</f>
        <v>0</v>
      </c>
      <c r="I830" s="39" t="n">
        <f aca="false">Sens!$I$762-(Sens!$I$764+Sens!$I$765)</f>
        <v>0</v>
      </c>
      <c r="J830" s="39" t="n">
        <f aca="false">Sens!$J$762-(Sens!$J$764+Sens!$J$765)</f>
        <v>0</v>
      </c>
      <c r="K830" s="39" t="n">
        <f aca="false">Sens!$K$762-(Sens!$K$764+Sens!$K$765)</f>
        <v>0</v>
      </c>
      <c r="L830" s="39" t="n">
        <f aca="false">Sens!$L$762-(Sens!$L$764+Sens!$L$765)</f>
        <v>0</v>
      </c>
      <c r="M830" s="39" t="n">
        <f aca="false">Sens!$M$762-(Sens!$M$764+Sens!$M$765)</f>
        <v>0</v>
      </c>
      <c r="N830" s="39" t="n">
        <f aca="false">Sens!$N$762-(Sens!$N$764+Sens!$N$765)</f>
        <v>0</v>
      </c>
      <c r="O830" s="39" t="n">
        <f aca="false">Sens!$O$762-(Sens!$O$764+Sens!$O$765)</f>
        <v>0</v>
      </c>
    </row>
    <row r="831" customFormat="false" ht="17.15" hidden="false" customHeight="false" outlineLevel="0" collapsed="false">
      <c r="A831" s="24" t="s">
        <v>657</v>
      </c>
      <c r="B831" s="25" t="s">
        <v>73</v>
      </c>
      <c r="C831" s="39" t="n">
        <f aca="false">Sens!$C$826+Sens!$C$827-Sens!$C$828</f>
        <v>0</v>
      </c>
      <c r="D831" s="39" t="n">
        <f aca="false">Sens!$D$826+Sens!$D$827-Sens!$D$828</f>
        <v>0</v>
      </c>
      <c r="E831" s="39" t="n">
        <f aca="false">Sens!$E$826+Sens!$E$827-Sens!$E$828</f>
        <v>0</v>
      </c>
      <c r="F831" s="39" t="n">
        <f aca="false">Sens!$F$826+Sens!$F$827-Sens!$F$828</f>
        <v>0</v>
      </c>
      <c r="G831" s="39" t="n">
        <f aca="false">Sens!$G$826+Sens!$G$827-Sens!$G$828</f>
        <v>0</v>
      </c>
      <c r="H831" s="39" t="n">
        <f aca="false">Sens!$H$826+Sens!$H$827-Sens!$H$828</f>
        <v>0</v>
      </c>
      <c r="I831" s="39" t="n">
        <f aca="false">Sens!$I$826+Sens!$I$827-Sens!$I$828</f>
        <v>0</v>
      </c>
      <c r="J831" s="39" t="n">
        <f aca="false">Sens!$J$826+Sens!$J$827-Sens!$J$828</f>
        <v>0</v>
      </c>
      <c r="K831" s="39" t="n">
        <f aca="false">Sens!$K$826+Sens!$K$827-Sens!$K$828</f>
        <v>0</v>
      </c>
      <c r="L831" s="39" t="n">
        <f aca="false">Sens!$L$826+Sens!$L$827-Sens!$L$828</f>
        <v>0</v>
      </c>
      <c r="M831" s="39" t="n">
        <f aca="false">Sens!$M$826+Sens!$M$827-Sens!$M$828</f>
        <v>0</v>
      </c>
      <c r="N831" s="39" t="n">
        <f aca="false">Sens!$N$826+Sens!$N$827-Sens!$N$828</f>
        <v>0</v>
      </c>
      <c r="O831" s="39" t="n">
        <f aca="false">Sens!$O$826+Sens!$O$827-Sens!$O$828</f>
        <v>0</v>
      </c>
    </row>
    <row r="832" customFormat="false" ht="17.15" hidden="false" customHeight="false" outlineLevel="0" collapsed="false">
      <c r="A832" s="24" t="s">
        <v>658</v>
      </c>
      <c r="B832" s="25" t="s">
        <v>73</v>
      </c>
      <c r="C832" s="39" t="n">
        <f aca="false">Sens!$C$764+Sens!$C$765+Sens!$C$828-Sens!$C$829</f>
        <v>0</v>
      </c>
      <c r="D832" s="39" t="n">
        <f aca="false">Sens!$D$764+Sens!$D$765+Sens!$D$828-Sens!$D$829</f>
        <v>0</v>
      </c>
      <c r="E832" s="39" t="n">
        <f aca="false">Sens!$E$764+Sens!$E$765+Sens!$E$828-Sens!$E$829</f>
        <v>0</v>
      </c>
      <c r="F832" s="39" t="n">
        <f aca="false">Sens!$F$764+Sens!$F$765+Sens!$F$828-Sens!$F$829</f>
        <v>0</v>
      </c>
      <c r="G832" s="39" t="n">
        <f aca="false">Sens!$G$764+Sens!$G$765+Sens!$G$828-Sens!$G$829</f>
        <v>0</v>
      </c>
      <c r="H832" s="39" t="n">
        <f aca="false">Sens!$H$764+Sens!$H$765+Sens!$H$828-Sens!$H$829</f>
        <v>0</v>
      </c>
      <c r="I832" s="39" t="n">
        <f aca="false">Sens!$I$764+Sens!$I$765+Sens!$I$828-Sens!$I$829</f>
        <v>0</v>
      </c>
      <c r="J832" s="39" t="n">
        <f aca="false">Sens!$J$764+Sens!$J$765+Sens!$J$828-Sens!$J$829</f>
        <v>0</v>
      </c>
      <c r="K832" s="39" t="n">
        <f aca="false">Sens!$K$764+Sens!$K$765+Sens!$K$828-Sens!$K$829</f>
        <v>0</v>
      </c>
      <c r="L832" s="39" t="n">
        <f aca="false">Sens!$L$764+Sens!$L$765+Sens!$L$828-Sens!$L$829</f>
        <v>0</v>
      </c>
      <c r="M832" s="39" t="n">
        <f aca="false">Sens!$M$764+Sens!$M$765+Sens!$M$828-Sens!$M$829</f>
        <v>0</v>
      </c>
      <c r="N832" s="39" t="n">
        <f aca="false">Sens!$N$764+Sens!$N$765+Sens!$N$828-Sens!$N$829</f>
        <v>0</v>
      </c>
      <c r="O832" s="39" t="n">
        <f aca="false">Sens!$O$764+Sens!$O$765+Sens!$O$828-Sens!$O$829</f>
        <v>0</v>
      </c>
    </row>
    <row r="833" customFormat="false" ht="15" hidden="false" customHeight="false" outlineLevel="0" collapsed="false">
      <c r="A833" s="5" t="s">
        <v>652</v>
      </c>
      <c r="B833" s="0" t="s">
        <v>52</v>
      </c>
      <c r="G833" s="12" t="n">
        <f aca="false">Sens!$G$829/Sens!$D$829-1</f>
        <v>0.161378156222718</v>
      </c>
      <c r="H833" s="12" t="n">
        <f aca="false">Sens!$H$829/Sens!$G$829-1</f>
        <v>0.166192665236357</v>
      </c>
      <c r="I833" s="12" t="n">
        <f aca="false">Sens!$I$829/Sens!$H$829-1</f>
        <v>0.143618092519351</v>
      </c>
      <c r="J833" s="12" t="n">
        <f aca="false">Sens!$J$829/Sens!$I$829-1</f>
        <v>0.117712411733268</v>
      </c>
      <c r="K833" s="12" t="n">
        <f aca="false">Sens!$K$829/Sens!$J$829-1</f>
        <v>0.0937151404237868</v>
      </c>
      <c r="L833" s="12" t="n">
        <f aca="false">Sens!$L$829/Sens!$K$829-1</f>
        <v>0.0896982852494186</v>
      </c>
      <c r="M833" s="12" t="n">
        <f aca="false">Sens!$M$829/Sens!$L$829-1</f>
        <v>0.0862697420528154</v>
      </c>
    </row>
    <row r="834" customFormat="false" ht="17.15" hidden="false" customHeight="false" outlineLevel="0" collapsed="false">
      <c r="A834" s="0" t="s">
        <v>653</v>
      </c>
      <c r="B834" s="0" t="s">
        <v>52</v>
      </c>
      <c r="C834" s="12" t="n">
        <f aca="false">Sens!$C$828/Sens!$C$829</f>
        <v>0.168593906504964</v>
      </c>
      <c r="D834" s="12" t="n">
        <f aca="false">Sens!$D$828/Sens!$D$829</f>
        <v>0.179551807444025</v>
      </c>
      <c r="E834" s="12" t="n">
        <f aca="false">Sens!$E$828/Sens!$E$829</f>
        <v>0.208881910369643</v>
      </c>
      <c r="F834" s="12" t="n">
        <f aca="false">Sens!$F$828/Sens!$F$829</f>
        <v>0.207679264769203</v>
      </c>
      <c r="G834" s="12" t="n">
        <f aca="false">Sens!$G$828/Sens!$G$829</f>
        <v>0.208231210458731</v>
      </c>
      <c r="H834" s="12" t="n">
        <f aca="false">Sens!$H$828/Sens!$H$829</f>
        <v>0.248260191414043</v>
      </c>
      <c r="I834" s="12" t="n">
        <f aca="false">Sens!$I$828/Sens!$I$829</f>
        <v>0.28110473450946</v>
      </c>
      <c r="J834" s="12" t="n">
        <f aca="false">Sens!$J$828/Sens!$J$829</f>
        <v>0.30570109287086</v>
      </c>
      <c r="K834" s="12" t="n">
        <f aca="false">Sens!$K$828/Sens!$K$829</f>
        <v>0.324071291782835</v>
      </c>
      <c r="L834" s="12" t="n">
        <f aca="false">Sens!$L$828/Sens!$L$829</f>
        <v>0.339333003903741</v>
      </c>
      <c r="M834" s="12" t="n">
        <f aca="false">Sens!$M$828/Sens!$M$829</f>
        <v>0.3520169237354</v>
      </c>
      <c r="N834" s="12" t="n">
        <f aca="false">Sens!$N$828/Sens!$N$829</f>
        <v>0.185979484737251</v>
      </c>
      <c r="O834" s="12" t="n">
        <f aca="false">Sens!$O$828/Sens!$O$829</f>
        <v>0.174270432341096</v>
      </c>
    </row>
    <row r="835" customFormat="false" ht="17.15" hidden="false" customHeight="false" outlineLevel="0" collapsed="false">
      <c r="A835" s="0" t="s">
        <v>654</v>
      </c>
      <c r="B835" s="0" t="s">
        <v>52</v>
      </c>
      <c r="C835" s="12" t="n">
        <f aca="false">Sens!$C$826/Sens!$C$828</f>
        <v>0.0215795060896058</v>
      </c>
      <c r="D835" s="12" t="n">
        <f aca="false">Sens!$D$826/Sens!$D$828</f>
        <v>0.0676152269462122</v>
      </c>
      <c r="E835" s="12" t="n">
        <f aca="false">Sens!$E$826/Sens!$E$828</f>
        <v>0.106620641395783</v>
      </c>
      <c r="F835" s="12" t="n">
        <f aca="false">Sens!$F$826/Sens!$F$828</f>
        <v>0.159936751776064</v>
      </c>
      <c r="G835" s="12" t="n">
        <f aca="false">Sens!$G$826/Sens!$G$828</f>
        <v>0.135391237003751</v>
      </c>
      <c r="H835" s="12" t="n">
        <f aca="false">Sens!$H$826/Sens!$H$828</f>
        <v>0.249589428545194</v>
      </c>
      <c r="I835" s="12" t="n">
        <f aca="false">Sens!$I$826/Sens!$I$828</f>
        <v>0.325173850577483</v>
      </c>
      <c r="J835" s="12" t="n">
        <f aca="false">Sens!$J$826/Sens!$J$828</f>
        <v>0.376953718817392</v>
      </c>
      <c r="K835" s="12" t="n">
        <f aca="false">Sens!$K$826/Sens!$K$828</f>
        <v>0.419641605578676</v>
      </c>
      <c r="L835" s="12" t="n">
        <f aca="false">Sens!$L$826/Sens!$L$828</f>
        <v>0.450676451094615</v>
      </c>
      <c r="M835" s="12" t="n">
        <f aca="false">Sens!$M$826/Sens!$M$828</f>
        <v>0.473526096798086</v>
      </c>
      <c r="N835" s="12" t="n">
        <f aca="false">Sens!$N$826/Sens!$N$828</f>
        <v>0.0506537999838362</v>
      </c>
      <c r="O835" s="12" t="n">
        <f aca="false">Sens!$O$826/Sens!$O$828</f>
        <v>0.0824881615167056</v>
      </c>
    </row>
    <row r="838" customFormat="false" ht="19.4" hidden="false" customHeight="false" outlineLevel="0" collapsed="false">
      <c r="A838" s="31" t="s">
        <v>1062</v>
      </c>
    </row>
    <row r="839" customFormat="false" ht="17.15" hidden="false" customHeight="false" outlineLevel="0" collapsed="false">
      <c r="A839" s="6" t="s">
        <v>16</v>
      </c>
      <c r="B839" s="6" t="s">
        <v>17</v>
      </c>
      <c r="C839" s="20" t="s">
        <v>457</v>
      </c>
      <c r="D839" s="20" t="s">
        <v>458</v>
      </c>
      <c r="E839" s="20" t="s">
        <v>540</v>
      </c>
      <c r="F839" s="20" t="s">
        <v>541</v>
      </c>
      <c r="G839" s="20" t="s">
        <v>542</v>
      </c>
      <c r="H839" s="20" t="s">
        <v>543</v>
      </c>
      <c r="I839" s="20" t="s">
        <v>544</v>
      </c>
      <c r="J839" s="20" t="s">
        <v>545</v>
      </c>
      <c r="K839" s="20" t="s">
        <v>546</v>
      </c>
      <c r="L839" s="20" t="s">
        <v>547</v>
      </c>
      <c r="M839" s="20" t="s">
        <v>548</v>
      </c>
      <c r="N839" s="20" t="s">
        <v>549</v>
      </c>
      <c r="O839" s="20" t="s">
        <v>550</v>
      </c>
      <c r="P839" s="6" t="s">
        <v>23</v>
      </c>
      <c r="R839" s="20" t="n">
        <v>2023</v>
      </c>
      <c r="S839" s="20" t="n">
        <v>2024</v>
      </c>
      <c r="T839" s="20" t="n">
        <v>2025</v>
      </c>
      <c r="U839" s="20" t="n">
        <v>2026</v>
      </c>
      <c r="V839" s="20" t="n">
        <v>2027</v>
      </c>
      <c r="W839" s="20" t="n">
        <v>2028</v>
      </c>
      <c r="X839" s="20" t="n">
        <v>2029</v>
      </c>
      <c r="Y839" s="20" t="n">
        <v>2030</v>
      </c>
      <c r="Z839" s="20" t="n">
        <v>2031</v>
      </c>
      <c r="AA839" s="20" t="n">
        <v>2032</v>
      </c>
    </row>
    <row r="840" customFormat="false" ht="17.15" hidden="false" customHeight="false" outlineLevel="0" collapsed="false">
      <c r="A840" s="1" t="s">
        <v>669</v>
      </c>
    </row>
    <row r="841" customFormat="false" ht="15" hidden="false" customHeight="false" outlineLevel="0" collapsed="false">
      <c r="A841" s="0" t="s">
        <v>479</v>
      </c>
      <c r="B841" s="0" t="s">
        <v>73</v>
      </c>
      <c r="C841" s="38" t="n">
        <f aca="false">Sens!$C$750</f>
        <v>247.029</v>
      </c>
      <c r="D841" s="38" t="n">
        <f aca="false">Sens!$D$750</f>
        <v>269.287</v>
      </c>
      <c r="E841" s="38" t="n">
        <f aca="false">Sens!$E$750</f>
        <v>134.686</v>
      </c>
      <c r="F841" s="38" t="n">
        <f aca="false">Sens!$F$750</f>
        <v>160.728085930082</v>
      </c>
      <c r="G841" s="38" t="n">
        <f aca="false">Sens!$G$750</f>
        <v>295.414085930082</v>
      </c>
      <c r="H841" s="38" t="n">
        <f aca="false">Sens!$H$750</f>
        <v>320.828163943375</v>
      </c>
      <c r="I841" s="38" t="n">
        <f aca="false">Sens!$I$750</f>
        <v>344.575578072228</v>
      </c>
      <c r="J841" s="38" t="n">
        <f aca="false">Sens!$J$750</f>
        <v>365.942555779681</v>
      </c>
      <c r="K841" s="38" t="n">
        <f aca="false">Sens!$K$750</f>
        <v>384.239683568665</v>
      </c>
      <c r="L841" s="38" t="n">
        <f aca="false">Sens!$L$750</f>
        <v>403.451667747098</v>
      </c>
      <c r="M841" s="38" t="n">
        <f aca="false">Sens!$M$750</f>
        <v>423.624251134453</v>
      </c>
      <c r="N841" s="38" t="n">
        <f aca="false">Sens!$N$750</f>
        <v>118.892</v>
      </c>
      <c r="O841" s="38" t="n">
        <f aca="false">Sens!$O$750</f>
        <v>150.395</v>
      </c>
    </row>
    <row r="842" customFormat="false" ht="15" hidden="false" customHeight="false" outlineLevel="0" collapsed="false">
      <c r="A842" s="0" t="s">
        <v>480</v>
      </c>
      <c r="B842" s="0" t="s">
        <v>73</v>
      </c>
      <c r="C842" s="38" t="n">
        <f aca="false">Sens!$C$752</f>
        <v>21.215</v>
      </c>
      <c r="D842" s="38" t="n">
        <f aca="false">Sens!$D$752</f>
        <v>22.561</v>
      </c>
      <c r="E842" s="38" t="n">
        <f aca="false">Sens!$E$752</f>
        <v>11.579</v>
      </c>
      <c r="F842" s="38" t="n">
        <f aca="false">Sens!$F$752</f>
        <v>12.0952613121125</v>
      </c>
      <c r="G842" s="38" t="n">
        <f aca="false">Sens!$G$752</f>
        <v>23.6742613121125</v>
      </c>
      <c r="H842" s="38" t="n">
        <f aca="false">Sens!$H$752</f>
        <v>24.8803243963206</v>
      </c>
      <c r="I842" s="38" t="n">
        <f aca="false">Sens!$I$752</f>
        <v>25.9741308664154</v>
      </c>
      <c r="J842" s="38" t="n">
        <f aca="false">Sens!$J$752</f>
        <v>26.9346894124267</v>
      </c>
      <c r="K842" s="38" t="n">
        <f aca="false">Sens!$K$752</f>
        <v>27.7427300947995</v>
      </c>
      <c r="L842" s="38" t="n">
        <f aca="false">Sens!$L$752</f>
        <v>28.5750119976435</v>
      </c>
      <c r="M842" s="38" t="n">
        <f aca="false">Sens!$M$752</f>
        <v>29.4322623575728</v>
      </c>
      <c r="N842" s="38" t="n">
        <f aca="false">Sens!$N$752</f>
        <v>11.128</v>
      </c>
      <c r="O842" s="38" t="n">
        <f aca="false">Sens!$O$752</f>
        <v>11.433</v>
      </c>
    </row>
    <row r="843" customFormat="false" ht="15" hidden="false" customHeight="false" outlineLevel="0" collapsed="false">
      <c r="A843" s="0" t="s">
        <v>481</v>
      </c>
      <c r="B843" s="0" t="s">
        <v>73</v>
      </c>
      <c r="C843" s="38" t="n">
        <f aca="false">Sens!$C$754</f>
        <v>156.146</v>
      </c>
      <c r="D843" s="38" t="n">
        <f aca="false">Sens!$D$754</f>
        <v>172.162</v>
      </c>
      <c r="E843" s="38" t="n">
        <f aca="false">Sens!$E$754</f>
        <v>88.358</v>
      </c>
      <c r="F843" s="38" t="n">
        <f aca="false">Sens!$F$754</f>
        <v>103.62028337149</v>
      </c>
      <c r="G843" s="38" t="n">
        <f aca="false">Sens!$G$754</f>
        <v>191.97828337149</v>
      </c>
      <c r="H843" s="38" t="n">
        <f aca="false">Sens!$H$754</f>
        <v>212.128608444755</v>
      </c>
      <c r="I843" s="38" t="n">
        <f aca="false">Sens!$I$754</f>
        <v>231.92183134134</v>
      </c>
      <c r="J843" s="38" t="n">
        <f aca="false">Sens!$J$754</f>
        <v>250.859136487863</v>
      </c>
      <c r="K843" s="38" t="n">
        <f aca="false">Sens!$K$754</f>
        <v>268.419276042014</v>
      </c>
      <c r="L843" s="38" t="n">
        <f aca="false">Sens!$L$754</f>
        <v>287.208625364954</v>
      </c>
      <c r="M843" s="38" t="n">
        <f aca="false">Sens!$M$754</f>
        <v>307.313229140501</v>
      </c>
      <c r="N843" s="38" t="n">
        <f aca="false">Sens!$N$754</f>
        <v>76.86</v>
      </c>
      <c r="O843" s="38" t="n">
        <f aca="false">Sens!$O$754</f>
        <v>95.302</v>
      </c>
    </row>
    <row r="844" customFormat="false" ht="15" hidden="false" customHeight="false" outlineLevel="0" collapsed="false">
      <c r="A844" s="0" t="s">
        <v>482</v>
      </c>
      <c r="B844" s="0" t="s">
        <v>73</v>
      </c>
      <c r="C844" s="38" t="n">
        <f aca="false">Sens!$C$756</f>
        <v>56.214</v>
      </c>
      <c r="D844" s="38" t="n">
        <f aca="false">Sens!$D$756</f>
        <v>68.635</v>
      </c>
      <c r="E844" s="38" t="n">
        <f aca="false">Sens!$E$756</f>
        <v>37.052</v>
      </c>
      <c r="F844" s="38" t="n">
        <f aca="false">Sens!$F$756</f>
        <v>48.1533381827382</v>
      </c>
      <c r="G844" s="38" t="n">
        <f aca="false">Sens!$G$756</f>
        <v>85.2053381827382</v>
      </c>
      <c r="H844" s="38" t="n">
        <f aca="false">Sens!$H$756</f>
        <v>102.29336185894</v>
      </c>
      <c r="I844" s="38" t="n">
        <f aca="false">Sens!$I$756</f>
        <v>119.379837585241</v>
      </c>
      <c r="J844" s="38" t="n">
        <f aca="false">Sens!$J$756</f>
        <v>135.319079048844</v>
      </c>
      <c r="K844" s="38" t="n">
        <f aca="false">Sens!$K$756</f>
        <v>148.850986953729</v>
      </c>
      <c r="L844" s="38" t="n">
        <f aca="false">Sens!$L$756</f>
        <v>163.736085649102</v>
      </c>
      <c r="M844" s="38" t="n">
        <f aca="false">Sens!$M$756</f>
        <v>180.109694214012</v>
      </c>
      <c r="N844" s="38" t="n">
        <f aca="false">Sens!$N$756</f>
        <v>29.615</v>
      </c>
      <c r="O844" s="38" t="n">
        <f aca="false">Sens!$O$756</f>
        <v>39.02</v>
      </c>
    </row>
    <row r="845" customFormat="false" ht="15" hidden="false" customHeight="false" outlineLevel="0" collapsed="false">
      <c r="A845" s="0" t="s">
        <v>483</v>
      </c>
      <c r="B845" s="0" t="s">
        <v>73</v>
      </c>
      <c r="C845" s="38" t="n">
        <f aca="false">Sens!$C$758</f>
        <v>44.374</v>
      </c>
      <c r="D845" s="38" t="n">
        <f aca="false">Sens!$D$758</f>
        <v>49.619</v>
      </c>
      <c r="E845" s="38" t="n">
        <f aca="false">Sens!$E$758</f>
        <v>27.157</v>
      </c>
      <c r="F845" s="38" t="n">
        <f aca="false">Sens!$F$758</f>
        <v>28.9776360923374</v>
      </c>
      <c r="G845" s="38" t="n">
        <f aca="false">Sens!$G$758</f>
        <v>56.1346360923374</v>
      </c>
      <c r="H845" s="38" t="n">
        <f aca="false">Sens!$H$758</f>
        <v>62.4937078946075</v>
      </c>
      <c r="I845" s="38" t="n">
        <f aca="false">Sens!$I$758</f>
        <v>68.6715233062498</v>
      </c>
      <c r="J845" s="38" t="n">
        <f aca="false">Sens!$J$758</f>
        <v>74.4692882949818</v>
      </c>
      <c r="K845" s="38" t="n">
        <f aca="false">Sens!$K$758</f>
        <v>79.6821384756306</v>
      </c>
      <c r="L845" s="38" t="n">
        <f aca="false">Sens!$L$758</f>
        <v>85.2598881689247</v>
      </c>
      <c r="M845" s="38" t="n">
        <f aca="false">Sens!$M$758</f>
        <v>91.2280803407494</v>
      </c>
      <c r="N845" s="38" t="n">
        <f aca="false">Sens!$N$758</f>
        <v>23.923</v>
      </c>
      <c r="O845" s="38" t="n">
        <f aca="false">Sens!$O$758</f>
        <v>25.696</v>
      </c>
    </row>
    <row r="846" customFormat="false" ht="15" hidden="false" customHeight="false" outlineLevel="0" collapsed="false">
      <c r="A846" s="0" t="s">
        <v>484</v>
      </c>
      <c r="B846" s="0" t="s">
        <v>73</v>
      </c>
      <c r="C846" s="38" t="n">
        <f aca="false">Sens!$C$760</f>
        <v>5.425</v>
      </c>
      <c r="D846" s="38" t="n">
        <f aca="false">Sens!$D$760</f>
        <v>5.935</v>
      </c>
      <c r="E846" s="38" t="n">
        <f aca="false">Sens!$E$760</f>
        <v>3.474</v>
      </c>
      <c r="F846" s="38" t="n">
        <f aca="false">Sens!$F$760</f>
        <v>3.36182431966931</v>
      </c>
      <c r="G846" s="38" t="n">
        <f aca="false">Sens!$G$760</f>
        <v>6.83582431966931</v>
      </c>
      <c r="H846" s="38" t="n">
        <f aca="false">Sens!$H$760</f>
        <v>7.31157108370141</v>
      </c>
      <c r="I846" s="38" t="n">
        <f aca="false">Sens!$I$760</f>
        <v>7.77266852639815</v>
      </c>
      <c r="J846" s="38" t="n">
        <f aca="false">Sens!$J$760</f>
        <v>8.2120733019884</v>
      </c>
      <c r="K846" s="38" t="n">
        <f aca="false">Sens!$K$760</f>
        <v>8.62267696708783</v>
      </c>
      <c r="L846" s="38" t="n">
        <f aca="false">Sens!$L$760</f>
        <v>9.05381081544222</v>
      </c>
      <c r="M846" s="38" t="n">
        <f aca="false">Sens!$M$760</f>
        <v>9.50650135621433</v>
      </c>
      <c r="N846" s="38" t="n">
        <f aca="false">Sens!$N$760</f>
        <v>2.811</v>
      </c>
      <c r="O846" s="38" t="n">
        <f aca="false">Sens!$O$760</f>
        <v>3.124</v>
      </c>
    </row>
    <row r="847" customFormat="false" ht="17.15" hidden="false" customHeight="false" outlineLevel="0" collapsed="false">
      <c r="A847" s="0" t="s">
        <v>670</v>
      </c>
      <c r="B847" s="0" t="s">
        <v>73</v>
      </c>
      <c r="C847" s="38" t="n">
        <f aca="false">Sens!$C$828</f>
        <v>107.556</v>
      </c>
      <c r="D847" s="38" t="n">
        <f aca="false">Sens!$D$828</f>
        <v>128.725</v>
      </c>
      <c r="E847" s="38" t="n">
        <f aca="false">Sens!$E$828</f>
        <v>79.819</v>
      </c>
      <c r="F847" s="38" t="n">
        <f aca="false">Sens!$F$828</f>
        <v>93.5584440633857</v>
      </c>
      <c r="G847" s="38" t="n">
        <f aca="false">Sens!$G$828</f>
        <v>173.377444063386</v>
      </c>
      <c r="H847" s="38" t="n">
        <f aca="false">Sens!$H$828</f>
        <v>241.059451517916</v>
      </c>
      <c r="I847" s="38" t="n">
        <f aca="false">Sens!$I$828</f>
        <v>312.152096351442</v>
      </c>
      <c r="J847" s="38" t="n">
        <f aca="false">Sens!$J$828</f>
        <v>379.424316597773</v>
      </c>
      <c r="K847" s="38" t="n">
        <f aca="false">Sens!$K$828</f>
        <v>439.919237244402</v>
      </c>
      <c r="L847" s="38" t="n">
        <f aca="false">Sens!$L$828</f>
        <v>501.954974491517</v>
      </c>
      <c r="M847" s="38" t="n">
        <f aca="false">Sens!$M$828</f>
        <v>565.639704466895</v>
      </c>
      <c r="N847" s="38" t="n">
        <f aca="false">Sens!$N$828</f>
        <v>60.14</v>
      </c>
      <c r="O847" s="38" t="n">
        <f aca="false">Sens!$O$828</f>
        <v>68.585</v>
      </c>
    </row>
    <row r="848" customFormat="false" ht="15" hidden="false" customHeight="false" outlineLevel="0" collapsed="false">
      <c r="A848" s="1" t="s">
        <v>472</v>
      </c>
      <c r="B848" s="8" t="s">
        <v>73</v>
      </c>
      <c r="C848" s="38" t="n">
        <f aca="false">Sens!$C$764</f>
        <v>387.497</v>
      </c>
      <c r="D848" s="38" t="n">
        <f aca="false">Sens!$D$764</f>
        <v>426.305</v>
      </c>
      <c r="E848" s="38" t="n">
        <f aca="false">Sens!$E$764</f>
        <v>220.32</v>
      </c>
      <c r="F848" s="38" t="n">
        <f aca="false">Sens!$F$764</f>
        <v>256.304015003807</v>
      </c>
      <c r="G848" s="38" t="n">
        <f aca="false">Sens!$G$764</f>
        <v>476.624015003807</v>
      </c>
      <c r="H848" s="38" t="n">
        <f aca="false">Sens!$H$764</f>
        <v>527.734391091543</v>
      </c>
      <c r="I848" s="38" t="n">
        <f aca="false">Sens!$I$764</f>
        <v>577.157693029577</v>
      </c>
      <c r="J848" s="38" t="n">
        <f aca="false">Sens!$J$764</f>
        <v>623.024923663827</v>
      </c>
      <c r="K848" s="38" t="n">
        <f aca="false">Sens!$K$764</f>
        <v>663.382568393781</v>
      </c>
      <c r="L848" s="38" t="n">
        <f aca="false">Sens!$L$764</f>
        <v>706.564873010432</v>
      </c>
      <c r="M848" s="38" t="n">
        <f aca="false">Sens!$M$764</f>
        <v>752.784687406019</v>
      </c>
      <c r="N848" s="38" t="n">
        <f aca="false">Sens!$N$764</f>
        <v>192.955</v>
      </c>
      <c r="O848" s="38" t="n">
        <f aca="false">Sens!$O$764</f>
        <v>233.35</v>
      </c>
    </row>
    <row r="849" customFormat="false" ht="15" hidden="false" customHeight="false" outlineLevel="0" collapsed="false">
      <c r="A849" s="1" t="s">
        <v>475</v>
      </c>
      <c r="B849" s="8" t="s">
        <v>73</v>
      </c>
      <c r="C849" s="38" t="n">
        <f aca="false">Sens!$C$765</f>
        <v>142.906</v>
      </c>
      <c r="D849" s="38" t="n">
        <f aca="false">Sens!$D$765</f>
        <v>161.894</v>
      </c>
      <c r="E849" s="38" t="n">
        <f aca="false">Sens!$E$765</f>
        <v>81.986</v>
      </c>
      <c r="F849" s="38" t="n">
        <f aca="false">Sens!$F$765</f>
        <v>100.632414204623</v>
      </c>
      <c r="G849" s="38" t="n">
        <f aca="false">Sens!$G$765</f>
        <v>182.618414204623</v>
      </c>
      <c r="H849" s="38" t="n">
        <f aca="false">Sens!$H$765</f>
        <v>202.201346530158</v>
      </c>
      <c r="I849" s="38" t="n">
        <f aca="false">Sens!$I$765</f>
        <v>221.137876668296</v>
      </c>
      <c r="J849" s="38" t="n">
        <f aca="false">Sens!$J$765</f>
        <v>238.711898661958</v>
      </c>
      <c r="K849" s="38" t="n">
        <f aca="false">Sens!$K$765</f>
        <v>254.174923708144</v>
      </c>
      <c r="L849" s="38" t="n">
        <f aca="false">Sens!$L$765</f>
        <v>270.720216732733</v>
      </c>
      <c r="M849" s="38" t="n">
        <f aca="false">Sens!$M$765</f>
        <v>288.429331137484</v>
      </c>
      <c r="N849" s="38" t="n">
        <f aca="false">Sens!$N$765</f>
        <v>70.274</v>
      </c>
      <c r="O849" s="38" t="n">
        <f aca="false">Sens!$O$765</f>
        <v>91.62</v>
      </c>
    </row>
    <row r="850" customFormat="false" ht="15" hidden="false" customHeight="false" outlineLevel="0" collapsed="false">
      <c r="A850" s="1" t="s">
        <v>476</v>
      </c>
      <c r="B850" s="8" t="s">
        <v>73</v>
      </c>
      <c r="C850" s="38" t="n">
        <f aca="false">Sens!$C$828</f>
        <v>107.556</v>
      </c>
      <c r="D850" s="38" t="n">
        <f aca="false">Sens!$D$828</f>
        <v>128.725</v>
      </c>
      <c r="E850" s="38" t="n">
        <f aca="false">Sens!$E$828</f>
        <v>79.819</v>
      </c>
      <c r="F850" s="38" t="n">
        <f aca="false">Sens!$F$828</f>
        <v>93.5584440633857</v>
      </c>
      <c r="G850" s="38" t="n">
        <f aca="false">Sens!$G$828</f>
        <v>173.377444063386</v>
      </c>
      <c r="H850" s="38" t="n">
        <f aca="false">Sens!$H$828</f>
        <v>241.059451517916</v>
      </c>
      <c r="I850" s="38" t="n">
        <f aca="false">Sens!$I$828</f>
        <v>312.152096351442</v>
      </c>
      <c r="J850" s="38" t="n">
        <f aca="false">Sens!$J$828</f>
        <v>379.424316597773</v>
      </c>
      <c r="K850" s="38" t="n">
        <f aca="false">Sens!$K$828</f>
        <v>439.919237244402</v>
      </c>
      <c r="L850" s="38" t="n">
        <f aca="false">Sens!$L$828</f>
        <v>501.954974491517</v>
      </c>
      <c r="M850" s="38" t="n">
        <f aca="false">Sens!$M$828</f>
        <v>565.639704466895</v>
      </c>
      <c r="N850" s="38" t="n">
        <f aca="false">Sens!$N$828</f>
        <v>60.14</v>
      </c>
      <c r="O850" s="38" t="n">
        <f aca="false">Sens!$O$828</f>
        <v>68.585</v>
      </c>
    </row>
    <row r="851" customFormat="false" ht="17.15" hidden="false" customHeight="false" outlineLevel="0" collapsed="false">
      <c r="A851" s="0" t="s">
        <v>644</v>
      </c>
      <c r="B851" s="0" t="s">
        <v>73</v>
      </c>
      <c r="C851" s="38" t="n">
        <f aca="false">Sens!$C$826</f>
        <v>2.32100535697364</v>
      </c>
      <c r="D851" s="38" t="n">
        <f aca="false">Sens!$D$826</f>
        <v>8.70377008865116</v>
      </c>
      <c r="E851" s="38" t="n">
        <f aca="false">Sens!$E$826</f>
        <v>8.51035297557002</v>
      </c>
      <c r="F851" s="38" t="n">
        <f aca="false">Sens!$F$826</f>
        <v>14.9634336447205</v>
      </c>
      <c r="G851" s="38" t="n">
        <f aca="false">Sens!$G$826</f>
        <v>23.4737866202905</v>
      </c>
      <c r="H851" s="38" t="n">
        <f aca="false">Sens!$H$826</f>
        <v>60.1658907497746</v>
      </c>
      <c r="I851" s="38" t="n">
        <f aca="false">Sens!$I$826</f>
        <v>101.503699136432</v>
      </c>
      <c r="J851" s="38" t="n">
        <f aca="false">Sens!$J$826</f>
        <v>143.025407151278</v>
      </c>
      <c r="K851" s="38" t="n">
        <f aca="false">Sens!$K$826</f>
        <v>184.608415042187</v>
      </c>
      <c r="L851" s="38" t="n">
        <f aca="false">Sens!$L$826</f>
        <v>226.219286513125</v>
      </c>
      <c r="M851" s="38" t="n">
        <f aca="false">Sens!$M$826</f>
        <v>267.845161450232</v>
      </c>
      <c r="N851" s="38" t="n">
        <f aca="false">Sens!$N$826</f>
        <v>3.04631953102791</v>
      </c>
      <c r="O851" s="38" t="n">
        <f aca="false">Sens!$O$826</f>
        <v>5.65745055762326</v>
      </c>
    </row>
    <row r="852" customFormat="false" ht="17.15" hidden="false" customHeight="false" outlineLevel="0" collapsed="false">
      <c r="A852" s="0" t="s">
        <v>646</v>
      </c>
      <c r="B852" s="0" t="s">
        <v>73</v>
      </c>
      <c r="C852" s="38" t="n">
        <f aca="false">Sens!$C$827</f>
        <v>105.234994643026</v>
      </c>
      <c r="D852" s="38" t="n">
        <f aca="false">Sens!$D$827</f>
        <v>120.021229911349</v>
      </c>
      <c r="E852" s="38" t="n">
        <f aca="false">Sens!$E$827</f>
        <v>71.30864702443</v>
      </c>
      <c r="F852" s="38" t="n">
        <f aca="false">Sens!$F$827</f>
        <v>78.5950104186653</v>
      </c>
      <c r="G852" s="38" t="n">
        <f aca="false">Sens!$G$827</f>
        <v>149.903657443095</v>
      </c>
      <c r="H852" s="38" t="n">
        <f aca="false">Sens!$H$827</f>
        <v>180.893560768142</v>
      </c>
      <c r="I852" s="38" t="n">
        <f aca="false">Sens!$I$827</f>
        <v>210.64839721501</v>
      </c>
      <c r="J852" s="38" t="n">
        <f aca="false">Sens!$J$827</f>
        <v>236.398909446495</v>
      </c>
      <c r="K852" s="38" t="n">
        <f aca="false">Sens!$K$827</f>
        <v>255.310822202215</v>
      </c>
      <c r="L852" s="38" t="n">
        <f aca="false">Sens!$L$827</f>
        <v>275.735687978392</v>
      </c>
      <c r="M852" s="38" t="n">
        <f aca="false">Sens!$M$827</f>
        <v>297.794543016663</v>
      </c>
      <c r="N852" s="38" t="n">
        <f aca="false">Sens!$N$827</f>
        <v>57.0936804689721</v>
      </c>
      <c r="O852" s="38" t="n">
        <f aca="false">Sens!$O$827</f>
        <v>62.9275494423768</v>
      </c>
    </row>
    <row r="853" customFormat="false" ht="15" hidden="false" customHeight="false" outlineLevel="0" collapsed="false">
      <c r="A853" s="3" t="s">
        <v>477</v>
      </c>
      <c r="B853" s="8" t="s">
        <v>73</v>
      </c>
      <c r="C853" s="38" t="n">
        <f aca="false">Sens!$C$829</f>
        <v>637.959</v>
      </c>
      <c r="D853" s="38" t="n">
        <f aca="false">Sens!$D$829</f>
        <v>716.924</v>
      </c>
      <c r="E853" s="38" t="n">
        <f aca="false">Sens!$E$829</f>
        <v>382.125</v>
      </c>
      <c r="F853" s="38" t="n">
        <f aca="false">Sens!$F$829</f>
        <v>450.494873271816</v>
      </c>
      <c r="G853" s="38" t="n">
        <f aca="false">Sens!$G$829</f>
        <v>832.619873271816</v>
      </c>
      <c r="H853" s="38" t="n">
        <f aca="false">Sens!$H$829</f>
        <v>970.995189139617</v>
      </c>
      <c r="I853" s="38" t="n">
        <f aca="false">Sens!$I$829</f>
        <v>1110.44766604932</v>
      </c>
      <c r="J853" s="38" t="n">
        <f aca="false">Sens!$J$829</f>
        <v>1241.16113892356</v>
      </c>
      <c r="K853" s="38" t="n">
        <f aca="false">Sens!$K$829</f>
        <v>1357.47672934633</v>
      </c>
      <c r="L853" s="38" t="n">
        <f aca="false">Sens!$L$829</f>
        <v>1479.24006423468</v>
      </c>
      <c r="M853" s="38" t="n">
        <f aca="false">Sens!$M$829</f>
        <v>1606.8537230104</v>
      </c>
      <c r="N853" s="38" t="n">
        <f aca="false">Sens!$N$829</f>
        <v>323.369</v>
      </c>
      <c r="O853" s="38" t="n">
        <f aca="false">Sens!$O$829</f>
        <v>393.555</v>
      </c>
    </row>
    <row r="854" customFormat="false" ht="17.15" hidden="false" customHeight="false" outlineLevel="0" collapsed="false">
      <c r="A854" s="24" t="s">
        <v>656</v>
      </c>
      <c r="B854" s="25" t="s">
        <v>73</v>
      </c>
      <c r="C854" s="39" t="n">
        <f aca="false">Sens!$C$841+Sens!$C$842+Sens!$C$843+Sens!$C$844+Sens!$C$845+Sens!$C$846-(Sens!$C$848+Sens!$C$849)</f>
        <v>0</v>
      </c>
      <c r="D854" s="39" t="n">
        <f aca="false">Sens!$D$841+Sens!$D$842+Sens!$D$843+Sens!$D$844+Sens!$D$845+Sens!$D$846-(Sens!$D$848+Sens!$D$849)</f>
        <v>0</v>
      </c>
      <c r="E854" s="39" t="n">
        <f aca="false">Sens!$E$841+Sens!$E$842+Sens!$E$843+Sens!$E$844+Sens!$E$845+Sens!$E$846-(Sens!$E$848+Sens!$E$849)</f>
        <v>0</v>
      </c>
      <c r="F854" s="39" t="n">
        <f aca="false">Sens!$F$841+Sens!$F$842+Sens!$F$843+Sens!$F$844+Sens!$F$845+Sens!$F$846-(Sens!$F$848+Sens!$F$849)</f>
        <v>0</v>
      </c>
      <c r="G854" s="39" t="n">
        <f aca="false">Sens!$G$841+Sens!$G$842+Sens!$G$843+Sens!$G$844+Sens!$G$845+Sens!$G$846-(Sens!$G$848+Sens!$G$849)</f>
        <v>0</v>
      </c>
      <c r="H854" s="39" t="n">
        <f aca="false">Sens!$H$841+Sens!$H$842+Sens!$H$843+Sens!$H$844+Sens!$H$845+Sens!$H$846-(Sens!$H$848+Sens!$H$849)</f>
        <v>0</v>
      </c>
      <c r="I854" s="39" t="n">
        <f aca="false">Sens!$I$841+Sens!$I$842+Sens!$I$843+Sens!$I$844+Sens!$I$845+Sens!$I$846-(Sens!$I$848+Sens!$I$849)</f>
        <v>0</v>
      </c>
      <c r="J854" s="39" t="n">
        <f aca="false">Sens!$J$841+Sens!$J$842+Sens!$J$843+Sens!$J$844+Sens!$J$845+Sens!$J$846-(Sens!$J$848+Sens!$J$849)</f>
        <v>0</v>
      </c>
      <c r="K854" s="39" t="n">
        <f aca="false">Sens!$K$841+Sens!$K$842+Sens!$K$843+Sens!$K$844+Sens!$K$845+Sens!$K$846-(Sens!$K$848+Sens!$K$849)</f>
        <v>0</v>
      </c>
      <c r="L854" s="39" t="n">
        <f aca="false">Sens!$L$841+Sens!$L$842+Sens!$L$843+Sens!$L$844+Sens!$L$845+Sens!$L$846-(Sens!$L$848+Sens!$L$849)</f>
        <v>0</v>
      </c>
      <c r="M854" s="39" t="n">
        <f aca="false">Sens!$M$841+Sens!$M$842+Sens!$M$843+Sens!$M$844+Sens!$M$845+Sens!$M$846-(Sens!$M$848+Sens!$M$849)</f>
        <v>0</v>
      </c>
      <c r="N854" s="39" t="n">
        <f aca="false">Sens!$N$841+Sens!$N$842+Sens!$N$843+Sens!$N$844+Sens!$N$845+Sens!$N$846-(Sens!$N$848+Sens!$N$849)</f>
        <v>0</v>
      </c>
      <c r="O854" s="39" t="n">
        <f aca="false">Sens!$O$841+Sens!$O$842+Sens!$O$843+Sens!$O$844+Sens!$O$845+Sens!$O$846-(Sens!$O$848+Sens!$O$849)</f>
        <v>0</v>
      </c>
    </row>
    <row r="855" customFormat="false" ht="17.15" hidden="false" customHeight="false" outlineLevel="0" collapsed="false">
      <c r="A855" s="24" t="s">
        <v>657</v>
      </c>
      <c r="B855" s="25" t="s">
        <v>73</v>
      </c>
      <c r="C855" s="39" t="n">
        <f aca="false">Sens!$C$851+Sens!$C$852-Sens!$C$850</f>
        <v>0</v>
      </c>
      <c r="D855" s="39" t="n">
        <f aca="false">Sens!$D$851+Sens!$D$852-Sens!$D$850</f>
        <v>0</v>
      </c>
      <c r="E855" s="39" t="n">
        <f aca="false">Sens!$E$851+Sens!$E$852-Sens!$E$850</f>
        <v>0</v>
      </c>
      <c r="F855" s="39" t="n">
        <f aca="false">Sens!$F$851+Sens!$F$852-Sens!$F$850</f>
        <v>0</v>
      </c>
      <c r="G855" s="39" t="n">
        <f aca="false">Sens!$G$851+Sens!$G$852-Sens!$G$850</f>
        <v>0</v>
      </c>
      <c r="H855" s="39" t="n">
        <f aca="false">Sens!$H$851+Sens!$H$852-Sens!$H$850</f>
        <v>0</v>
      </c>
      <c r="I855" s="39" t="n">
        <f aca="false">Sens!$I$851+Sens!$I$852-Sens!$I$850</f>
        <v>0</v>
      </c>
      <c r="J855" s="39" t="n">
        <f aca="false">Sens!$J$851+Sens!$J$852-Sens!$J$850</f>
        <v>0</v>
      </c>
      <c r="K855" s="39" t="n">
        <f aca="false">Sens!$K$851+Sens!$K$852-Sens!$K$850</f>
        <v>0</v>
      </c>
      <c r="L855" s="39" t="n">
        <f aca="false">Sens!$L$851+Sens!$L$852-Sens!$L$850</f>
        <v>0</v>
      </c>
      <c r="M855" s="39" t="n">
        <f aca="false">Sens!$M$851+Sens!$M$852-Sens!$M$850</f>
        <v>0</v>
      </c>
      <c r="N855" s="39" t="n">
        <f aca="false">Sens!$N$851+Sens!$N$852-Sens!$N$850</f>
        <v>0</v>
      </c>
      <c r="O855" s="39" t="n">
        <f aca="false">Sens!$O$851+Sens!$O$852-Sens!$O$850</f>
        <v>0</v>
      </c>
    </row>
    <row r="856" customFormat="false" ht="17.15" hidden="false" customHeight="false" outlineLevel="0" collapsed="false">
      <c r="A856" s="24" t="s">
        <v>711</v>
      </c>
      <c r="B856" s="25" t="s">
        <v>73</v>
      </c>
      <c r="C856" s="39" t="n">
        <f aca="false">Sens!$C$841+Sens!$C$842+Sens!$C$843+Sens!$C$844+Sens!$C$845+Sens!$C$846+Sens!$C$847-Sens!$C$853</f>
        <v>0</v>
      </c>
      <c r="D856" s="39" t="n">
        <f aca="false">Sens!$D$841+Sens!$D$842+Sens!$D$843+Sens!$D$844+Sens!$D$845+Sens!$D$846+Sens!$D$847-Sens!$D$853</f>
        <v>0</v>
      </c>
      <c r="E856" s="39" t="n">
        <f aca="false">Sens!$E$841+Sens!$E$842+Sens!$E$843+Sens!$E$844+Sens!$E$845+Sens!$E$846+Sens!$E$847-Sens!$E$853</f>
        <v>0</v>
      </c>
      <c r="F856" s="39" t="n">
        <f aca="false">Sens!$F$841+Sens!$F$842+Sens!$F$843+Sens!$F$844+Sens!$F$845+Sens!$F$846+Sens!$F$847-Sens!$F$853</f>
        <v>0</v>
      </c>
      <c r="G856" s="39" t="n">
        <f aca="false">Sens!$G$841+Sens!$G$842+Sens!$G$843+Sens!$G$844+Sens!$G$845+Sens!$G$846+Sens!$G$847-Sens!$G$853</f>
        <v>0</v>
      </c>
      <c r="H856" s="39" t="n">
        <f aca="false">Sens!$H$841+Sens!$H$842+Sens!$H$843+Sens!$H$844+Sens!$H$845+Sens!$H$846+Sens!$H$847-Sens!$H$853</f>
        <v>0</v>
      </c>
      <c r="I856" s="39" t="n">
        <f aca="false">Sens!$I$841+Sens!$I$842+Sens!$I$843+Sens!$I$844+Sens!$I$845+Sens!$I$846+Sens!$I$847-Sens!$I$853</f>
        <v>0</v>
      </c>
      <c r="J856" s="39" t="n">
        <f aca="false">Sens!$J$841+Sens!$J$842+Sens!$J$843+Sens!$J$844+Sens!$J$845+Sens!$J$846+Sens!$J$847-Sens!$J$853</f>
        <v>0</v>
      </c>
      <c r="K856" s="39" t="n">
        <f aca="false">Sens!$K$841+Sens!$K$842+Sens!$K$843+Sens!$K$844+Sens!$K$845+Sens!$K$846+Sens!$K$847-Sens!$K$853</f>
        <v>0</v>
      </c>
      <c r="L856" s="39" t="n">
        <f aca="false">Sens!$L$841+Sens!$L$842+Sens!$L$843+Sens!$L$844+Sens!$L$845+Sens!$L$846+Sens!$L$847-Sens!$L$853</f>
        <v>0</v>
      </c>
      <c r="M856" s="39" t="n">
        <f aca="false">Sens!$M$841+Sens!$M$842+Sens!$M$843+Sens!$M$844+Sens!$M$845+Sens!$M$846+Sens!$M$847-Sens!$M$853</f>
        <v>0</v>
      </c>
      <c r="N856" s="39" t="n">
        <f aca="false">Sens!$N$841+Sens!$N$842+Sens!$N$843+Sens!$N$844+Sens!$N$845+Sens!$N$846+Sens!$N$847-Sens!$N$853</f>
        <v>0</v>
      </c>
      <c r="O856" s="39" t="n">
        <f aca="false">Sens!$O$841+Sens!$O$842+Sens!$O$843+Sens!$O$844+Sens!$O$845+Sens!$O$846+Sens!$O$847-Sens!$O$853</f>
        <v>0</v>
      </c>
    </row>
    <row r="857" customFormat="false" ht="17.15" hidden="false" customHeight="false" outlineLevel="0" collapsed="false">
      <c r="A857" s="24" t="s">
        <v>658</v>
      </c>
      <c r="B857" s="25" t="s">
        <v>73</v>
      </c>
      <c r="C857" s="39" t="n">
        <f aca="false">Sens!$C$848+Sens!$C$849+Sens!$C$850-Sens!$C$853</f>
        <v>0</v>
      </c>
      <c r="D857" s="39" t="n">
        <f aca="false">Sens!$D$848+Sens!$D$849+Sens!$D$850-Sens!$D$853</f>
        <v>0</v>
      </c>
      <c r="E857" s="39" t="n">
        <f aca="false">Sens!$E$848+Sens!$E$849+Sens!$E$850-Sens!$E$853</f>
        <v>0</v>
      </c>
      <c r="F857" s="39" t="n">
        <f aca="false">Sens!$F$848+Sens!$F$849+Sens!$F$850-Sens!$F$853</f>
        <v>0</v>
      </c>
      <c r="G857" s="39" t="n">
        <f aca="false">Sens!$G$848+Sens!$G$849+Sens!$G$850-Sens!$G$853</f>
        <v>0</v>
      </c>
      <c r="H857" s="39" t="n">
        <f aca="false">Sens!$H$848+Sens!$H$849+Sens!$H$850-Sens!$H$853</f>
        <v>0</v>
      </c>
      <c r="I857" s="39" t="n">
        <f aca="false">Sens!$I$848+Sens!$I$849+Sens!$I$850-Sens!$I$853</f>
        <v>0</v>
      </c>
      <c r="J857" s="39" t="n">
        <f aca="false">Sens!$J$848+Sens!$J$849+Sens!$J$850-Sens!$J$853</f>
        <v>0</v>
      </c>
      <c r="K857" s="39" t="n">
        <f aca="false">Sens!$K$848+Sens!$K$849+Sens!$K$850-Sens!$K$853</f>
        <v>0</v>
      </c>
      <c r="L857" s="39" t="n">
        <f aca="false">Sens!$L$848+Sens!$L$849+Sens!$L$850-Sens!$L$853</f>
        <v>0</v>
      </c>
      <c r="M857" s="39" t="n">
        <f aca="false">Sens!$M$848+Sens!$M$849+Sens!$M$850-Sens!$M$853</f>
        <v>0</v>
      </c>
      <c r="N857" s="39" t="n">
        <f aca="false">Sens!$N$848+Sens!$N$849+Sens!$N$850-Sens!$N$853</f>
        <v>0</v>
      </c>
      <c r="O857" s="39" t="n">
        <f aca="false">Sens!$O$848+Sens!$O$849+Sens!$O$850-Sens!$O$853</f>
        <v>0</v>
      </c>
    </row>
    <row r="858" customFormat="false" ht="17.15" hidden="false" customHeight="false" outlineLevel="0" collapsed="false">
      <c r="A858" s="1" t="s">
        <v>672</v>
      </c>
    </row>
    <row r="859" customFormat="false" ht="17.15" hidden="false" customHeight="false" outlineLevel="0" collapsed="false">
      <c r="A859" s="0" t="s">
        <v>673</v>
      </c>
      <c r="B859" s="0" t="s">
        <v>73</v>
      </c>
      <c r="C859" s="38" t="n">
        <f aca="false">Sens!$C$766*m_ad</f>
        <v>20.5341564414228</v>
      </c>
      <c r="D859" s="38" t="n">
        <f aca="false">Sens!$D$766*m_ad</f>
        <v>24.8720617299587</v>
      </c>
      <c r="E859" s="38" t="n">
        <f aca="false">Sens!$E$766*m_ad</f>
        <v>13.5017112462207</v>
      </c>
      <c r="F859" s="38" t="n">
        <f aca="false">Sens!$F$766*m_ad</f>
        <v>17.2886442824599</v>
      </c>
      <c r="G859" s="38" t="n">
        <f aca="false">Sens!$G$766*m_ad</f>
        <v>30.8011958765886</v>
      </c>
      <c r="H859" s="38" t="n">
        <f aca="false">Sens!$H$766*m_ad</f>
        <v>36.978409366026</v>
      </c>
      <c r="I859" s="38" t="n">
        <f aca="false">Sens!$I$766*m_ad</f>
        <v>43.155063281273</v>
      </c>
      <c r="J859" s="38" t="n">
        <f aca="false">Sens!$J$766*m_ad</f>
        <v>48.9169991988532</v>
      </c>
      <c r="K859" s="38" t="n">
        <f aca="false">Sens!$K$766*m_ad</f>
        <v>53.8086991187386</v>
      </c>
      <c r="L859" s="38" t="n">
        <f aca="false">Sens!$L$766*m_ad</f>
        <v>59.1895690306124</v>
      </c>
      <c r="M859" s="38" t="n">
        <f aca="false">Sens!$M$766*m_ad</f>
        <v>65.1085259336737</v>
      </c>
      <c r="N859" s="38" t="n">
        <f aca="false">Sens!$N$766*m_ad</f>
        <v>10.8543555706248</v>
      </c>
      <c r="O859" s="38" t="n">
        <f aca="false">Sens!$O$766*m_ad</f>
        <v>14.0094731821399</v>
      </c>
    </row>
    <row r="860" customFormat="false" ht="17.15" hidden="false" customHeight="false" outlineLevel="0" collapsed="false">
      <c r="A860" s="0" t="s">
        <v>674</v>
      </c>
      <c r="B860" s="0" t="s">
        <v>73</v>
      </c>
      <c r="C860" s="38" t="n">
        <f aca="false">Sens!$C$764-Sens!$C$766</f>
        <v>346.428687117154</v>
      </c>
      <c r="D860" s="38" t="n">
        <f aca="false">Sens!$D$764-Sens!$D$766</f>
        <v>376.560876540083</v>
      </c>
      <c r="E860" s="38" t="n">
        <f aca="false">Sens!$E$764-Sens!$E$766</f>
        <v>193.316577507559</v>
      </c>
      <c r="F860" s="38" t="n">
        <f aca="false">Sens!$F$764-Sens!$F$766</f>
        <v>221.726726438887</v>
      </c>
      <c r="G860" s="38" t="n">
        <f aca="false">Sens!$G$764-Sens!$G$766</f>
        <v>415.02162325063</v>
      </c>
      <c r="H860" s="38" t="n">
        <f aca="false">Sens!$H$764-Sens!$H$766</f>
        <v>453.777572359491</v>
      </c>
      <c r="I860" s="38" t="n">
        <f aca="false">Sens!$I$764-Sens!$I$766</f>
        <v>490.847566467031</v>
      </c>
      <c r="J860" s="38" t="n">
        <f aca="false">Sens!$J$764-Sens!$J$766</f>
        <v>525.190925266121</v>
      </c>
      <c r="K860" s="38" t="n">
        <f aca="false">Sens!$K$764-Sens!$K$766</f>
        <v>555.765170156304</v>
      </c>
      <c r="L860" s="38" t="n">
        <f aca="false">Sens!$L$764-Sens!$L$766</f>
        <v>588.185734949207</v>
      </c>
      <c r="M860" s="38" t="n">
        <f aca="false">Sens!$M$764-Sens!$M$766</f>
        <v>622.567635538672</v>
      </c>
      <c r="N860" s="38" t="n">
        <f aca="false">Sens!$N$764-Sens!$N$766</f>
        <v>171.24628885875</v>
      </c>
      <c r="O860" s="38" t="n">
        <f aca="false">Sens!$O$764-Sens!$O$766</f>
        <v>205.33105363572</v>
      </c>
    </row>
    <row r="861" customFormat="false" ht="17.15" hidden="false" customHeight="false" outlineLevel="0" collapsed="false">
      <c r="A861" s="0" t="s">
        <v>675</v>
      </c>
      <c r="B861" s="0" t="s">
        <v>73</v>
      </c>
      <c r="C861" s="38" t="n">
        <f aca="false">Sens!$C$812*Sens!$C$763</f>
        <v>0.30982720052789</v>
      </c>
      <c r="D861" s="38" t="n">
        <f aca="false">Sens!$D$812*Sens!$D$763</f>
        <v>1.98158906302833</v>
      </c>
      <c r="E861" s="38" t="n">
        <f aca="false">Sens!$E$812*Sens!$E$763</f>
        <v>2.81532481094802</v>
      </c>
      <c r="F861" s="38" t="n">
        <f aca="false">Sens!$F$812*Sens!$F$763</f>
        <v>3.42420029953994</v>
      </c>
      <c r="G861" s="38" t="n">
        <f aca="false">Sens!$G$812*Sens!$G$763</f>
        <v>6.24054667179882</v>
      </c>
      <c r="H861" s="38" t="n">
        <f aca="false">Sens!$H$812*Sens!$H$763</f>
        <v>17.5909089257043</v>
      </c>
      <c r="I861" s="38" t="n">
        <f aca="false">Sens!$I$812*Sens!$I$763</f>
        <v>32.2817795202781</v>
      </c>
      <c r="J861" s="38" t="n">
        <f aca="false">Sens!$J$812*Sens!$J$763</f>
        <v>47.3704679981908</v>
      </c>
      <c r="K861" s="38" t="n">
        <f aca="false">Sens!$K$812*Sens!$K$763</f>
        <v>62.745182024431</v>
      </c>
      <c r="L861" s="38" t="n">
        <f aca="false">Sens!$L$812*Sens!$L$763</f>
        <v>77.6202033181887</v>
      </c>
      <c r="M861" s="38" t="n">
        <f aca="false">Sens!$M$812*Sens!$M$763</f>
        <v>93.2916404827342</v>
      </c>
      <c r="N861" s="38" t="n">
        <f aca="false">Sens!$N$812*Sens!$N$763</f>
        <v>0.860790061007594</v>
      </c>
      <c r="O861" s="38" t="n">
        <f aca="false">Sens!$O$812*Sens!$O$763</f>
        <v>1.12006160769516</v>
      </c>
    </row>
    <row r="862" customFormat="false" ht="17.15" hidden="false" customHeight="false" outlineLevel="0" collapsed="false">
      <c r="A862" s="0" t="s">
        <v>676</v>
      </c>
      <c r="B862" s="0" t="s">
        <v>52</v>
      </c>
      <c r="C862" s="28" t="n">
        <f aca="false">(Sens!$C$863-Sens!$C$859+Sens!$C$861)/Sens!$C$860</f>
        <v>0.0136901790627437</v>
      </c>
      <c r="D862" s="28" t="n">
        <f aca="false">(Sens!$D$863-Sens!$D$859+Sens!$D$861)/Sens!$D$860</f>
        <v>0.0178683653885997</v>
      </c>
      <c r="E862" s="28" t="n">
        <f aca="false">(Sens!$E$863-Sens!$E$859+Sens!$E$861)/Sens!$E$860</f>
        <v>0.034676868642914</v>
      </c>
      <c r="F862" s="28" t="n">
        <f aca="false">Sens!$O$862+(Sens!$E$862-Sens!$N$862)</f>
        <v>0.0314503658951746</v>
      </c>
      <c r="G862" s="28" t="n">
        <f aca="false">(Sens!$G$863-Sens!$G$859+Sens!$G$861)/Sens!$G$860</f>
        <v>0.0329312515004041</v>
      </c>
      <c r="H862" s="28" t="n">
        <f aca="false">Sens!$G$862+step_na</f>
        <v>0.0359312515004041</v>
      </c>
      <c r="I862" s="28" t="n">
        <f aca="false">Sens!$H$862+step_na</f>
        <v>0.0389312515004041</v>
      </c>
      <c r="J862" s="28" t="n">
        <f aca="false">Sens!$I$862+step_na</f>
        <v>0.0419312515004041</v>
      </c>
      <c r="K862" s="28" t="n">
        <f aca="false">Sens!$J$862+step_na</f>
        <v>0.0449312515004041</v>
      </c>
      <c r="L862" s="28" t="n">
        <f aca="false">Sens!$K$862</f>
        <v>0.0449312515004041</v>
      </c>
      <c r="M862" s="28" t="n">
        <f aca="false">Sens!$L$862</f>
        <v>0.0449312515004041</v>
      </c>
      <c r="N862" s="28" t="n">
        <f aca="false">(Sens!$N$863-Sens!$N$859+Sens!$N$861)/Sens!$N$860</f>
        <v>0.0196467585534532</v>
      </c>
      <c r="O862" s="28" t="n">
        <f aca="false">(Sens!$O$863-Sens!$O$859+Sens!$O$861)/Sens!$O$860</f>
        <v>0.0164202558057138</v>
      </c>
      <c r="P862" s="8" t="s">
        <v>677</v>
      </c>
    </row>
    <row r="863" customFormat="false" ht="17.15" hidden="false" customHeight="false" outlineLevel="0" collapsed="false">
      <c r="A863" s="1" t="s">
        <v>678</v>
      </c>
      <c r="B863" s="8" t="s">
        <v>73</v>
      </c>
      <c r="C863" s="38" t="n">
        <f aca="false">Q!$D$22</f>
        <v>24.967</v>
      </c>
      <c r="D863" s="38" t="n">
        <f aca="false">Q!$E$22</f>
        <v>29.619</v>
      </c>
      <c r="E863" s="38" t="n">
        <f aca="false">Q!$P$22</f>
        <v>17.39</v>
      </c>
      <c r="F863" s="38" t="n">
        <f aca="false">Sens!$F$859+Sens!$F$860*Sens!$F$862-Sens!$F$861</f>
        <v>20.8378306581622</v>
      </c>
      <c r="G863" s="38" t="n">
        <f aca="false">Sens!$E$863+Sens!$F$863</f>
        <v>38.2278306581622</v>
      </c>
      <c r="H863" s="38" t="n">
        <f aca="false">Sens!$H$859+Sens!$H$860*Sens!$H$862-Sens!$H$861</f>
        <v>35.6922965180134</v>
      </c>
      <c r="I863" s="38" t="n">
        <f aca="false">Sens!$I$859+Sens!$I$860*Sens!$I$862-Sens!$I$861</f>
        <v>29.9825938194842</v>
      </c>
      <c r="J863" s="38" t="n">
        <f aca="false">Sens!$J$859+Sens!$J$860*Sens!$J$862-Sens!$J$861</f>
        <v>23.5684439737261</v>
      </c>
      <c r="K863" s="38" t="n">
        <f aca="false">Sens!$K$859+Sens!$K$860*Sens!$K$862-Sens!$K$861</f>
        <v>16.0347417297653</v>
      </c>
      <c r="L863" s="38" t="n">
        <f aca="false">Sens!$L$859+Sens!$L$860*Sens!$L$862-Sens!$L$861</f>
        <v>7.99728689837664</v>
      </c>
      <c r="M863" s="38" t="n">
        <f aca="false">Sens!$M$859+Sens!$M$860*Sens!$M$862-Sens!$M$861</f>
        <v>-0.210371540660489</v>
      </c>
      <c r="N863" s="38" t="n">
        <f aca="false">Q!$N$22</f>
        <v>13.358</v>
      </c>
      <c r="O863" s="38" t="n">
        <f aca="false">Q!$O$22</f>
        <v>16.261</v>
      </c>
    </row>
    <row r="864" customFormat="false" ht="17.15" hidden="false" customHeight="false" outlineLevel="0" collapsed="false">
      <c r="A864" s="0" t="s">
        <v>679</v>
      </c>
      <c r="B864" s="0" t="s">
        <v>73</v>
      </c>
      <c r="C864" s="38" t="n">
        <f aca="false">Sens!$C$767*m_ad</f>
        <v>7.57284355857716</v>
      </c>
      <c r="D864" s="38" t="n">
        <f aca="false">Sens!$D$767*m_ad</f>
        <v>9.44543827004127</v>
      </c>
      <c r="E864" s="38" t="n">
        <f aca="false">Sens!$E$767*m_ad</f>
        <v>5.02428875377928</v>
      </c>
      <c r="F864" s="38" t="n">
        <f aca="false">Sens!$F$767*m_ad</f>
        <v>6.78802480890925</v>
      </c>
      <c r="G864" s="38" t="n">
        <f aca="false">Sens!$G$767*m_ad</f>
        <v>11.8014732147805</v>
      </c>
      <c r="H864" s="38" t="n">
        <f aca="false">Sens!$H$767*m_ad</f>
        <v>14.1682715634442</v>
      </c>
      <c r="I864" s="38" t="n">
        <f aca="false">Sens!$I$767*m_ad</f>
        <v>16.5348555113474</v>
      </c>
      <c r="J864" s="38" t="n">
        <f aca="false">Sens!$J$767*m_ad</f>
        <v>18.7425403255689</v>
      </c>
      <c r="K864" s="38" t="n">
        <f aca="false">Sens!$K$767*m_ad</f>
        <v>20.6167943581258</v>
      </c>
      <c r="L864" s="38" t="n">
        <f aca="false">Sens!$L$767*m_ad</f>
        <v>22.6784737939383</v>
      </c>
      <c r="M864" s="38" t="n">
        <f aca="false">Sens!$M$767*m_ad</f>
        <v>24.9463211733322</v>
      </c>
      <c r="N864" s="38" t="n">
        <f aca="false">Sens!$N$767*m_ad</f>
        <v>3.95314442937518</v>
      </c>
      <c r="O864" s="38" t="n">
        <f aca="false">Sens!$O$767*m_ad</f>
        <v>5.50052681786011</v>
      </c>
    </row>
    <row r="865" customFormat="false" ht="17.15" hidden="false" customHeight="false" outlineLevel="0" collapsed="false">
      <c r="A865" s="0" t="s">
        <v>680</v>
      </c>
      <c r="B865" s="0" t="s">
        <v>73</v>
      </c>
      <c r="C865" s="38" t="n">
        <f aca="false">Sens!$C$765-Sens!$C$767</f>
        <v>127.760312882846</v>
      </c>
      <c r="D865" s="38" t="n">
        <f aca="false">Sens!$D$765-Sens!$D$767</f>
        <v>143.003123459917</v>
      </c>
      <c r="E865" s="38" t="n">
        <f aca="false">Sens!$E$765-Sens!$E$767</f>
        <v>71.9374224924414</v>
      </c>
      <c r="F865" s="38" t="n">
        <f aca="false">Sens!$F$765-Sens!$F$767</f>
        <v>87.0563645868046</v>
      </c>
      <c r="G865" s="38" t="n">
        <f aca="false">Sens!$G$765-Sens!$G$767</f>
        <v>159.015467775062</v>
      </c>
      <c r="H865" s="38" t="n">
        <f aca="false">Sens!$H$765-Sens!$H$767</f>
        <v>173.864803403269</v>
      </c>
      <c r="I865" s="38" t="n">
        <f aca="false">Sens!$I$765-Sens!$I$767</f>
        <v>188.068165645601</v>
      </c>
      <c r="J865" s="38" t="n">
        <f aca="false">Sens!$J$765-Sens!$J$767</f>
        <v>201.22681801082</v>
      </c>
      <c r="K865" s="38" t="n">
        <f aca="false">Sens!$K$765-Sens!$K$767</f>
        <v>212.941334991893</v>
      </c>
      <c r="L865" s="38" t="n">
        <f aca="false">Sens!$L$765-Sens!$L$767</f>
        <v>225.363269144856</v>
      </c>
      <c r="M865" s="38" t="n">
        <f aca="false">Sens!$M$765-Sens!$M$767</f>
        <v>238.536688790819</v>
      </c>
      <c r="N865" s="38" t="n">
        <f aca="false">Sens!$N$765-Sens!$N$767</f>
        <v>62.3677111412496</v>
      </c>
      <c r="O865" s="38" t="n">
        <f aca="false">Sens!$O$765-Sens!$O$767</f>
        <v>80.6189463642798</v>
      </c>
    </row>
    <row r="866" customFormat="false" ht="17.15" hidden="false" customHeight="false" outlineLevel="0" collapsed="false">
      <c r="A866" s="0" t="s">
        <v>681</v>
      </c>
      <c r="B866" s="0" t="s">
        <v>73</v>
      </c>
      <c r="C866" s="38" t="n">
        <f aca="false">Sens!$C$812*(1-Sens!$C$763)</f>
        <v>0.114261957947129</v>
      </c>
      <c r="D866" s="38" t="n">
        <f aca="false">Sens!$D$812*(1-Sens!$D$763)</f>
        <v>0.752530183248868</v>
      </c>
      <c r="E866" s="38" t="n">
        <f aca="false">Sens!$E$812*(1-Sens!$E$763)</f>
        <v>1.04764533383435</v>
      </c>
      <c r="F866" s="38" t="n">
        <f aca="false">Sens!$F$812*(1-Sens!$F$763)</f>
        <v>1.34444067471116</v>
      </c>
      <c r="G866" s="38" t="n">
        <f aca="false">Sens!$G$812*(1-Sens!$G$763)</f>
        <v>2.39106444723465</v>
      </c>
      <c r="H866" s="38" t="n">
        <f aca="false">Sens!$H$812*(1-Sens!$H$763)</f>
        <v>6.73995390770313</v>
      </c>
      <c r="I866" s="38" t="n">
        <f aca="false">Sens!$I$812*(1-Sens!$I$763)</f>
        <v>12.36875859822</v>
      </c>
      <c r="J866" s="38" t="n">
        <f aca="false">Sens!$J$812*(1-Sens!$J$763)</f>
        <v>18.1499871463492</v>
      </c>
      <c r="K866" s="38" t="n">
        <f aca="false">Sens!$K$812*(1-Sens!$K$763)</f>
        <v>24.0408063370254</v>
      </c>
      <c r="L866" s="38" t="n">
        <f aca="false">Sens!$L$812*(1-Sens!$L$763)</f>
        <v>29.7401683381288</v>
      </c>
      <c r="M866" s="38" t="n">
        <f aca="false">Sens!$M$812*(1-Sens!$M$763)</f>
        <v>35.7446769512204</v>
      </c>
      <c r="N866" s="38" t="n">
        <f aca="false">Sens!$N$812*(1-Sens!$N$763)</f>
        <v>0.313498798928495</v>
      </c>
      <c r="O866" s="38" t="n">
        <f aca="false">Sens!$O$812*(1-Sens!$O$763)</f>
        <v>0.439768778645944</v>
      </c>
    </row>
    <row r="867" customFormat="false" ht="17.15" hidden="false" customHeight="false" outlineLevel="0" collapsed="false">
      <c r="A867" s="0" t="s">
        <v>682</v>
      </c>
      <c r="B867" s="0" t="s">
        <v>52</v>
      </c>
      <c r="C867" s="28" t="n">
        <f aca="false">(Sens!$C$868-Sens!$C$864+Sens!$C$866)/Sens!$C$865</f>
        <v>-0.0286989090578717</v>
      </c>
      <c r="D867" s="28" t="n">
        <f aca="false">(Sens!$D$868-Sens!$D$864+Sens!$D$866)/Sens!$D$865</f>
        <v>-0.027572181581737</v>
      </c>
      <c r="E867" s="28" t="n">
        <f aca="false">(Sens!$E$868-Sens!$E$864+Sens!$E$866)/Sens!$E$865</f>
        <v>-0.0116162546695739</v>
      </c>
      <c r="F867" s="28" t="n">
        <f aca="false">Sens!$O$867+(Sens!$E$867-Sens!$N$867)</f>
        <v>-0.0285207982007442</v>
      </c>
      <c r="G867" s="28" t="n">
        <f aca="false">(Sens!$G$868-Sens!$G$864+Sens!$G$866)/Sens!$G$865</f>
        <v>-0.0208076716442384</v>
      </c>
      <c r="H867" s="28" t="n">
        <f aca="false">Sens!$G$867+step_in</f>
        <v>-0.0208076716442384</v>
      </c>
      <c r="I867" s="28" t="n">
        <f aca="false">Sens!$H$867+step_in</f>
        <v>-0.0208076716442384</v>
      </c>
      <c r="J867" s="28" t="n">
        <f aca="false">Sens!$I$867+step_in</f>
        <v>-0.0208076716442384</v>
      </c>
      <c r="K867" s="28" t="n">
        <f aca="false">Sens!$J$867+step_in</f>
        <v>-0.0208076716442384</v>
      </c>
      <c r="L867" s="28" t="n">
        <f aca="false">Sens!$K$867</f>
        <v>-0.0208076716442384</v>
      </c>
      <c r="M867" s="28" t="n">
        <f aca="false">Sens!$L$867</f>
        <v>-0.0208076716442384</v>
      </c>
      <c r="N867" s="28" t="n">
        <f aca="false">(Sens!$N$868-Sens!$N$864+Sens!$N$866)/Sens!$N$865</f>
        <v>-0.0180966338157022</v>
      </c>
      <c r="O867" s="28" t="n">
        <f aca="false">(Sens!$O$868-Sens!$O$864+Sens!$O$866)/Sens!$O$865</f>
        <v>-0.0350011773468726</v>
      </c>
      <c r="P867" s="8" t="s">
        <v>677</v>
      </c>
    </row>
    <row r="868" customFormat="false" ht="17.15" hidden="false" customHeight="false" outlineLevel="0" collapsed="false">
      <c r="A868" s="1" t="s">
        <v>683</v>
      </c>
      <c r="B868" s="8" t="s">
        <v>73</v>
      </c>
      <c r="C868" s="38" t="n">
        <f aca="false">Q!$D$23</f>
        <v>3.792</v>
      </c>
      <c r="D868" s="38" t="n">
        <f aca="false">Q!$E$23</f>
        <v>4.75</v>
      </c>
      <c r="E868" s="38" t="n">
        <f aca="false">Q!$P$23</f>
        <v>3.141</v>
      </c>
      <c r="F868" s="38" t="n">
        <f aca="false">Sens!$F$864+Sens!$F$865*Sens!$F$867-Sens!$F$866</f>
        <v>2.96066712772742</v>
      </c>
      <c r="G868" s="38" t="n">
        <f aca="false">Sens!$E$868+Sens!$F$868</f>
        <v>6.10166712772742</v>
      </c>
      <c r="H868" s="38" t="n">
        <f aca="false">Sens!$H$864+Sens!$H$865*Sens!$H$867-Sens!$H$866</f>
        <v>3.81059591603579</v>
      </c>
      <c r="I868" s="38" t="n">
        <f aca="false">Sens!$I$864+Sens!$I$865*Sens!$I$867-Sens!$I$866</f>
        <v>0.252836275639547</v>
      </c>
      <c r="J868" s="38" t="n">
        <f aca="false">Sens!$J$864+Sens!$J$865*Sens!$J$867-Sens!$J$866</f>
        <v>-3.59450837596439</v>
      </c>
      <c r="K868" s="38" t="n">
        <f aca="false">Sens!$K$864+Sens!$K$865*Sens!$K$867-Sens!$K$866</f>
        <v>-7.85482535689671</v>
      </c>
      <c r="L868" s="38" t="n">
        <f aca="false">Sens!$L$864+Sens!$L$865*Sens!$L$867-Sens!$L$866</f>
        <v>-11.7509794492287</v>
      </c>
      <c r="M868" s="38" t="n">
        <f aca="false">Sens!$M$864+Sens!$M$865*Sens!$M$867-Sens!$M$866</f>
        <v>-15.7617488733515</v>
      </c>
      <c r="N868" s="38" t="n">
        <f aca="false">Q!$N$23</f>
        <v>2.511</v>
      </c>
      <c r="O868" s="38" t="n">
        <f aca="false">Q!$O$23</f>
        <v>2.239</v>
      </c>
    </row>
    <row r="869" customFormat="false" ht="17.15" hidden="false" customHeight="false" outlineLevel="0" collapsed="false">
      <c r="A869" s="0" t="s">
        <v>684</v>
      </c>
      <c r="B869" s="0" t="s">
        <v>73</v>
      </c>
      <c r="C869" s="38" t="n">
        <f aca="false">Sens!$C$809</f>
        <v>1.68487161926111</v>
      </c>
      <c r="D869" s="38" t="n">
        <f aca="false">Sens!$D$809</f>
        <v>4.60259121923537</v>
      </c>
      <c r="E869" s="38" t="n">
        <f aca="false">Sens!$E$809</f>
        <v>2.71589775839647</v>
      </c>
      <c r="F869" s="38" t="n">
        <f aca="false">Sens!$F$809</f>
        <v>7.8104721833438</v>
      </c>
      <c r="G869" s="38" t="n">
        <f aca="false">Sens!$G$809</f>
        <v>10.5263699417403</v>
      </c>
      <c r="H869" s="38" t="n">
        <f aca="false">Sens!$H$809</f>
        <v>23.6695964996635</v>
      </c>
      <c r="I869" s="38" t="n">
        <f aca="false">Sens!$I$809</f>
        <v>34.5278919586849</v>
      </c>
      <c r="J869" s="38" t="n">
        <f aca="false">Sens!$J$809</f>
        <v>44.7447244344682</v>
      </c>
      <c r="K869" s="38" t="n">
        <f aca="false">Sens!$K$809</f>
        <v>54.4294325000026</v>
      </c>
      <c r="L869" s="38" t="n">
        <f aca="false">Sens!$L$809</f>
        <v>65.1787290286487</v>
      </c>
      <c r="M869" s="38" t="n">
        <f aca="false">Sens!$M$809</f>
        <v>74.2906852993</v>
      </c>
      <c r="N869" s="38" t="n">
        <f aca="false">Sens!$N$809</f>
        <v>1.28488624112377</v>
      </c>
      <c r="O869" s="38" t="n">
        <f aca="false">Sens!$O$809</f>
        <v>3.31770497811159</v>
      </c>
    </row>
    <row r="870" customFormat="false" ht="17.15" hidden="false" customHeight="false" outlineLevel="0" collapsed="false">
      <c r="A870" s="0" t="s">
        <v>604</v>
      </c>
      <c r="B870" s="0" t="s">
        <v>73</v>
      </c>
      <c r="C870" s="38" t="n">
        <f aca="false">Sens!$C$814</f>
        <v>38.1491283807389</v>
      </c>
      <c r="D870" s="38" t="n">
        <f aca="false">Sens!$D$814</f>
        <v>41.0034087807646</v>
      </c>
      <c r="E870" s="38" t="n">
        <f aca="false">Sens!$E$814</f>
        <v>28.0661022416035</v>
      </c>
      <c r="F870" s="38" t="n">
        <f aca="false">Sens!$F$814</f>
        <v>28.4829486785298</v>
      </c>
      <c r="G870" s="38" t="n">
        <f aca="false">Sens!$G$814</f>
        <v>56.5490509201333</v>
      </c>
      <c r="H870" s="38" t="n">
        <f aca="false">Sens!$H$814</f>
        <v>65.5560954848079</v>
      </c>
      <c r="I870" s="38" t="n">
        <f aca="false">Sens!$I$814</f>
        <v>76.339292470719</v>
      </c>
      <c r="J870" s="38" t="n">
        <f aca="false">Sens!$J$814</f>
        <v>85.6713164049132</v>
      </c>
      <c r="K870" s="38" t="n">
        <f aca="false">Sens!$K$814</f>
        <v>92.5250217173063</v>
      </c>
      <c r="L870" s="38" t="n">
        <f aca="false">Sens!$L$814</f>
        <v>99.9270234546908</v>
      </c>
      <c r="M870" s="38" t="n">
        <f aca="false">Sens!$M$814</f>
        <v>107.921185331066</v>
      </c>
      <c r="N870" s="38" t="n">
        <f aca="false">Sens!$N$814</f>
        <v>20.4221137588762</v>
      </c>
      <c r="O870" s="38" t="n">
        <f aca="false">Sens!$O$814</f>
        <v>20.5812950218884</v>
      </c>
    </row>
    <row r="871" customFormat="false" ht="17.15" hidden="false" customHeight="false" outlineLevel="0" collapsed="false">
      <c r="A871" s="1" t="s">
        <v>685</v>
      </c>
      <c r="B871" s="8" t="s">
        <v>73</v>
      </c>
      <c r="C871" s="38" t="n">
        <f aca="false">Q!$D$24</f>
        <v>39.834</v>
      </c>
      <c r="D871" s="38" t="n">
        <f aca="false">Q!$E$24</f>
        <v>45.606</v>
      </c>
      <c r="E871" s="38" t="n">
        <f aca="false">Q!$P$24</f>
        <v>30.782</v>
      </c>
      <c r="F871" s="38" t="n">
        <f aca="false">Sens!$F$869+Sens!$F$870</f>
        <v>36.2934208618736</v>
      </c>
      <c r="G871" s="38" t="n">
        <f aca="false">Sens!$G$869+Sens!$G$870</f>
        <v>67.0754208618736</v>
      </c>
      <c r="H871" s="38" t="n">
        <f aca="false">Sens!$H$869+Sens!$H$870</f>
        <v>89.2256919844714</v>
      </c>
      <c r="I871" s="38" t="n">
        <f aca="false">Sens!$I$869+Sens!$I$870</f>
        <v>110.867184429404</v>
      </c>
      <c r="J871" s="38" t="n">
        <f aca="false">Sens!$J$869+Sens!$J$870</f>
        <v>130.416040839381</v>
      </c>
      <c r="K871" s="38" t="n">
        <f aca="false">Sens!$K$869+Sens!$K$870</f>
        <v>146.954454217309</v>
      </c>
      <c r="L871" s="38" t="n">
        <f aca="false">Sens!$L$869+Sens!$L$870</f>
        <v>165.10575248334</v>
      </c>
      <c r="M871" s="38" t="n">
        <f aca="false">Sens!$M$869+Sens!$M$870</f>
        <v>182.211870630366</v>
      </c>
      <c r="N871" s="38" t="n">
        <f aca="false">Q!$N$24</f>
        <v>21.707</v>
      </c>
      <c r="O871" s="38" t="n">
        <f aca="false">Q!$O$24</f>
        <v>23.899</v>
      </c>
    </row>
    <row r="872" customFormat="false" ht="17.15" hidden="false" customHeight="false" outlineLevel="0" collapsed="false">
      <c r="A872" s="5" t="s">
        <v>686</v>
      </c>
      <c r="B872" s="0" t="s">
        <v>73</v>
      </c>
      <c r="C872" s="38" t="n">
        <f aca="false">Q!$D$26</f>
        <v>0</v>
      </c>
      <c r="D872" s="38" t="n">
        <f aca="false">Q!$E$26</f>
        <v>0</v>
      </c>
      <c r="E872" s="38" t="n">
        <f aca="false">Q!$P$26</f>
        <v>0</v>
      </c>
      <c r="F872" s="41" t="n">
        <v>0</v>
      </c>
      <c r="G872" s="38" t="n">
        <f aca="false">Sens!$E$872+Sens!$F$872</f>
        <v>0</v>
      </c>
      <c r="H872" s="41" t="n">
        <v>0</v>
      </c>
      <c r="I872" s="41" t="n">
        <v>0</v>
      </c>
      <c r="J872" s="41" t="n">
        <v>0</v>
      </c>
      <c r="K872" s="41" t="n">
        <v>0</v>
      </c>
      <c r="L872" s="41" t="n">
        <v>0</v>
      </c>
      <c r="M872" s="41" t="n">
        <v>0</v>
      </c>
      <c r="N872" s="38" t="n">
        <f aca="false">Q!$N$26</f>
        <v>0</v>
      </c>
      <c r="O872" s="38" t="n">
        <f aca="false">Q!$O$26</f>
        <v>0</v>
      </c>
    </row>
    <row r="873" customFormat="false" ht="15" hidden="false" customHeight="false" outlineLevel="0" collapsed="false">
      <c r="A873" s="3" t="s">
        <v>494</v>
      </c>
      <c r="B873" s="8" t="s">
        <v>73</v>
      </c>
      <c r="C873" s="38" t="n">
        <f aca="false">Q!$D$25</f>
        <v>68.593</v>
      </c>
      <c r="D873" s="38" t="n">
        <f aca="false">Q!$E$25</f>
        <v>79.975</v>
      </c>
      <c r="E873" s="38" t="n">
        <f aca="false">Q!$P$25</f>
        <v>51.313</v>
      </c>
      <c r="F873" s="38" t="n">
        <f aca="false">Sens!$F$863+Sens!$F$868+Sens!$F$871+Sens!$F$872</f>
        <v>60.0919186477632</v>
      </c>
      <c r="G873" s="38" t="n">
        <f aca="false">Sens!$G$863+Sens!$G$868+Sens!$G$871+Sens!$G$872</f>
        <v>111.404918647763</v>
      </c>
      <c r="H873" s="38" t="n">
        <f aca="false">Sens!$H$863+Sens!$H$868+Sens!$H$871+Sens!$H$872</f>
        <v>128.728584418521</v>
      </c>
      <c r="I873" s="38" t="n">
        <f aca="false">Sens!$I$863+Sens!$I$868+Sens!$I$871+Sens!$I$872</f>
        <v>141.102614524528</v>
      </c>
      <c r="J873" s="38" t="n">
        <f aca="false">Sens!$J$863+Sens!$J$868+Sens!$J$871+Sens!$J$872</f>
        <v>150.389976437143</v>
      </c>
      <c r="K873" s="38" t="n">
        <f aca="false">Sens!$K$863+Sens!$K$868+Sens!$K$871+Sens!$K$872</f>
        <v>155.134370590178</v>
      </c>
      <c r="L873" s="38" t="n">
        <f aca="false">Sens!$L$863+Sens!$L$868+Sens!$L$871+Sens!$L$872</f>
        <v>161.352059932487</v>
      </c>
      <c r="M873" s="38" t="n">
        <f aca="false">Sens!$M$863+Sens!$M$868+Sens!$M$871+Sens!$M$872</f>
        <v>166.239750216354</v>
      </c>
      <c r="N873" s="38" t="n">
        <f aca="false">Q!$N$25</f>
        <v>37.576</v>
      </c>
      <c r="O873" s="38" t="n">
        <f aca="false">Q!$O$25</f>
        <v>42.399</v>
      </c>
    </row>
    <row r="874" customFormat="false" ht="17.15" hidden="false" customHeight="false" outlineLevel="0" collapsed="false">
      <c r="A874" s="24" t="s">
        <v>712</v>
      </c>
      <c r="B874" s="25" t="s">
        <v>73</v>
      </c>
      <c r="C874" s="39" t="n">
        <f aca="false">Sens!$C$863+Sens!$C$868+Sens!$C$871+Sens!$C$872-Sens!$C$873</f>
        <v>0</v>
      </c>
      <c r="D874" s="39" t="n">
        <f aca="false">Sens!$D$863+Sens!$D$868+Sens!$D$871+Sens!$D$872-Sens!$D$873</f>
        <v>0</v>
      </c>
      <c r="E874" s="39" t="n">
        <f aca="false">Sens!$E$863+Sens!$E$868+Sens!$E$871+Sens!$E$872-Sens!$E$873</f>
        <v>0</v>
      </c>
      <c r="F874" s="39" t="n">
        <f aca="false">Sens!$F$863+Sens!$F$868+Sens!$F$871+Sens!$F$872-Sens!$F$873</f>
        <v>0</v>
      </c>
      <c r="G874" s="39" t="n">
        <f aca="false">Sens!$G$863+Sens!$G$868+Sens!$G$871+Sens!$G$872-Sens!$G$873</f>
        <v>0</v>
      </c>
      <c r="H874" s="39" t="n">
        <f aca="false">Sens!$H$863+Sens!$H$868+Sens!$H$871+Sens!$H$872-Sens!$H$873</f>
        <v>0</v>
      </c>
      <c r="I874" s="39" t="n">
        <f aca="false">Sens!$I$863+Sens!$I$868+Sens!$I$871+Sens!$I$872-Sens!$I$873</f>
        <v>0</v>
      </c>
      <c r="J874" s="39" t="n">
        <f aca="false">Sens!$J$863+Sens!$J$868+Sens!$J$871+Sens!$J$872-Sens!$J$873</f>
        <v>0</v>
      </c>
      <c r="K874" s="39" t="n">
        <f aca="false">Sens!$K$863+Sens!$K$868+Sens!$K$871+Sens!$K$872-Sens!$K$873</f>
        <v>0</v>
      </c>
      <c r="L874" s="39" t="n">
        <f aca="false">Sens!$L$863+Sens!$L$868+Sens!$L$871+Sens!$L$872-Sens!$L$873</f>
        <v>0</v>
      </c>
      <c r="M874" s="39" t="n">
        <f aca="false">Sens!$M$863+Sens!$M$868+Sens!$M$871+Sens!$M$872-Sens!$M$873</f>
        <v>0</v>
      </c>
      <c r="N874" s="39" t="n">
        <f aca="false">Sens!$N$863+Sens!$N$868+Sens!$N$871+Sens!$N$872-Sens!$N$873</f>
        <v>0</v>
      </c>
      <c r="O874" s="39" t="n">
        <f aca="false">Sens!$O$863+Sens!$O$868+Sens!$O$871+Sens!$O$872-Sens!$O$873</f>
        <v>0</v>
      </c>
    </row>
    <row r="875" customFormat="false" ht="17.15" hidden="false" customHeight="false" outlineLevel="0" collapsed="false">
      <c r="A875" s="0" t="s">
        <v>688</v>
      </c>
      <c r="B875" s="0" t="s">
        <v>52</v>
      </c>
      <c r="C875" s="12" t="n">
        <f aca="false">Sens!$C$863/Sens!$C$848</f>
        <v>0.0644314665661928</v>
      </c>
      <c r="D875" s="12" t="n">
        <f aca="false">Sens!$D$863/Sens!$D$848</f>
        <v>0.0694784250712518</v>
      </c>
      <c r="E875" s="12" t="n">
        <f aca="false">Sens!$E$863/Sens!$E$848</f>
        <v>0.0789306463326071</v>
      </c>
      <c r="F875" s="12" t="n">
        <f aca="false">Sens!$F$863/Sens!$F$848</f>
        <v>0.0813012260375738</v>
      </c>
      <c r="G875" s="12" t="n">
        <f aca="false">Sens!$G$863/Sens!$G$848</f>
        <v>0.0802054228380768</v>
      </c>
      <c r="H875" s="12" t="n">
        <f aca="false">Sens!$H$863/Sens!$H$848</f>
        <v>0.0676330690599659</v>
      </c>
      <c r="I875" s="12" t="n">
        <f aca="false">Sens!$I$863/Sens!$I$848</f>
        <v>0.0519487034160485</v>
      </c>
      <c r="J875" s="12" t="n">
        <f aca="false">Sens!$J$863/Sens!$J$848</f>
        <v>0.0378290547914632</v>
      </c>
      <c r="K875" s="12" t="n">
        <f aca="false">Sens!$K$863/Sens!$K$848</f>
        <v>0.0241711834071697</v>
      </c>
      <c r="L875" s="12" t="n">
        <f aca="false">Sens!$L$863/Sens!$L$848</f>
        <v>0.0113185458318964</v>
      </c>
      <c r="M875" s="12" t="n">
        <f aca="false">Sens!$M$863/Sens!$M$848</f>
        <v>-0.000279457784118055</v>
      </c>
      <c r="N875" s="12" t="n">
        <f aca="false">Sens!$N$863/Sens!$N$848</f>
        <v>0.069228576611127</v>
      </c>
      <c r="O875" s="12" t="n">
        <f aca="false">Sens!$O$863/Sens!$O$848</f>
        <v>0.069685022498393</v>
      </c>
    </row>
    <row r="876" customFormat="false" ht="17.15" hidden="false" customHeight="false" outlineLevel="0" collapsed="false">
      <c r="A876" s="0" t="s">
        <v>689</v>
      </c>
      <c r="B876" s="0" t="s">
        <v>52</v>
      </c>
      <c r="C876" s="12" t="n">
        <f aca="false">Sens!$C$868/Sens!$C$849</f>
        <v>0.026534925055631</v>
      </c>
      <c r="D876" s="12" t="n">
        <f aca="false">Sens!$D$868/Sens!$D$849</f>
        <v>0.0293401855535103</v>
      </c>
      <c r="E876" s="12" t="n">
        <f aca="false">Sens!$E$868/Sens!$E$849</f>
        <v>0.03831141902276</v>
      </c>
      <c r="F876" s="12" t="n">
        <f aca="false">Sens!$F$868/Sens!$F$849</f>
        <v>0.0294206111532541</v>
      </c>
      <c r="G876" s="12" t="n">
        <f aca="false">Sens!$G$868/Sens!$G$849</f>
        <v>0.0334121131995513</v>
      </c>
      <c r="H876" s="12" t="n">
        <f aca="false">Sens!$H$868/Sens!$H$849</f>
        <v>0.018845551631712</v>
      </c>
      <c r="I876" s="12" t="n">
        <f aca="false">Sens!$I$868/Sens!$I$849</f>
        <v>0.00114334224172188</v>
      </c>
      <c r="J876" s="12" t="n">
        <f aca="false">Sens!$J$868/Sens!$J$849</f>
        <v>-0.0150579355118557</v>
      </c>
      <c r="K876" s="12" t="n">
        <f aca="false">Sens!$K$868/Sens!$K$849</f>
        <v>-0.0309032269678813</v>
      </c>
      <c r="L876" s="12" t="n">
        <f aca="false">Sens!$L$868/Sens!$L$849</f>
        <v>-0.0434063609694499</v>
      </c>
      <c r="M876" s="12" t="n">
        <f aca="false">Sens!$M$868/Sens!$M$849</f>
        <v>-0.0546468308586773</v>
      </c>
      <c r="N876" s="12" t="n">
        <f aca="false">Sens!$N$868/Sens!$N$849</f>
        <v>0.0357315650169337</v>
      </c>
      <c r="O876" s="12" t="n">
        <f aca="false">Sens!$O$868/Sens!$O$849</f>
        <v>0.0244378956559703</v>
      </c>
    </row>
    <row r="877" customFormat="false" ht="17.15" hidden="false" customHeight="false" outlineLevel="0" collapsed="false">
      <c r="A877" s="13" t="s">
        <v>690</v>
      </c>
      <c r="B877" s="13" t="s">
        <v>52</v>
      </c>
      <c r="C877" s="16" t="n">
        <f aca="false">Sens!$C$871/Sens!$C$850</f>
        <v>0.370355907620217</v>
      </c>
      <c r="D877" s="16" t="n">
        <f aca="false">Sens!$D$871/Sens!$D$850</f>
        <v>0.35429015342785</v>
      </c>
      <c r="E877" s="16" t="n">
        <f aca="false">Sens!$E$871/Sens!$E$850</f>
        <v>0.385647527531039</v>
      </c>
      <c r="F877" s="16" t="n">
        <f aca="false">Sens!$F$871/Sens!$F$850</f>
        <v>0.387922450241742</v>
      </c>
      <c r="G877" s="16" t="n">
        <f aca="false">Sens!$G$871/Sens!$G$850</f>
        <v>0.386875127985802</v>
      </c>
      <c r="H877" s="16" t="n">
        <f aca="false">Sens!$H$871/Sens!$H$850</f>
        <v>0.370139778476348</v>
      </c>
      <c r="I877" s="16" t="n">
        <f aca="false">Sens!$I$871/Sens!$I$850</f>
        <v>0.355170398421999</v>
      </c>
      <c r="J877" s="16" t="n">
        <f aca="false">Sens!$J$871/Sens!$J$850</f>
        <v>0.343720829515614</v>
      </c>
      <c r="K877" s="16" t="n">
        <f aca="false">Sens!$K$871/Sens!$K$850</f>
        <v>0.334048711163015</v>
      </c>
      <c r="L877" s="16" t="n">
        <f aca="false">Sens!$L$871/Sens!$L$850</f>
        <v>0.328925423342189</v>
      </c>
      <c r="M877" s="16" t="n">
        <f aca="false">Sens!$M$871/Sens!$M$850</f>
        <v>0.322134159238516</v>
      </c>
      <c r="N877" s="16" t="n">
        <f aca="false">Sens!$N$871/Sens!$N$850</f>
        <v>0.360941137346192</v>
      </c>
      <c r="O877" s="16" t="n">
        <f aca="false">Sens!$O$871/Sens!$O$850</f>
        <v>0.348458117664212</v>
      </c>
    </row>
    <row r="878" customFormat="false" ht="17.15" hidden="false" customHeight="false" outlineLevel="0" collapsed="false">
      <c r="A878" s="0" t="s">
        <v>691</v>
      </c>
      <c r="B878" s="0" t="s">
        <v>52</v>
      </c>
      <c r="C878" s="12" t="n">
        <f aca="false">Sens!$C$869/Sens!$C$851</f>
        <v>0.725923192809006</v>
      </c>
      <c r="D878" s="12" t="n">
        <f aca="false">Sens!$D$869/Sens!$D$851</f>
        <v>0.528804319548454</v>
      </c>
      <c r="E878" s="12" t="n">
        <f aca="false">Sens!$E$869/Sens!$E$851</f>
        <v>0.319128685519011</v>
      </c>
      <c r="F878" s="12" t="n">
        <f aca="false">Sens!$F$869/Sens!$F$851</f>
        <v>0.521970583008504</v>
      </c>
      <c r="G878" s="12" t="n">
        <f aca="false">Sens!$G$869/Sens!$G$851</f>
        <v>0.448430843817988</v>
      </c>
      <c r="H878" s="12" t="n">
        <f aca="false">Sens!$H$869/Sens!$H$851</f>
        <v>0.393405569246927</v>
      </c>
      <c r="I878" s="12" t="n">
        <f aca="false">Sens!$I$869/Sens!$I$851</f>
        <v>0.3401638782866</v>
      </c>
      <c r="J878" s="12" t="n">
        <f aca="false">Sens!$J$869/Sens!$J$851</f>
        <v>0.312844587026008</v>
      </c>
      <c r="K878" s="12" t="n">
        <f aca="false">Sens!$K$869/Sens!$K$851</f>
        <v>0.294837223360399</v>
      </c>
      <c r="L878" s="12" t="n">
        <f aca="false">Sens!$L$869/Sens!$L$851</f>
        <v>0.288121892846953</v>
      </c>
      <c r="M878" s="12" t="n">
        <f aca="false">Sens!$M$869/Sens!$M$851</f>
        <v>0.277364298451603</v>
      </c>
      <c r="N878" s="12" t="n">
        <f aca="false">Sens!$N$869/Sens!$N$851</f>
        <v>0.421783147840115</v>
      </c>
      <c r="O878" s="12" t="n">
        <f aca="false">Sens!$O$869/Sens!$O$851</f>
        <v>0.586431104314483</v>
      </c>
    </row>
    <row r="879" customFormat="false" ht="15" hidden="false" customHeight="false" outlineLevel="0" collapsed="false">
      <c r="A879" s="5" t="s">
        <v>692</v>
      </c>
      <c r="B879" s="0" t="s">
        <v>52</v>
      </c>
      <c r="C879" s="12" t="n">
        <f aca="false">Sens!$C$873/Sens!$C$853</f>
        <v>0.107519448742004</v>
      </c>
      <c r="D879" s="12" t="n">
        <f aca="false">Sens!$D$873/Sens!$D$853</f>
        <v>0.111552967957552</v>
      </c>
      <c r="E879" s="12" t="n">
        <f aca="false">Sens!$E$873/Sens!$E$853</f>
        <v>0.13428328426562</v>
      </c>
      <c r="F879" s="12" t="n">
        <f aca="false">Sens!$F$873/Sens!$F$853</f>
        <v>0.133390904565312</v>
      </c>
      <c r="G879" s="12" t="n">
        <f aca="false">Sens!$G$873/Sens!$G$853</f>
        <v>0.133800455915126</v>
      </c>
      <c r="H879" s="12" t="n">
        <f aca="false">Sens!$H$873/Sens!$H$853</f>
        <v>0.132573864276902</v>
      </c>
      <c r="I879" s="12" t="n">
        <f aca="false">Sens!$I$873/Sens!$I$853</f>
        <v>0.12706822558017</v>
      </c>
      <c r="J879" s="12" t="n">
        <f aca="false">Sens!$J$873/Sens!$J$853</f>
        <v>0.121168776334372</v>
      </c>
      <c r="K879" s="12" t="n">
        <f aca="false">Sens!$K$873/Sens!$K$853</f>
        <v>0.114281421726382</v>
      </c>
      <c r="L879" s="12" t="n">
        <f aca="false">Sens!$L$873/Sens!$L$853</f>
        <v>0.109077670240068</v>
      </c>
      <c r="M879" s="12" t="n">
        <f aca="false">Sens!$M$873/Sens!$M$853</f>
        <v>0.103456679245768</v>
      </c>
      <c r="N879" s="12" t="n">
        <f aca="false">Sens!$N$873/Sens!$N$853</f>
        <v>0.116201614873411</v>
      </c>
      <c r="O879" s="12" t="n">
        <f aca="false">Sens!$O$873/Sens!$O$853</f>
        <v>0.107733353660861</v>
      </c>
    </row>
    <row r="880" customFormat="false" ht="17.15" hidden="false" customHeight="false" outlineLevel="0" collapsed="false">
      <c r="A880" s="1" t="s">
        <v>693</v>
      </c>
    </row>
    <row r="881" customFormat="false" ht="17.15" hidden="false" customHeight="false" outlineLevel="0" collapsed="false">
      <c r="A881" s="5" t="s">
        <v>694</v>
      </c>
      <c r="B881" s="0" t="s">
        <v>52</v>
      </c>
      <c r="D881" s="28" t="n">
        <f aca="false">(Q!$E$29+Q!$E$30-(1-ext_sh_lo)*Sens!$D$805)/Sens!$D$762</f>
        <v>0.032235721541643</v>
      </c>
    </row>
    <row r="882" customFormat="false" ht="17.15" hidden="false" customHeight="false" outlineLevel="0" collapsed="false">
      <c r="A882" s="0" t="s">
        <v>498</v>
      </c>
      <c r="B882" s="0" t="s">
        <v>73</v>
      </c>
      <c r="C882" s="38" t="n">
        <f aca="false">Q!$D$29</f>
        <v>14.285</v>
      </c>
      <c r="D882" s="38" t="n">
        <f aca="false">Q!$E$29</f>
        <v>15.503</v>
      </c>
      <c r="E882" s="38" t="n">
        <f aca="false">Q!$P$29</f>
        <v>8.78</v>
      </c>
      <c r="F882" s="38" t="n">
        <f aca="false">(Sens!$D$881*Sens!$F$762+(1-ext_sh_lo)*Sens!$F$805)*Sens!$F$763</f>
        <v>10.1337058920507</v>
      </c>
      <c r="G882" s="38" t="n">
        <f aca="false">Sens!$E$882+Sens!$F$882</f>
        <v>18.9137058920507</v>
      </c>
      <c r="H882" s="38" t="n">
        <f aca="false">(Sens!$D$881*Sens!$H$762+(1-ext_sh_lo)*Sens!$H$805)*Sens!$H$763</f>
        <v>28.5062313796314</v>
      </c>
      <c r="I882" s="38" t="n">
        <f aca="false">(Sens!$D$881*Sens!$I$762+(1-ext_sh_lo)*Sens!$I$805)*Sens!$I$763</f>
        <v>40.7892794214561</v>
      </c>
      <c r="J882" s="38" t="n">
        <f aca="false">(Sens!$D$881*Sens!$J$762+(1-ext_sh_lo)*Sens!$J$805)*Sens!$J$763</f>
        <v>53.3481149176074</v>
      </c>
      <c r="K882" s="38" t="n">
        <f aca="false">(Sens!$D$881*Sens!$K$762+(1-ext_sh_lo)*Sens!$K$805)*Sens!$K$763</f>
        <v>66.0129045168387</v>
      </c>
      <c r="L882" s="38" t="n">
        <f aca="false">(Sens!$D$881*Sens!$L$762+(1-ext_sh_lo)*Sens!$L$805)*Sens!$L$763</f>
        <v>78.2679354384961</v>
      </c>
      <c r="M882" s="38" t="n">
        <f aca="false">(Sens!$D$881*Sens!$M$762+(1-ext_sh_lo)*Sens!$M$805)*Sens!$M$763</f>
        <v>91.4166949916982</v>
      </c>
      <c r="N882" s="38" t="n">
        <f aca="false">Q!$N$29</f>
        <v>7.272</v>
      </c>
      <c r="O882" s="38" t="n">
        <f aca="false">Q!$O$29</f>
        <v>8.231</v>
      </c>
    </row>
    <row r="883" customFormat="false" ht="17.15" hidden="false" customHeight="false" outlineLevel="0" collapsed="false">
      <c r="A883" s="0" t="s">
        <v>500</v>
      </c>
      <c r="B883" s="0" t="s">
        <v>73</v>
      </c>
      <c r="C883" s="38" t="n">
        <f aca="false">Q!$D$30</f>
        <v>4.462</v>
      </c>
      <c r="D883" s="38" t="n">
        <f aca="false">Q!$E$30</f>
        <v>4.907</v>
      </c>
      <c r="E883" s="38" t="n">
        <f aca="false">Q!$P$30</f>
        <v>2.57</v>
      </c>
      <c r="F883" s="38" t="n">
        <f aca="false">(Sens!$D$881*Sens!$F$762+(1-ext_sh_lo)*Sens!$F$805)*(1-Sens!$F$763)</f>
        <v>3.97878780299845</v>
      </c>
      <c r="G883" s="38" t="n">
        <f aca="false">Sens!$E$883+Sens!$F$883</f>
        <v>6.54878780299845</v>
      </c>
      <c r="H883" s="38" t="n">
        <f aca="false">(Sens!$D$881*Sens!$H$762+(1-ext_sh_lo)*Sens!$H$805)*(1-Sens!$H$763)</f>
        <v>10.9221579392234</v>
      </c>
      <c r="I883" s="38" t="n">
        <f aca="false">(Sens!$D$881*Sens!$I$762+(1-ext_sh_lo)*Sens!$I$805)*(1-Sens!$I$763)</f>
        <v>15.628405808373</v>
      </c>
      <c r="J883" s="38" t="n">
        <f aca="false">(Sens!$D$881*Sens!$J$762+(1-ext_sh_lo)*Sens!$J$805)*(1-Sens!$J$763)</f>
        <v>20.4403215960103</v>
      </c>
      <c r="K883" s="38" t="n">
        <f aca="false">(Sens!$D$881*Sens!$K$762+(1-ext_sh_lo)*Sens!$K$805)*(1-Sens!$K$763)</f>
        <v>25.2928336810934</v>
      </c>
      <c r="L883" s="38" t="n">
        <f aca="false">(Sens!$D$881*Sens!$L$762+(1-ext_sh_lo)*Sens!$L$805)*(1-Sens!$L$763)</f>
        <v>29.9883467951858</v>
      </c>
      <c r="M883" s="38" t="n">
        <f aca="false">(Sens!$D$881*Sens!$M$762+(1-ext_sh_lo)*Sens!$M$805)*(1-Sens!$M$763)</f>
        <v>35.0262918897997</v>
      </c>
      <c r="N883" s="38" t="n">
        <f aca="false">Q!$N$30</f>
        <v>2.316</v>
      </c>
      <c r="O883" s="38" t="n">
        <f aca="false">Q!$O$30</f>
        <v>2.591</v>
      </c>
    </row>
    <row r="884" customFormat="false" ht="17.15" hidden="false" customHeight="false" outlineLevel="0" collapsed="false">
      <c r="A884" s="0" t="s">
        <v>501</v>
      </c>
      <c r="B884" s="0" t="s">
        <v>73</v>
      </c>
      <c r="C884" s="38" t="n">
        <f aca="false">Sens!$C$817</f>
        <v>13.32</v>
      </c>
      <c r="D884" s="38" t="n">
        <f aca="false">Sens!$D$817</f>
        <v>21.45</v>
      </c>
      <c r="E884" s="38" t="n">
        <f aca="false">Sens!$E$817</f>
        <v>15.353</v>
      </c>
      <c r="F884" s="38" t="n">
        <f aca="false">Sens!$F$817</f>
        <v>16.5326771310051</v>
      </c>
      <c r="G884" s="38" t="n">
        <f aca="false">Sens!$G$817</f>
        <v>31.8856771310051</v>
      </c>
      <c r="H884" s="38" t="n">
        <f aca="false">Sens!$H$817</f>
        <v>52.9007689598097</v>
      </c>
      <c r="I884" s="38" t="n">
        <f aca="false">Sens!$I$817</f>
        <v>79.8581742664608</v>
      </c>
      <c r="J884" s="38" t="n">
        <f aca="false">Sens!$J$817</f>
        <v>106.982461757867</v>
      </c>
      <c r="K884" s="38" t="n">
        <f aca="false">Sens!$K$817</f>
        <v>133.596714482178</v>
      </c>
      <c r="L884" s="38" t="n">
        <f aca="false">Sens!$L$817</f>
        <v>159.414911139415</v>
      </c>
      <c r="M884" s="38" t="n">
        <f aca="false">Sens!$M$817</f>
        <v>187.146633215727</v>
      </c>
      <c r="N884" s="38" t="n">
        <f aca="false">Sens!$N$817</f>
        <v>9.234</v>
      </c>
      <c r="O884" s="38" t="n">
        <f aca="false">Sens!$O$817</f>
        <v>12.216</v>
      </c>
    </row>
    <row r="885" customFormat="false" ht="17.15" hidden="false" customHeight="false" outlineLevel="0" collapsed="false">
      <c r="A885" s="5" t="s">
        <v>695</v>
      </c>
      <c r="B885" s="0" t="s">
        <v>73</v>
      </c>
      <c r="C885" s="38" t="n">
        <f aca="false">Sens!$C$882+Sens!$C$883+Sens!$C$884</f>
        <v>32.067</v>
      </c>
      <c r="D885" s="38" t="n">
        <f aca="false">Sens!$D$882+Sens!$D$883+Sens!$D$884</f>
        <v>41.86</v>
      </c>
      <c r="E885" s="38" t="n">
        <f aca="false">Sens!$E$882+Sens!$E$883+Sens!$E$884</f>
        <v>26.703</v>
      </c>
      <c r="F885" s="38" t="n">
        <f aca="false">Sens!$F$882+Sens!$F$883+Sens!$F$884</f>
        <v>30.6451708260543</v>
      </c>
      <c r="G885" s="38" t="n">
        <f aca="false">Sens!$G$882+Sens!$G$883+Sens!$G$884</f>
        <v>57.3481708260543</v>
      </c>
      <c r="H885" s="38" t="n">
        <f aca="false">Sens!$H$882+Sens!$H$883+Sens!$H$884</f>
        <v>92.3291582786645</v>
      </c>
      <c r="I885" s="38" t="n">
        <f aca="false">Sens!$I$882+Sens!$I$883+Sens!$I$884</f>
        <v>136.27585949629</v>
      </c>
      <c r="J885" s="38" t="n">
        <f aca="false">Sens!$J$882+Sens!$J$883+Sens!$J$884</f>
        <v>180.770898271485</v>
      </c>
      <c r="K885" s="38" t="n">
        <f aca="false">Sens!$K$882+Sens!$K$883+Sens!$K$884</f>
        <v>224.90245268011</v>
      </c>
      <c r="L885" s="38" t="n">
        <f aca="false">Sens!$L$882+Sens!$L$883+Sens!$L$884</f>
        <v>267.671193373097</v>
      </c>
      <c r="M885" s="38" t="n">
        <f aca="false">Sens!$M$882+Sens!$M$883+Sens!$M$884</f>
        <v>313.589620097225</v>
      </c>
      <c r="N885" s="38" t="n">
        <f aca="false">Sens!$N$882+Sens!$N$883+Sens!$N$884</f>
        <v>18.822</v>
      </c>
      <c r="O885" s="38" t="n">
        <f aca="false">Sens!$O$882+Sens!$O$883+Sens!$O$884</f>
        <v>23.038</v>
      </c>
    </row>
    <row r="886" customFormat="false" ht="17.15" hidden="false" customHeight="false" outlineLevel="0" collapsed="false">
      <c r="A886" s="0" t="s">
        <v>696</v>
      </c>
      <c r="B886" s="0" t="s">
        <v>73</v>
      </c>
      <c r="C886" s="38" t="n">
        <f aca="false">Sens!$C$859+Sens!$C$864</f>
        <v>28.107</v>
      </c>
      <c r="D886" s="38" t="n">
        <f aca="false">Sens!$D$859+Sens!$D$864</f>
        <v>34.3175</v>
      </c>
      <c r="E886" s="38" t="n">
        <f aca="false">Sens!$E$859+Sens!$E$864</f>
        <v>18.526</v>
      </c>
      <c r="F886" s="38" t="n">
        <f aca="false">Sens!$F$859+Sens!$F$864</f>
        <v>24.0766690913691</v>
      </c>
      <c r="G886" s="38" t="n">
        <f aca="false">Sens!$G$859+Sens!$G$864</f>
        <v>42.6026690913691</v>
      </c>
      <c r="H886" s="38" t="n">
        <f aca="false">Sens!$H$859+Sens!$H$864</f>
        <v>51.1466809294702</v>
      </c>
      <c r="I886" s="38" t="n">
        <f aca="false">Sens!$I$859+Sens!$I$864</f>
        <v>59.6899187926205</v>
      </c>
      <c r="J886" s="38" t="n">
        <f aca="false">Sens!$J$859+Sens!$J$864</f>
        <v>67.6595395244221</v>
      </c>
      <c r="K886" s="38" t="n">
        <f aca="false">Sens!$K$859+Sens!$K$864</f>
        <v>74.4254934768643</v>
      </c>
      <c r="L886" s="38" t="n">
        <f aca="false">Sens!$L$859+Sens!$L$864</f>
        <v>81.8680428245508</v>
      </c>
      <c r="M886" s="38" t="n">
        <f aca="false">Sens!$M$859+Sens!$M$864</f>
        <v>90.0548471070059</v>
      </c>
      <c r="N886" s="38" t="n">
        <f aca="false">Sens!$N$859+Sens!$N$864</f>
        <v>14.8075</v>
      </c>
      <c r="O886" s="38" t="n">
        <f aca="false">Sens!$O$859+Sens!$O$864</f>
        <v>19.51</v>
      </c>
    </row>
    <row r="887" customFormat="false" ht="17.15" hidden="false" customHeight="false" outlineLevel="0" collapsed="false">
      <c r="A887" s="0" t="s">
        <v>697</v>
      </c>
      <c r="B887" s="0" t="s">
        <v>73</v>
      </c>
      <c r="C887" s="38" t="n">
        <f aca="false">Sens!$C$863+Sens!$C$868+Sens!$C$882+Sens!$C$883-Sens!$C$886</f>
        <v>19.399</v>
      </c>
      <c r="D887" s="38" t="n">
        <f aca="false">Sens!$D$863+Sens!$D$868+Sens!$D$882+Sens!$D$883-Sens!$D$886</f>
        <v>20.4615</v>
      </c>
      <c r="E887" s="38" t="n">
        <f aca="false">Sens!$E$863+Sens!$E$868+Sens!$E$882+Sens!$E$883-Sens!$E$886</f>
        <v>13.355</v>
      </c>
      <c r="F887" s="38" t="n">
        <f aca="false">Sens!$F$863+Sens!$F$868+Sens!$F$882+Sens!$F$883-Sens!$F$886</f>
        <v>13.8343223895697</v>
      </c>
      <c r="G887" s="38" t="n">
        <f aca="false">Sens!$G$863+Sens!$G$868+Sens!$G$882+Sens!$G$883-Sens!$G$886</f>
        <v>27.1893223895697</v>
      </c>
      <c r="H887" s="38" t="n">
        <f aca="false">Sens!$H$863+Sens!$H$868+Sens!$H$882+Sens!$H$883-Sens!$H$886</f>
        <v>27.7846008234338</v>
      </c>
      <c r="I887" s="38" t="n">
        <f aca="false">Sens!$I$863+Sens!$I$868+Sens!$I$882+Sens!$I$883-Sens!$I$886</f>
        <v>26.9631965323324</v>
      </c>
      <c r="J887" s="38" t="n">
        <f aca="false">Sens!$J$863+Sens!$J$868+Sens!$J$882+Sens!$J$883-Sens!$J$886</f>
        <v>26.1028325869573</v>
      </c>
      <c r="K887" s="38" t="n">
        <f aca="false">Sens!$K$863+Sens!$K$868+Sens!$K$882+Sens!$K$883-Sens!$K$886</f>
        <v>25.0601610939364</v>
      </c>
      <c r="L887" s="38" t="n">
        <f aca="false">Sens!$L$863+Sens!$L$868+Sens!$L$882+Sens!$L$883-Sens!$L$886</f>
        <v>22.634546858279</v>
      </c>
      <c r="M887" s="38" t="n">
        <f aca="false">Sens!$M$863+Sens!$M$868+Sens!$M$882+Sens!$M$883-Sens!$M$886</f>
        <v>20.4160193604801</v>
      </c>
      <c r="N887" s="38" t="n">
        <f aca="false">Sens!$N$863+Sens!$N$868+Sens!$N$882+Sens!$N$883-Sens!$N$886</f>
        <v>10.6495</v>
      </c>
      <c r="O887" s="38" t="n">
        <f aca="false">Sens!$O$863+Sens!$O$868+Sens!$O$882+Sens!$O$883-Sens!$O$886</f>
        <v>9.81200000000001</v>
      </c>
    </row>
    <row r="888" customFormat="false" ht="17.15" hidden="false" customHeight="false" outlineLevel="0" collapsed="false">
      <c r="A888" s="0" t="s">
        <v>698</v>
      </c>
      <c r="B888" s="0" t="s">
        <v>73</v>
      </c>
      <c r="C888" s="38" t="n">
        <f aca="false">Sens!$C$870+Sens!$C$884-ext_sh_lo*Sens!$C$805</f>
        <v>51.3470500115664</v>
      </c>
      <c r="D888" s="38" t="n">
        <f aca="false">Sens!$D$870+Sens!$D$884-ext_sh_lo*Sens!$D$805</f>
        <v>60.2799375433739</v>
      </c>
      <c r="E888" s="38" t="n">
        <f aca="false">Sens!$E$870+Sens!$E$884-ext_sh_lo*Sens!$E$805</f>
        <v>39.5095167090767</v>
      </c>
      <c r="F888" s="38" t="n">
        <f aca="false">Sens!$F$870+Sens!$F$884-ext_sh_lo*Sens!$F$805</f>
        <v>41.1060402770081</v>
      </c>
      <c r="G888" s="38" t="n">
        <f aca="false">Sens!$G$870+Sens!$G$884-ext_sh_lo*Sens!$G$805</f>
        <v>80.6155569860848</v>
      </c>
      <c r="H888" s="38" t="n">
        <f aca="false">Sens!$H$870+Sens!$H$884-ext_sh_lo*Sens!$H$805</f>
        <v>94.6092882382357</v>
      </c>
      <c r="I888" s="38" t="n">
        <f aca="false">Sens!$I$870+Sens!$I$884-ext_sh_lo*Sens!$I$805</f>
        <v>110.171389431498</v>
      </c>
      <c r="J888" s="38" t="n">
        <f aca="false">Sens!$J$870+Sens!$J$884-ext_sh_lo*Sens!$J$805</f>
        <v>123.639185762365</v>
      </c>
      <c r="K888" s="38" t="n">
        <f aca="false">Sens!$K$870+Sens!$K$884-ext_sh_lo*Sens!$K$805</f>
        <v>133.530320623355</v>
      </c>
      <c r="L888" s="38" t="n">
        <f aca="false">Sens!$L$870+Sens!$L$884-ext_sh_lo*Sens!$L$805</f>
        <v>144.212746273223</v>
      </c>
      <c r="M888" s="38" t="n">
        <f aca="false">Sens!$M$870+Sens!$M$884-ext_sh_lo*Sens!$M$805</f>
        <v>155.749765975081</v>
      </c>
      <c r="N888" s="38" t="n">
        <f aca="false">Sens!$N$870+Sens!$N$884-ext_sh_lo*Sens!$N$805</f>
        <v>28.5693781401809</v>
      </c>
      <c r="O888" s="38" t="n">
        <f aca="false">Sens!$O$870+Sens!$O$884-ext_sh_lo*Sens!$O$805</f>
        <v>31.7105594031931</v>
      </c>
    </row>
    <row r="889" customFormat="false" ht="17.15" hidden="false" customHeight="false" outlineLevel="0" collapsed="false">
      <c r="A889" s="0" t="s">
        <v>699</v>
      </c>
      <c r="B889" s="0" t="s">
        <v>73</v>
      </c>
      <c r="C889" s="38" t="n">
        <f aca="false">Sens!$C$808</f>
        <v>1.80694998843362</v>
      </c>
      <c r="D889" s="38" t="n">
        <f aca="false">Sens!$D$808</f>
        <v>6.77606245662607</v>
      </c>
      <c r="E889" s="38" t="n">
        <f aca="false">Sens!$E$808</f>
        <v>6.62548329092326</v>
      </c>
      <c r="F889" s="38" t="n">
        <f aca="false">Sens!$F$808</f>
        <v>11.7200577158706</v>
      </c>
      <c r="G889" s="38" t="n">
        <f aca="false">Sens!$G$808</f>
        <v>18.3455410067939</v>
      </c>
      <c r="H889" s="38" t="n">
        <f aca="false">Sens!$H$808</f>
        <v>47.5171727060453</v>
      </c>
      <c r="I889" s="38" t="n">
        <f aca="false">Sens!$I$808</f>
        <v>80.5539692643667</v>
      </c>
      <c r="J889" s="38" t="n">
        <f aca="false">Sens!$J$808</f>
        <v>113.759316834883</v>
      </c>
      <c r="K889" s="38" t="n">
        <f aca="false">Sens!$K$808</f>
        <v>147.020848076132</v>
      </c>
      <c r="L889" s="38" t="n">
        <f aca="false">Sens!$L$808</f>
        <v>180.307917349531</v>
      </c>
      <c r="M889" s="38" t="n">
        <f aca="false">Sens!$M$808</f>
        <v>213.608737871012</v>
      </c>
      <c r="N889" s="38" t="n">
        <f aca="false">Sens!$N$808</f>
        <v>2.37162185981912</v>
      </c>
      <c r="O889" s="38" t="n">
        <f aca="false">Sens!$O$808</f>
        <v>4.40444059680694</v>
      </c>
    </row>
    <row r="890" customFormat="false" ht="17.15" hidden="false" customHeight="false" outlineLevel="0" collapsed="false">
      <c r="A890" s="0" t="s">
        <v>700</v>
      </c>
      <c r="B890" s="0" t="s">
        <v>73</v>
      </c>
      <c r="C890" s="38" t="n">
        <f aca="false">Sens!$C$873+Sens!$C$885</f>
        <v>100.66</v>
      </c>
      <c r="D890" s="38" t="n">
        <f aca="false">Sens!$D$873+Sens!$D$885</f>
        <v>121.835</v>
      </c>
      <c r="E890" s="38" t="n">
        <f aca="false">Sens!$E$873+Sens!$E$885</f>
        <v>78.016</v>
      </c>
      <c r="F890" s="38" t="n">
        <f aca="false">Sens!$F$873+Sens!$F$885</f>
        <v>90.7370894738175</v>
      </c>
      <c r="G890" s="38" t="n">
        <f aca="false">Sens!$G$873+Sens!$G$885</f>
        <v>168.753089473817</v>
      </c>
      <c r="H890" s="38" t="n">
        <f aca="false">Sens!$H$873+Sens!$H$885</f>
        <v>221.057742697185</v>
      </c>
      <c r="I890" s="38" t="n">
        <f aca="false">Sens!$I$873+Sens!$I$885</f>
        <v>277.378474020818</v>
      </c>
      <c r="J890" s="38" t="n">
        <f aca="false">Sens!$J$873+Sens!$J$885</f>
        <v>331.160874708628</v>
      </c>
      <c r="K890" s="38" t="n">
        <f aca="false">Sens!$K$873+Sens!$K$885</f>
        <v>380.036823270287</v>
      </c>
      <c r="L890" s="38" t="n">
        <f aca="false">Sens!$L$873+Sens!$L$885</f>
        <v>429.023253305584</v>
      </c>
      <c r="M890" s="38" t="n">
        <f aca="false">Sens!$M$873+Sens!$M$885</f>
        <v>479.829370313579</v>
      </c>
      <c r="N890" s="38" t="n">
        <f aca="false">Sens!$N$873+Sens!$N$885</f>
        <v>56.398</v>
      </c>
      <c r="O890" s="38" t="n">
        <f aca="false">Sens!$O$873+Sens!$O$885</f>
        <v>65.437</v>
      </c>
    </row>
    <row r="891" customFormat="false" ht="17.15" hidden="false" customHeight="false" outlineLevel="0" collapsed="false">
      <c r="A891" s="1" t="s">
        <v>701</v>
      </c>
    </row>
    <row r="892" customFormat="false" ht="15" hidden="false" customHeight="false" outlineLevel="0" collapsed="false">
      <c r="A892" s="5" t="s">
        <v>504</v>
      </c>
      <c r="B892" s="0" t="s">
        <v>73</v>
      </c>
      <c r="C892" s="38" t="n">
        <f aca="false">Q!$D$34</f>
        <v>2.406</v>
      </c>
      <c r="D892" s="38" t="n">
        <f aca="false">Q!$E$34</f>
        <v>2.274</v>
      </c>
      <c r="E892" s="38" t="n">
        <f aca="false">Q!$P$34</f>
        <v>2.114</v>
      </c>
      <c r="F892" s="38" t="n">
        <f aca="false">Sens!$F$928</f>
        <v>3.24888964316061</v>
      </c>
      <c r="G892" s="38" t="n">
        <f aca="false">Sens!$E$892+Sens!$F$892</f>
        <v>5.36288964316061</v>
      </c>
      <c r="H892" s="38" t="n">
        <f aca="false">Sens!$H$928</f>
        <v>7.42354178632123</v>
      </c>
      <c r="I892" s="38" t="n">
        <f aca="false">Sens!$I$928</f>
        <v>13.8635208475502</v>
      </c>
      <c r="J892" s="38" t="n">
        <f aca="false">Sens!$J$928</f>
        <v>18.9036956787043</v>
      </c>
      <c r="K892" s="38" t="n">
        <f aca="false">Sens!$K$928</f>
        <v>21.6051858054031</v>
      </c>
      <c r="L892" s="38" t="n">
        <f aca="false">Sens!$L$928</f>
        <v>22.024853207096</v>
      </c>
      <c r="M892" s="38" t="n">
        <f aca="false">Sens!$M$928</f>
        <v>22.7254695660819</v>
      </c>
      <c r="N892" s="38" t="n">
        <f aca="false">Q!$N$34</f>
        <v>1.057</v>
      </c>
      <c r="O892" s="38" t="n">
        <f aca="false">Q!$O$34</f>
        <v>1.217</v>
      </c>
    </row>
    <row r="893" customFormat="false" ht="15" hidden="false" customHeight="false" outlineLevel="0" collapsed="false">
      <c r="A893" s="5" t="s">
        <v>702</v>
      </c>
      <c r="B893" s="0" t="s">
        <v>73</v>
      </c>
      <c r="F893" s="38" t="n">
        <f aca="false">Sens!$F$929</f>
        <v>2.59</v>
      </c>
      <c r="H893" s="38" t="n">
        <f aca="false">Sens!$H$929</f>
        <v>2.6672102948915</v>
      </c>
      <c r="I893" s="38" t="n">
        <f aca="false">Sens!$I$929</f>
        <v>2.10589651022864</v>
      </c>
      <c r="J893" s="38" t="n">
        <f aca="false">Sens!$J$929</f>
        <v>2.10589651022864</v>
      </c>
      <c r="K893" s="38" t="n">
        <f aca="false">Sens!$K$929</f>
        <v>2.10589651022864</v>
      </c>
      <c r="L893" s="38" t="n">
        <f aca="false">Sens!$L$929</f>
        <v>2.10589651022864</v>
      </c>
      <c r="M893" s="38" t="n">
        <f aca="false">Sens!$M$929</f>
        <v>2.10589651022864</v>
      </c>
    </row>
    <row r="894" customFormat="false" ht="17.15" hidden="false" customHeight="false" outlineLevel="0" collapsed="false">
      <c r="A894" s="5" t="s">
        <v>703</v>
      </c>
      <c r="B894" s="0" t="s">
        <v>73</v>
      </c>
      <c r="C894" s="38" t="n">
        <f aca="false">Q!$D$39</f>
        <v>2.427</v>
      </c>
      <c r="D894" s="38" t="n">
        <f aca="false">Q!$E$39</f>
        <v>19.61</v>
      </c>
      <c r="E894" s="38" t="n">
        <f aca="false">Q!$P$39</f>
        <v>71.492</v>
      </c>
      <c r="F894" s="41" t="n">
        <v>0</v>
      </c>
      <c r="G894" s="38" t="n">
        <f aca="false">Sens!$E$894+Sens!$F$894</f>
        <v>71.492</v>
      </c>
      <c r="H894" s="41" t="n">
        <v>0</v>
      </c>
      <c r="I894" s="41" t="n">
        <v>0</v>
      </c>
      <c r="J894" s="41" t="n">
        <v>0</v>
      </c>
      <c r="K894" s="41" t="n">
        <v>0</v>
      </c>
      <c r="L894" s="41" t="n">
        <v>0</v>
      </c>
      <c r="M894" s="41" t="n">
        <v>0</v>
      </c>
      <c r="N894" s="38" t="n">
        <f aca="false">Q!$N$39</f>
        <v>6.017</v>
      </c>
      <c r="O894" s="38" t="n">
        <f aca="false">Q!$O$39</f>
        <v>13.593</v>
      </c>
      <c r="P894" s="5" t="s">
        <v>704</v>
      </c>
    </row>
    <row r="895" customFormat="false" ht="15" hidden="false" customHeight="false" outlineLevel="0" collapsed="false">
      <c r="A895" s="5" t="s">
        <v>507</v>
      </c>
      <c r="B895" s="0" t="s">
        <v>73</v>
      </c>
      <c r="C895" s="38" t="n">
        <f aca="false">Q!$D$36</f>
        <v>68.614</v>
      </c>
      <c r="D895" s="38" t="n">
        <f aca="false">Q!$E$36</f>
        <v>97.311</v>
      </c>
      <c r="E895" s="38" t="n">
        <f aca="false">Q!$P$36</f>
        <v>120.691</v>
      </c>
      <c r="F895" s="38" t="n">
        <f aca="false">Sens!$F$873-Sens!$F$892+Sens!$F$893+Sens!$F$894</f>
        <v>59.4330290046026</v>
      </c>
      <c r="G895" s="38" t="n">
        <f aca="false">Sens!$E$895+Sens!$F$895</f>
        <v>180.124029004603</v>
      </c>
      <c r="H895" s="38" t="n">
        <f aca="false">Sens!$H$873-Sens!$H$892+Sens!$H$893+Sens!$H$894</f>
        <v>123.972252927091</v>
      </c>
      <c r="I895" s="38" t="n">
        <f aca="false">Sens!$I$873-Sens!$I$892+Sens!$I$893+Sens!$I$894</f>
        <v>129.344990187206</v>
      </c>
      <c r="J895" s="38" t="n">
        <f aca="false">Sens!$J$873-Sens!$J$892+Sens!$J$893+Sens!$J$894</f>
        <v>133.592177268668</v>
      </c>
      <c r="K895" s="38" t="n">
        <f aca="false">Sens!$K$873-Sens!$K$892+Sens!$K$893+Sens!$K$894</f>
        <v>135.635081295003</v>
      </c>
      <c r="L895" s="38" t="n">
        <f aca="false">Sens!$L$873-Sens!$L$892+Sens!$L$893+Sens!$L$894</f>
        <v>141.43310323562</v>
      </c>
      <c r="M895" s="38" t="n">
        <f aca="false">Sens!$M$873-Sens!$M$892+Sens!$M$893+Sens!$M$894</f>
        <v>145.620177160501</v>
      </c>
      <c r="N895" s="38" t="n">
        <f aca="false">Q!$N$36</f>
        <v>42.536</v>
      </c>
      <c r="O895" s="38" t="n">
        <f aca="false">Q!$O$36</f>
        <v>54.775</v>
      </c>
    </row>
    <row r="896" customFormat="false" ht="15" hidden="false" customHeight="false" outlineLevel="0" collapsed="false">
      <c r="A896" s="5" t="s">
        <v>508</v>
      </c>
      <c r="B896" s="0" t="s">
        <v>73</v>
      </c>
      <c r="C896" s="38" t="n">
        <f aca="false">Q!$D$37</f>
        <v>9.265</v>
      </c>
      <c r="D896" s="38" t="n">
        <f aca="false">Q!$E$37</f>
        <v>19.087</v>
      </c>
      <c r="E896" s="38" t="n">
        <f aca="false">Q!$P$37</f>
        <v>27.759</v>
      </c>
      <c r="F896" s="38" t="n">
        <f aca="false">Sens!$F$895*tax</f>
        <v>10.3166542054176</v>
      </c>
      <c r="G896" s="38" t="n">
        <f aca="false">Sens!$E$896+Sens!$F$896</f>
        <v>38.0756542054176</v>
      </c>
      <c r="H896" s="38" t="n">
        <f aca="false">Sens!$H$895*tax</f>
        <v>21.5196648384911</v>
      </c>
      <c r="I896" s="38" t="n">
        <f aca="false">Sens!$I$895*tax</f>
        <v>22.4522888924474</v>
      </c>
      <c r="J896" s="38" t="n">
        <f aca="false">Sens!$J$895*tax</f>
        <v>23.1895348514538</v>
      </c>
      <c r="K896" s="38" t="n">
        <f aca="false">Sens!$K$895*tax</f>
        <v>23.5441513797975</v>
      </c>
      <c r="L896" s="38" t="n">
        <f aca="false">Sens!$L$895*tax</f>
        <v>24.5505982736978</v>
      </c>
      <c r="M896" s="38" t="n">
        <f aca="false">Sens!$M$895*tax</f>
        <v>25.2774095188754</v>
      </c>
      <c r="N896" s="38" t="n">
        <f aca="false">Q!$N$37</f>
        <v>7.231</v>
      </c>
      <c r="O896" s="38" t="n">
        <f aca="false">Q!$O$37</f>
        <v>11.856</v>
      </c>
    </row>
    <row r="897" customFormat="false" ht="15" hidden="false" customHeight="false" outlineLevel="0" collapsed="false">
      <c r="A897" s="3" t="s">
        <v>509</v>
      </c>
      <c r="B897" s="8" t="s">
        <v>73</v>
      </c>
      <c r="C897" s="38" t="n">
        <f aca="false">Q!$D$38</f>
        <v>59.248</v>
      </c>
      <c r="D897" s="38" t="n">
        <f aca="false">Q!$E$38</f>
        <v>77.67</v>
      </c>
      <c r="E897" s="38" t="n">
        <f aca="false">Q!$P$38</f>
        <v>92.902</v>
      </c>
      <c r="F897" s="38" t="n">
        <f aca="false">Sens!$F$895-Sens!$F$896</f>
        <v>49.116374799185</v>
      </c>
      <c r="G897" s="38" t="n">
        <f aca="false">Sens!$E$897+Sens!$F$897</f>
        <v>142.018374799185</v>
      </c>
      <c r="H897" s="38" t="n">
        <f aca="false">Sens!$H$895-Sens!$H$896</f>
        <v>102.4525880886</v>
      </c>
      <c r="I897" s="38" t="n">
        <f aca="false">Sens!$I$895-Sens!$I$896</f>
        <v>106.892701294759</v>
      </c>
      <c r="J897" s="38" t="n">
        <f aca="false">Sens!$J$895-Sens!$J$896</f>
        <v>110.402642417214</v>
      </c>
      <c r="K897" s="38" t="n">
        <f aca="false">Sens!$K$895-Sens!$K$896</f>
        <v>112.090929915206</v>
      </c>
      <c r="L897" s="38" t="n">
        <f aca="false">Sens!$L$895-Sens!$L$896</f>
        <v>116.882504961922</v>
      </c>
      <c r="M897" s="38" t="n">
        <f aca="false">Sens!$M$895-Sens!$M$896</f>
        <v>120.342767641625</v>
      </c>
      <c r="N897" s="38" t="n">
        <f aca="false">Q!$N$38</f>
        <v>35.291</v>
      </c>
      <c r="O897" s="38" t="n">
        <f aca="false">Q!$O$38</f>
        <v>42.379</v>
      </c>
    </row>
    <row r="898" customFormat="false" ht="17.15" hidden="false" customHeight="false" outlineLevel="0" collapsed="false">
      <c r="A898" s="5" t="s">
        <v>512</v>
      </c>
      <c r="B898" s="5" t="s">
        <v>33</v>
      </c>
      <c r="C898" s="22" t="n">
        <f aca="false">Q!$D$41</f>
        <v>10.721</v>
      </c>
      <c r="D898" s="22" t="n">
        <f aca="false">Q!$E$41</f>
        <v>10.827</v>
      </c>
      <c r="E898" s="22" t="n">
        <f aca="false">(Q!$L$41+Q!$M$41)/2</f>
        <v>10.8885</v>
      </c>
      <c r="F898" s="22" t="n">
        <f aca="false">Sens!$G$898</f>
        <v>10.924806</v>
      </c>
      <c r="G898" s="22" t="n">
        <f aca="false">Q!$M$41*(1+sh_g*0.25)</f>
        <v>10.924806</v>
      </c>
      <c r="H898" s="22" t="n">
        <f aca="false">Sens!$G$898*(1+sh_g)</f>
        <v>11.012204448</v>
      </c>
      <c r="I898" s="22" t="n">
        <f aca="false">Sens!$H$898*(1+sh_g)</f>
        <v>11.100302083584</v>
      </c>
      <c r="J898" s="22" t="n">
        <f aca="false">Sens!$I$898*(1+sh_g)</f>
        <v>11.1891045002527</v>
      </c>
      <c r="K898" s="22" t="n">
        <f aca="false">Sens!$J$898*(1+sh_g)</f>
        <v>11.2786173362547</v>
      </c>
      <c r="L898" s="22" t="n">
        <f aca="false">Sens!$K$898*(1+sh_g)</f>
        <v>11.3688462749447</v>
      </c>
      <c r="M898" s="22" t="n">
        <f aca="false">Sens!$L$898*(1+sh_g)</f>
        <v>11.4597970451443</v>
      </c>
      <c r="P898" s="5" t="s">
        <v>705</v>
      </c>
    </row>
    <row r="899" customFormat="false" ht="17.15" hidden="false" customHeight="false" outlineLevel="0" collapsed="false">
      <c r="A899" s="42" t="s">
        <v>706</v>
      </c>
      <c r="B899" s="13" t="s">
        <v>27</v>
      </c>
      <c r="C899" s="43" t="n">
        <f aca="false">Sens!$C$897/Sens!$C$898</f>
        <v>5.52635015390355</v>
      </c>
      <c r="D899" s="43" t="n">
        <f aca="false">Sens!$D$897/Sens!$D$898</f>
        <v>7.1737323358271</v>
      </c>
      <c r="E899" s="43" t="n">
        <f aca="false">Sens!$E$897/Sens!$E$898</f>
        <v>8.53212104513937</v>
      </c>
      <c r="F899" s="13"/>
      <c r="G899" s="43" t="n">
        <f aca="false">Sens!$G$897/Sens!$G$898</f>
        <v>12.9996244143086</v>
      </c>
      <c r="H899" s="43" t="n">
        <f aca="false">Sens!$H$897/Sens!$H$898</f>
        <v>9.30354940033889</v>
      </c>
      <c r="I899" s="43" t="n">
        <f aca="false">Sens!$I$897/Sens!$I$898</f>
        <v>9.62971101956225</v>
      </c>
      <c r="J899" s="43" t="n">
        <f aca="false">Sens!$J$897/Sens!$J$898</f>
        <v>9.86697750608376</v>
      </c>
      <c r="K899" s="43" t="n">
        <f aca="false">Sens!$K$897/Sens!$K$898</f>
        <v>9.93835738667128</v>
      </c>
      <c r="L899" s="43" t="n">
        <f aca="false">Sens!$L$897/Sens!$L$898</f>
        <v>10.280946908352</v>
      </c>
      <c r="M899" s="43" t="n">
        <f aca="false">Sens!$M$897/Sens!$M$898</f>
        <v>10.5013000812799</v>
      </c>
      <c r="N899" s="13"/>
      <c r="O899" s="13"/>
    </row>
    <row r="900" customFormat="false" ht="17.15" hidden="false" customHeight="false" outlineLevel="0" collapsed="false">
      <c r="A900" s="0" t="s">
        <v>707</v>
      </c>
      <c r="B900" s="0" t="s">
        <v>27</v>
      </c>
      <c r="C900" s="30" t="n">
        <f aca="false">(Sens!$C$897-Sens!$C$894*(1-tax))/Sens!$C$898</f>
        <v>5.33926775917445</v>
      </c>
      <c r="D900" s="30" t="n">
        <f aca="false">(Sens!$D$897-Sens!$D$894*(1-tax))/Sens!$D$898</f>
        <v>5.67691812755503</v>
      </c>
      <c r="E900" s="30" t="n">
        <f aca="false">(Sens!$E$897-Sens!$E$894*(1-tax))/Sens!$E$898</f>
        <v>3.10602057006846</v>
      </c>
      <c r="G900" s="30" t="n">
        <f aca="false">(Sens!$G$897-Sens!$G$894*(1-tax))/Sens!$G$898</f>
        <v>7.59155629641161</v>
      </c>
      <c r="H900" s="30" t="n">
        <f aca="false">(Sens!$H$897-Sens!$H$894*(1-tax))/Sens!$H$898</f>
        <v>9.30354940033889</v>
      </c>
      <c r="I900" s="30" t="n">
        <f aca="false">(Sens!$I$897-Sens!$I$894*(1-tax))/Sens!$I$898</f>
        <v>9.62971101956225</v>
      </c>
      <c r="J900" s="30" t="n">
        <f aca="false">(Sens!$J$897-Sens!$J$894*(1-tax))/Sens!$J$898</f>
        <v>9.86697750608376</v>
      </c>
      <c r="K900" s="30" t="n">
        <f aca="false">(Sens!$K$897-Sens!$K$894*(1-tax))/Sens!$K$898</f>
        <v>9.93835738667128</v>
      </c>
      <c r="L900" s="30" t="n">
        <f aca="false">(Sens!$L$897-Sens!$L$894*(1-tax))/Sens!$L$898</f>
        <v>10.280946908352</v>
      </c>
      <c r="M900" s="30" t="n">
        <f aca="false">(Sens!$M$897-Sens!$M$894*(1-tax))/Sens!$M$898</f>
        <v>10.5013000812799</v>
      </c>
      <c r="P900" s="5" t="s">
        <v>708</v>
      </c>
    </row>
    <row r="901" customFormat="false" ht="17.15" hidden="false" customHeight="false" outlineLevel="0" collapsed="false">
      <c r="A901" s="0" t="s">
        <v>709</v>
      </c>
      <c r="B901" s="0" t="s">
        <v>52</v>
      </c>
      <c r="H901" s="12" t="n">
        <f aca="false">Sens!$H$899/Sens!$G$899-1</f>
        <v>-0.284321677009488</v>
      </c>
      <c r="I901" s="12" t="n">
        <f aca="false">Sens!$I$899/Sens!$H$899-1</f>
        <v>0.0350577618485568</v>
      </c>
      <c r="J901" s="12" t="n">
        <f aca="false">Sens!$J$899/Sens!$I$899-1</f>
        <v>0.0246390038122137</v>
      </c>
      <c r="K901" s="12" t="n">
        <f aca="false">Sens!$K$899/Sens!$J$899-1</f>
        <v>0.00723421945002967</v>
      </c>
      <c r="L901" s="12" t="n">
        <f aca="false">Sens!$L$899/Sens!$K$899-1</f>
        <v>0.0344714431521844</v>
      </c>
      <c r="M901" s="12" t="n">
        <f aca="false">Sens!$M$899/Sens!$L$899-1</f>
        <v>0.0214331593084012</v>
      </c>
    </row>
    <row r="904" customFormat="false" ht="19.4" hidden="false" customHeight="false" outlineLevel="0" collapsed="false">
      <c r="A904" s="31" t="s">
        <v>1063</v>
      </c>
    </row>
    <row r="905" customFormat="false" ht="17.15" hidden="false" customHeight="false" outlineLevel="0" collapsed="false">
      <c r="A905" s="6" t="s">
        <v>16</v>
      </c>
      <c r="B905" s="6" t="s">
        <v>17</v>
      </c>
      <c r="C905" s="20" t="s">
        <v>457</v>
      </c>
      <c r="D905" s="20" t="s">
        <v>458</v>
      </c>
      <c r="E905" s="20" t="s">
        <v>540</v>
      </c>
      <c r="F905" s="20" t="s">
        <v>541</v>
      </c>
      <c r="G905" s="20" t="s">
        <v>542</v>
      </c>
      <c r="H905" s="20" t="s">
        <v>543</v>
      </c>
      <c r="I905" s="20" t="s">
        <v>544</v>
      </c>
      <c r="J905" s="20" t="s">
        <v>545</v>
      </c>
      <c r="K905" s="20" t="s">
        <v>546</v>
      </c>
      <c r="L905" s="20" t="s">
        <v>547</v>
      </c>
      <c r="M905" s="20" t="s">
        <v>548</v>
      </c>
      <c r="N905" s="20" t="s">
        <v>549</v>
      </c>
      <c r="O905" s="20" t="s">
        <v>550</v>
      </c>
      <c r="P905" s="6" t="s">
        <v>23</v>
      </c>
      <c r="R905" s="20" t="n">
        <v>2023</v>
      </c>
      <c r="S905" s="20" t="n">
        <v>2024</v>
      </c>
      <c r="T905" s="20" t="n">
        <v>2025</v>
      </c>
      <c r="U905" s="20" t="n">
        <v>2026</v>
      </c>
      <c r="V905" s="20" t="n">
        <v>2027</v>
      </c>
      <c r="W905" s="20" t="n">
        <v>2028</v>
      </c>
      <c r="X905" s="20" t="n">
        <v>2029</v>
      </c>
      <c r="Y905" s="20" t="n">
        <v>2030</v>
      </c>
      <c r="Z905" s="20" t="n">
        <v>2031</v>
      </c>
      <c r="AA905" s="20" t="n">
        <v>2032</v>
      </c>
    </row>
    <row r="906" customFormat="false" ht="15" hidden="false" customHeight="false" outlineLevel="0" collapsed="false">
      <c r="A906" s="5" t="s">
        <v>509</v>
      </c>
      <c r="B906" s="0" t="s">
        <v>73</v>
      </c>
      <c r="C906" s="38" t="n">
        <f aca="false">Sens!$C$897</f>
        <v>59.248</v>
      </c>
      <c r="D906" s="38" t="n">
        <f aca="false">Sens!$D$897</f>
        <v>77.67</v>
      </c>
      <c r="E906" s="38" t="n">
        <f aca="false">Sens!$E$897</f>
        <v>92.902</v>
      </c>
      <c r="F906" s="38" t="n">
        <f aca="false">Sens!$F$897</f>
        <v>49.116374799185</v>
      </c>
      <c r="G906" s="38" t="n">
        <f aca="false">Sens!$G$897</f>
        <v>142.018374799185</v>
      </c>
      <c r="H906" s="38" t="n">
        <f aca="false">Sens!$H$897</f>
        <v>102.4525880886</v>
      </c>
      <c r="I906" s="38" t="n">
        <f aca="false">Sens!$I$897</f>
        <v>106.892701294759</v>
      </c>
      <c r="J906" s="38" t="n">
        <f aca="false">Sens!$J$897</f>
        <v>110.402642417214</v>
      </c>
      <c r="K906" s="38" t="n">
        <f aca="false">Sens!$K$897</f>
        <v>112.090929915206</v>
      </c>
      <c r="L906" s="38" t="n">
        <f aca="false">Sens!$L$897</f>
        <v>116.882504961922</v>
      </c>
      <c r="M906" s="38" t="n">
        <f aca="false">Sens!$M$897</f>
        <v>120.342767641625</v>
      </c>
    </row>
    <row r="907" customFormat="false" ht="17.15" hidden="false" customHeight="false" outlineLevel="0" collapsed="false">
      <c r="A907" s="5" t="s">
        <v>731</v>
      </c>
      <c r="B907" s="0" t="s">
        <v>73</v>
      </c>
      <c r="C907" s="38" t="n">
        <f aca="false">Sens!$C$885</f>
        <v>32.067</v>
      </c>
      <c r="D907" s="38" t="n">
        <f aca="false">Sens!$D$885</f>
        <v>41.86</v>
      </c>
      <c r="E907" s="38" t="n">
        <f aca="false">Sens!$E$885</f>
        <v>26.703</v>
      </c>
      <c r="F907" s="38" t="n">
        <f aca="false">Sens!$F$885</f>
        <v>30.6451708260543</v>
      </c>
      <c r="G907" s="38" t="n">
        <f aca="false">Sens!$G$885</f>
        <v>57.3481708260543</v>
      </c>
      <c r="H907" s="38" t="n">
        <f aca="false">Sens!$H$885</f>
        <v>92.3291582786645</v>
      </c>
      <c r="I907" s="38" t="n">
        <f aca="false">Sens!$I$885</f>
        <v>136.27585949629</v>
      </c>
      <c r="J907" s="38" t="n">
        <f aca="false">Sens!$J$885</f>
        <v>180.770898271485</v>
      </c>
      <c r="K907" s="38" t="n">
        <f aca="false">Sens!$K$885</f>
        <v>224.90245268011</v>
      </c>
      <c r="L907" s="38" t="n">
        <f aca="false">Sens!$L$885</f>
        <v>267.671193373097</v>
      </c>
      <c r="M907" s="38" t="n">
        <f aca="false">Sens!$M$885</f>
        <v>313.589620097225</v>
      </c>
    </row>
    <row r="908" customFormat="false" ht="15" hidden="false" customHeight="false" outlineLevel="0" collapsed="false">
      <c r="A908" s="5" t="s">
        <v>732</v>
      </c>
      <c r="B908" s="0" t="s">
        <v>73</v>
      </c>
      <c r="C908" s="38" t="n">
        <f aca="false">Q!$D$48</f>
        <v>22.011</v>
      </c>
      <c r="D908" s="38" t="n">
        <f aca="false">Q!$E$48</f>
        <v>19.467</v>
      </c>
      <c r="E908" s="38" t="n">
        <f aca="false">Q!$P$48</f>
        <v>10.07</v>
      </c>
      <c r="F908" s="38" t="n">
        <f aca="false">sbc_r*Sens!$F$829</f>
        <v>11.2170714500462</v>
      </c>
      <c r="G908" s="38" t="n">
        <f aca="false">Sens!$E$908+Sens!$F$908</f>
        <v>21.2870714500462</v>
      </c>
      <c r="H908" s="38" t="n">
        <f aca="false">sbc_r*Sens!$H$829</f>
        <v>24.1772394325528</v>
      </c>
      <c r="I908" s="38" t="n">
        <f aca="false">sbc_r*Sens!$I$829</f>
        <v>27.6495284422397</v>
      </c>
      <c r="J908" s="38" t="n">
        <f aca="false">sbc_r*Sens!$J$829</f>
        <v>30.9042211184633</v>
      </c>
      <c r="K908" s="38" t="n">
        <f aca="false">sbc_r*Sens!$K$829</f>
        <v>33.8004145402678</v>
      </c>
      <c r="L908" s="38" t="n">
        <f aca="false">sbc_r*Sens!$L$829</f>
        <v>36.8322537652494</v>
      </c>
      <c r="M908" s="38" t="n">
        <f aca="false">sbc_r*Sens!$M$829</f>
        <v>40.0097627968013</v>
      </c>
    </row>
    <row r="909" customFormat="false" ht="17.15" hidden="false" customHeight="false" outlineLevel="0" collapsed="false">
      <c r="A909" s="5" t="s">
        <v>733</v>
      </c>
      <c r="B909" s="0" t="s">
        <v>73</v>
      </c>
      <c r="C909" s="38" t="n">
        <f aca="false">Q!$D$44-Sens!$C$906-Sens!$C$907-Sens!$C$908</f>
        <v>2.551</v>
      </c>
      <c r="D909" s="38" t="n">
        <f aca="false">Q!$E$44-Sens!$D$906-Sens!$D$907-Sens!$D$908</f>
        <v>0.51700000000001</v>
      </c>
      <c r="E909" s="38" t="n">
        <f aca="false">Q!$P$44-Sens!$E$906-Sens!$E$907-Sens!$E$908</f>
        <v>-58.256</v>
      </c>
      <c r="F909" s="38" t="n">
        <f aca="false">wc_2h26+oth_r*Sens!$F$829</f>
        <v>7.34599241893378</v>
      </c>
      <c r="G909" s="38" t="n">
        <f aca="false">Sens!$E$909+Sens!$F$909</f>
        <v>-50.9100075810662</v>
      </c>
      <c r="H909" s="38" t="n">
        <f aca="false">oth_r*Sens!$H$829</f>
        <v>11.6369707537667</v>
      </c>
      <c r="I909" s="38" t="n">
        <f aca="false">oth_r*Sens!$I$829</f>
        <v>13.3082502961262</v>
      </c>
      <c r="J909" s="38" t="n">
        <f aca="false">oth_r*Sens!$J$829</f>
        <v>14.8747965344332</v>
      </c>
      <c r="K909" s="38" t="n">
        <f aca="false">oth_r*Sens!$K$829</f>
        <v>16.2687901804328</v>
      </c>
      <c r="L909" s="38" t="n">
        <f aca="false">oth_r*Sens!$L$829</f>
        <v>17.7280727627002</v>
      </c>
      <c r="M909" s="38" t="n">
        <f aca="false">oth_r*Sens!$M$829</f>
        <v>19.2574690270319</v>
      </c>
      <c r="P909" s="8" t="s">
        <v>734</v>
      </c>
    </row>
    <row r="910" customFormat="false" ht="15" hidden="false" customHeight="false" outlineLevel="0" collapsed="false">
      <c r="A910" s="3" t="s">
        <v>515</v>
      </c>
      <c r="B910" s="8" t="s">
        <v>73</v>
      </c>
      <c r="C910" s="38" t="n">
        <f aca="false">Q!$D$44</f>
        <v>115.877</v>
      </c>
      <c r="D910" s="38" t="n">
        <f aca="false">Q!$E$44</f>
        <v>139.514</v>
      </c>
      <c r="E910" s="38" t="n">
        <f aca="false">Q!$P$44</f>
        <v>71.419</v>
      </c>
      <c r="F910" s="38" t="n">
        <f aca="false">Sens!$F$906+Sens!$F$907+Sens!$F$908+Sens!$F$909</f>
        <v>98.3246094942192</v>
      </c>
      <c r="G910" s="38" t="n">
        <f aca="false">Sens!$E$910+Sens!$F$910</f>
        <v>169.743609494219</v>
      </c>
      <c r="H910" s="38" t="n">
        <f aca="false">Sens!$H$906+Sens!$H$907+Sens!$H$908+Sens!$H$909</f>
        <v>230.595956553584</v>
      </c>
      <c r="I910" s="38" t="n">
        <f aca="false">Sens!$I$906+Sens!$I$907+Sens!$I$908+Sens!$I$909</f>
        <v>284.126339529414</v>
      </c>
      <c r="J910" s="38" t="n">
        <f aca="false">Sens!$J$906+Sens!$J$907+Sens!$J$908+Sens!$J$909</f>
        <v>336.952558341595</v>
      </c>
      <c r="K910" s="38" t="n">
        <f aca="false">Sens!$K$906+Sens!$K$907+Sens!$K$908+Sens!$K$909</f>
        <v>387.062587316016</v>
      </c>
      <c r="L910" s="38" t="n">
        <f aca="false">Sens!$L$906+Sens!$L$907+Sens!$L$908+Sens!$L$909</f>
        <v>439.114024862968</v>
      </c>
      <c r="M910" s="38" t="n">
        <f aca="false">Sens!$M$906+Sens!$M$907+Sens!$M$908+Sens!$M$909</f>
        <v>493.199619562683</v>
      </c>
    </row>
    <row r="911" customFormat="false" ht="17.15" hidden="false" customHeight="false" outlineLevel="0" collapsed="false">
      <c r="A911" s="5" t="s">
        <v>735</v>
      </c>
      <c r="B911" s="0" t="s">
        <v>73</v>
      </c>
      <c r="C911" s="38" t="n">
        <f aca="false">Sens!$C$798</f>
        <v>25.2781053077374</v>
      </c>
      <c r="D911" s="38" t="n">
        <f aca="false">Sens!$D$798</f>
        <v>69.5686316310026</v>
      </c>
      <c r="E911" s="38" t="n">
        <f aca="false">Sens!$E$798</f>
        <v>64.1899206485108</v>
      </c>
      <c r="F911" s="38" t="n">
        <f aca="false">Sens!$F$798</f>
        <v>128.330839986</v>
      </c>
      <c r="G911" s="38" t="n">
        <f aca="false">Sens!$G$798</f>
        <v>192.520760634511</v>
      </c>
      <c r="H911" s="38" t="n">
        <f aca="false">Sens!$H$798</f>
        <v>264.761819926333</v>
      </c>
      <c r="I911" s="38" t="n">
        <f aca="false">Sens!$I$798</f>
        <v>272.861959880667</v>
      </c>
      <c r="J911" s="38" t="n">
        <f aca="false">Sens!$J$798</f>
        <v>279.844317480667</v>
      </c>
      <c r="K911" s="38" t="n">
        <f aca="false">Sens!$K$798</f>
        <v>286.826675080667</v>
      </c>
      <c r="L911" s="38" t="n">
        <f aca="false">Sens!$L$798</f>
        <v>335.703178280667</v>
      </c>
      <c r="M911" s="38" t="n">
        <f aca="false">Sens!$M$798</f>
        <v>415.834459687667</v>
      </c>
    </row>
    <row r="912" customFormat="false" ht="17.15" hidden="false" customHeight="false" outlineLevel="0" collapsed="false">
      <c r="A912" s="5" t="s">
        <v>736</v>
      </c>
      <c r="B912" s="0" t="s">
        <v>73</v>
      </c>
      <c r="C912" s="38" t="n">
        <f aca="false">cx_awso*Sens!$C$827</f>
        <v>21.0469989286053</v>
      </c>
      <c r="D912" s="38" t="n">
        <f aca="false">cx_awso*Sens!$D$827</f>
        <v>24.0042459822698</v>
      </c>
      <c r="E912" s="38" t="n">
        <f aca="false">cx_awso*Sens!$E$827</f>
        <v>14.261729404886</v>
      </c>
      <c r="F912" s="38" t="n">
        <f aca="false">cx_awso*Sens!$F$827</f>
        <v>15.7190020837331</v>
      </c>
      <c r="G912" s="38" t="n">
        <f aca="false">Sens!$E$912+Sens!$F$912</f>
        <v>29.9807314886191</v>
      </c>
      <c r="H912" s="38" t="n">
        <f aca="false">cx_awso*Sens!$H$827</f>
        <v>36.1787121536283</v>
      </c>
      <c r="I912" s="38" t="n">
        <f aca="false">cx_awso*Sens!$I$827</f>
        <v>42.1296794430021</v>
      </c>
      <c r="J912" s="38" t="n">
        <f aca="false">cx_awso*Sens!$J$827</f>
        <v>47.279781889299</v>
      </c>
      <c r="K912" s="38" t="n">
        <f aca="false">cx_awso*Sens!$K$827</f>
        <v>51.0621644404429</v>
      </c>
      <c r="L912" s="38" t="n">
        <f aca="false">cx_awso*Sens!$L$827</f>
        <v>55.1471375956783</v>
      </c>
      <c r="M912" s="38" t="n">
        <f aca="false">cx_awso*Sens!$M$827</f>
        <v>59.5589086033326</v>
      </c>
    </row>
    <row r="913" customFormat="false" ht="17.15" hidden="false" customHeight="false" outlineLevel="0" collapsed="false">
      <c r="A913" s="5" t="s">
        <v>737</v>
      </c>
      <c r="B913" s="0" t="s">
        <v>73</v>
      </c>
      <c r="C913" s="38" t="n">
        <f aca="false">Q!$D$46-Sens!$C$911-Sens!$C$912</f>
        <v>31.3328957636573</v>
      </c>
      <c r="D913" s="38" t="n">
        <f aca="false">Q!$E$46-Sens!$D$911-Sens!$D$912</f>
        <v>34.7471223867276</v>
      </c>
      <c r="E913" s="38" t="n">
        <f aca="false">Q!$P$46-Sens!$E$911-Sens!$E$912</f>
        <v>17.8583499466032</v>
      </c>
      <c r="F913" s="38" t="n">
        <f aca="false">cx_rt*Sens!$F$762</f>
        <v>21.0855744229195</v>
      </c>
      <c r="G913" s="38" t="n">
        <f aca="false">Sens!$E$913+Sens!$F$913</f>
        <v>38.9439243695228</v>
      </c>
      <c r="H913" s="38" t="n">
        <f aca="false">cx_rt*Sens!$H$762</f>
        <v>43.1200434029767</v>
      </c>
      <c r="I913" s="38" t="n">
        <f aca="false">cx_rt*Sens!$I$762</f>
        <v>47.1583152318763</v>
      </c>
      <c r="J913" s="38" t="n">
        <f aca="false">cx_rt*Sens!$J$762</f>
        <v>50.9060281137911</v>
      </c>
      <c r="K913" s="38" t="n">
        <f aca="false">cx_rt*Sens!$K$762</f>
        <v>54.2035645673053</v>
      </c>
      <c r="L913" s="38" t="n">
        <f aca="false">cx_rt*Sens!$L$762</f>
        <v>57.7318979121519</v>
      </c>
      <c r="M913" s="38" t="n">
        <f aca="false">cx_rt*Sens!$M$762</f>
        <v>61.5084196557756</v>
      </c>
    </row>
    <row r="914" customFormat="false" ht="15" hidden="false" customHeight="false" outlineLevel="0" collapsed="false">
      <c r="A914" s="3" t="s">
        <v>738</v>
      </c>
      <c r="B914" s="8" t="s">
        <v>73</v>
      </c>
      <c r="C914" s="38" t="n">
        <f aca="false">Q!$D$46</f>
        <v>77.658</v>
      </c>
      <c r="D914" s="38" t="n">
        <f aca="false">Q!$E$46</f>
        <v>128.32</v>
      </c>
      <c r="E914" s="38" t="n">
        <f aca="false">Q!$P$46</f>
        <v>96.31</v>
      </c>
      <c r="F914" s="38" t="n">
        <f aca="false">Sens!$F$911+Sens!$F$912+Sens!$F$913</f>
        <v>165.135416492653</v>
      </c>
      <c r="G914" s="38" t="n">
        <f aca="false">Sens!$E$914+Sens!$F$914</f>
        <v>261.445416492653</v>
      </c>
      <c r="H914" s="38" t="n">
        <f aca="false">Sens!$H$911+Sens!$H$912+Sens!$H$913</f>
        <v>344.060575482938</v>
      </c>
      <c r="I914" s="38" t="n">
        <f aca="false">Sens!$I$911+Sens!$I$912+Sens!$I$913</f>
        <v>362.149954555545</v>
      </c>
      <c r="J914" s="38" t="n">
        <f aca="false">Sens!$J$911+Sens!$J$912+Sens!$J$913</f>
        <v>378.030127483757</v>
      </c>
      <c r="K914" s="38" t="n">
        <f aca="false">Sens!$K$911+Sens!$K$912+Sens!$K$913</f>
        <v>392.092404088415</v>
      </c>
      <c r="L914" s="38" t="n">
        <f aca="false">Sens!$L$911+Sens!$L$912+Sens!$L$913</f>
        <v>448.582213788497</v>
      </c>
      <c r="M914" s="38" t="n">
        <f aca="false">Sens!$M$911+Sens!$M$912+Sens!$M$913</f>
        <v>536.901787946775</v>
      </c>
    </row>
    <row r="915" customFormat="false" ht="17.15" hidden="false" customHeight="false" outlineLevel="0" collapsed="false">
      <c r="A915" s="5" t="s">
        <v>523</v>
      </c>
      <c r="B915" s="0" t="s">
        <v>73</v>
      </c>
      <c r="C915" s="38" t="n">
        <f aca="false">Q!$D$50</f>
        <v>2.043</v>
      </c>
      <c r="D915" s="38" t="n">
        <f aca="false">Q!$E$50</f>
        <v>1.557</v>
      </c>
      <c r="E915" s="38" t="n">
        <f aca="false">lease_pr/2</f>
        <v>0.8</v>
      </c>
      <c r="F915" s="38" t="n">
        <f aca="false">lease_pr/2</f>
        <v>0.8</v>
      </c>
      <c r="G915" s="38" t="n">
        <f aca="false">Sens!$E$915+Sens!$F$915</f>
        <v>1.6</v>
      </c>
      <c r="H915" s="38" t="n">
        <f aca="false">lease_pr</f>
        <v>1.6</v>
      </c>
      <c r="I915" s="38" t="n">
        <f aca="false">lease_pr</f>
        <v>1.6</v>
      </c>
      <c r="J915" s="38" t="n">
        <f aca="false">lease_pr</f>
        <v>1.6</v>
      </c>
      <c r="K915" s="38" t="n">
        <f aca="false">lease_pr</f>
        <v>1.6</v>
      </c>
      <c r="L915" s="38" t="n">
        <f aca="false">lease_pr</f>
        <v>1.6</v>
      </c>
      <c r="M915" s="38" t="n">
        <f aca="false">lease_pr</f>
        <v>1.6</v>
      </c>
      <c r="P915" s="8" t="s">
        <v>739</v>
      </c>
    </row>
    <row r="916" customFormat="false" ht="15" hidden="false" customHeight="false" outlineLevel="0" collapsed="false">
      <c r="A916" s="46" t="s">
        <v>740</v>
      </c>
      <c r="B916" s="13" t="s">
        <v>73</v>
      </c>
      <c r="C916" s="47" t="n">
        <f aca="false">Sens!$C$910-Sens!$C$914-Sens!$C$915</f>
        <v>36.176</v>
      </c>
      <c r="D916" s="47" t="n">
        <f aca="false">Sens!$D$910-Sens!$D$914-Sens!$D$915</f>
        <v>9.63700000000002</v>
      </c>
      <c r="E916" s="47" t="n">
        <f aca="false">Sens!$E$910-Sens!$E$914-Sens!$E$915</f>
        <v>-25.691</v>
      </c>
      <c r="F916" s="47" t="n">
        <f aca="false">Sens!$F$910-Sens!$F$914-Sens!$F$915</f>
        <v>-67.6108069984334</v>
      </c>
      <c r="G916" s="47" t="n">
        <f aca="false">Sens!$G$910-Sens!$G$914-Sens!$G$915</f>
        <v>-93.3018069984334</v>
      </c>
      <c r="H916" s="47" t="n">
        <f aca="false">Sens!$H$910-Sens!$H$914-Sens!$H$915</f>
        <v>-115.064618929355</v>
      </c>
      <c r="I916" s="47" t="n">
        <f aca="false">Sens!$I$910-Sens!$I$914-Sens!$I$915</f>
        <v>-79.6236150261307</v>
      </c>
      <c r="J916" s="47" t="n">
        <f aca="false">Sens!$J$910-Sens!$J$914-Sens!$J$915</f>
        <v>-42.6775691421615</v>
      </c>
      <c r="K916" s="47" t="n">
        <f aca="false">Sens!$K$910-Sens!$K$914-Sens!$K$915</f>
        <v>-6.62981677239887</v>
      </c>
      <c r="L916" s="47" t="n">
        <f aca="false">Sens!$L$910-Sens!$L$914-Sens!$L$915</f>
        <v>-11.0681889255284</v>
      </c>
      <c r="M916" s="47" t="n">
        <f aca="false">Sens!$M$910-Sens!$M$914-Sens!$M$915</f>
        <v>-45.3021683840919</v>
      </c>
      <c r="N916" s="13"/>
      <c r="O916" s="13"/>
    </row>
    <row r="917" customFormat="false" ht="17.15" hidden="false" customHeight="false" outlineLevel="0" collapsed="false">
      <c r="A917" s="5" t="s">
        <v>741</v>
      </c>
      <c r="B917" s="0" t="s">
        <v>73</v>
      </c>
      <c r="C917" s="38" t="n">
        <f aca="false">dps*Sens!$C$898</f>
        <v>0</v>
      </c>
      <c r="D917" s="38" t="n">
        <f aca="false">dps*Sens!$D$898</f>
        <v>0</v>
      </c>
      <c r="E917" s="38" t="n">
        <f aca="false">dps*Sens!$E$898</f>
        <v>0</v>
      </c>
      <c r="F917" s="38" t="n">
        <f aca="false">0</f>
        <v>0</v>
      </c>
      <c r="G917" s="38" t="n">
        <f aca="false">dps*Sens!$G$898</f>
        <v>0</v>
      </c>
      <c r="H917" s="38" t="n">
        <f aca="false">dps*Sens!$H$898</f>
        <v>0</v>
      </c>
      <c r="I917" s="38" t="n">
        <f aca="false">dps*Sens!$I$898</f>
        <v>0</v>
      </c>
      <c r="J917" s="38" t="n">
        <f aca="false">dps*Sens!$J$898</f>
        <v>0</v>
      </c>
      <c r="K917" s="38" t="n">
        <f aca="false">dps*Sens!$K$898</f>
        <v>0</v>
      </c>
      <c r="L917" s="38" t="n">
        <f aca="false">dps*Sens!$L$898</f>
        <v>0</v>
      </c>
      <c r="M917" s="38" t="n">
        <f aca="false">dps*Sens!$M$898</f>
        <v>0</v>
      </c>
      <c r="P917" s="8" t="s">
        <v>742</v>
      </c>
    </row>
    <row r="918" customFormat="false" ht="17.15" hidden="false" customHeight="false" outlineLevel="0" collapsed="false">
      <c r="A918" s="5" t="s">
        <v>743</v>
      </c>
      <c r="B918" s="0" t="s">
        <v>73</v>
      </c>
      <c r="C918" s="38" t="n">
        <f aca="false">0</f>
        <v>0</v>
      </c>
      <c r="D918" s="38" t="n">
        <f aca="false">0</f>
        <v>0</v>
      </c>
      <c r="E918" s="38" t="n">
        <f aca="false">0</f>
        <v>0</v>
      </c>
      <c r="F918" s="38" t="n">
        <f aca="false">0</f>
        <v>0</v>
      </c>
      <c r="G918" s="38" t="n">
        <f aca="false">0</f>
        <v>0</v>
      </c>
      <c r="H918" s="38" t="n">
        <f aca="false">0</f>
        <v>0</v>
      </c>
      <c r="I918" s="38" t="n">
        <f aca="false">0</f>
        <v>0</v>
      </c>
      <c r="J918" s="38" t="n">
        <f aca="false">0</f>
        <v>0</v>
      </c>
      <c r="K918" s="38" t="n">
        <f aca="false">0</f>
        <v>0</v>
      </c>
      <c r="L918" s="38" t="n">
        <f aca="false">0</f>
        <v>0</v>
      </c>
      <c r="M918" s="38" t="n">
        <f aca="false">0</f>
        <v>0</v>
      </c>
      <c r="P918" s="8" t="s">
        <v>744</v>
      </c>
    </row>
    <row r="919" customFormat="false" ht="15" hidden="false" customHeight="false" outlineLevel="0" collapsed="false">
      <c r="A919" s="3" t="s">
        <v>745</v>
      </c>
      <c r="B919" s="8" t="s">
        <v>73</v>
      </c>
      <c r="C919" s="38" t="n">
        <f aca="false">Sens!$C$916-Sens!$C$917</f>
        <v>36.176</v>
      </c>
      <c r="D919" s="38" t="n">
        <f aca="false">Sens!$D$916-Sens!$D$917</f>
        <v>9.63700000000002</v>
      </c>
      <c r="E919" s="38" t="n">
        <f aca="false">Sens!$E$916-Sens!$E$917</f>
        <v>-25.691</v>
      </c>
      <c r="F919" s="38" t="n">
        <f aca="false">Sens!$F$916-Sens!$F$917</f>
        <v>-67.6108069984334</v>
      </c>
      <c r="G919" s="38" t="n">
        <f aca="false">Sens!$G$916-Sens!$G$917</f>
        <v>-93.3018069984334</v>
      </c>
      <c r="H919" s="38" t="n">
        <f aca="false">Sens!$H$916-Sens!$H$917</f>
        <v>-115.064618929355</v>
      </c>
      <c r="I919" s="38" t="n">
        <f aca="false">Sens!$I$916-Sens!$I$917</f>
        <v>-79.6236150261307</v>
      </c>
      <c r="J919" s="38" t="n">
        <f aca="false">Sens!$J$916-Sens!$J$917</f>
        <v>-42.6775691421615</v>
      </c>
      <c r="K919" s="38" t="n">
        <f aca="false">Sens!$K$916-Sens!$K$917</f>
        <v>-6.62981677239887</v>
      </c>
      <c r="L919" s="38" t="n">
        <f aca="false">Sens!$L$916-Sens!$L$917</f>
        <v>-11.0681889255284</v>
      </c>
      <c r="M919" s="38" t="n">
        <f aca="false">Sens!$M$916-Sens!$M$917</f>
        <v>-45.3021683840919</v>
      </c>
    </row>
    <row r="920" customFormat="false" ht="17.15" hidden="false" customHeight="false" outlineLevel="0" collapsed="false">
      <c r="A920" s="5" t="s">
        <v>746</v>
      </c>
      <c r="B920" s="0" t="s">
        <v>73</v>
      </c>
      <c r="E920" s="38" t="n">
        <f aca="false">Q!$P$53</f>
        <v>39.767</v>
      </c>
      <c r="F920" s="38" t="n">
        <f aca="false">inv_2h26</f>
        <v>21.3</v>
      </c>
      <c r="G920" s="38" t="n">
        <f aca="false">Sens!$E$920+Sens!$F$920</f>
        <v>61.067</v>
      </c>
      <c r="H920" s="41" t="n">
        <v>0</v>
      </c>
      <c r="I920" s="41" t="n">
        <v>0</v>
      </c>
      <c r="J920" s="41" t="n">
        <v>0</v>
      </c>
      <c r="K920" s="41" t="n">
        <v>0</v>
      </c>
      <c r="L920" s="41" t="n">
        <v>0</v>
      </c>
      <c r="M920" s="41" t="n">
        <v>0</v>
      </c>
    </row>
    <row r="921" customFormat="false" ht="17.15" hidden="false" customHeight="false" outlineLevel="0" collapsed="false">
      <c r="A921" s="5" t="s">
        <v>747</v>
      </c>
      <c r="B921" s="0" t="s">
        <v>73</v>
      </c>
      <c r="F921" s="38" t="n">
        <f aca="false">iss_2h26</f>
        <v>29.25</v>
      </c>
      <c r="G921" s="38" t="n">
        <f aca="false">Sens!$F$921</f>
        <v>29.25</v>
      </c>
      <c r="H921" s="41" t="n">
        <v>0</v>
      </c>
      <c r="I921" s="41" t="n">
        <v>0</v>
      </c>
      <c r="J921" s="41" t="n">
        <v>0</v>
      </c>
      <c r="K921" s="41" t="n">
        <v>0</v>
      </c>
      <c r="L921" s="41" t="n">
        <v>0</v>
      </c>
      <c r="M921" s="41" t="n">
        <v>0</v>
      </c>
    </row>
    <row r="922" customFormat="false" ht="17.15" hidden="false" customHeight="false" outlineLevel="0" collapsed="false">
      <c r="A922" s="5" t="s">
        <v>748</v>
      </c>
      <c r="B922" s="0" t="s">
        <v>73</v>
      </c>
      <c r="F922" s="38" t="n">
        <f aca="false">cash_q2</f>
        <v>122.988</v>
      </c>
      <c r="G922" s="38" t="n">
        <f aca="false">cash_q2</f>
        <v>122.988</v>
      </c>
      <c r="H922" s="38" t="n">
        <f aca="false">Sens!$G$925</f>
        <v>63.3271930015667</v>
      </c>
      <c r="I922" s="38" t="n">
        <f aca="false">Sens!$H$925</f>
        <v>50</v>
      </c>
      <c r="J922" s="38" t="n">
        <f aca="false">Sens!$I$925</f>
        <v>50</v>
      </c>
      <c r="K922" s="38" t="n">
        <f aca="false">Sens!$J$925</f>
        <v>50</v>
      </c>
      <c r="L922" s="38" t="n">
        <f aca="false">Sens!$K$925</f>
        <v>50</v>
      </c>
      <c r="M922" s="38" t="n">
        <f aca="false">Sens!$L$925</f>
        <v>50</v>
      </c>
    </row>
    <row r="923" customFormat="false" ht="15" hidden="false" customHeight="false" outlineLevel="0" collapsed="false">
      <c r="A923" s="5" t="s">
        <v>749</v>
      </c>
      <c r="B923" s="0" t="s">
        <v>73</v>
      </c>
      <c r="F923" s="38" t="n">
        <f aca="false">Sens!$F$922+Sens!$F$919-Sens!$F$918-Sens!$F$920+Sens!$F$921</f>
        <v>63.3271930015667</v>
      </c>
      <c r="H923" s="38" t="n">
        <f aca="false">Sens!$H$922+Sens!$H$919-Sens!$H$918-Sens!$H$920+Sens!$H$921</f>
        <v>-51.7374259277882</v>
      </c>
      <c r="I923" s="38" t="n">
        <f aca="false">Sens!$I$922+Sens!$I$919-Sens!$I$918-Sens!$I$920+Sens!$I$921</f>
        <v>-29.6236150261307</v>
      </c>
      <c r="J923" s="38" t="n">
        <f aca="false">Sens!$J$922+Sens!$J$919-Sens!$J$918-Sens!$J$920+Sens!$J$921</f>
        <v>7.32243085783855</v>
      </c>
      <c r="K923" s="38" t="n">
        <f aca="false">Sens!$K$922+Sens!$K$919-Sens!$K$918-Sens!$K$920+Sens!$K$921</f>
        <v>43.3701832276011</v>
      </c>
      <c r="L923" s="38" t="n">
        <f aca="false">Sens!$L$922+Sens!$L$919-Sens!$L$918-Sens!$L$920+Sens!$L$921</f>
        <v>38.9318110744716</v>
      </c>
      <c r="M923" s="38" t="n">
        <f aca="false">Sens!$M$922+Sens!$M$919-Sens!$M$918-Sens!$M$920+Sens!$M$921</f>
        <v>4.69783161590808</v>
      </c>
    </row>
    <row r="924" customFormat="false" ht="17.15" hidden="false" customHeight="false" outlineLevel="0" collapsed="false">
      <c r="A924" s="5" t="s">
        <v>750</v>
      </c>
      <c r="B924" s="0" t="s">
        <v>73</v>
      </c>
      <c r="F924" s="38" t="n">
        <f aca="false">MAX(0,min_cash-Sens!$F$923)</f>
        <v>0</v>
      </c>
      <c r="G924" s="38" t="n">
        <f aca="false">Sens!$F$924</f>
        <v>0</v>
      </c>
      <c r="H924" s="38" t="n">
        <f aca="false">MAX(0,min_cash-Sens!$H$923)</f>
        <v>101.737425927788</v>
      </c>
      <c r="I924" s="38" t="n">
        <f aca="false">MAX(0,min_cash-Sens!$I$923)</f>
        <v>79.6236150261307</v>
      </c>
      <c r="J924" s="38" t="n">
        <f aca="false">MAX(0,min_cash-Sens!$J$923)</f>
        <v>42.6775691421615</v>
      </c>
      <c r="K924" s="38" t="n">
        <f aca="false">MAX(0,min_cash-Sens!$K$923)</f>
        <v>6.62981677239888</v>
      </c>
      <c r="L924" s="38" t="n">
        <f aca="false">MAX(0,min_cash-Sens!$L$923)</f>
        <v>11.0681889255284</v>
      </c>
      <c r="M924" s="38" t="n">
        <f aca="false">MAX(0,min_cash-Sens!$M$923)</f>
        <v>45.3021683840919</v>
      </c>
      <c r="P924" s="5" t="s">
        <v>751</v>
      </c>
    </row>
    <row r="925" customFormat="false" ht="15" hidden="false" customHeight="false" outlineLevel="0" collapsed="false">
      <c r="A925" s="5" t="s">
        <v>752</v>
      </c>
      <c r="B925" s="0" t="s">
        <v>73</v>
      </c>
      <c r="D925" s="38" t="n">
        <f aca="false">Q!$E$61</f>
        <v>123.029</v>
      </c>
      <c r="E925" s="38" t="n">
        <f aca="false">Q!$M$61</f>
        <v>122.988</v>
      </c>
      <c r="F925" s="38" t="n">
        <f aca="false">Sens!$F$923+Sens!$F$924</f>
        <v>63.3271930015667</v>
      </c>
      <c r="G925" s="38" t="n">
        <f aca="false">Sens!$F$925</f>
        <v>63.3271930015667</v>
      </c>
      <c r="H925" s="38" t="n">
        <f aca="false">Sens!$H$923+Sens!$H$924</f>
        <v>50</v>
      </c>
      <c r="I925" s="38" t="n">
        <f aca="false">Sens!$I$923+Sens!$I$924</f>
        <v>50</v>
      </c>
      <c r="J925" s="38" t="n">
        <f aca="false">Sens!$J$923+Sens!$J$924</f>
        <v>50</v>
      </c>
      <c r="K925" s="38" t="n">
        <f aca="false">Sens!$K$923+Sens!$K$924</f>
        <v>50</v>
      </c>
      <c r="L925" s="38" t="n">
        <f aca="false">Sens!$L$923+Sens!$L$924</f>
        <v>50</v>
      </c>
      <c r="M925" s="38" t="n">
        <f aca="false">Sens!$M$923+Sens!$M$924</f>
        <v>50</v>
      </c>
    </row>
    <row r="926" customFormat="false" ht="15" hidden="false" customHeight="false" outlineLevel="0" collapsed="false">
      <c r="A926" s="5" t="s">
        <v>753</v>
      </c>
      <c r="B926" s="0" t="s">
        <v>73</v>
      </c>
      <c r="D926" s="38" t="n">
        <f aca="false">Q!$E$62</f>
        <v>68.836</v>
      </c>
      <c r="E926" s="38" t="n">
        <f aca="false">Q!$M$62</f>
        <v>132.995</v>
      </c>
      <c r="F926" s="38" t="n">
        <f aca="false">debt_q2+Sens!$F$921+Sens!$F$924</f>
        <v>162.245</v>
      </c>
      <c r="G926" s="38" t="n">
        <f aca="false">Sens!$F$926</f>
        <v>162.245</v>
      </c>
      <c r="H926" s="38" t="n">
        <f aca="false">Sens!$G$926+Sens!$H$924</f>
        <v>263.982425927788</v>
      </c>
      <c r="I926" s="38" t="n">
        <f aca="false">Sens!$H$926+Sens!$I$924</f>
        <v>343.606040953919</v>
      </c>
      <c r="J926" s="38" t="n">
        <f aca="false">Sens!$I$926+Sens!$J$924</f>
        <v>386.28361009608</v>
      </c>
      <c r="K926" s="38" t="n">
        <f aca="false">Sens!$J$926+Sens!$K$924</f>
        <v>392.913426868479</v>
      </c>
      <c r="L926" s="38" t="n">
        <f aca="false">Sens!$K$926+Sens!$L$924</f>
        <v>403.981615794008</v>
      </c>
      <c r="M926" s="38" t="n">
        <f aca="false">Sens!$L$926+Sens!$M$924</f>
        <v>449.2837841781</v>
      </c>
    </row>
    <row r="927" customFormat="false" ht="15" hidden="false" customHeight="false" outlineLevel="0" collapsed="false">
      <c r="A927" s="5" t="s">
        <v>754</v>
      </c>
      <c r="B927" s="0" t="s">
        <v>73</v>
      </c>
      <c r="D927" s="38" t="n">
        <f aca="false">Sens!$D$926-Sens!$D$925</f>
        <v>-54.193</v>
      </c>
      <c r="E927" s="38" t="n">
        <f aca="false">Sens!$E$926-Sens!$E$925</f>
        <v>10.007</v>
      </c>
      <c r="F927" s="38" t="n">
        <f aca="false">Sens!$F$926-Sens!$F$925</f>
        <v>98.9178069984334</v>
      </c>
      <c r="G927" s="38" t="n">
        <f aca="false">Sens!$G$926-Sens!$G$925</f>
        <v>98.9178069984334</v>
      </c>
      <c r="H927" s="38" t="n">
        <f aca="false">Sens!$H$926-Sens!$H$925</f>
        <v>213.982425927788</v>
      </c>
      <c r="I927" s="38" t="n">
        <f aca="false">Sens!$I$926-Sens!$I$925</f>
        <v>293.606040953919</v>
      </c>
      <c r="J927" s="38" t="n">
        <f aca="false">Sens!$J$926-Sens!$J$925</f>
        <v>336.28361009608</v>
      </c>
      <c r="K927" s="38" t="n">
        <f aca="false">Sens!$K$926-Sens!$K$925</f>
        <v>342.913426868479</v>
      </c>
      <c r="L927" s="38" t="n">
        <f aca="false">Sens!$L$926-Sens!$L$925</f>
        <v>353.981615794008</v>
      </c>
      <c r="M927" s="38" t="n">
        <f aca="false">Sens!$M$926-Sens!$M$925</f>
        <v>399.2837841781</v>
      </c>
    </row>
    <row r="928" customFormat="false" ht="17.15" hidden="false" customHeight="false" outlineLevel="0" collapsed="false">
      <c r="A928" s="5" t="s">
        <v>755</v>
      </c>
      <c r="B928" s="0" t="s">
        <v>73</v>
      </c>
      <c r="F928" s="38" t="n">
        <f aca="false">debt_q2*kd_book*0.5+iss_2h26*kd_new*0.25</f>
        <v>3.24888964316061</v>
      </c>
      <c r="H928" s="38" t="n">
        <f aca="false">debt_q2*kd_book+(Sens!$G$926-debt_q2)*kd_new</f>
        <v>7.42354178632123</v>
      </c>
      <c r="I928" s="38" t="n">
        <f aca="false">debt_q2*kd_book+(Sens!$H$926-debt_q2)*kd_new</f>
        <v>13.8635208475502</v>
      </c>
      <c r="J928" s="38" t="n">
        <f aca="false">debt_q2*kd_book+(Sens!$I$926-debt_q2)*kd_new</f>
        <v>18.9036956787043</v>
      </c>
      <c r="K928" s="38" t="n">
        <f aca="false">debt_q2*kd_book+(Sens!$J$926-debt_q2)*kd_new</f>
        <v>21.6051858054031</v>
      </c>
      <c r="L928" s="38" t="n">
        <f aca="false">debt_q2*kd_book+(Sens!$K$926-debt_q2)*kd_new</f>
        <v>22.024853207096</v>
      </c>
      <c r="M928" s="38" t="n">
        <f aca="false">debt_q2*kd_book+(Sens!$L$926-debt_q2)*kd_new</f>
        <v>22.7254695660819</v>
      </c>
    </row>
    <row r="929" customFormat="false" ht="17.15" hidden="false" customHeight="false" outlineLevel="0" collapsed="false">
      <c r="A929" s="5" t="s">
        <v>756</v>
      </c>
      <c r="B929" s="0" t="s">
        <v>73</v>
      </c>
      <c r="F929" s="38" t="n">
        <f aca="false">cash_q2*y_cash*0.5</f>
        <v>2.59</v>
      </c>
      <c r="H929" s="38" t="n">
        <f aca="false">Sens!$G$925*y_cash</f>
        <v>2.6672102948915</v>
      </c>
      <c r="I929" s="38" t="n">
        <f aca="false">Sens!$H$925*y_cash</f>
        <v>2.10589651022864</v>
      </c>
      <c r="J929" s="38" t="n">
        <f aca="false">Sens!$I$925*y_cash</f>
        <v>2.10589651022864</v>
      </c>
      <c r="K929" s="38" t="n">
        <f aca="false">Sens!$J$925*y_cash</f>
        <v>2.10589651022864</v>
      </c>
      <c r="L929" s="38" t="n">
        <f aca="false">Sens!$K$925*y_cash</f>
        <v>2.10589651022864</v>
      </c>
      <c r="M929" s="38" t="n">
        <f aca="false">Sens!$L$925*y_cash</f>
        <v>2.10589651022864</v>
      </c>
    </row>
    <row r="930" customFormat="false" ht="17.15" hidden="false" customHeight="false" outlineLevel="0" collapsed="false">
      <c r="A930" s="46" t="s">
        <v>757</v>
      </c>
      <c r="B930" s="13" t="s">
        <v>73</v>
      </c>
      <c r="C930" s="13"/>
      <c r="D930" s="13"/>
      <c r="E930" s="13"/>
      <c r="F930" s="13"/>
      <c r="G930" s="47" t="n">
        <f aca="false">SUM(Sens!$G$919:$K$919)</f>
        <v>-337.297426868479</v>
      </c>
      <c r="H930" s="13"/>
      <c r="I930" s="13"/>
      <c r="J930" s="13"/>
      <c r="K930" s="13"/>
      <c r="L930" s="13"/>
      <c r="M930" s="13"/>
      <c r="N930" s="13"/>
      <c r="O930" s="13"/>
    </row>
    <row r="931" customFormat="false" ht="17.15" hidden="false" customHeight="false" outlineLevel="0" collapsed="false">
      <c r="A931" s="0" t="s">
        <v>724</v>
      </c>
      <c r="B931" s="0" t="s">
        <v>73</v>
      </c>
      <c r="G931" s="38" t="n">
        <f aca="false">SUM(Sens!$G$924:$K$924)</f>
        <v>230.668426868479</v>
      </c>
    </row>
    <row r="934" customFormat="false" ht="19.4" hidden="false" customHeight="false" outlineLevel="0" collapsed="false">
      <c r="A934" s="31" t="s">
        <v>1064</v>
      </c>
    </row>
    <row r="935" customFormat="false" ht="17.15" hidden="false" customHeight="false" outlineLevel="0" collapsed="false">
      <c r="A935" s="6" t="s">
        <v>16</v>
      </c>
      <c r="B935" s="6" t="s">
        <v>17</v>
      </c>
      <c r="C935" s="20" t="s">
        <v>457</v>
      </c>
      <c r="D935" s="20" t="s">
        <v>458</v>
      </c>
      <c r="E935" s="20" t="s">
        <v>540</v>
      </c>
      <c r="F935" s="20" t="s">
        <v>541</v>
      </c>
      <c r="G935" s="20" t="s">
        <v>542</v>
      </c>
      <c r="H935" s="20" t="s">
        <v>543</v>
      </c>
      <c r="I935" s="20" t="s">
        <v>544</v>
      </c>
      <c r="J935" s="20" t="s">
        <v>545</v>
      </c>
      <c r="K935" s="20" t="s">
        <v>546</v>
      </c>
      <c r="L935" s="20" t="s">
        <v>547</v>
      </c>
      <c r="M935" s="20" t="s">
        <v>548</v>
      </c>
      <c r="N935" s="20" t="s">
        <v>549</v>
      </c>
      <c r="O935" s="20" t="s">
        <v>550</v>
      </c>
      <c r="P935" s="6" t="s">
        <v>23</v>
      </c>
      <c r="R935" s="20" t="n">
        <v>2023</v>
      </c>
      <c r="S935" s="20" t="n">
        <v>2024</v>
      </c>
      <c r="T935" s="20" t="n">
        <v>2025</v>
      </c>
      <c r="U935" s="20" t="n">
        <v>2026</v>
      </c>
      <c r="V935" s="20" t="n">
        <v>2027</v>
      </c>
      <c r="W935" s="20" t="n">
        <v>2028</v>
      </c>
      <c r="X935" s="20" t="n">
        <v>2029</v>
      </c>
      <c r="Y935" s="20" t="n">
        <v>2030</v>
      </c>
      <c r="Z935" s="20" t="n">
        <v>2031</v>
      </c>
      <c r="AA935" s="20" t="n">
        <v>2032</v>
      </c>
    </row>
    <row r="936" customFormat="false" ht="17.15" hidden="false" customHeight="false" outlineLevel="0" collapsed="false">
      <c r="A936" s="1" t="s">
        <v>852</v>
      </c>
    </row>
    <row r="937" customFormat="false" ht="17.15" hidden="false" customHeight="false" outlineLevel="0" collapsed="false">
      <c r="A937" s="0" t="s">
        <v>853</v>
      </c>
      <c r="B937" s="0" t="s">
        <v>73</v>
      </c>
      <c r="H937" s="38" t="n">
        <f aca="false">Sens!$H$873*(1-tax)</f>
        <v>106.383294029637</v>
      </c>
      <c r="I937" s="38" t="n">
        <f aca="false">Sens!$I$873*(1-tax)</f>
        <v>116.609383977298</v>
      </c>
      <c r="J937" s="38" t="n">
        <f aca="false">Sens!$J$873*(1-tax)</f>
        <v>124.284603568754</v>
      </c>
      <c r="K937" s="38" t="n">
        <f aca="false">Sens!$K$873*(1-tax)</f>
        <v>128.205444308631</v>
      </c>
      <c r="L937" s="38" t="n">
        <f aca="false">Sens!$L$873*(1-tax)</f>
        <v>133.343838989779</v>
      </c>
      <c r="M937" s="38" t="n">
        <f aca="false">Sens!$M$873*(1-tax)</f>
        <v>137.383101869451</v>
      </c>
    </row>
    <row r="938" customFormat="false" ht="15" hidden="false" customHeight="false" outlineLevel="0" collapsed="false">
      <c r="A938" s="5" t="s">
        <v>854</v>
      </c>
      <c r="B938" s="0" t="s">
        <v>73</v>
      </c>
      <c r="H938" s="38" t="n">
        <f aca="false">Sens!$H$885</f>
        <v>92.3291582786645</v>
      </c>
      <c r="I938" s="38" t="n">
        <f aca="false">Sens!$I$885</f>
        <v>136.27585949629</v>
      </c>
      <c r="J938" s="38" t="n">
        <f aca="false">Sens!$J$885</f>
        <v>180.770898271485</v>
      </c>
      <c r="K938" s="38" t="n">
        <f aca="false">Sens!$K$885</f>
        <v>224.90245268011</v>
      </c>
      <c r="L938" s="38" t="n">
        <f aca="false">Sens!$L$885</f>
        <v>267.671193373097</v>
      </c>
      <c r="M938" s="38" t="n">
        <f aca="false">Sens!$M$885</f>
        <v>313.589620097225</v>
      </c>
    </row>
    <row r="939" customFormat="false" ht="15" hidden="false" customHeight="false" outlineLevel="0" collapsed="false">
      <c r="A939" s="5" t="s">
        <v>855</v>
      </c>
      <c r="B939" s="0" t="s">
        <v>73</v>
      </c>
      <c r="H939" s="38" t="n">
        <f aca="false">Sens!$H$914</f>
        <v>344.060575482938</v>
      </c>
      <c r="I939" s="38" t="n">
        <f aca="false">Sens!$I$914</f>
        <v>362.149954555545</v>
      </c>
      <c r="J939" s="38" t="n">
        <f aca="false">Sens!$J$914</f>
        <v>378.030127483757</v>
      </c>
      <c r="K939" s="38" t="n">
        <f aca="false">Sens!$K$914</f>
        <v>392.092404088415</v>
      </c>
      <c r="L939" s="38" t="n">
        <f aca="false">Sens!$L$914</f>
        <v>448.582213788497</v>
      </c>
      <c r="M939" s="38" t="n">
        <f aca="false">Sens!$M$914</f>
        <v>536.901787946775</v>
      </c>
    </row>
    <row r="940" customFormat="false" ht="15" hidden="false" customHeight="false" outlineLevel="0" collapsed="false">
      <c r="A940" s="5" t="s">
        <v>856</v>
      </c>
      <c r="B940" s="0" t="s">
        <v>73</v>
      </c>
      <c r="H940" s="38" t="n">
        <f aca="false">Sens!$H$915</f>
        <v>1.6</v>
      </c>
      <c r="I940" s="38" t="n">
        <f aca="false">Sens!$I$915</f>
        <v>1.6</v>
      </c>
      <c r="J940" s="38" t="n">
        <f aca="false">Sens!$J$915</f>
        <v>1.6</v>
      </c>
      <c r="K940" s="38" t="n">
        <f aca="false">Sens!$K$915</f>
        <v>1.6</v>
      </c>
      <c r="L940" s="38" t="n">
        <f aca="false">Sens!$L$915</f>
        <v>1.6</v>
      </c>
      <c r="M940" s="38" t="n">
        <f aca="false">Sens!$M$915</f>
        <v>1.6</v>
      </c>
    </row>
    <row r="941" customFormat="false" ht="15" hidden="false" customHeight="false" outlineLevel="0" collapsed="false">
      <c r="A941" s="5" t="s">
        <v>857</v>
      </c>
      <c r="B941" s="0" t="s">
        <v>73</v>
      </c>
      <c r="H941" s="38" t="n">
        <f aca="false">Sens!$H$909</f>
        <v>11.6369707537667</v>
      </c>
      <c r="I941" s="38" t="n">
        <f aca="false">Sens!$I$909</f>
        <v>13.3082502961262</v>
      </c>
      <c r="J941" s="38" t="n">
        <f aca="false">Sens!$J$909</f>
        <v>14.8747965344332</v>
      </c>
      <c r="K941" s="38" t="n">
        <f aca="false">Sens!$K$909</f>
        <v>16.2687901804328</v>
      </c>
      <c r="L941" s="38" t="n">
        <f aca="false">Sens!$L$909</f>
        <v>17.7280727627002</v>
      </c>
      <c r="M941" s="38" t="n">
        <f aca="false">Sens!$M$909</f>
        <v>19.2574690270319</v>
      </c>
    </row>
    <row r="942" customFormat="false" ht="17.15" hidden="false" customHeight="false" outlineLevel="0" collapsed="false">
      <c r="A942" s="1" t="s">
        <v>858</v>
      </c>
      <c r="B942" s="8" t="s">
        <v>73</v>
      </c>
      <c r="H942" s="38" t="n">
        <f aca="false">Sens!$H$937+Sens!$H$938-Sens!$H$939-Sens!$H$940+Sens!$H$941</f>
        <v>-135.31115242087</v>
      </c>
      <c r="I942" s="38" t="n">
        <f aca="false">Sens!$I$937+Sens!$I$938-Sens!$I$939-Sens!$I$940+Sens!$I$941</f>
        <v>-97.5564607858306</v>
      </c>
      <c r="J942" s="38" t="n">
        <f aca="false">Sens!$J$937+Sens!$J$938-Sens!$J$939-Sens!$J$940+Sens!$J$941</f>
        <v>-59.699829109084</v>
      </c>
      <c r="K942" s="38" t="n">
        <f aca="false">Sens!$K$937+Sens!$K$938-Sens!$K$939-Sens!$K$940+Sens!$K$941</f>
        <v>-24.3157169192416</v>
      </c>
      <c r="L942" s="38" t="n">
        <f aca="false">Sens!$L$937+Sens!$L$938-Sens!$L$939-Sens!$L$940+Sens!$L$941</f>
        <v>-31.4391086629208</v>
      </c>
      <c r="M942" s="38" t="n">
        <f aca="false">Sens!$M$937+Sens!$M$938-Sens!$M$939-Sens!$M$940+Sens!$M$941</f>
        <v>-68.2715969530678</v>
      </c>
    </row>
    <row r="943" customFormat="false" ht="15" hidden="false" customHeight="false" outlineLevel="0" collapsed="false">
      <c r="A943" s="5" t="s">
        <v>859</v>
      </c>
      <c r="B943" s="0" t="s">
        <v>57</v>
      </c>
      <c r="H943" s="51" t="n">
        <f aca="false">1/(1+wacc)^(2027-2026-0.5)</f>
        <v>0.942858177653364</v>
      </c>
      <c r="I943" s="51" t="n">
        <f aca="false">1/(1+wacc)^(2028-2026-0.5)</f>
        <v>0.838183517758688</v>
      </c>
      <c r="J943" s="51" t="n">
        <f aca="false">1/(1+wacc)^(2029-2026-0.5)</f>
        <v>0.745129677074952</v>
      </c>
      <c r="K943" s="51" t="n">
        <f aca="false">1/(1+wacc)^(2030-2026-0.5)</f>
        <v>0.662406530186232</v>
      </c>
      <c r="L943" s="51" t="n">
        <f aca="false">1/(1+wacc)^(2031-2026-0.5)</f>
        <v>0.588867179409399</v>
      </c>
      <c r="M943" s="51" t="n">
        <f aca="false">1/(1+wacc)^(2032-2026-0.5)</f>
        <v>0.52349205387225</v>
      </c>
    </row>
    <row r="944" customFormat="false" ht="15" hidden="false" customHeight="false" outlineLevel="0" collapsed="false">
      <c r="A944" s="5" t="s">
        <v>860</v>
      </c>
      <c r="B944" s="0" t="s">
        <v>73</v>
      </c>
      <c r="H944" s="38" t="n">
        <f aca="false">Sens!$H$942*Sens!$H$943</f>
        <v>-127.579226587718</v>
      </c>
      <c r="I944" s="38" t="n">
        <f aca="false">Sens!$I$942*Sens!$I$943</f>
        <v>-81.770217481555</v>
      </c>
      <c r="J944" s="38" t="n">
        <f aca="false">Sens!$J$942*Sens!$J$943</f>
        <v>-44.4841143854816</v>
      </c>
      <c r="K944" s="38" t="n">
        <f aca="false">Sens!$K$942*Sens!$K$943</f>
        <v>-16.1068896734655</v>
      </c>
      <c r="L944" s="38" t="n">
        <f aca="false">Sens!$L$942*Sens!$L$943</f>
        <v>-18.5134592414798</v>
      </c>
      <c r="M944" s="38" t="n">
        <f aca="false">Sens!$M$942*Sens!$M$943</f>
        <v>-35.7396385101</v>
      </c>
    </row>
    <row r="945" customFormat="false" ht="15" hidden="false" customHeight="false" outlineLevel="0" collapsed="false">
      <c r="A945" s="5" t="s">
        <v>861</v>
      </c>
      <c r="B945" s="0" t="s">
        <v>73</v>
      </c>
      <c r="C945" s="38" t="n">
        <f aca="false">SUM(Sens!$H$944:$M$944)</f>
        <v>-324.1935458798</v>
      </c>
    </row>
    <row r="946" customFormat="false" ht="17.15" hidden="false" customHeight="false" outlineLevel="0" collapsed="false">
      <c r="A946" s="5" t="s">
        <v>862</v>
      </c>
      <c r="B946" s="0" t="s">
        <v>73</v>
      </c>
      <c r="C946" s="38" t="n">
        <f aca="false">Sens!$M$937*(1+tg)*(1-tg/ronic)/(wacc-tg)</f>
        <v>1133.09963722877</v>
      </c>
    </row>
    <row r="947" customFormat="false" ht="15" hidden="false" customHeight="false" outlineLevel="0" collapsed="false">
      <c r="A947" s="5" t="s">
        <v>863</v>
      </c>
      <c r="B947" s="0" t="s">
        <v>73</v>
      </c>
      <c r="C947" s="38" t="n">
        <f aca="false">Sens!$C$946/(1+wacc)^6</f>
        <v>559.273918352917</v>
      </c>
    </row>
    <row r="948" customFormat="false" ht="17.15" hidden="false" customHeight="false" outlineLevel="0" collapsed="false">
      <c r="A948" s="5" t="s">
        <v>864</v>
      </c>
      <c r="B948" s="0" t="s">
        <v>73</v>
      </c>
      <c r="C948" s="38" t="n">
        <f aca="false">Sens!$C$945+Sens!$C$947</f>
        <v>235.080372473117</v>
      </c>
    </row>
    <row r="949" customFormat="false" ht="17.15" hidden="false" customHeight="false" outlineLevel="0" collapsed="false">
      <c r="A949" s="5" t="s">
        <v>865</v>
      </c>
      <c r="B949" s="0" t="s">
        <v>52</v>
      </c>
      <c r="C949" s="12" t="n">
        <f aca="false">Sens!$C$947/Sens!$C$948</f>
        <v>2.37907534546243</v>
      </c>
    </row>
    <row r="950" customFormat="false" ht="17.15" hidden="false" customHeight="false" outlineLevel="0" collapsed="false">
      <c r="A950" s="5" t="s">
        <v>866</v>
      </c>
      <c r="B950" s="0" t="s">
        <v>73</v>
      </c>
      <c r="C950" s="38" t="n">
        <f aca="false">Sens!$G$927</f>
        <v>98.9178069984334</v>
      </c>
    </row>
    <row r="951" customFormat="false" ht="17.15" hidden="false" customHeight="false" outlineLevel="0" collapsed="false">
      <c r="A951" s="5" t="s">
        <v>867</v>
      </c>
      <c r="B951" s="0" t="s">
        <v>73</v>
      </c>
      <c r="C951" s="38" t="n">
        <f aca="false">(ant_val*ant_sh+oai_val*oai_sh)*(1-liq_disc)</f>
        <v>178.944</v>
      </c>
    </row>
    <row r="952" customFormat="false" ht="15" hidden="false" customHeight="false" outlineLevel="0" collapsed="false">
      <c r="A952" s="5" t="s">
        <v>868</v>
      </c>
      <c r="B952" s="0" t="s">
        <v>73</v>
      </c>
      <c r="C952" s="38" t="n">
        <f aca="false">Sens!$C$948-Sens!$C$950+Sens!$C$951</f>
        <v>315.106565474683</v>
      </c>
    </row>
    <row r="953" customFormat="false" ht="17.15" hidden="false" customHeight="false" outlineLevel="0" collapsed="false">
      <c r="A953" s="5" t="s">
        <v>869</v>
      </c>
      <c r="B953" s="0" t="s">
        <v>27</v>
      </c>
      <c r="C953" s="30" t="n">
        <f aca="false">Sens!$C$952/sh_val</f>
        <v>28.5673250530024</v>
      </c>
    </row>
    <row r="954" customFormat="false" ht="17.15" hidden="false" customHeight="false" outlineLevel="0" collapsed="false">
      <c r="A954" s="1" t="s">
        <v>870</v>
      </c>
      <c r="B954" s="8" t="s">
        <v>27</v>
      </c>
      <c r="C954" s="30" t="n">
        <f aca="false">Sens!$C$953*(1+ke)^tp_yf</f>
        <v>31.5510370448399</v>
      </c>
    </row>
    <row r="955" customFormat="false" ht="17.15" hidden="false" customHeight="false" outlineLevel="0" collapsed="false">
      <c r="A955" s="3" t="s">
        <v>871</v>
      </c>
    </row>
    <row r="956" customFormat="false" ht="17.15" hidden="false" customHeight="false" outlineLevel="0" collapsed="false">
      <c r="A956" s="5" t="s">
        <v>872</v>
      </c>
      <c r="B956" s="0" t="s">
        <v>73</v>
      </c>
      <c r="C956" s="38" t="n">
        <f aca="false">0.25*Sens!$H$886+0.75*Sens!$I$886</f>
        <v>57.5541093268329</v>
      </c>
    </row>
    <row r="957" customFormat="false" ht="15" hidden="false" customHeight="false" outlineLevel="0" collapsed="false">
      <c r="A957" s="5" t="s">
        <v>873</v>
      </c>
      <c r="B957" s="0" t="s">
        <v>57</v>
      </c>
      <c r="C957" s="30" t="n">
        <f aca="false">m_ads*m_x</f>
        <v>9.11</v>
      </c>
    </row>
    <row r="958" customFormat="false" ht="17.15" hidden="false" customHeight="false" outlineLevel="0" collapsed="false">
      <c r="A958" s="5" t="s">
        <v>874</v>
      </c>
      <c r="B958" s="0" t="s">
        <v>73</v>
      </c>
      <c r="C958" s="38" t="n">
        <f aca="false">Sens!$C$956*Sens!$C$957</f>
        <v>524.317935967448</v>
      </c>
    </row>
    <row r="959" customFormat="false" ht="17.15" hidden="false" customHeight="false" outlineLevel="0" collapsed="false">
      <c r="A959" s="5" t="s">
        <v>875</v>
      </c>
      <c r="B959" s="0" t="s">
        <v>73</v>
      </c>
      <c r="C959" s="38" t="n">
        <f aca="false">0.25*Sens!$H$887+0.75*Sens!$I$887</f>
        <v>27.1685476051077</v>
      </c>
    </row>
    <row r="960" customFormat="false" ht="15" hidden="false" customHeight="false" outlineLevel="0" collapsed="false">
      <c r="A960" s="5" t="s">
        <v>876</v>
      </c>
      <c r="B960" s="0" t="s">
        <v>57</v>
      </c>
      <c r="C960" s="30" t="n">
        <f aca="false">m_retail*m_x</f>
        <v>17.72</v>
      </c>
    </row>
    <row r="961" customFormat="false" ht="17.15" hidden="false" customHeight="false" outlineLevel="0" collapsed="false">
      <c r="A961" s="5" t="s">
        <v>877</v>
      </c>
      <c r="B961" s="0" t="s">
        <v>73</v>
      </c>
      <c r="C961" s="38" t="n">
        <f aca="false">Sens!$C$959*Sens!$C$960</f>
        <v>481.426663562509</v>
      </c>
    </row>
    <row r="962" customFormat="false" ht="17.15" hidden="false" customHeight="false" outlineLevel="0" collapsed="false">
      <c r="A962" s="0" t="s">
        <v>878</v>
      </c>
      <c r="B962" s="0" t="s">
        <v>73</v>
      </c>
      <c r="C962" s="38" t="n">
        <f aca="false">0.25*Sens!$H$888+0.75*Sens!$I$888</f>
        <v>106.280864133182</v>
      </c>
    </row>
    <row r="963" customFormat="false" ht="17.15" hidden="false" customHeight="false" outlineLevel="0" collapsed="false">
      <c r="A963" s="0" t="s">
        <v>879</v>
      </c>
      <c r="B963" s="0" t="s">
        <v>57</v>
      </c>
      <c r="C963" s="30" t="n">
        <f aca="false">m_cloud*m_x</f>
        <v>13.82</v>
      </c>
    </row>
    <row r="964" customFormat="false" ht="17.15" hidden="false" customHeight="false" outlineLevel="0" collapsed="false">
      <c r="A964" s="0" t="s">
        <v>880</v>
      </c>
      <c r="B964" s="0" t="s">
        <v>73</v>
      </c>
      <c r="C964" s="38" t="n">
        <f aca="false">Sens!$C$962*Sens!$C$963</f>
        <v>1468.80154232058</v>
      </c>
    </row>
    <row r="965" customFormat="false" ht="17.15" hidden="false" customHeight="false" outlineLevel="0" collapsed="false">
      <c r="A965" s="0" t="s">
        <v>881</v>
      </c>
      <c r="B965" s="0" t="s">
        <v>73</v>
      </c>
      <c r="C965" s="38" t="n">
        <f aca="false">0.25*Sens!$H$889+0.75*Sens!$I$889</f>
        <v>72.2947701247864</v>
      </c>
    </row>
    <row r="966" customFormat="false" ht="17.15" hidden="false" customHeight="false" outlineLevel="0" collapsed="false">
      <c r="A966" s="0" t="s">
        <v>882</v>
      </c>
      <c r="B966" s="0" t="s">
        <v>57</v>
      </c>
      <c r="C966" s="30" t="n">
        <f aca="false">m_ai</f>
        <v>6</v>
      </c>
    </row>
    <row r="967" customFormat="false" ht="17.15" hidden="false" customHeight="false" outlineLevel="0" collapsed="false">
      <c r="A967" s="0" t="s">
        <v>883</v>
      </c>
      <c r="B967" s="0" t="s">
        <v>73</v>
      </c>
      <c r="C967" s="38" t="n">
        <f aca="false">Sens!$C$965*Sens!$C$966</f>
        <v>433.768620748718</v>
      </c>
    </row>
    <row r="968" customFormat="false" ht="17.15" hidden="false" customHeight="false" outlineLevel="0" collapsed="false">
      <c r="A968" s="5" t="s">
        <v>884</v>
      </c>
      <c r="B968" s="0" t="s">
        <v>73</v>
      </c>
      <c r="C968" s="38" t="n">
        <f aca="false">Sens!$C$958+Sens!$C$961+Sens!$C$964+Sens!$C$967</f>
        <v>2908.31476259926</v>
      </c>
    </row>
    <row r="969" customFormat="false" ht="17.15" hidden="false" customHeight="false" outlineLevel="0" collapsed="false">
      <c r="A969" s="5" t="s">
        <v>885</v>
      </c>
      <c r="B969" s="0" t="s">
        <v>73</v>
      </c>
      <c r="C969" s="38" t="n">
        <f aca="false">Sens!$H$927</f>
        <v>213.982425927788</v>
      </c>
    </row>
    <row r="970" customFormat="false" ht="15" hidden="false" customHeight="false" outlineLevel="0" collapsed="false">
      <c r="A970" s="5" t="s">
        <v>886</v>
      </c>
      <c r="B970" s="0" t="s">
        <v>73</v>
      </c>
      <c r="C970" s="38" t="n">
        <f aca="false">Sens!$C$968-Sens!$C$969+Sens!$C$951</f>
        <v>2873.27633667147</v>
      </c>
    </row>
    <row r="971" customFormat="false" ht="15" hidden="false" customHeight="false" outlineLevel="0" collapsed="false">
      <c r="A971" s="3" t="s">
        <v>887</v>
      </c>
      <c r="B971" s="8" t="s">
        <v>27</v>
      </c>
      <c r="C971" s="30" t="n">
        <f aca="false">Sens!$C$970/sh_val</f>
        <v>260.4890791569</v>
      </c>
    </row>
    <row r="972" customFormat="false" ht="17.15" hidden="false" customHeight="false" outlineLevel="0" collapsed="false">
      <c r="A972" s="46" t="s">
        <v>888</v>
      </c>
      <c r="B972" s="13" t="s">
        <v>27</v>
      </c>
      <c r="C972" s="43" t="n">
        <f aca="false">w_dcf*Sens!$C$954+(1-w_dcf)*Sens!$C$971</f>
        <v>146.02005810087</v>
      </c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</row>
    <row r="973" customFormat="false" ht="17.15" hidden="false" customHeight="false" outlineLevel="0" collapsed="false">
      <c r="A973" s="5" t="s">
        <v>889</v>
      </c>
      <c r="B973" s="0" t="s">
        <v>27</v>
      </c>
      <c r="C973" s="30" t="n">
        <f aca="false">0.45*Sens!$C$954+0.55*Sens!$C$971</f>
        <v>157.466960206473</v>
      </c>
    </row>
    <row r="976" customFormat="false" ht="19.4" hidden="false" customHeight="false" outlineLevel="0" collapsed="false">
      <c r="A976" s="31" t="s">
        <v>1065</v>
      </c>
    </row>
    <row r="977" customFormat="false" ht="17.15" hidden="false" customHeight="false" outlineLevel="0" collapsed="false">
      <c r="A977" s="6" t="s">
        <v>16</v>
      </c>
      <c r="B977" s="6" t="s">
        <v>17</v>
      </c>
      <c r="C977" s="20" t="s">
        <v>457</v>
      </c>
      <c r="D977" s="20" t="s">
        <v>458</v>
      </c>
      <c r="E977" s="20" t="s">
        <v>540</v>
      </c>
      <c r="F977" s="20" t="s">
        <v>541</v>
      </c>
      <c r="G977" s="20" t="s">
        <v>542</v>
      </c>
      <c r="H977" s="20" t="s">
        <v>543</v>
      </c>
      <c r="I977" s="20" t="s">
        <v>544</v>
      </c>
      <c r="J977" s="20" t="s">
        <v>545</v>
      </c>
      <c r="K977" s="20" t="s">
        <v>546</v>
      </c>
      <c r="L977" s="20" t="s">
        <v>547</v>
      </c>
      <c r="M977" s="20" t="s">
        <v>548</v>
      </c>
      <c r="N977" s="20" t="s">
        <v>549</v>
      </c>
      <c r="O977" s="20" t="s">
        <v>550</v>
      </c>
      <c r="P977" s="6" t="s">
        <v>23</v>
      </c>
      <c r="R977" s="20" t="n">
        <v>2023</v>
      </c>
      <c r="S977" s="20" t="n">
        <v>2024</v>
      </c>
      <c r="T977" s="20" t="n">
        <v>2025</v>
      </c>
      <c r="U977" s="20" t="n">
        <v>2026</v>
      </c>
      <c r="V977" s="20" t="n">
        <v>2027</v>
      </c>
      <c r="W977" s="20" t="n">
        <v>2028</v>
      </c>
      <c r="X977" s="20" t="n">
        <v>2029</v>
      </c>
      <c r="Y977" s="20" t="n">
        <v>2030</v>
      </c>
      <c r="Z977" s="20" t="n">
        <v>2031</v>
      </c>
      <c r="AA977" s="20" t="n">
        <v>2032</v>
      </c>
    </row>
    <row r="978" customFormat="false" ht="17.15" hidden="false" customHeight="false" outlineLevel="0" collapsed="false">
      <c r="A978" s="1" t="s">
        <v>621</v>
      </c>
    </row>
    <row r="979" customFormat="false" ht="17.15" hidden="false" customHeight="false" outlineLevel="0" collapsed="false">
      <c r="A979" s="0" t="s">
        <v>479</v>
      </c>
      <c r="B979" s="0" t="s">
        <v>73</v>
      </c>
      <c r="C979" s="38" t="n">
        <f aca="false">Q!$D$10</f>
        <v>247.029</v>
      </c>
      <c r="D979" s="38" t="n">
        <f aca="false">Q!$E$10</f>
        <v>269.287</v>
      </c>
      <c r="E979" s="38" t="n">
        <f aca="false">Q!$P$10</f>
        <v>134.686</v>
      </c>
      <c r="F979" s="38" t="n">
        <f aca="false">Sens!$O$979*(1+Sens!$F$980)-pd_amt*Q!$O$10/(Q!$O$10+Q!$O$12)</f>
        <v>160.728085930082</v>
      </c>
      <c r="G979" s="38" t="n">
        <f aca="false">Sens!$E$979+Sens!$F$979</f>
        <v>295.414085930082</v>
      </c>
      <c r="H979" s="38" t="n">
        <f aca="false">Sens!$G$979*(1+Sens!$H$980)</f>
        <v>320.828163943375</v>
      </c>
      <c r="I979" s="38" t="n">
        <f aca="false">Sens!$H$979*(1+Sens!$I$980)</f>
        <v>344.575578072228</v>
      </c>
      <c r="J979" s="38" t="n">
        <f aca="false">Sens!$I$979*(1+Sens!$J$980)</f>
        <v>365.942555779681</v>
      </c>
      <c r="K979" s="38" t="n">
        <f aca="false">Sens!$J$979*(1+Sens!$K$980)</f>
        <v>384.239683568665</v>
      </c>
      <c r="L979" s="38" t="n">
        <f aca="false">Sens!$K$979*(1+Sens!$L$980)</f>
        <v>403.451667747098</v>
      </c>
      <c r="M979" s="38" t="n">
        <f aca="false">Sens!$L$979*(1+Sens!$M$980)</f>
        <v>423.624251134453</v>
      </c>
      <c r="N979" s="38" t="n">
        <f aca="false">Q!$N$10</f>
        <v>118.892</v>
      </c>
      <c r="O979" s="38" t="n">
        <f aca="false">Q!$O$10</f>
        <v>150.395</v>
      </c>
      <c r="P979" s="8" t="s">
        <v>622</v>
      </c>
    </row>
    <row r="980" customFormat="false" ht="17.15" hidden="false" customHeight="false" outlineLevel="0" collapsed="false">
      <c r="A980" s="0" t="s">
        <v>623</v>
      </c>
      <c r="B980" s="0" t="s">
        <v>52</v>
      </c>
      <c r="E980" s="12" t="n">
        <f aca="false">Sens!$E$979/Sens!$N$979-1</f>
        <v>0.132843252699929</v>
      </c>
      <c r="F980" s="12" t="n">
        <f aca="false">Sens!$O$979/(Q!$F$10+Q!$G$10)-1</f>
        <v>0.0980382135842941</v>
      </c>
      <c r="G980" s="12" t="n">
        <f aca="false">Sens!$G$979/Sens!$D$979-1</f>
        <v>0.0970231980380869</v>
      </c>
      <c r="H980" s="12" t="n">
        <f aca="false">Sens!$F$980+(g_os-Sens!$F$980)*1/4</f>
        <v>0.0860286601882206</v>
      </c>
      <c r="I980" s="12" t="n">
        <f aca="false">Sens!$F$980+(g_os-Sens!$F$980)*2/4</f>
        <v>0.074019106792147</v>
      </c>
      <c r="J980" s="12" t="n">
        <f aca="false">Sens!$F$980+(g_os-Sens!$F$980)*3/4</f>
        <v>0.0620095533960735</v>
      </c>
      <c r="K980" s="12" t="n">
        <f aca="false">Sens!$F$980+(g_os-Sens!$F$980)*4/4</f>
        <v>0.05</v>
      </c>
      <c r="L980" s="12" t="n">
        <f aca="false">g_os</f>
        <v>0.05</v>
      </c>
      <c r="M980" s="12" t="n">
        <f aca="false">g_os</f>
        <v>0.05</v>
      </c>
      <c r="P980" s="8" t="s">
        <v>624</v>
      </c>
    </row>
    <row r="981" customFormat="false" ht="17.15" hidden="false" customHeight="false" outlineLevel="0" collapsed="false">
      <c r="A981" s="0" t="s">
        <v>480</v>
      </c>
      <c r="B981" s="0" t="s">
        <v>73</v>
      </c>
      <c r="C981" s="38" t="n">
        <f aca="false">Q!$D$11</f>
        <v>21.215</v>
      </c>
      <c r="D981" s="38" t="n">
        <f aca="false">Q!$E$11</f>
        <v>22.561</v>
      </c>
      <c r="E981" s="38" t="n">
        <f aca="false">Q!$P$11</f>
        <v>11.579</v>
      </c>
      <c r="F981" s="38" t="n">
        <f aca="false">Sens!$O$981*(1+Sens!$F$982)</f>
        <v>12.0952613121125</v>
      </c>
      <c r="G981" s="38" t="n">
        <f aca="false">Sens!$E$981+Sens!$F$981</f>
        <v>23.6742613121125</v>
      </c>
      <c r="H981" s="38" t="n">
        <f aca="false">Sens!$G$981*(1+Sens!$H$982)</f>
        <v>24.8803243963206</v>
      </c>
      <c r="I981" s="38" t="n">
        <f aca="false">Sens!$H$981*(1+Sens!$I$982)</f>
        <v>25.9741308664154</v>
      </c>
      <c r="J981" s="38" t="n">
        <f aca="false">Sens!$I$981*(1+Sens!$J$982)</f>
        <v>26.9346894124267</v>
      </c>
      <c r="K981" s="38" t="n">
        <f aca="false">Sens!$J$981*(1+Sens!$K$982)</f>
        <v>27.7427300947995</v>
      </c>
      <c r="L981" s="38" t="n">
        <f aca="false">Sens!$K$981*(1+Sens!$L$982)</f>
        <v>28.5750119976435</v>
      </c>
      <c r="M981" s="38" t="n">
        <f aca="false">Sens!$L$981*(1+Sens!$M$982)</f>
        <v>29.4322623575728</v>
      </c>
      <c r="N981" s="38" t="n">
        <f aca="false">Q!$N$11</f>
        <v>11.128</v>
      </c>
      <c r="O981" s="38" t="n">
        <f aca="false">Q!$O$11</f>
        <v>11.433</v>
      </c>
      <c r="P981" s="8" t="s">
        <v>622</v>
      </c>
    </row>
    <row r="982" customFormat="false" ht="17.15" hidden="false" customHeight="false" outlineLevel="0" collapsed="false">
      <c r="A982" s="0" t="s">
        <v>625</v>
      </c>
      <c r="B982" s="0" t="s">
        <v>52</v>
      </c>
      <c r="E982" s="12" t="n">
        <f aca="false">Sens!$E$981/Sens!$N$981-1</f>
        <v>0.0405283968368082</v>
      </c>
      <c r="F982" s="12" t="n">
        <f aca="false">Sens!$O$981/(Q!$F$11+Q!$G$11)-1</f>
        <v>0.0579254187100955</v>
      </c>
      <c r="G982" s="12" t="n">
        <f aca="false">Sens!$G$981/Sens!$D$981-1</f>
        <v>0.0493445021103904</v>
      </c>
      <c r="H982" s="12" t="n">
        <f aca="false">Sens!$F$982+(g_ps-Sens!$F$982)*1/4</f>
        <v>0.0509440640325716</v>
      </c>
      <c r="I982" s="12" t="n">
        <f aca="false">Sens!$F$982+(g_ps-Sens!$F$982)*2/4</f>
        <v>0.0439627093550477</v>
      </c>
      <c r="J982" s="12" t="n">
        <f aca="false">Sens!$F$982+(g_ps-Sens!$F$982)*3/4</f>
        <v>0.0369813546775239</v>
      </c>
      <c r="K982" s="12" t="n">
        <f aca="false">Sens!$F$982+(g_ps-Sens!$F$982)*4/4</f>
        <v>0.03</v>
      </c>
      <c r="L982" s="12" t="n">
        <f aca="false">g_ps</f>
        <v>0.03</v>
      </c>
      <c r="M982" s="12" t="n">
        <f aca="false">g_ps</f>
        <v>0.03</v>
      </c>
      <c r="P982" s="8" t="s">
        <v>626</v>
      </c>
    </row>
    <row r="983" customFormat="false" ht="17.15" hidden="false" customHeight="false" outlineLevel="0" collapsed="false">
      <c r="A983" s="0" t="s">
        <v>481</v>
      </c>
      <c r="B983" s="0" t="s">
        <v>73</v>
      </c>
      <c r="C983" s="38" t="n">
        <f aca="false">Q!$D$12</f>
        <v>156.146</v>
      </c>
      <c r="D983" s="38" t="n">
        <f aca="false">Q!$E$12</f>
        <v>172.162</v>
      </c>
      <c r="E983" s="38" t="n">
        <f aca="false">Q!$P$12</f>
        <v>88.358</v>
      </c>
      <c r="F983" s="38" t="n">
        <f aca="false">Sens!$O$983*(1+Sens!$F$984)-pd_amt*Q!$O$12/(Q!$O$10+Q!$O$12)</f>
        <v>103.62028337149</v>
      </c>
      <c r="G983" s="38" t="n">
        <f aca="false">Sens!$E$983+Sens!$F$983</f>
        <v>191.97828337149</v>
      </c>
      <c r="H983" s="38" t="n">
        <f aca="false">Sens!$G$983*(1+Sens!$H$984)</f>
        <v>212.128608444755</v>
      </c>
      <c r="I983" s="38" t="n">
        <f aca="false">Sens!$H$983*(1+Sens!$I$984)</f>
        <v>231.92183134134</v>
      </c>
      <c r="J983" s="38" t="n">
        <f aca="false">Sens!$I$983*(1+Sens!$J$984)</f>
        <v>250.859136487863</v>
      </c>
      <c r="K983" s="38" t="n">
        <f aca="false">Sens!$J$983*(1+Sens!$K$984)</f>
        <v>268.419276042014</v>
      </c>
      <c r="L983" s="38" t="n">
        <f aca="false">Sens!$K$983*(1+Sens!$L$984)</f>
        <v>287.208625364954</v>
      </c>
      <c r="M983" s="38" t="n">
        <f aca="false">Sens!$L$983*(1+Sens!$M$984)</f>
        <v>307.313229140501</v>
      </c>
      <c r="N983" s="38" t="n">
        <f aca="false">Q!$N$12</f>
        <v>76.86</v>
      </c>
      <c r="O983" s="38" t="n">
        <f aca="false">Q!$O$12</f>
        <v>95.302</v>
      </c>
      <c r="P983" s="8" t="s">
        <v>622</v>
      </c>
    </row>
    <row r="984" customFormat="false" ht="17.15" hidden="false" customHeight="false" outlineLevel="0" collapsed="false">
      <c r="A984" s="0" t="s">
        <v>627</v>
      </c>
      <c r="B984" s="0" t="s">
        <v>52</v>
      </c>
      <c r="E984" s="12" t="n">
        <f aca="false">Sens!$E$983/Sens!$N$983-1</f>
        <v>0.1495966692688</v>
      </c>
      <c r="F984" s="12" t="n">
        <f aca="false">Sens!$O$983/(Q!$F$12+Q!$G$12)-1</f>
        <v>0.11661530890813</v>
      </c>
      <c r="G984" s="12" t="n">
        <f aca="false">Sens!$G$983/Sens!$D$983-1</f>
        <v>0.115102539303041</v>
      </c>
      <c r="H984" s="12" t="n">
        <f aca="false">Sens!$F$984+(g_sp-Sens!$F$984)*1/4</f>
        <v>0.104961481681098</v>
      </c>
      <c r="I984" s="12" t="n">
        <f aca="false">Sens!$F$984+(g_sp-Sens!$F$984)*2/4</f>
        <v>0.0933076544540651</v>
      </c>
      <c r="J984" s="12" t="n">
        <f aca="false">Sens!$F$984+(g_sp-Sens!$F$984)*3/4</f>
        <v>0.0816538272270325</v>
      </c>
      <c r="K984" s="12" t="n">
        <f aca="false">Sens!$F$984+(g_sp-Sens!$F$984)*4/4</f>
        <v>0.07</v>
      </c>
      <c r="L984" s="12" t="n">
        <f aca="false">g_sp</f>
        <v>0.07</v>
      </c>
      <c r="M984" s="12" t="n">
        <f aca="false">g_sp</f>
        <v>0.07</v>
      </c>
      <c r="P984" s="8" t="s">
        <v>628</v>
      </c>
    </row>
    <row r="985" customFormat="false" ht="17.15" hidden="false" customHeight="false" outlineLevel="0" collapsed="false">
      <c r="A985" s="0" t="s">
        <v>482</v>
      </c>
      <c r="B985" s="0" t="s">
        <v>73</v>
      </c>
      <c r="C985" s="38" t="n">
        <f aca="false">Q!$D$13</f>
        <v>56.214</v>
      </c>
      <c r="D985" s="38" t="n">
        <f aca="false">Q!$E$13</f>
        <v>68.635</v>
      </c>
      <c r="E985" s="38" t="n">
        <f aca="false">Q!$P$13</f>
        <v>37.052</v>
      </c>
      <c r="F985" s="38" t="n">
        <f aca="false">Sens!$O$985*(1+Sens!$F$986)</f>
        <v>48.1533381827382</v>
      </c>
      <c r="G985" s="38" t="n">
        <f aca="false">Sens!$E$985+Sens!$F$985</f>
        <v>85.2053381827382</v>
      </c>
      <c r="H985" s="38" t="n">
        <f aca="false">Sens!$G$985*(1+Sens!$H$986)</f>
        <v>102.29336185894</v>
      </c>
      <c r="I985" s="38" t="n">
        <f aca="false">Sens!$H$985*(1+Sens!$I$986)</f>
        <v>119.379837585241</v>
      </c>
      <c r="J985" s="38" t="n">
        <f aca="false">Sens!$I$985*(1+Sens!$J$986)</f>
        <v>135.319079048844</v>
      </c>
      <c r="K985" s="38" t="n">
        <f aca="false">Sens!$J$985*(1+Sens!$K$986)</f>
        <v>148.850986953729</v>
      </c>
      <c r="L985" s="38" t="n">
        <f aca="false">Sens!$K$985*(1+Sens!$L$986)</f>
        <v>163.736085649102</v>
      </c>
      <c r="M985" s="38" t="n">
        <f aca="false">Sens!$L$985*(1+Sens!$M$986)</f>
        <v>180.109694214012</v>
      </c>
      <c r="N985" s="38" t="n">
        <f aca="false">Q!$N$13</f>
        <v>29.615</v>
      </c>
      <c r="O985" s="38" t="n">
        <f aca="false">Q!$O$13</f>
        <v>39.02</v>
      </c>
      <c r="P985" s="8" t="s">
        <v>622</v>
      </c>
    </row>
    <row r="986" customFormat="false" ht="17.15" hidden="false" customHeight="false" outlineLevel="0" collapsed="false">
      <c r="A986" s="0" t="s">
        <v>629</v>
      </c>
      <c r="B986" s="0" t="s">
        <v>52</v>
      </c>
      <c r="E986" s="12" t="n">
        <f aca="false">Sens!$E$985/Sens!$N$985-1</f>
        <v>0.25112274185379</v>
      </c>
      <c r="F986" s="12" t="n">
        <f aca="false">Sens!$O$985/(Q!$F$13+Q!$G$13)-1</f>
        <v>0.234068123596572</v>
      </c>
      <c r="G986" s="12" t="n">
        <f aca="false">Sens!$G$985/Sens!$D$985-1</f>
        <v>0.241426942270536</v>
      </c>
      <c r="H986" s="12" t="n">
        <f aca="false">Sens!$F$986+(g_ad-Sens!$F$986)*1/4</f>
        <v>0.200551092697429</v>
      </c>
      <c r="I986" s="12" t="n">
        <f aca="false">Sens!$F$986+(g_ad-Sens!$F$986)*2/4</f>
        <v>0.167034061798286</v>
      </c>
      <c r="J986" s="12" t="n">
        <f aca="false">Sens!$F$986+(g_ad-Sens!$F$986)*3/4</f>
        <v>0.133517030899143</v>
      </c>
      <c r="K986" s="12" t="n">
        <f aca="false">Sens!$F$986+(g_ad-Sens!$F$986)*4/4</f>
        <v>0.1</v>
      </c>
      <c r="L986" s="12" t="n">
        <f aca="false">g_ad</f>
        <v>0.1</v>
      </c>
      <c r="M986" s="12" t="n">
        <f aca="false">g_ad</f>
        <v>0.1</v>
      </c>
      <c r="P986" s="8" t="s">
        <v>630</v>
      </c>
    </row>
    <row r="987" customFormat="false" ht="17.15" hidden="false" customHeight="false" outlineLevel="0" collapsed="false">
      <c r="A987" s="0" t="s">
        <v>483</v>
      </c>
      <c r="B987" s="0" t="s">
        <v>73</v>
      </c>
      <c r="C987" s="38" t="n">
        <f aca="false">Q!$D$14</f>
        <v>44.374</v>
      </c>
      <c r="D987" s="38" t="n">
        <f aca="false">Q!$E$14</f>
        <v>49.619</v>
      </c>
      <c r="E987" s="38" t="n">
        <f aca="false">Q!$P$14</f>
        <v>27.157</v>
      </c>
      <c r="F987" s="38" t="n">
        <f aca="false">Sens!$O$987*(1+Sens!$F$988)</f>
        <v>28.9776360923374</v>
      </c>
      <c r="G987" s="38" t="n">
        <f aca="false">Sens!$E$987+Sens!$F$987</f>
        <v>56.1346360923374</v>
      </c>
      <c r="H987" s="38" t="n">
        <f aca="false">Sens!$G$987*(1+Sens!$H$988)</f>
        <v>62.4937078946075</v>
      </c>
      <c r="I987" s="38" t="n">
        <f aca="false">Sens!$H$987*(1+Sens!$I$988)</f>
        <v>68.6715233062498</v>
      </c>
      <c r="J987" s="38" t="n">
        <f aca="false">Sens!$I$987*(1+Sens!$J$988)</f>
        <v>74.4692882949818</v>
      </c>
      <c r="K987" s="38" t="n">
        <f aca="false">Sens!$J$987*(1+Sens!$K$988)</f>
        <v>79.6821384756306</v>
      </c>
      <c r="L987" s="38" t="n">
        <f aca="false">Sens!$K$987*(1+Sens!$L$988)</f>
        <v>85.2598881689247</v>
      </c>
      <c r="M987" s="38" t="n">
        <f aca="false">Sens!$L$987*(1+Sens!$M$988)</f>
        <v>91.2280803407494</v>
      </c>
      <c r="N987" s="38" t="n">
        <f aca="false">Q!$N$14</f>
        <v>23.923</v>
      </c>
      <c r="O987" s="38" t="n">
        <f aca="false">Q!$O$14</f>
        <v>25.696</v>
      </c>
      <c r="P987" s="8" t="s">
        <v>622</v>
      </c>
    </row>
    <row r="988" customFormat="false" ht="17.15" hidden="false" customHeight="false" outlineLevel="0" collapsed="false">
      <c r="A988" s="0" t="s">
        <v>631</v>
      </c>
      <c r="B988" s="0" t="s">
        <v>52</v>
      </c>
      <c r="E988" s="12" t="n">
        <f aca="false">Sens!$E$987/Sens!$N$987-1</f>
        <v>0.135183714417088</v>
      </c>
      <c r="F988" s="12" t="n">
        <f aca="false">Sens!$O$987/(Q!$F$14+Q!$G$14)-1</f>
        <v>0.127709997366804</v>
      </c>
      <c r="G988" s="12" t="n">
        <f aca="false">Sens!$G$987/Sens!$D$987-1</f>
        <v>0.131313329416905</v>
      </c>
      <c r="H988" s="12" t="n">
        <f aca="false">Sens!$F$988+(g_sub-Sens!$F$988)*1/4</f>
        <v>0.113282498025103</v>
      </c>
      <c r="I988" s="12" t="n">
        <f aca="false">Sens!$F$988+(g_sub-Sens!$F$988)*2/4</f>
        <v>0.0988549986834021</v>
      </c>
      <c r="J988" s="12" t="n">
        <f aca="false">Sens!$F$988+(g_sub-Sens!$F$988)*3/4</f>
        <v>0.084427499341701</v>
      </c>
      <c r="K988" s="12" t="n">
        <f aca="false">Sens!$F$988+(g_sub-Sens!$F$988)*4/4</f>
        <v>0.07</v>
      </c>
      <c r="L988" s="12" t="n">
        <f aca="false">g_sub</f>
        <v>0.07</v>
      </c>
      <c r="M988" s="12" t="n">
        <f aca="false">g_sub</f>
        <v>0.07</v>
      </c>
      <c r="P988" s="8" t="s">
        <v>632</v>
      </c>
    </row>
    <row r="989" customFormat="false" ht="17.15" hidden="false" customHeight="false" outlineLevel="0" collapsed="false">
      <c r="A989" s="0" t="s">
        <v>484</v>
      </c>
      <c r="B989" s="0" t="s">
        <v>73</v>
      </c>
      <c r="C989" s="38" t="n">
        <f aca="false">Q!$D$15</f>
        <v>5.425</v>
      </c>
      <c r="D989" s="38" t="n">
        <f aca="false">Q!$E$15</f>
        <v>5.935</v>
      </c>
      <c r="E989" s="38" t="n">
        <f aca="false">Q!$P$15</f>
        <v>3.474</v>
      </c>
      <c r="F989" s="38" t="n">
        <f aca="false">Sens!$O$989*(1+Sens!$F$990)</f>
        <v>3.36182431966931</v>
      </c>
      <c r="G989" s="38" t="n">
        <f aca="false">Sens!$E$989+Sens!$F$989</f>
        <v>6.83582431966931</v>
      </c>
      <c r="H989" s="38" t="n">
        <f aca="false">Sens!$G$989*(1+Sens!$H$990)</f>
        <v>7.31157108370141</v>
      </c>
      <c r="I989" s="38" t="n">
        <f aca="false">Sens!$H$989*(1+Sens!$I$990)</f>
        <v>7.77266852639815</v>
      </c>
      <c r="J989" s="38" t="n">
        <f aca="false">Sens!$I$989*(1+Sens!$J$990)</f>
        <v>8.2120733019884</v>
      </c>
      <c r="K989" s="38" t="n">
        <f aca="false">Sens!$J$989*(1+Sens!$K$990)</f>
        <v>8.62267696708783</v>
      </c>
      <c r="L989" s="38" t="n">
        <f aca="false">Sens!$K$989*(1+Sens!$L$990)</f>
        <v>9.05381081544222</v>
      </c>
      <c r="M989" s="38" t="n">
        <f aca="false">Sens!$L$989*(1+Sens!$M$990)</f>
        <v>9.50650135621433</v>
      </c>
      <c r="N989" s="38" t="n">
        <f aca="false">Q!$N$15</f>
        <v>2.811</v>
      </c>
      <c r="O989" s="38" t="n">
        <f aca="false">Q!$O$15</f>
        <v>3.124</v>
      </c>
      <c r="P989" s="8" t="s">
        <v>622</v>
      </c>
    </row>
    <row r="990" customFormat="false" ht="17.15" hidden="false" customHeight="false" outlineLevel="0" collapsed="false">
      <c r="A990" s="0" t="s">
        <v>633</v>
      </c>
      <c r="B990" s="0" t="s">
        <v>52</v>
      </c>
      <c r="E990" s="12" t="n">
        <f aca="false">Sens!$E$989/Sens!$N$989-1</f>
        <v>0.235859124866596</v>
      </c>
      <c r="F990" s="12" t="n">
        <f aca="false">Sens!$O$989/(Q!$F$15+Q!$G$15)-1</f>
        <v>0.0761281433000345</v>
      </c>
      <c r="G990" s="12" t="n">
        <f aca="false">Sens!$G$989/Sens!$D$989-1</f>
        <v>0.151781688234087</v>
      </c>
      <c r="H990" s="12" t="n">
        <f aca="false">Sens!$F$990+(g_ot-Sens!$F$990)*1/4</f>
        <v>0.0695961074750259</v>
      </c>
      <c r="I990" s="12" t="n">
        <f aca="false">Sens!$F$990+(g_ot-Sens!$F$990)*2/4</f>
        <v>0.0630640716500172</v>
      </c>
      <c r="J990" s="12" t="n">
        <f aca="false">Sens!$F$990+(g_ot-Sens!$F$990)*3/4</f>
        <v>0.0565320358250086</v>
      </c>
      <c r="K990" s="12" t="n">
        <f aca="false">Sens!$F$990+(g_ot-Sens!$F$990)*4/4</f>
        <v>0.05</v>
      </c>
      <c r="L990" s="12" t="n">
        <f aca="false">g_ot</f>
        <v>0.05</v>
      </c>
      <c r="M990" s="12" t="n">
        <f aca="false">g_ot</f>
        <v>0.05</v>
      </c>
      <c r="P990" s="8" t="s">
        <v>634</v>
      </c>
    </row>
    <row r="991" customFormat="false" ht="17.15" hidden="false" customHeight="false" outlineLevel="0" collapsed="false">
      <c r="A991" s="3" t="s">
        <v>635</v>
      </c>
      <c r="B991" s="8" t="s">
        <v>73</v>
      </c>
      <c r="C991" s="38" t="n">
        <f aca="false">Sens!$C$979+Sens!$C$981+Sens!$C$983+Sens!$C$985+Sens!$C$987+Sens!$C$989</f>
        <v>530.403</v>
      </c>
      <c r="D991" s="38" t="n">
        <f aca="false">Sens!$D$979+Sens!$D$981+Sens!$D$983+Sens!$D$985+Sens!$D$987+Sens!$D$989</f>
        <v>588.199</v>
      </c>
      <c r="E991" s="38" t="n">
        <f aca="false">Sens!$E$979+Sens!$E$981+Sens!$E$983+Sens!$E$985+Sens!$E$987+Sens!$E$989</f>
        <v>302.306</v>
      </c>
      <c r="F991" s="38" t="n">
        <f aca="false">Sens!$F$979+Sens!$F$981+Sens!$F$983+Sens!$F$985+Sens!$F$987+Sens!$F$989</f>
        <v>356.93642920843</v>
      </c>
      <c r="G991" s="38" t="n">
        <f aca="false">Sens!$G$979+Sens!$G$981+Sens!$G$983+Sens!$G$985+Sens!$G$987+Sens!$G$989</f>
        <v>659.24242920843</v>
      </c>
      <c r="H991" s="38" t="n">
        <f aca="false">Sens!$H$979+Sens!$H$981+Sens!$H$983+Sens!$H$985+Sens!$H$987+Sens!$H$989</f>
        <v>729.935737621701</v>
      </c>
      <c r="I991" s="38" t="n">
        <f aca="false">Sens!$I$979+Sens!$I$981+Sens!$I$983+Sens!$I$985+Sens!$I$987+Sens!$I$989</f>
        <v>798.295569697873</v>
      </c>
      <c r="J991" s="38" t="n">
        <f aca="false">Sens!$J$979+Sens!$J$981+Sens!$J$983+Sens!$J$985+Sens!$J$987+Sens!$J$989</f>
        <v>861.736822325785</v>
      </c>
      <c r="K991" s="38" t="n">
        <f aca="false">Sens!$K$979+Sens!$K$981+Sens!$K$983+Sens!$K$985+Sens!$K$987+Sens!$K$989</f>
        <v>917.557492101925</v>
      </c>
      <c r="L991" s="38" t="n">
        <f aca="false">Sens!$L$979+Sens!$L$981+Sens!$L$983+Sens!$L$985+Sens!$L$987+Sens!$L$989</f>
        <v>977.285089743165</v>
      </c>
      <c r="M991" s="38" t="n">
        <f aca="false">Sens!$M$979+Sens!$M$981+Sens!$M$983+Sens!$M$985+Sens!$M$987+Sens!$M$989</f>
        <v>1041.2140185435</v>
      </c>
      <c r="N991" s="38" t="n">
        <f aca="false">Sens!$N$979+Sens!$N$981+Sens!$N$983+Sens!$N$985+Sens!$N$987+Sens!$N$989</f>
        <v>263.229</v>
      </c>
      <c r="O991" s="38" t="n">
        <f aca="false">Sens!$O$979+Sens!$O$981+Sens!$O$983+Sens!$O$985+Sens!$O$987+Sens!$O$989</f>
        <v>324.97</v>
      </c>
    </row>
    <row r="992" customFormat="false" ht="17.15" hidden="false" customHeight="false" outlineLevel="0" collapsed="false">
      <c r="A992" s="5" t="s">
        <v>636</v>
      </c>
      <c r="B992" s="0" t="s">
        <v>52</v>
      </c>
      <c r="C992" s="12" t="n">
        <f aca="false">Q!$D$5/(Q!$D$5+Q!$D$6)</f>
        <v>0.730570905519011</v>
      </c>
      <c r="D992" s="12" t="n">
        <f aca="false">Q!$E$5/(Q!$E$5+Q!$E$6)</f>
        <v>0.724763217890544</v>
      </c>
      <c r="E992" s="12" t="n">
        <f aca="false">Q!$P$5/(Q!$P$5+Q!$P$6)</f>
        <v>0.728797972914861</v>
      </c>
      <c r="F992" s="12" t="n">
        <f aca="false">Sens!$O$992</f>
        <v>0.718066283041511</v>
      </c>
      <c r="G992" s="12" t="n">
        <f aca="false">Sens!$G$993/Sens!$G$991</f>
        <v>0.722987468473627</v>
      </c>
      <c r="H992" s="12" t="n">
        <f aca="false">Sens!$G$992</f>
        <v>0.722987468473627</v>
      </c>
      <c r="I992" s="12" t="n">
        <f aca="false">Sens!$G$992</f>
        <v>0.722987468473627</v>
      </c>
      <c r="J992" s="12" t="n">
        <f aca="false">Sens!$G$992</f>
        <v>0.722987468473627</v>
      </c>
      <c r="K992" s="12" t="n">
        <f aca="false">Sens!$G$992</f>
        <v>0.722987468473627</v>
      </c>
      <c r="L992" s="12" t="n">
        <f aca="false">Sens!$G$992</f>
        <v>0.722987468473627</v>
      </c>
      <c r="M992" s="12" t="n">
        <f aca="false">Sens!$G$992</f>
        <v>0.722987468473627</v>
      </c>
      <c r="N992" s="12" t="n">
        <f aca="false">Q!$N$5/(Q!$N$5+Q!$N$6)</f>
        <v>0.733030935041352</v>
      </c>
      <c r="O992" s="12" t="n">
        <f aca="false">Q!$O$5/(Q!$O$5+Q!$O$6)</f>
        <v>0.718066283041511</v>
      </c>
      <c r="P992" s="8" t="s">
        <v>637</v>
      </c>
    </row>
    <row r="993" customFormat="false" ht="17.15" hidden="false" customHeight="false" outlineLevel="0" collapsed="false">
      <c r="A993" s="1" t="s">
        <v>472</v>
      </c>
      <c r="B993" s="8" t="s">
        <v>73</v>
      </c>
      <c r="C993" s="38" t="n">
        <f aca="false">Q!$D$5</f>
        <v>387.497</v>
      </c>
      <c r="D993" s="38" t="n">
        <f aca="false">Q!$E$5</f>
        <v>426.305</v>
      </c>
      <c r="E993" s="38" t="n">
        <f aca="false">Q!$P$5</f>
        <v>220.32</v>
      </c>
      <c r="F993" s="38" t="n">
        <f aca="false">Sens!$F$991*Sens!$F$992</f>
        <v>256.304015003807</v>
      </c>
      <c r="G993" s="38" t="n">
        <f aca="false">Sens!$E$993+Sens!$F$993</f>
        <v>476.624015003807</v>
      </c>
      <c r="H993" s="38" t="n">
        <f aca="false">Sens!$H$991*Sens!$H$992</f>
        <v>527.734391091543</v>
      </c>
      <c r="I993" s="38" t="n">
        <f aca="false">Sens!$I$991*Sens!$I$992</f>
        <v>577.157693029577</v>
      </c>
      <c r="J993" s="38" t="n">
        <f aca="false">Sens!$J$991*Sens!$J$992</f>
        <v>623.024923663827</v>
      </c>
      <c r="K993" s="38" t="n">
        <f aca="false">Sens!$K$991*Sens!$K$992</f>
        <v>663.382568393781</v>
      </c>
      <c r="L993" s="38" t="n">
        <f aca="false">Sens!$L$991*Sens!$L$992</f>
        <v>706.564873010432</v>
      </c>
      <c r="M993" s="38" t="n">
        <f aca="false">Sens!$M$991*Sens!$M$992</f>
        <v>752.784687406019</v>
      </c>
      <c r="N993" s="38" t="n">
        <f aca="false">Q!$N$5</f>
        <v>192.955</v>
      </c>
      <c r="O993" s="38" t="n">
        <f aca="false">Q!$O$5</f>
        <v>233.35</v>
      </c>
      <c r="P993" s="5" t="s">
        <v>638</v>
      </c>
    </row>
    <row r="994" customFormat="false" ht="17.15" hidden="false" customHeight="false" outlineLevel="0" collapsed="false">
      <c r="A994" s="1" t="s">
        <v>475</v>
      </c>
      <c r="B994" s="8" t="s">
        <v>73</v>
      </c>
      <c r="C994" s="38" t="n">
        <f aca="false">Q!$D$6</f>
        <v>142.906</v>
      </c>
      <c r="D994" s="38" t="n">
        <f aca="false">Q!$E$6</f>
        <v>161.894</v>
      </c>
      <c r="E994" s="38" t="n">
        <f aca="false">Q!$P$6</f>
        <v>81.986</v>
      </c>
      <c r="F994" s="38" t="n">
        <f aca="false">Sens!$F$991*(1-Sens!$F$992)</f>
        <v>100.632414204623</v>
      </c>
      <c r="G994" s="38" t="n">
        <f aca="false">Sens!$E$994+Sens!$F$994</f>
        <v>182.618414204623</v>
      </c>
      <c r="H994" s="38" t="n">
        <f aca="false">Sens!$H$991*(1-Sens!$H$992)</f>
        <v>202.201346530158</v>
      </c>
      <c r="I994" s="38" t="n">
        <f aca="false">Sens!$I$991*(1-Sens!$I$992)</f>
        <v>221.137876668296</v>
      </c>
      <c r="J994" s="38" t="n">
        <f aca="false">Sens!$J$991*(1-Sens!$J$992)</f>
        <v>238.711898661958</v>
      </c>
      <c r="K994" s="38" t="n">
        <f aca="false">Sens!$K$991*(1-Sens!$K$992)</f>
        <v>254.174923708144</v>
      </c>
      <c r="L994" s="38" t="n">
        <f aca="false">Sens!$L$991*(1-Sens!$L$992)</f>
        <v>270.720216732733</v>
      </c>
      <c r="M994" s="38" t="n">
        <f aca="false">Sens!$M$991*(1-Sens!$M$992)</f>
        <v>288.429331137484</v>
      </c>
      <c r="N994" s="38" t="n">
        <f aca="false">Q!$N$6</f>
        <v>70.274</v>
      </c>
      <c r="O994" s="38" t="n">
        <f aca="false">Q!$O$6</f>
        <v>91.62</v>
      </c>
      <c r="P994" s="5" t="s">
        <v>639</v>
      </c>
    </row>
    <row r="995" customFormat="false" ht="17.15" hidden="false" customHeight="false" outlineLevel="0" collapsed="false">
      <c r="A995" s="5" t="s">
        <v>640</v>
      </c>
      <c r="B995" s="0" t="s">
        <v>73</v>
      </c>
      <c r="C995" s="38" t="n">
        <f aca="false">Sens!$C$985*Sens!$C$992</f>
        <v>41.0683128828457</v>
      </c>
      <c r="D995" s="38" t="n">
        <f aca="false">Sens!$D$985*Sens!$D$992</f>
        <v>49.7441234599175</v>
      </c>
      <c r="E995" s="38" t="n">
        <f aca="false">Sens!$E$985*Sens!$E$992</f>
        <v>27.0034224924414</v>
      </c>
      <c r="F995" s="38" t="n">
        <f aca="false">Sens!$F$985*Sens!$F$992</f>
        <v>34.5772885649197</v>
      </c>
      <c r="G995" s="38" t="n">
        <f aca="false">Sens!$G$985*Sens!$G$992</f>
        <v>61.6023917531772</v>
      </c>
      <c r="H995" s="38" t="n">
        <f aca="false">Sens!$H$985*Sens!$H$992</f>
        <v>73.9568187320519</v>
      </c>
      <c r="I995" s="38" t="n">
        <f aca="false">Sens!$I$985*Sens!$I$992</f>
        <v>86.3101265625461</v>
      </c>
      <c r="J995" s="38" t="n">
        <f aca="false">Sens!$J$985*Sens!$J$992</f>
        <v>97.8339983977065</v>
      </c>
      <c r="K995" s="38" t="n">
        <f aca="false">Sens!$K$985*Sens!$K$992</f>
        <v>107.617398237477</v>
      </c>
      <c r="L995" s="38" t="n">
        <f aca="false">Sens!$L$985*Sens!$L$992</f>
        <v>118.379138061225</v>
      </c>
      <c r="M995" s="38" t="n">
        <f aca="false">Sens!$M$985*Sens!$M$992</f>
        <v>130.217051867347</v>
      </c>
      <c r="N995" s="38" t="n">
        <f aca="false">Sens!$N$985*Sens!$N$992</f>
        <v>21.7087111412496</v>
      </c>
      <c r="O995" s="38" t="n">
        <f aca="false">Sens!$O$985*Sens!$O$992</f>
        <v>28.0189463642798</v>
      </c>
      <c r="P995" s="5" t="s">
        <v>641</v>
      </c>
    </row>
    <row r="996" customFormat="false" ht="15" hidden="false" customHeight="false" outlineLevel="0" collapsed="false">
      <c r="A996" s="5" t="s">
        <v>642</v>
      </c>
      <c r="B996" s="0" t="s">
        <v>73</v>
      </c>
      <c r="C996" s="38" t="n">
        <f aca="false">Sens!$C$985-Sens!$C$995</f>
        <v>15.1456871171543</v>
      </c>
      <c r="D996" s="38" t="n">
        <f aca="false">Sens!$D$985-Sens!$D$995</f>
        <v>18.8908765400825</v>
      </c>
      <c r="E996" s="38" t="n">
        <f aca="false">Sens!$E$985-Sens!$E$995</f>
        <v>10.0485775075586</v>
      </c>
      <c r="F996" s="38" t="n">
        <f aca="false">Sens!$F$985-Sens!$F$995</f>
        <v>13.5760496178185</v>
      </c>
      <c r="G996" s="38" t="n">
        <f aca="false">Sens!$G$985-Sens!$G$995</f>
        <v>23.6029464295611</v>
      </c>
      <c r="H996" s="38" t="n">
        <f aca="false">Sens!$H$985-Sens!$H$995</f>
        <v>28.3365431268884</v>
      </c>
      <c r="I996" s="38" t="n">
        <f aca="false">Sens!$I$985-Sens!$I$995</f>
        <v>33.0697110226949</v>
      </c>
      <c r="J996" s="38" t="n">
        <f aca="false">Sens!$J$985-Sens!$J$995</f>
        <v>37.4850806511378</v>
      </c>
      <c r="K996" s="38" t="n">
        <f aca="false">Sens!$K$985-Sens!$K$995</f>
        <v>41.2335887162515</v>
      </c>
      <c r="L996" s="38" t="n">
        <f aca="false">Sens!$L$985-Sens!$L$995</f>
        <v>45.3569475878767</v>
      </c>
      <c r="M996" s="38" t="n">
        <f aca="false">Sens!$M$985-Sens!$M$995</f>
        <v>49.8926423466644</v>
      </c>
      <c r="N996" s="38" t="n">
        <f aca="false">Sens!$N$985-Sens!$N$995</f>
        <v>7.90628885875037</v>
      </c>
      <c r="O996" s="38" t="n">
        <f aca="false">Sens!$O$985-Sens!$O$995</f>
        <v>11.0010536357202</v>
      </c>
    </row>
    <row r="997" customFormat="false" ht="19.4" hidden="false" customHeight="false" outlineLevel="0" collapsed="false">
      <c r="A997" s="31" t="s">
        <v>1066</v>
      </c>
    </row>
    <row r="998" customFormat="false" ht="17.15" hidden="false" customHeight="false" outlineLevel="0" collapsed="false">
      <c r="A998" s="6" t="s">
        <v>16</v>
      </c>
      <c r="B998" s="6" t="s">
        <v>17</v>
      </c>
      <c r="C998" s="20" t="s">
        <v>457</v>
      </c>
      <c r="D998" s="20" t="s">
        <v>458</v>
      </c>
      <c r="E998" s="20" t="s">
        <v>540</v>
      </c>
      <c r="F998" s="20" t="s">
        <v>541</v>
      </c>
      <c r="G998" s="20" t="s">
        <v>542</v>
      </c>
      <c r="H998" s="20" t="s">
        <v>543</v>
      </c>
      <c r="I998" s="20" t="s">
        <v>544</v>
      </c>
      <c r="J998" s="20" t="s">
        <v>545</v>
      </c>
      <c r="K998" s="20" t="s">
        <v>546</v>
      </c>
      <c r="L998" s="20" t="s">
        <v>547</v>
      </c>
      <c r="M998" s="20" t="s">
        <v>548</v>
      </c>
      <c r="N998" s="20" t="s">
        <v>549</v>
      </c>
      <c r="O998" s="20" t="s">
        <v>550</v>
      </c>
      <c r="P998" s="6" t="s">
        <v>23</v>
      </c>
      <c r="R998" s="20" t="n">
        <v>2023</v>
      </c>
      <c r="S998" s="20" t="n">
        <v>2024</v>
      </c>
      <c r="T998" s="20" t="n">
        <v>2025</v>
      </c>
      <c r="U998" s="20" t="n">
        <v>2026</v>
      </c>
      <c r="V998" s="20" t="n">
        <v>2027</v>
      </c>
      <c r="W998" s="20" t="n">
        <v>2028</v>
      </c>
      <c r="X998" s="20" t="n">
        <v>2029</v>
      </c>
      <c r="Y998" s="20" t="n">
        <v>2030</v>
      </c>
      <c r="Z998" s="20" t="n">
        <v>2031</v>
      </c>
      <c r="AA998" s="20" t="n">
        <v>2032</v>
      </c>
    </row>
    <row r="999" customFormat="false" ht="17.15" hidden="false" customHeight="false" outlineLevel="0" collapsed="false">
      <c r="A999" s="1" t="s">
        <v>551</v>
      </c>
    </row>
    <row r="1000" customFormat="false" ht="17.15" hidden="false" customHeight="false" outlineLevel="0" collapsed="false">
      <c r="A1000" s="14" t="s">
        <v>552</v>
      </c>
      <c r="B1000" s="13" t="s">
        <v>108</v>
      </c>
      <c r="C1000" s="32" t="n">
        <f aca="false">mw_ye24</f>
        <v>360</v>
      </c>
      <c r="D1000" s="32" t="n">
        <f aca="false">mw_ye25</f>
        <v>1440</v>
      </c>
      <c r="E1000" s="32" t="n">
        <f aca="false">mw_open</f>
        <v>2080</v>
      </c>
      <c r="F1000" s="32" t="n">
        <f aca="false">Sens!$E$1000+pace_B*0.5</f>
        <v>3897.15</v>
      </c>
      <c r="G1000" s="32" t="n">
        <f aca="false">Sens!$F$1000</f>
        <v>3897.15</v>
      </c>
      <c r="H1000" s="32" t="n">
        <f aca="false">Sens!$G$1000+pace_B</f>
        <v>7531.45</v>
      </c>
      <c r="I1000" s="32" t="n">
        <f aca="false">Sens!$H$1000+pace_B</f>
        <v>11165.75</v>
      </c>
      <c r="J1000" s="32" t="n">
        <f aca="false">Sens!$I$1000+pace_B</f>
        <v>14800.05</v>
      </c>
      <c r="K1000" s="32" t="n">
        <f aca="false">Sens!$J$1000+pace_B</f>
        <v>18434.35</v>
      </c>
      <c r="L1000" s="32" t="n">
        <f aca="false">Sens!$K$1000+pace_B</f>
        <v>22068.65</v>
      </c>
      <c r="M1000" s="32" t="n">
        <f aca="false">Sens!$L$1000+pace_B</f>
        <v>25702.95</v>
      </c>
      <c r="N1000" s="32" t="n">
        <f aca="false">(mw_ye24+mw_ye25)/2</f>
        <v>900</v>
      </c>
      <c r="O1000" s="32" t="n">
        <f aca="false">mw_ye25</f>
        <v>1440</v>
      </c>
      <c r="P1000" s="5" t="s">
        <v>553</v>
      </c>
    </row>
    <row r="1001" customFormat="false" ht="17.15" hidden="false" customHeight="false" outlineLevel="0" collapsed="false">
      <c r="A1001" s="5" t="s">
        <v>554</v>
      </c>
      <c r="B1001" s="0" t="s">
        <v>108</v>
      </c>
      <c r="C1001" s="33" t="n">
        <f aca="false">(mw_ye23+mw_ye24)/2</f>
        <v>240</v>
      </c>
      <c r="D1001" s="33" t="n">
        <f aca="false">(Sens!$C$1000+Sens!$D$1000)/2</f>
        <v>900</v>
      </c>
      <c r="E1001" s="33" t="n">
        <f aca="false">(Sens!$D$1000+Sens!$E$1000)/2</f>
        <v>1760</v>
      </c>
      <c r="F1001" s="33" t="n">
        <f aca="false">(Sens!$E$1000+Sens!$F$1000)/2</f>
        <v>2988.575</v>
      </c>
      <c r="G1001" s="33" t="n">
        <f aca="false">(Sens!$E$1001+Sens!$F$1001)/2</f>
        <v>2374.2875</v>
      </c>
      <c r="H1001" s="33" t="n">
        <f aca="false">(Sens!$G$1000+Sens!$H$1000)/2</f>
        <v>5714.3</v>
      </c>
      <c r="I1001" s="33" t="n">
        <f aca="false">(Sens!$H$1000+Sens!$I$1000)/2</f>
        <v>9348.6</v>
      </c>
      <c r="J1001" s="33" t="n">
        <f aca="false">(Sens!$I$1000+Sens!$J$1000)/2</f>
        <v>12982.9</v>
      </c>
      <c r="K1001" s="33" t="n">
        <f aca="false">(Sens!$J$1000+Sens!$K$1000)/2</f>
        <v>16617.2</v>
      </c>
      <c r="L1001" s="33" t="n">
        <f aca="false">(Sens!$K$1000+Sens!$L$1000)/2</f>
        <v>20251.5</v>
      </c>
      <c r="M1001" s="33" t="n">
        <f aca="false">(Sens!$L$1000+Sens!$M$1000)/2</f>
        <v>23885.8</v>
      </c>
      <c r="N1001" s="33" t="n">
        <f aca="false">(Sens!$C$1000+Sens!$N$1000)/2</f>
        <v>630</v>
      </c>
      <c r="O1001" s="33" t="n">
        <f aca="false">(Sens!$N$1000+Sens!$O$1000)/2</f>
        <v>1170</v>
      </c>
    </row>
    <row r="1002" customFormat="false" ht="15" hidden="false" customHeight="false" outlineLevel="0" collapsed="false">
      <c r="A1002" s="5" t="s">
        <v>555</v>
      </c>
      <c r="B1002" s="5" t="s">
        <v>102</v>
      </c>
      <c r="C1002" s="34" t="n">
        <v>1</v>
      </c>
      <c r="D1002" s="34" t="n">
        <v>1</v>
      </c>
      <c r="E1002" s="34" t="n">
        <v>0.5</v>
      </c>
      <c r="F1002" s="34" t="n">
        <v>0.5</v>
      </c>
      <c r="G1002" s="34" t="n">
        <v>1</v>
      </c>
      <c r="H1002" s="34" t="n">
        <v>1</v>
      </c>
      <c r="I1002" s="34" t="n">
        <v>1</v>
      </c>
      <c r="J1002" s="34" t="n">
        <v>1</v>
      </c>
      <c r="K1002" s="34" t="n">
        <v>1</v>
      </c>
      <c r="L1002" s="34" t="n">
        <v>1</v>
      </c>
      <c r="M1002" s="34" t="n">
        <v>1</v>
      </c>
      <c r="N1002" s="34" t="n">
        <v>0.5</v>
      </c>
      <c r="O1002" s="34" t="n">
        <v>0.5</v>
      </c>
    </row>
    <row r="1003" customFormat="false" ht="17.15" hidden="false" customHeight="false" outlineLevel="0" collapsed="false">
      <c r="A1003" s="5" t="s">
        <v>556</v>
      </c>
      <c r="B1003" s="0" t="s">
        <v>108</v>
      </c>
      <c r="C1003" s="33" t="n">
        <f aca="false">Sens!$C$1000-mw_ye23</f>
        <v>240</v>
      </c>
      <c r="D1003" s="33" t="n">
        <f aca="false">Sens!$D$1000-Sens!$C$1000</f>
        <v>1080</v>
      </c>
      <c r="E1003" s="33" t="n">
        <f aca="false">Sens!$E$1000-Sens!$D$1000</f>
        <v>640</v>
      </c>
      <c r="F1003" s="33" t="n">
        <f aca="false">Sens!$F$1000-Sens!$E$1000</f>
        <v>1817.15</v>
      </c>
      <c r="G1003" s="33" t="n">
        <f aca="false">Sens!$E$1003+Sens!$F$1003</f>
        <v>2457.15</v>
      </c>
      <c r="H1003" s="33" t="n">
        <f aca="false">Sens!$H$1000-Sens!$G$1000</f>
        <v>3634.3</v>
      </c>
      <c r="I1003" s="33" t="n">
        <f aca="false">Sens!$I$1000-Sens!$H$1000</f>
        <v>3634.3</v>
      </c>
      <c r="J1003" s="33" t="n">
        <f aca="false">Sens!$J$1000-Sens!$I$1000</f>
        <v>3634.3</v>
      </c>
      <c r="K1003" s="33" t="n">
        <f aca="false">Sens!$K$1000-Sens!$J$1000</f>
        <v>3634.3</v>
      </c>
      <c r="L1003" s="33" t="n">
        <f aca="false">Sens!$L$1000-Sens!$K$1000</f>
        <v>3634.3</v>
      </c>
      <c r="M1003" s="33" t="n">
        <f aca="false">Sens!$M$1000-Sens!$L$1000</f>
        <v>3634.3</v>
      </c>
      <c r="N1003" s="33" t="n">
        <f aca="false">Sens!$N$1000-Sens!$C$1000</f>
        <v>540</v>
      </c>
      <c r="O1003" s="33" t="n">
        <f aca="false">Sens!$O$1000-Sens!$N$1000</f>
        <v>540</v>
      </c>
    </row>
    <row r="1004" customFormat="false" ht="17.15" hidden="false" customHeight="false" outlineLevel="0" collapsed="false">
      <c r="A1004" s="5" t="s">
        <v>557</v>
      </c>
      <c r="B1004" s="0" t="s">
        <v>108</v>
      </c>
      <c r="C1004" s="33" t="n">
        <f aca="false">Sens!$C$1003/ext_sh_hi</f>
        <v>240</v>
      </c>
      <c r="D1004" s="33" t="n">
        <f aca="false">Sens!$D$1003/ext_sh_hi</f>
        <v>1080</v>
      </c>
      <c r="E1004" s="33" t="n">
        <f aca="false">Sens!$E$1003/ext_sh_hi</f>
        <v>640</v>
      </c>
      <c r="F1004" s="33" t="n">
        <f aca="false">Sens!$F$1003/ext_sh_hi</f>
        <v>1817.15</v>
      </c>
      <c r="G1004" s="33" t="n">
        <f aca="false">Sens!$G$1003/ext_sh_hi</f>
        <v>2457.15</v>
      </c>
      <c r="H1004" s="33" t="n">
        <f aca="false">Sens!$H$1003/ext_sh_hi</f>
        <v>3634.3</v>
      </c>
      <c r="I1004" s="33" t="n">
        <f aca="false">Sens!$I$1003/ext_sh_hi</f>
        <v>3634.3</v>
      </c>
      <c r="J1004" s="33" t="n">
        <f aca="false">Sens!$J$1003/ext_sh_hi</f>
        <v>3634.3</v>
      </c>
      <c r="K1004" s="33" t="n">
        <f aca="false">Sens!$K$1003/ext_sh_hi</f>
        <v>3634.3</v>
      </c>
      <c r="L1004" s="33" t="n">
        <f aca="false">Sens!$L$1003/ext_sh_hi</f>
        <v>3634.3</v>
      </c>
      <c r="M1004" s="33" t="n">
        <f aca="false">Sens!$M$1003/ext_sh_hi</f>
        <v>3634.3</v>
      </c>
      <c r="N1004" s="33" t="n">
        <f aca="false">Sens!$N$1003/ext_sh_hi</f>
        <v>540</v>
      </c>
      <c r="O1004" s="33" t="n">
        <f aca="false">Sens!$O$1003/ext_sh_hi</f>
        <v>540</v>
      </c>
      <c r="P1004" s="8" t="s">
        <v>558</v>
      </c>
      <c r="R1004" s="33" t="n">
        <f aca="false">mw_ye23/ext_sh_hi</f>
        <v>120</v>
      </c>
      <c r="S1004" s="33" t="n">
        <f aca="false">Sens!$C$1004</f>
        <v>240</v>
      </c>
      <c r="T1004" s="33" t="n">
        <f aca="false">Sens!$D$1004</f>
        <v>1080</v>
      </c>
      <c r="U1004" s="33" t="n">
        <f aca="false">Sens!$G$1004</f>
        <v>2457.15</v>
      </c>
      <c r="V1004" s="33" t="n">
        <f aca="false">Sens!$H$1004</f>
        <v>3634.3</v>
      </c>
      <c r="W1004" s="33" t="n">
        <f aca="false">Sens!$I$1004</f>
        <v>3634.3</v>
      </c>
      <c r="X1004" s="33" t="n">
        <f aca="false">Sens!$J$1004</f>
        <v>3634.3</v>
      </c>
      <c r="Y1004" s="33" t="n">
        <f aca="false">Sens!$K$1004</f>
        <v>3634.3</v>
      </c>
      <c r="Z1004" s="33" t="n">
        <f aca="false">Sens!$L$1004</f>
        <v>3634.3</v>
      </c>
      <c r="AA1004" s="33" t="n">
        <f aca="false">Sens!$M$1004</f>
        <v>3634.3</v>
      </c>
    </row>
    <row r="1005" customFormat="false" ht="17.15" hidden="false" customHeight="false" outlineLevel="0" collapsed="false">
      <c r="A1005" s="1" t="s">
        <v>559</v>
      </c>
    </row>
    <row r="1006" customFormat="false" ht="17.15" hidden="false" customHeight="false" outlineLevel="0" collapsed="false">
      <c r="A1006" s="0" t="s">
        <v>560</v>
      </c>
      <c r="B1006" s="0" t="s">
        <v>52</v>
      </c>
      <c r="F1006" s="35" t="n">
        <f aca="false">na_vr26</f>
        <v>0</v>
      </c>
      <c r="G1006" s="35" t="n">
        <f aca="false">na_vr26</f>
        <v>0</v>
      </c>
      <c r="H1006" s="35" t="n">
        <f aca="false">na_vr27</f>
        <v>0.5</v>
      </c>
      <c r="I1006" s="35" t="n">
        <f aca="false">na_vr28</f>
        <v>1</v>
      </c>
      <c r="J1006" s="35" t="n">
        <f aca="false">na_vr28</f>
        <v>1</v>
      </c>
      <c r="K1006" s="35" t="n">
        <f aca="false">na_vr28</f>
        <v>1</v>
      </c>
      <c r="L1006" s="35" t="n">
        <f aca="false">na_vr28</f>
        <v>1</v>
      </c>
      <c r="M1006" s="35" t="n">
        <f aca="false">na_vr28</f>
        <v>1</v>
      </c>
    </row>
    <row r="1007" customFormat="false" ht="17.15" hidden="false" customHeight="false" outlineLevel="0" collapsed="false">
      <c r="A1007" s="5" t="s">
        <v>561</v>
      </c>
      <c r="B1007" s="0" t="s">
        <v>151</v>
      </c>
      <c r="F1007" s="36" t="n">
        <f aca="false">cust_sh*tk_he_gb300*cf_chip+(1-cust_sh)*((1-Sens!$F$1006)*tk_he_gb300+Sens!$F$1006*tk_he_vr200)</f>
        <v>10.8864110021101</v>
      </c>
      <c r="G1007" s="36" t="n">
        <f aca="false">cust_sh*tk_he_gb300*cf_chip+(1-cust_sh)*((1-Sens!$G$1006)*tk_he_gb300+Sens!$G$1006*tk_he_vr200)</f>
        <v>10.8864110021101</v>
      </c>
      <c r="H1007" s="36" t="n">
        <f aca="false">cust_sh*tk_he_gb300*cf_chip+(1-cust_sh)*((1-Sens!$H$1006)*tk_he_gb300+Sens!$H$1006*tk_he_vr200)</f>
        <v>11.2211760027286</v>
      </c>
      <c r="I1007" s="36" t="n">
        <f aca="false">cust_sh*tk_he_gb300*cf_chip+(1-cust_sh)*((1-Sens!$I$1006)*tk_he_gb300+Sens!$I$1006*tk_he_vr200)</f>
        <v>11.5559410033471</v>
      </c>
      <c r="J1007" s="36" t="n">
        <f aca="false">cust_sh*tk_he_gb300*cf_chip+(1-cust_sh)*((1-Sens!$J$1006)*tk_he_gb300+Sens!$J$1006*tk_he_vr200)</f>
        <v>11.5559410033471</v>
      </c>
      <c r="K1007" s="36" t="n">
        <f aca="false">cust_sh*tk_he_gb300*cf_chip+(1-cust_sh)*((1-Sens!$K$1006)*tk_he_gb300+Sens!$K$1006*tk_he_vr200)</f>
        <v>11.5559410033471</v>
      </c>
      <c r="L1007" s="36" t="n">
        <f aca="false">cust_sh*tk_he_gb300*cf_chip+(1-cust_sh)*((1-Sens!$L$1006)*tk_he_gb300+Sens!$L$1006*tk_he_vr200)</f>
        <v>11.5559410033471</v>
      </c>
      <c r="M1007" s="36" t="n">
        <f aca="false">cust_sh*tk_he_gb300*cf_chip+(1-cust_sh)*((1-Sens!$M$1006)*tk_he_gb300+Sens!$M$1006*tk_he_vr200)</f>
        <v>11.5559410033471</v>
      </c>
    </row>
    <row r="1008" customFormat="false" ht="17.15" hidden="false" customHeight="false" outlineLevel="0" collapsed="false">
      <c r="A1008" s="5" t="s">
        <v>562</v>
      </c>
      <c r="B1008" s="0" t="s">
        <v>151</v>
      </c>
      <c r="F1008" s="36" t="n">
        <f aca="false">cust_sh*tk_ox_gb300+(1-cust_sh)*((1-Sens!$F$1006)*tk_ox_gb300+Sens!$F$1006*tk_ox_vr200)</f>
        <v>1.98263481314457</v>
      </c>
      <c r="G1008" s="36" t="n">
        <f aca="false">cust_sh*tk_ox_gb300+(1-cust_sh)*((1-Sens!$G$1006)*tk_ox_gb300+Sens!$G$1006*tk_ox_vr200)</f>
        <v>1.98263481314457</v>
      </c>
      <c r="H1008" s="36" t="n">
        <f aca="false">cust_sh*tk_ox_gb300+(1-cust_sh)*((1-Sens!$H$1006)*tk_ox_gb300+Sens!$H$1006*tk_ox_vr200)</f>
        <v>2.01034999693694</v>
      </c>
      <c r="I1008" s="36" t="n">
        <f aca="false">cust_sh*tk_ox_gb300+(1-cust_sh)*((1-Sens!$I$1006)*tk_ox_gb300+Sens!$I$1006*tk_ox_vr200)</f>
        <v>2.0380651807293</v>
      </c>
      <c r="J1008" s="36" t="n">
        <f aca="false">cust_sh*tk_ox_gb300+(1-cust_sh)*((1-Sens!$J$1006)*tk_ox_gb300+Sens!$J$1006*tk_ox_vr200)</f>
        <v>2.0380651807293</v>
      </c>
      <c r="K1008" s="36" t="n">
        <f aca="false">cust_sh*tk_ox_gb300+(1-cust_sh)*((1-Sens!$K$1006)*tk_ox_gb300+Sens!$K$1006*tk_ox_vr200)</f>
        <v>2.0380651807293</v>
      </c>
      <c r="L1008" s="36" t="n">
        <f aca="false">cust_sh*tk_ox_gb300+(1-cust_sh)*((1-Sens!$L$1006)*tk_ox_gb300+Sens!$L$1006*tk_ox_vr200)</f>
        <v>2.0380651807293</v>
      </c>
      <c r="M1008" s="36" t="n">
        <f aca="false">cust_sh*tk_ox_gb300+(1-cust_sh)*((1-Sens!$M$1006)*tk_ox_gb300+Sens!$M$1006*tk_ox_vr200)</f>
        <v>2.0380651807293</v>
      </c>
    </row>
    <row r="1009" customFormat="false" ht="17.15" hidden="false" customHeight="false" outlineLevel="0" collapsed="false">
      <c r="A1009" s="5" t="s">
        <v>563</v>
      </c>
      <c r="B1009" s="0" t="s">
        <v>170</v>
      </c>
      <c r="F1009" s="36" t="n">
        <f aca="false">cust_sh*tk_cx_gb300*cf_cx+(1-cust_sh)*((1-Sens!$F$1006)*tk_cx_gb300+Sens!$F$1006*tk_cx_vr200)</f>
        <v>32.237224</v>
      </c>
      <c r="G1009" s="36" t="n">
        <f aca="false">cust_sh*tk_cx_gb300*cf_cx+(1-cust_sh)*((1-Sens!$G$1006)*tk_cx_gb300+Sens!$G$1006*tk_cx_vr200)</f>
        <v>32.237224</v>
      </c>
      <c r="H1009" s="36" t="n">
        <f aca="false">cust_sh*tk_cx_gb300*cf_cx+(1-cust_sh)*((1-Sens!$H$1006)*tk_cx_gb300+Sens!$H$1006*tk_cx_vr200)</f>
        <v>33.574506</v>
      </c>
      <c r="I1009" s="36" t="n">
        <f aca="false">cust_sh*tk_cx_gb300*cf_cx+(1-cust_sh)*((1-Sens!$I$1006)*tk_cx_gb300+Sens!$I$1006*tk_cx_vr200)</f>
        <v>34.911788</v>
      </c>
      <c r="J1009" s="36" t="n">
        <f aca="false">cust_sh*tk_cx_gb300*cf_cx+(1-cust_sh)*((1-Sens!$J$1006)*tk_cx_gb300+Sens!$J$1006*tk_cx_vr200)</f>
        <v>34.911788</v>
      </c>
      <c r="K1009" s="36" t="n">
        <f aca="false">cust_sh*tk_cx_gb300*cf_cx+(1-cust_sh)*((1-Sens!$K$1006)*tk_cx_gb300+Sens!$K$1006*tk_cx_vr200)</f>
        <v>34.911788</v>
      </c>
      <c r="L1009" s="36" t="n">
        <f aca="false">cust_sh*tk_cx_gb300*cf_cx+(1-cust_sh)*((1-Sens!$L$1006)*tk_cx_gb300+Sens!$L$1006*tk_cx_vr200)</f>
        <v>34.911788</v>
      </c>
      <c r="M1009" s="36" t="n">
        <f aca="false">cust_sh*tk_cx_gb300*cf_cx+(1-cust_sh)*((1-Sens!$M$1006)*tk_cx_gb300+Sens!$M$1006*tk_cx_vr200)</f>
        <v>34.911788</v>
      </c>
    </row>
    <row r="1010" customFormat="false" ht="17.15" hidden="false" customHeight="false" outlineLevel="0" collapsed="false">
      <c r="A1010" s="5" t="s">
        <v>564</v>
      </c>
      <c r="B1010" s="0" t="s">
        <v>108</v>
      </c>
      <c r="F1010" s="33" t="n">
        <f aca="false">Sens!$F$1000-mw_open</f>
        <v>1817.15</v>
      </c>
      <c r="G1010" s="33" t="n">
        <f aca="false">Sens!$F$1010</f>
        <v>1817.15</v>
      </c>
      <c r="H1010" s="33" t="n">
        <f aca="false">Sens!$H$1000-mw_open</f>
        <v>5451.45</v>
      </c>
      <c r="I1010" s="33" t="n">
        <f aca="false">Sens!$I$1000-mw_open</f>
        <v>9085.75</v>
      </c>
      <c r="J1010" s="33" t="n">
        <f aca="false">Sens!$J$1000-mw_open</f>
        <v>12720.05</v>
      </c>
      <c r="K1010" s="33" t="n">
        <f aca="false">Sens!$K$1000-mw_open</f>
        <v>16354.35</v>
      </c>
      <c r="L1010" s="33" t="n">
        <f aca="false">Sens!$L$1000-mw_open</f>
        <v>19988.65</v>
      </c>
      <c r="M1010" s="33" t="n">
        <f aca="false">Sens!$M$1000-mw_open</f>
        <v>23622.95</v>
      </c>
    </row>
    <row r="1011" customFormat="false" ht="17.15" hidden="false" customHeight="false" outlineLevel="0" collapsed="false">
      <c r="A1011" s="0" t="s">
        <v>565</v>
      </c>
      <c r="B1011" s="0" t="s">
        <v>566</v>
      </c>
      <c r="F1011" s="33" t="n">
        <f aca="false">Sens!$F$1003*Sens!$F$1007</f>
        <v>19782.2417524844</v>
      </c>
      <c r="G1011" s="33" t="n">
        <f aca="false">Sens!$F$1011</f>
        <v>19782.2417524844</v>
      </c>
      <c r="H1011" s="33" t="n">
        <f aca="false">Sens!$G$1011+Sens!$H$1003*Sens!$H$1007</f>
        <v>60563.3616992009</v>
      </c>
      <c r="I1011" s="33" t="n">
        <f aca="false">Sens!$H$1011+Sens!$I$1003*Sens!$I$1007</f>
        <v>102561.118087665</v>
      </c>
      <c r="J1011" s="33" t="n">
        <f aca="false">Sens!$I$1011+Sens!$J$1003*Sens!$J$1007</f>
        <v>144558.87447613</v>
      </c>
      <c r="K1011" s="33" t="n">
        <f aca="false">Sens!$J$1011+Sens!$K$1003*Sens!$K$1007</f>
        <v>186556.630864594</v>
      </c>
      <c r="L1011" s="33" t="n">
        <f aca="false">Sens!$K$1011+Sens!$L$1003*Sens!$L$1007</f>
        <v>228554.387253058</v>
      </c>
      <c r="M1011" s="33" t="n">
        <f aca="false">Sens!$L$1011+Sens!$M$1003*Sens!$M$1007</f>
        <v>270552.143641523</v>
      </c>
    </row>
    <row r="1012" customFormat="false" ht="17.15" hidden="false" customHeight="false" outlineLevel="0" collapsed="false">
      <c r="A1012" s="0" t="s">
        <v>567</v>
      </c>
      <c r="B1012" s="0" t="s">
        <v>566</v>
      </c>
      <c r="F1012" s="33" t="n">
        <f aca="false">Sens!$F$1003*Sens!$F$1008</f>
        <v>3602.74485070566</v>
      </c>
      <c r="G1012" s="33" t="n">
        <f aca="false">Sens!$F$1012</f>
        <v>3602.74485070566</v>
      </c>
      <c r="H1012" s="33" t="n">
        <f aca="false">Sens!$G$1012+Sens!$H$1003*Sens!$H$1008</f>
        <v>10908.9598445736</v>
      </c>
      <c r="I1012" s="33" t="n">
        <f aca="false">Sens!$H$1012+Sens!$I$1003*Sens!$I$1008</f>
        <v>18315.9001308981</v>
      </c>
      <c r="J1012" s="33" t="n">
        <f aca="false">Sens!$I$1012+Sens!$J$1003*Sens!$J$1008</f>
        <v>25722.8404172225</v>
      </c>
      <c r="K1012" s="33" t="n">
        <f aca="false">Sens!$J$1012+Sens!$K$1003*Sens!$K$1008</f>
        <v>33129.780703547</v>
      </c>
      <c r="L1012" s="33" t="n">
        <f aca="false">Sens!$K$1012+Sens!$L$1003*Sens!$L$1008</f>
        <v>40536.7209898715</v>
      </c>
      <c r="M1012" s="33" t="n">
        <f aca="false">Sens!$L$1012+Sens!$M$1003*Sens!$M$1008</f>
        <v>47943.661276196</v>
      </c>
    </row>
    <row r="1013" customFormat="false" ht="17.15" hidden="false" customHeight="false" outlineLevel="0" collapsed="false">
      <c r="A1013" s="5" t="s">
        <v>568</v>
      </c>
      <c r="B1013" s="0" t="s">
        <v>151</v>
      </c>
      <c r="F1013" s="36" t="n">
        <f aca="false">IF(Sens!$F$1010&gt;0,Sens!$F$1011/Sens!$F$1010,Sens!$F$1007)</f>
        <v>10.8864110021101</v>
      </c>
      <c r="G1013" s="36" t="n">
        <f aca="false">IF(Sens!$G$1010&gt;0,Sens!$G$1011/Sens!$G$1010,Sens!$G$1007)</f>
        <v>10.8864110021101</v>
      </c>
      <c r="H1013" s="36" t="n">
        <f aca="false">IF(Sens!$H$1010&gt;0,Sens!$H$1011/Sens!$H$1010,Sens!$H$1007)</f>
        <v>11.1095876691891</v>
      </c>
      <c r="I1013" s="36" t="n">
        <f aca="false">IF(Sens!$I$1010&gt;0,Sens!$I$1011/Sens!$I$1010,Sens!$I$1007)</f>
        <v>11.2881290028523</v>
      </c>
      <c r="J1013" s="36" t="n">
        <f aca="false">IF(Sens!$J$1010&gt;0,Sens!$J$1011/Sens!$J$1010,Sens!$J$1007)</f>
        <v>11.3646467172794</v>
      </c>
      <c r="K1013" s="36" t="n">
        <f aca="false">IF(Sens!$K$1010&gt;0,Sens!$K$1011/Sens!$K$1010,Sens!$K$1007)</f>
        <v>11.4071565586278</v>
      </c>
      <c r="L1013" s="36" t="n">
        <f aca="false">IF(Sens!$L$1010&gt;0,Sens!$L$1011/Sens!$L$1010,Sens!$L$1007)</f>
        <v>11.4342082758495</v>
      </c>
      <c r="M1013" s="36" t="n">
        <f aca="false">IF(Sens!$M$1010&gt;0,Sens!$M$1011/Sens!$M$1010,Sens!$M$1007)</f>
        <v>11.4529363877722</v>
      </c>
    </row>
    <row r="1014" customFormat="false" ht="17.15" hidden="false" customHeight="false" outlineLevel="0" collapsed="false">
      <c r="A1014" s="5" t="s">
        <v>569</v>
      </c>
      <c r="B1014" s="0" t="s">
        <v>151</v>
      </c>
      <c r="F1014" s="36" t="n">
        <f aca="false">IF(Sens!$F$1010&gt;0,Sens!$F$1012/Sens!$F$1010,Sens!$F$1008)</f>
        <v>1.98263481314457</v>
      </c>
      <c r="G1014" s="36" t="n">
        <f aca="false">IF(Sens!$G$1010&gt;0,Sens!$G$1012/Sens!$G$1010,Sens!$G$1008)</f>
        <v>1.98263481314457</v>
      </c>
      <c r="H1014" s="36" t="n">
        <f aca="false">IF(Sens!$H$1010&gt;0,Sens!$H$1012/Sens!$H$1010,Sens!$H$1008)</f>
        <v>2.00111160233948</v>
      </c>
      <c r="I1014" s="36" t="n">
        <f aca="false">IF(Sens!$I$1010&gt;0,Sens!$I$1012/Sens!$I$1010,Sens!$I$1008)</f>
        <v>2.01589303369541</v>
      </c>
      <c r="J1014" s="36" t="n">
        <f aca="false">IF(Sens!$J$1010&gt;0,Sens!$J$1012/Sens!$J$1010,Sens!$J$1008)</f>
        <v>2.02222793284795</v>
      </c>
      <c r="K1014" s="36" t="n">
        <f aca="false">IF(Sens!$K$1010&gt;0,Sens!$K$1012/Sens!$K$1010,Sens!$K$1008)</f>
        <v>2.02574732126603</v>
      </c>
      <c r="L1014" s="36" t="n">
        <f aca="false">IF(Sens!$L$1010&gt;0,Sens!$L$1012/Sens!$L$1010,Sens!$L$1008)</f>
        <v>2.02798693207753</v>
      </c>
      <c r="M1014" s="36" t="n">
        <f aca="false">IF(Sens!$M$1010&gt;0,Sens!$M$1012/Sens!$M$1010,Sens!$M$1008)</f>
        <v>2.02953743187011</v>
      </c>
    </row>
    <row r="1015" customFormat="false" ht="17.15" hidden="false" customHeight="false" outlineLevel="0" collapsed="false">
      <c r="A1015" s="14" t="s">
        <v>570</v>
      </c>
      <c r="B1015" s="13" t="s">
        <v>151</v>
      </c>
      <c r="C1015" s="13"/>
      <c r="D1015" s="13"/>
      <c r="E1015" s="13"/>
      <c r="F1015" s="37" t="n">
        <f aca="false">Sens!$F$1013*k_B</f>
        <v>10.7987645808025</v>
      </c>
      <c r="G1015" s="37" t="n">
        <f aca="false">Sens!$G$1013*k_B</f>
        <v>10.7987645808025</v>
      </c>
      <c r="H1015" s="37" t="n">
        <f aca="false">Sens!$H$1013*k_B</f>
        <v>11.0201444540452</v>
      </c>
      <c r="I1015" s="37" t="n">
        <f aca="false">Sens!$I$1013*k_B</f>
        <v>11.1972483526393</v>
      </c>
      <c r="J1015" s="37" t="n">
        <f aca="false">Sens!$J$1013*k_B</f>
        <v>11.2731500234653</v>
      </c>
      <c r="K1015" s="37" t="n">
        <f aca="false">Sens!$K$1013*k_B</f>
        <v>11.3153176183687</v>
      </c>
      <c r="L1015" s="37" t="n">
        <f aca="false">Sens!$L$1013*k_B</f>
        <v>11.3421515423981</v>
      </c>
      <c r="M1015" s="37" t="n">
        <f aca="false">Sens!$M$1013*k_B</f>
        <v>11.3607288744184</v>
      </c>
      <c r="N1015" s="13"/>
      <c r="O1015" s="13"/>
      <c r="P1015" s="5" t="s">
        <v>571</v>
      </c>
    </row>
    <row r="1016" customFormat="false" ht="17.15" hidden="false" customHeight="false" outlineLevel="0" collapsed="false">
      <c r="A1016" s="5" t="s">
        <v>572</v>
      </c>
      <c r="B1016" s="0" t="s">
        <v>108</v>
      </c>
      <c r="F1016" s="33" t="n">
        <f aca="false">Sens!$F$1010/2</f>
        <v>908.575</v>
      </c>
      <c r="H1016" s="33" t="n">
        <f aca="false">(Sens!$G$1010+Sens!$H$1010)/2</f>
        <v>3634.3</v>
      </c>
      <c r="I1016" s="33" t="n">
        <f aca="false">(Sens!$H$1010+Sens!$I$1010)/2</f>
        <v>7268.6</v>
      </c>
      <c r="J1016" s="33" t="n">
        <f aca="false">(Sens!$I$1010+Sens!$J$1010)/2</f>
        <v>10902.9</v>
      </c>
      <c r="K1016" s="33" t="n">
        <f aca="false">(Sens!$J$1010+Sens!$K$1010)/2</f>
        <v>14537.2</v>
      </c>
      <c r="L1016" s="33" t="n">
        <f aca="false">(Sens!$K$1010+Sens!$L$1010)/2</f>
        <v>18171.5</v>
      </c>
      <c r="M1016" s="33" t="n">
        <f aca="false">(Sens!$L$1010+Sens!$M$1010)/2</f>
        <v>21805.8</v>
      </c>
    </row>
    <row r="1017" customFormat="false" ht="17.15" hidden="false" customHeight="false" outlineLevel="0" collapsed="false">
      <c r="A1017" s="1" t="s">
        <v>573</v>
      </c>
    </row>
    <row r="1018" customFormat="false" ht="17.15" hidden="false" customHeight="false" outlineLevel="0" collapsed="false">
      <c r="A1018" s="1" t="s">
        <v>574</v>
      </c>
      <c r="B1018" s="8" t="s">
        <v>73</v>
      </c>
      <c r="C1018" s="38" t="n">
        <f aca="false">Sens!$C$1001*rpm_open*Sens!$C$1002/1000</f>
        <v>2.32100535697364</v>
      </c>
      <c r="D1018" s="38" t="n">
        <f aca="false">Sens!$D$1001*rpm_open*Sens!$D$1002/1000</f>
        <v>8.70377008865116</v>
      </c>
      <c r="E1018" s="38" t="n">
        <f aca="false">Sens!$E$1001*rpm_open*Sens!$E$1002/1000</f>
        <v>8.51035297557002</v>
      </c>
      <c r="F1018" s="38" t="n">
        <f aca="false">(mw_open*rpm_open+Sens!$F$1016*Sens!$F$1015)*Sens!$F$1002/1000</f>
        <v>14.9634336447205</v>
      </c>
      <c r="G1018" s="38" t="n">
        <f aca="false">Sens!$E$1018+Sens!$F$1018</f>
        <v>23.4737866202905</v>
      </c>
      <c r="H1018" s="38" t="n">
        <f aca="false">(mw_open*rpm_open+Sens!$H$1016*Sens!$H$1015)/1000</f>
        <v>60.1658907497746</v>
      </c>
      <c r="I1018" s="38" t="n">
        <f aca="false">(mw_open*rpm_open+Sens!$I$1016*Sens!$I$1015)/1000</f>
        <v>101.503699136432</v>
      </c>
      <c r="J1018" s="38" t="n">
        <f aca="false">(mw_open*rpm_open+Sens!$J$1016*Sens!$J$1015)/1000</f>
        <v>143.025407151278</v>
      </c>
      <c r="K1018" s="38" t="n">
        <f aca="false">(mw_open*rpm_open+Sens!$K$1016*Sens!$K$1015)/1000</f>
        <v>184.608415042187</v>
      </c>
      <c r="L1018" s="38" t="n">
        <f aca="false">(mw_open*rpm_open+Sens!$L$1016*Sens!$L$1015)/1000</f>
        <v>226.219286513125</v>
      </c>
      <c r="M1018" s="38" t="n">
        <f aca="false">(mw_open*rpm_open+Sens!$M$1016*Sens!$M$1015)/1000</f>
        <v>267.845161450232</v>
      </c>
      <c r="N1018" s="38" t="n">
        <f aca="false">Sens!$N$1001*rpm_open*Sens!$N$1002/1000</f>
        <v>3.04631953102791</v>
      </c>
      <c r="O1018" s="38" t="n">
        <f aca="false">Sens!$O$1001*rpm_open*Sens!$O$1002/1000</f>
        <v>5.65745055762326</v>
      </c>
      <c r="P1018" s="5" t="s">
        <v>575</v>
      </c>
    </row>
    <row r="1019" customFormat="false" ht="17.15" hidden="false" customHeight="false" outlineLevel="0" collapsed="false">
      <c r="A1019" s="5" t="s">
        <v>576</v>
      </c>
      <c r="B1019" s="0" t="s">
        <v>151</v>
      </c>
      <c r="C1019" s="36" t="n">
        <f aca="false">Sens!$C$1018*1000/(Sens!$C$1001*Sens!$C$1002)</f>
        <v>9.67085565405685</v>
      </c>
      <c r="D1019" s="36" t="n">
        <f aca="false">Sens!$D$1018*1000/(Sens!$D$1001*Sens!$D$1002)</f>
        <v>9.67085565405685</v>
      </c>
      <c r="E1019" s="36" t="n">
        <f aca="false">Sens!$E$1018*1000/(Sens!$E$1001*Sens!$E$1002)</f>
        <v>9.67085565405685</v>
      </c>
      <c r="F1019" s="36" t="n">
        <f aca="false">Sens!$F$1018*1000/(Sens!$F$1001*Sens!$F$1002)</f>
        <v>10.0137581588017</v>
      </c>
      <c r="G1019" s="36" t="n">
        <f aca="false">Sens!$G$1018*1000/(Sens!$G$1001*Sens!$G$1002)</f>
        <v>9.88666562928478</v>
      </c>
      <c r="H1019" s="36" t="n">
        <f aca="false">Sens!$H$1018*1000/(Sens!$H$1001*Sens!$H$1002)</f>
        <v>10.5290045586992</v>
      </c>
      <c r="I1019" s="36" t="n">
        <f aca="false">Sens!$I$1018*1000/(Sens!$I$1001*Sens!$I$1002)</f>
        <v>10.8576363451674</v>
      </c>
      <c r="J1019" s="36" t="n">
        <f aca="false">Sens!$J$1018*1000/(Sens!$J$1001*Sens!$J$1002)</f>
        <v>11.0164452588619</v>
      </c>
      <c r="K1019" s="36" t="n">
        <f aca="false">Sens!$K$1018*1000/(Sens!$K$1001*Sens!$K$1002)</f>
        <v>11.1094778327388</v>
      </c>
      <c r="L1019" s="36" t="n">
        <f aca="false">Sens!$L$1018*1000/(Sens!$L$1001*Sens!$L$1002)</f>
        <v>11.1704953466718</v>
      </c>
      <c r="M1019" s="36" t="n">
        <f aca="false">Sens!$M$1018*1000/(Sens!$M$1001*Sens!$M$1002)</f>
        <v>11.2135729785158</v>
      </c>
      <c r="N1019" s="36" t="n">
        <f aca="false">Sens!$N$1018*1000/(Sens!$N$1001*Sens!$N$1002)</f>
        <v>9.67085565405685</v>
      </c>
      <c r="O1019" s="36" t="n">
        <f aca="false">Sens!$O$1018*1000/(Sens!$O$1001*Sens!$O$1002)</f>
        <v>9.67085565405685</v>
      </c>
    </row>
    <row r="1020" customFormat="false" ht="17.15" hidden="false" customHeight="false" outlineLevel="0" collapsed="false">
      <c r="A1020" s="0" t="s">
        <v>577</v>
      </c>
      <c r="B1020" s="0" t="s">
        <v>73</v>
      </c>
      <c r="C1020" s="38" t="n">
        <f aca="false">Sens!$C$1001/ext_sh_hi*(ox_open+rent_mw)*Sens!$C$1002/1000</f>
        <v>0.514055368540026</v>
      </c>
      <c r="D1020" s="38" t="n">
        <f aca="false">Sens!$D$1001/ext_sh_hi*(ox_open+rent_mw)*Sens!$D$1002/1000</f>
        <v>1.9277076320251</v>
      </c>
      <c r="E1020" s="38" t="n">
        <f aca="false">Sens!$E$1001/ext_sh_hi*(ox_open+rent_mw)*Sens!$E$1002/1000</f>
        <v>1.88486968464676</v>
      </c>
      <c r="F1020" s="38" t="n">
        <f aca="false">((mw_open*ox_open+Sens!$F$1016*Sens!$F$1014)/ext_sh_hi+Sens!$F$1001/ext_sh_hi*rent_mw)*Sens!$F$1002/1000</f>
        <v>3.24337592884986</v>
      </c>
      <c r="G1020" s="38" t="n">
        <f aca="false">Sens!$E$1020+Sens!$F$1020</f>
        <v>5.12824561349662</v>
      </c>
      <c r="H1020" s="38" t="n">
        <f aca="false">((mw_open*ox_open+Sens!$H$1016*Sens!$H$1014)/ext_sh_hi+Sens!$H$1001/ext_sh_hi*rent_mw)*Sens!$H$1002/1000</f>
        <v>12.6487180437293</v>
      </c>
      <c r="I1020" s="38" t="n">
        <f aca="false">((mw_open*ox_open+Sens!$I$1016*Sens!$I$1014)/ext_sh_hi+Sens!$I$1001/ext_sh_hi*rent_mw)*Sens!$I$1002/1000</f>
        <v>20.9497298720653</v>
      </c>
      <c r="J1020" s="38" t="n">
        <f aca="false">((mw_open*ox_open+Sens!$J$1016*Sens!$J$1014)/ext_sh_hi+Sens!$J$1001/ext_sh_hi*rent_mw)*Sens!$J$1002/1000</f>
        <v>29.2660903163948</v>
      </c>
      <c r="K1020" s="38" t="n">
        <f aca="false">((mw_open*ox_open+Sens!$K$1016*Sens!$K$1014)/ext_sh_hi+Sens!$K$1001/ext_sh_hi*rent_mw)*Sens!$K$1002/1000</f>
        <v>37.5875669660554</v>
      </c>
      <c r="L1020" s="38" t="n">
        <f aca="false">((mw_open*ox_open+Sens!$L$1016*Sens!$L$1014)/ext_sh_hi+Sens!$L$1001/ext_sh_hi*rent_mw)*Sens!$L$1002/1000</f>
        <v>45.9113691635937</v>
      </c>
      <c r="M1020" s="38" t="n">
        <f aca="false">((mw_open*ox_open+Sens!$M$1016*Sens!$M$1014)/ext_sh_hi+Sens!$M$1001/ext_sh_hi*rent_mw)*Sens!$M$1002/1000</f>
        <v>54.2364235792201</v>
      </c>
      <c r="N1020" s="38" t="n">
        <f aca="false">Sens!$N$1001/ext_sh_hi*(ox_open+rent_mw)*Sens!$N$1002/1000</f>
        <v>0.674697671208784</v>
      </c>
      <c r="O1020" s="38" t="n">
        <f aca="false">Sens!$O$1001/ext_sh_hi*(ox_open+rent_mw)*Sens!$O$1002/1000</f>
        <v>1.25300996081631</v>
      </c>
    </row>
    <row r="1021" customFormat="false" ht="17.15" hidden="false" customHeight="false" outlineLevel="0" collapsed="false">
      <c r="A1021" s="0" t="s">
        <v>578</v>
      </c>
      <c r="B1021" s="0" t="s">
        <v>73</v>
      </c>
      <c r="C1021" s="38" t="n">
        <f aca="false">Q!$D$7</f>
        <v>107.556</v>
      </c>
      <c r="D1021" s="38" t="n">
        <f aca="false">Q!$E$7</f>
        <v>128.725</v>
      </c>
      <c r="E1021" s="38" t="n">
        <f aca="false">Q!$P$7</f>
        <v>79.819</v>
      </c>
      <c r="N1021" s="38" t="n">
        <f aca="false">Q!$N$7</f>
        <v>60.14</v>
      </c>
      <c r="O1021" s="38" t="n">
        <f aca="false">Q!$O$7</f>
        <v>68.585</v>
      </c>
    </row>
    <row r="1022" customFormat="false" ht="17.15" hidden="false" customHeight="false" outlineLevel="0" collapsed="false">
      <c r="A1022" s="1" t="s">
        <v>579</v>
      </c>
      <c r="B1022" s="8" t="s">
        <v>73</v>
      </c>
      <c r="C1022" s="38" t="n">
        <f aca="false">Sens!$C$1021-Sens!$C$1018</f>
        <v>105.234994643026</v>
      </c>
      <c r="D1022" s="38" t="n">
        <f aca="false">Sens!$D$1021-Sens!$D$1018</f>
        <v>120.021229911349</v>
      </c>
      <c r="E1022" s="38" t="n">
        <f aca="false">Sens!$E$1021-Sens!$E$1018</f>
        <v>71.30864702443</v>
      </c>
      <c r="F1022" s="38" t="n">
        <f aca="false">Sens!$O$1022*(1+Sens!$F$1023)</f>
        <v>78.5950104186653</v>
      </c>
      <c r="G1022" s="38" t="n">
        <f aca="false">Sens!$E$1022+Sens!$F$1022</f>
        <v>149.903657443095</v>
      </c>
      <c r="H1022" s="38" t="n">
        <f aca="false">Sens!$G$1022*(1+Sens!$H$1023)</f>
        <v>180.893560768142</v>
      </c>
      <c r="I1022" s="38" t="n">
        <f aca="false">Sens!$H$1022*(1+Sens!$I$1023)</f>
        <v>210.64839721501</v>
      </c>
      <c r="J1022" s="38" t="n">
        <f aca="false">Sens!$I$1022*(1+Sens!$J$1023)</f>
        <v>236.398909446495</v>
      </c>
      <c r="K1022" s="38" t="n">
        <f aca="false">Sens!$J$1022*(1+Sens!$K$1023)</f>
        <v>255.310822202215</v>
      </c>
      <c r="L1022" s="38" t="n">
        <f aca="false">Sens!$K$1022*(1+Sens!$L$1023)</f>
        <v>275.735687978392</v>
      </c>
      <c r="M1022" s="38" t="n">
        <f aca="false">Sens!$L$1022*(1+Sens!$M$1023)</f>
        <v>297.794543016663</v>
      </c>
      <c r="N1022" s="38" t="n">
        <f aca="false">Sens!$N$1021-Sens!$N$1018</f>
        <v>57.0936804689721</v>
      </c>
      <c r="O1022" s="38" t="n">
        <f aca="false">Sens!$O$1021-Sens!$O$1018</f>
        <v>62.9275494423768</v>
      </c>
      <c r="P1022" s="5" t="s">
        <v>580</v>
      </c>
    </row>
    <row r="1023" customFormat="false" ht="17.15" hidden="false" customHeight="false" outlineLevel="0" collapsed="false">
      <c r="A1023" s="0" t="s">
        <v>581</v>
      </c>
      <c r="B1023" s="0" t="s">
        <v>52</v>
      </c>
      <c r="E1023" s="12" t="n">
        <f aca="false">Sens!$E$1022/Sens!$N$1022-1</f>
        <v>0.248976181579029</v>
      </c>
      <c r="F1023" s="12" t="n">
        <f aca="false">Sens!$E$1023</f>
        <v>0.248976181579029</v>
      </c>
      <c r="G1023" s="12" t="n">
        <f aca="false">Sens!$G$1022/Sens!$D$1022-1</f>
        <v>0.248976181579029</v>
      </c>
      <c r="H1023" s="12" t="n">
        <f aca="false">Sens!$E$1023+(g_awso_lt-Sens!$E$1023)*1/4</f>
        <v>0.206732136184272</v>
      </c>
      <c r="I1023" s="12" t="n">
        <f aca="false">Sens!$E$1023+(g_awso_lt-Sens!$E$1023)*2/4</f>
        <v>0.164488090789515</v>
      </c>
      <c r="J1023" s="12" t="n">
        <f aca="false">Sens!$E$1023+(g_awso_lt-Sens!$E$1023)*3/4</f>
        <v>0.122244045394757</v>
      </c>
      <c r="K1023" s="12" t="n">
        <f aca="false">Sens!$E$1023+(g_awso_lt-Sens!$E$1023)*4/4</f>
        <v>0.08</v>
      </c>
      <c r="L1023" s="12" t="n">
        <f aca="false">g_awso_lt</f>
        <v>0.08</v>
      </c>
      <c r="M1023" s="12" t="n">
        <f aca="false">g_awso_lt</f>
        <v>0.08</v>
      </c>
      <c r="P1023" s="8" t="s">
        <v>582</v>
      </c>
    </row>
    <row r="1024" customFormat="false" ht="17.15" hidden="false" customHeight="false" outlineLevel="0" collapsed="false">
      <c r="A1024" s="1" t="s">
        <v>583</v>
      </c>
    </row>
    <row r="1025" customFormat="false" ht="17.15" hidden="false" customHeight="false" outlineLevel="0" collapsed="false">
      <c r="A1025" s="0" t="s">
        <v>584</v>
      </c>
      <c r="B1025" s="0" t="s">
        <v>73</v>
      </c>
      <c r="F1025" s="38" t="n">
        <f aca="false">cx_rt*Sens!$F$991+cx_awso*Sens!$F$1022</f>
        <v>36.8045765066526</v>
      </c>
    </row>
    <row r="1026" customFormat="false" ht="17.15" hidden="false" customHeight="false" outlineLevel="0" collapsed="false">
      <c r="A1026" s="0" t="s">
        <v>585</v>
      </c>
      <c r="B1026" s="0" t="s">
        <v>52</v>
      </c>
      <c r="C1026" s="12" t="n">
        <f aca="false">tk_cx_h100/(tk_cx_h100+tk_fac*(1-colo_sh))</f>
        <v>0.730756458006641</v>
      </c>
      <c r="D1026" s="12" t="n">
        <f aca="false">tk_cx_h100/(tk_cx_h100+tk_fac*(1-colo_sh))</f>
        <v>0.730756458006641</v>
      </c>
      <c r="E1026" s="12" t="n">
        <f aca="false">Sens!$F$1026</f>
        <v>0.760792334328868</v>
      </c>
      <c r="F1026" s="12" t="n">
        <f aca="false">Sens!$F$1009/(Sens!$F$1009+tk_fac*(1-colo_sh))</f>
        <v>0.760792334328868</v>
      </c>
      <c r="G1026" s="12" t="n">
        <f aca="false">Sens!$G$1009/(Sens!$G$1009+tk_fac*(1-colo_sh))</f>
        <v>0.760792334328868</v>
      </c>
      <c r="H1026" s="12" t="n">
        <f aca="false">Sens!$H$1009/(Sens!$H$1009+tk_fac*(1-colo_sh))</f>
        <v>0.768110668862996</v>
      </c>
      <c r="I1026" s="12" t="n">
        <f aca="false">Sens!$I$1009/(Sens!$I$1009+tk_fac*(1-colo_sh))</f>
        <v>0.77499450139483</v>
      </c>
      <c r="J1026" s="12" t="n">
        <f aca="false">Sens!$J$1009/(Sens!$J$1009+tk_fac*(1-colo_sh))</f>
        <v>0.77499450139483</v>
      </c>
      <c r="K1026" s="12" t="n">
        <f aca="false">Sens!$K$1009/(Sens!$K$1009+tk_fac*(1-colo_sh))</f>
        <v>0.77499450139483</v>
      </c>
      <c r="L1026" s="12" t="n">
        <f aca="false">Sens!$L$1009/(Sens!$L$1009+tk_fac*(1-colo_sh))</f>
        <v>0.77499450139483</v>
      </c>
      <c r="M1026" s="12" t="n">
        <f aca="false">Sens!$M$1009/(Sens!$M$1009+tk_fac*(1-colo_sh))</f>
        <v>0.77499450139483</v>
      </c>
    </row>
    <row r="1027" customFormat="false" ht="17.15" hidden="false" customHeight="false" outlineLevel="0" collapsed="false">
      <c r="A1027" s="1" t="s">
        <v>586</v>
      </c>
      <c r="B1027" s="8" t="s">
        <v>73</v>
      </c>
      <c r="C1027" s="38" t="n">
        <f aca="false">Q!$D$46-cx_rt*Q!$D$16-cx_awso*Sens!$C$1022</f>
        <v>25.2781053077374</v>
      </c>
      <c r="D1027" s="38" t="n">
        <f aca="false">Q!$E$46-cx_rt*Q!$E$16-cx_awso*Sens!$D$1022</f>
        <v>69.5686316310026</v>
      </c>
      <c r="E1027" s="38" t="n">
        <f aca="false">Q!$P$46-cx_rt*Q!$P$16-cx_awso*Sens!$E$1022</f>
        <v>64.1899206485108</v>
      </c>
      <c r="F1027" s="38" t="n">
        <f aca="false">MAX(Sens!$F$1004*(Sens!$F$1009+tk_fac*(1-colo_sh))/1000,capex_g26-Q!$P$46-Sens!$F$1025)</f>
        <v>86.8854234933474</v>
      </c>
      <c r="G1027" s="38" t="n">
        <f aca="false">Sens!$E$1027+Sens!$F$1027</f>
        <v>151.075344141858</v>
      </c>
      <c r="H1027" s="38" t="n">
        <f aca="false">Sens!$H$1004*(Sens!$H$1009+tk_fac*(1-colo_sh))/1000+Sens!$H$1028</f>
        <v>158.8570919558</v>
      </c>
      <c r="I1027" s="38" t="n">
        <f aca="false">Sens!$I$1004*(Sens!$I$1009+tk_fac*(1-colo_sh))/1000+Sens!$I$1028</f>
        <v>163.7171759284</v>
      </c>
      <c r="J1027" s="38" t="n">
        <f aca="false">Sens!$J$1004*(Sens!$J$1009+tk_fac*(1-colo_sh))/1000+Sens!$J$1028</f>
        <v>167.9065904884</v>
      </c>
      <c r="K1027" s="38" t="n">
        <f aca="false">Sens!$K$1004*(Sens!$K$1009+tk_fac*(1-colo_sh))/1000+Sens!$K$1028</f>
        <v>172.0960050484</v>
      </c>
      <c r="L1027" s="38" t="n">
        <f aca="false">Sens!$L$1004*(Sens!$L$1009+tk_fac*(1-colo_sh))/1000+Sens!$L$1028</f>
        <v>201.4219069684</v>
      </c>
      <c r="M1027" s="38" t="n">
        <f aca="false">Sens!$M$1004*(Sens!$M$1009+tk_fac*(1-colo_sh))/1000+Sens!$M$1028</f>
        <v>249.5006758126</v>
      </c>
      <c r="P1027" s="5" t="s">
        <v>587</v>
      </c>
      <c r="R1027" s="38" t="n">
        <f aca="false">Q!$C$46-cx_rt*Q!$C$16-cx_awso*(Q!$C$7-mw_ye23/2*rpm_open/1000)</f>
        <v>1.50429979529945</v>
      </c>
      <c r="S1027" s="38" t="n">
        <f aca="false">Sens!$C$1027</f>
        <v>25.2781053077374</v>
      </c>
      <c r="T1027" s="38" t="n">
        <f aca="false">Sens!$D$1027</f>
        <v>69.5686316310026</v>
      </c>
      <c r="U1027" s="38" t="n">
        <f aca="false">Sens!$G$1027</f>
        <v>151.075344141858</v>
      </c>
      <c r="V1027" s="38" t="n">
        <f aca="false">Sens!$H$1027</f>
        <v>158.8570919558</v>
      </c>
      <c r="W1027" s="38" t="n">
        <f aca="false">Sens!$I$1027</f>
        <v>163.7171759284</v>
      </c>
      <c r="X1027" s="38" t="n">
        <f aca="false">Sens!$J$1027</f>
        <v>167.9065904884</v>
      </c>
      <c r="Y1027" s="38" t="n">
        <f aca="false">Sens!$K$1027</f>
        <v>172.0960050484</v>
      </c>
      <c r="Z1027" s="38" t="n">
        <f aca="false">Sens!$L$1027</f>
        <v>201.4219069684</v>
      </c>
      <c r="AA1027" s="38" t="n">
        <f aca="false">Sens!$M$1027</f>
        <v>249.5006758126</v>
      </c>
    </row>
    <row r="1028" customFormat="false" ht="17.15" hidden="false" customHeight="false" outlineLevel="0" collapsed="false">
      <c r="A1028" s="0" t="s">
        <v>588</v>
      </c>
      <c r="B1028" s="0" t="s">
        <v>73</v>
      </c>
      <c r="H1028" s="38" t="n">
        <f aca="false">SUMPRODUCT(--(Sens!$R$998:$AA$998=2027-tk_life),Sens!$R$1004:$AA$1004)*Sens!$H$1009/1000</f>
        <v>0</v>
      </c>
      <c r="I1028" s="38" t="n">
        <f aca="false">SUMPRODUCT(--(Sens!$R$998:$AA$998=2028-tk_life),Sens!$R$1004:$AA$1004)*Sens!$I$1009/1000</f>
        <v>0</v>
      </c>
      <c r="J1028" s="38" t="n">
        <f aca="false">SUMPRODUCT(--(Sens!$R$998:$AA$998=2029-tk_life),Sens!$R$1004:$AA$1004)*Sens!$J$1009/1000</f>
        <v>4.18941456</v>
      </c>
      <c r="K1028" s="38" t="n">
        <f aca="false">SUMPRODUCT(--(Sens!$R$998:$AA$998=2030-tk_life),Sens!$R$1004:$AA$1004)*Sens!$K$1009/1000</f>
        <v>8.37882912</v>
      </c>
      <c r="L1028" s="38" t="n">
        <f aca="false">SUMPRODUCT(--(Sens!$R$998:$AA$998=2031-tk_life),Sens!$R$1004:$AA$1004)*Sens!$L$1009/1000</f>
        <v>37.70473104</v>
      </c>
      <c r="M1028" s="38" t="n">
        <f aca="false">SUMPRODUCT(--(Sens!$R$998:$AA$998=2032-tk_life),Sens!$R$1004:$AA$1004)*Sens!$M$1009/1000</f>
        <v>85.7834998842</v>
      </c>
    </row>
    <row r="1029" customFormat="false" ht="17.15" hidden="false" customHeight="false" outlineLevel="0" collapsed="false">
      <c r="A1029" s="5" t="s">
        <v>589</v>
      </c>
      <c r="B1029" s="0" t="s">
        <v>73</v>
      </c>
      <c r="C1029" s="38" t="n">
        <f aca="false">Sens!$C$1027*Sens!$C$1026</f>
        <v>18.472138699801</v>
      </c>
      <c r="D1029" s="38" t="n">
        <f aca="false">Sens!$D$1027*Sens!$D$1026</f>
        <v>50.8377268390402</v>
      </c>
      <c r="E1029" s="38" t="n">
        <f aca="false">Sens!$E$1027*Sens!$E$1026</f>
        <v>48.8351995705653</v>
      </c>
      <c r="F1029" s="38" t="n">
        <f aca="false">Sens!$F$1027*Sens!$F$1026</f>
        <v>66.101764158656</v>
      </c>
      <c r="G1029" s="38" t="n">
        <f aca="false">Sens!$E$1029+Sens!$F$1029</f>
        <v>114.936963729221</v>
      </c>
      <c r="H1029" s="38" t="n">
        <f aca="false">(Sens!$H$1027-Sens!$H$1028)*Sens!$H$1026+Sens!$H$1028</f>
        <v>122.0198271558</v>
      </c>
      <c r="I1029" s="38" t="n">
        <f aca="false">(Sens!$I$1027-Sens!$I$1028)*Sens!$I$1026+Sens!$I$1028</f>
        <v>126.8799111284</v>
      </c>
      <c r="J1029" s="38" t="n">
        <f aca="false">(Sens!$J$1027-Sens!$J$1028)*Sens!$J$1026+Sens!$J$1028</f>
        <v>131.0693256884</v>
      </c>
      <c r="K1029" s="38" t="n">
        <f aca="false">(Sens!$K$1027-Sens!$K$1028)*Sens!$K$1026+Sens!$K$1028</f>
        <v>135.2587402484</v>
      </c>
      <c r="L1029" s="38" t="n">
        <f aca="false">(Sens!$L$1027-Sens!$L$1028)*Sens!$L$1026+Sens!$L$1028</f>
        <v>164.5846421684</v>
      </c>
      <c r="M1029" s="38" t="n">
        <f aca="false">(Sens!$M$1027-Sens!$M$1028)*Sens!$M$1026+Sens!$M$1028</f>
        <v>212.6634110126</v>
      </c>
      <c r="R1029" s="38" t="n">
        <f aca="false">Sens!$R$1027*Sens!$C$1026</f>
        <v>1.09927679019314</v>
      </c>
      <c r="S1029" s="38" t="n">
        <f aca="false">Sens!$C$1029</f>
        <v>18.472138699801</v>
      </c>
      <c r="T1029" s="38" t="n">
        <f aca="false">Sens!$D$1029</f>
        <v>50.8377268390402</v>
      </c>
      <c r="U1029" s="38" t="n">
        <f aca="false">Sens!$G$1029</f>
        <v>114.936963729221</v>
      </c>
      <c r="V1029" s="38" t="n">
        <f aca="false">Sens!$H$1029</f>
        <v>122.0198271558</v>
      </c>
      <c r="W1029" s="38" t="n">
        <f aca="false">Sens!$I$1029</f>
        <v>126.8799111284</v>
      </c>
      <c r="X1029" s="38" t="n">
        <f aca="false">Sens!$J$1029</f>
        <v>131.0693256884</v>
      </c>
      <c r="Y1029" s="38" t="n">
        <f aca="false">Sens!$K$1029</f>
        <v>135.2587402484</v>
      </c>
      <c r="Z1029" s="38" t="n">
        <f aca="false">Sens!$L$1029</f>
        <v>164.5846421684</v>
      </c>
      <c r="AA1029" s="38" t="n">
        <f aca="false">Sens!$M$1029</f>
        <v>212.6634110126</v>
      </c>
    </row>
    <row r="1030" customFormat="false" ht="15" hidden="false" customHeight="false" outlineLevel="0" collapsed="false">
      <c r="A1030" s="5" t="s">
        <v>590</v>
      </c>
      <c r="B1030" s="0" t="s">
        <v>73</v>
      </c>
      <c r="C1030" s="38" t="n">
        <f aca="false">Sens!$C$1027-Sens!$C$1029</f>
        <v>6.80596660793636</v>
      </c>
      <c r="D1030" s="38" t="n">
        <f aca="false">Sens!$D$1027-Sens!$D$1029</f>
        <v>18.7309047919624</v>
      </c>
      <c r="E1030" s="38" t="n">
        <f aca="false">Sens!$E$1027-Sens!$E$1029</f>
        <v>15.3547210779455</v>
      </c>
      <c r="F1030" s="38" t="n">
        <f aca="false">Sens!$F$1027-Sens!$F$1029</f>
        <v>20.7836593346914</v>
      </c>
      <c r="G1030" s="38" t="n">
        <f aca="false">Sens!$G$1027-Sens!$G$1029</f>
        <v>36.1383804126369</v>
      </c>
      <c r="H1030" s="38" t="n">
        <f aca="false">Sens!$H$1027-Sens!$H$1029</f>
        <v>36.8372648</v>
      </c>
      <c r="I1030" s="38" t="n">
        <f aca="false">Sens!$I$1027-Sens!$I$1029</f>
        <v>36.8372648</v>
      </c>
      <c r="J1030" s="38" t="n">
        <f aca="false">Sens!$J$1027-Sens!$J$1029</f>
        <v>36.8372648</v>
      </c>
      <c r="K1030" s="38" t="n">
        <f aca="false">Sens!$K$1027-Sens!$K$1029</f>
        <v>36.8372648</v>
      </c>
      <c r="L1030" s="38" t="n">
        <f aca="false">Sens!$L$1027-Sens!$L$1029</f>
        <v>36.8372648</v>
      </c>
      <c r="M1030" s="38" t="n">
        <f aca="false">Sens!$M$1027-Sens!$M$1029</f>
        <v>36.8372648</v>
      </c>
      <c r="R1030" s="38" t="n">
        <f aca="false">Sens!$R$1027-Sens!$R$1029</f>
        <v>0.405023005106309</v>
      </c>
      <c r="S1030" s="38" t="n">
        <f aca="false">Sens!$S$1027-Sens!$S$1029</f>
        <v>6.80596660793636</v>
      </c>
      <c r="T1030" s="38" t="n">
        <f aca="false">Sens!$T$1027-Sens!$T$1029</f>
        <v>18.7309047919624</v>
      </c>
      <c r="U1030" s="38" t="n">
        <f aca="false">Sens!$U$1027-Sens!$U$1029</f>
        <v>36.1383804126369</v>
      </c>
      <c r="V1030" s="38" t="n">
        <f aca="false">Sens!$V$1027-Sens!$V$1029</f>
        <v>36.8372648</v>
      </c>
      <c r="W1030" s="38" t="n">
        <f aca="false">Sens!$W$1027-Sens!$W$1029</f>
        <v>36.8372648</v>
      </c>
      <c r="X1030" s="38" t="n">
        <f aca="false">Sens!$X$1027-Sens!$X$1029</f>
        <v>36.8372648</v>
      </c>
      <c r="Y1030" s="38" t="n">
        <f aca="false">Sens!$Y$1027-Sens!$Y$1029</f>
        <v>36.8372648</v>
      </c>
      <c r="Z1030" s="38" t="n">
        <f aca="false">Sens!$Z$1027-Sens!$Z$1029</f>
        <v>36.8372648</v>
      </c>
      <c r="AA1030" s="38" t="n">
        <f aca="false">Sens!$AA$1027-Sens!$AA$1029</f>
        <v>36.8372648</v>
      </c>
    </row>
    <row r="1031" customFormat="false" ht="17.15" hidden="false" customHeight="false" outlineLevel="0" collapsed="false">
      <c r="A1031" s="0" t="s">
        <v>591</v>
      </c>
      <c r="B1031" s="0" t="s">
        <v>52</v>
      </c>
      <c r="C1031" s="12" t="n">
        <f aca="false">Sens!$C$1027/Sens!$C$1143</f>
        <v>0.325505489553393</v>
      </c>
      <c r="D1031" s="12" t="n">
        <f aca="false">Sens!$D$1027/Sens!$D$1143</f>
        <v>0.54214956071542</v>
      </c>
      <c r="E1031" s="12" t="n">
        <f aca="false">Sens!$E$1027/Sens!$E$1143</f>
        <v>0.666492790452817</v>
      </c>
      <c r="F1031" s="12" t="n">
        <f aca="false">Sens!$F$1027/Sens!$F$1143</f>
        <v>0.702445011669071</v>
      </c>
      <c r="G1031" s="12" t="n">
        <f aca="false">Sens!$G$1027/Sens!$G$1143</f>
        <v>0.686706109735719</v>
      </c>
      <c r="H1031" s="12" t="n">
        <f aca="false">Sens!$H$1027/Sens!$H$1143</f>
        <v>0.66702998735954</v>
      </c>
      <c r="I1031" s="12" t="n">
        <f aca="false">Sens!$I$1027/Sens!$I$1143</f>
        <v>0.647090237476272</v>
      </c>
      <c r="J1031" s="12" t="n">
        <f aca="false">Sens!$J$1027/Sens!$J$1143</f>
        <v>0.631008590167421</v>
      </c>
      <c r="K1031" s="12" t="n">
        <f aca="false">Sens!$K$1027/Sens!$K$1143</f>
        <v>0.620474939104474</v>
      </c>
      <c r="L1031" s="12" t="n">
        <f aca="false">Sens!$L$1027/Sens!$L$1143</f>
        <v>0.64085683415866</v>
      </c>
      <c r="M1031" s="12" t="n">
        <f aca="false">Sens!$M$1027/Sens!$M$1143</f>
        <v>0.673292548388283</v>
      </c>
    </row>
    <row r="1032" customFormat="false" ht="17.15" hidden="false" customHeight="false" outlineLevel="0" collapsed="false">
      <c r="A1032" s="0" t="s">
        <v>592</v>
      </c>
      <c r="B1032" s="0" t="s">
        <v>73</v>
      </c>
      <c r="C1032" s="38" t="n">
        <f aca="false">Sens!$S$1032</f>
        <v>0.183212798365523</v>
      </c>
      <c r="D1032" s="38" t="n">
        <f aca="false">Sens!$T$1032</f>
        <v>3.2619025816657</v>
      </c>
      <c r="E1032" s="38" t="n">
        <f aca="false">Sens!$G$1032/2</f>
        <v>5.86742852741953</v>
      </c>
      <c r="F1032" s="38" t="n">
        <f aca="false">Sens!$G$1032/2</f>
        <v>5.86742852741953</v>
      </c>
      <c r="G1032" s="38" t="n">
        <f aca="false">Sens!$U$1032</f>
        <v>11.7348570548391</v>
      </c>
      <c r="H1032" s="38" t="n">
        <f aca="false">Sens!$V$1032</f>
        <v>30.891017676376</v>
      </c>
      <c r="I1032" s="38" t="n">
        <f aca="false">Sens!$W$1032</f>
        <v>51.227655535676</v>
      </c>
      <c r="J1032" s="38" t="n">
        <f aca="false">Sens!$X$1032</f>
        <v>72.3743073904093</v>
      </c>
      <c r="K1032" s="38" t="n">
        <f aca="false">Sens!$Y$1032</f>
        <v>94.0359822067771</v>
      </c>
      <c r="L1032" s="38" t="n">
        <f aca="false">Sens!$Z$1032</f>
        <v>113.50041579821</v>
      </c>
      <c r="M1032" s="38" t="n">
        <f aca="false">Sens!$AA$1032</f>
        <v>132.45823501977</v>
      </c>
      <c r="N1032" s="38" t="n">
        <f aca="false">Sens!$D$1032/2</f>
        <v>1.63095129083285</v>
      </c>
      <c r="O1032" s="38" t="n">
        <f aca="false">Sens!$D$1032/2</f>
        <v>1.63095129083285</v>
      </c>
      <c r="R1032" s="38" t="n">
        <f aca="false">SUMPRODUCT(--(Sens!$R$998:$AA$998&lt;Sens!R$998),--(Sens!$R$998:$AA$998&gt;=Sens!R$998-tk_life),Sens!$R$1029:$AA$1029)/tk_life</f>
        <v>0</v>
      </c>
      <c r="S1032" s="38" t="n">
        <f aca="false">SUMPRODUCT(--(Sens!$R$998:$AA$998&lt;Sens!S$998),--(Sens!$R$998:$AA$998&gt;=Sens!S$998-tk_life),Sens!$R$1029:$AA$1029)/tk_life</f>
        <v>0.183212798365523</v>
      </c>
      <c r="T1032" s="38" t="n">
        <f aca="false">SUMPRODUCT(--(Sens!$R$998:$AA$998&lt;Sens!T$998),--(Sens!$R$998:$AA$998&gt;=Sens!T$998-tk_life),Sens!$R$1029:$AA$1029)/tk_life</f>
        <v>3.2619025816657</v>
      </c>
      <c r="U1032" s="38" t="n">
        <f aca="false">SUMPRODUCT(--(Sens!$R$998:$AA$998&lt;Sens!U$998),--(Sens!$R$998:$AA$998&gt;=Sens!U$998-tk_life),Sens!$R$1029:$AA$1029)/tk_life</f>
        <v>11.7348570548391</v>
      </c>
      <c r="V1032" s="38" t="n">
        <f aca="false">SUMPRODUCT(--(Sens!$R$998:$AA$998&lt;Sens!V$998),--(Sens!$R$998:$AA$998&gt;=Sens!V$998-tk_life),Sens!$R$1029:$AA$1029)/tk_life</f>
        <v>30.891017676376</v>
      </c>
      <c r="W1032" s="38" t="n">
        <f aca="false">SUMPRODUCT(--(Sens!$R$998:$AA$998&lt;Sens!W$998),--(Sens!$R$998:$AA$998&gt;=Sens!W$998-tk_life),Sens!$R$1029:$AA$1029)/tk_life</f>
        <v>51.227655535676</v>
      </c>
      <c r="X1032" s="38" t="n">
        <f aca="false">SUMPRODUCT(--(Sens!$R$998:$AA$998&lt;Sens!X$998),--(Sens!$R$998:$AA$998&gt;=Sens!X$998-tk_life),Sens!$R$1029:$AA$1029)/tk_life</f>
        <v>72.3743073904093</v>
      </c>
      <c r="Y1032" s="38" t="n">
        <f aca="false">SUMPRODUCT(--(Sens!$R$998:$AA$998&lt;Sens!Y$998),--(Sens!$R$998:$AA$998&gt;=Sens!Y$998-tk_life),Sens!$R$1029:$AA$1029)/tk_life</f>
        <v>94.0359822067771</v>
      </c>
      <c r="Z1032" s="38" t="n">
        <f aca="false">SUMPRODUCT(--(Sens!$R$998:$AA$998&lt;Sens!Z$998),--(Sens!$R$998:$AA$998&gt;=Sens!Z$998-tk_life),Sens!$R$1029:$AA$1029)/tk_life</f>
        <v>113.50041579821</v>
      </c>
      <c r="AA1032" s="38" t="n">
        <f aca="false">SUMPRODUCT(--(Sens!$R$998:$AA$998&lt;Sens!AA$998),--(Sens!$R$998:$AA$998&gt;=Sens!AA$998-tk_life),Sens!$R$1029:$AA$1029)/tk_life</f>
        <v>132.45823501977</v>
      </c>
    </row>
    <row r="1033" customFormat="false" ht="17.15" hidden="false" customHeight="false" outlineLevel="0" collapsed="false">
      <c r="A1033" s="0" t="s">
        <v>593</v>
      </c>
      <c r="B1033" s="0" t="s">
        <v>73</v>
      </c>
      <c r="C1033" s="38" t="n">
        <f aca="false">Sens!$S$1033</f>
        <v>0.0202511502553155</v>
      </c>
      <c r="D1033" s="38" t="n">
        <f aca="false">Sens!$T$1033</f>
        <v>0.360549480652134</v>
      </c>
      <c r="E1033" s="38" t="n">
        <f aca="false">Sens!$G$1033/2</f>
        <v>0.648547360125127</v>
      </c>
      <c r="F1033" s="38" t="n">
        <f aca="false">Sens!$G$1033/2</f>
        <v>0.648547360125127</v>
      </c>
      <c r="G1033" s="38" t="n">
        <f aca="false">Sens!$U$1033</f>
        <v>1.29709472025025</v>
      </c>
      <c r="H1033" s="38" t="n">
        <f aca="false">Sens!$V$1033</f>
        <v>3.1040137408821</v>
      </c>
      <c r="I1033" s="38" t="n">
        <f aca="false">Sens!$W$1033</f>
        <v>4.9458769808821</v>
      </c>
      <c r="J1033" s="38" t="n">
        <f aca="false">Sens!$X$1033</f>
        <v>6.7877402208821</v>
      </c>
      <c r="K1033" s="38" t="n">
        <f aca="false">Sens!$Y$1033</f>
        <v>8.6296034608821</v>
      </c>
      <c r="L1033" s="38" t="n">
        <f aca="false">Sens!$Z$1033</f>
        <v>10.4714667008821</v>
      </c>
      <c r="M1033" s="38" t="n">
        <f aca="false">Sens!$AA$1033</f>
        <v>12.3133299408821</v>
      </c>
      <c r="N1033" s="38" t="n">
        <f aca="false">Sens!$D$1033/2</f>
        <v>0.180274740326067</v>
      </c>
      <c r="O1033" s="38" t="n">
        <f aca="false">Sens!$D$1033/2</f>
        <v>0.180274740326067</v>
      </c>
      <c r="R1033" s="38" t="n">
        <f aca="false">SUMPRODUCT(--(Sens!$R$998:$AA$998&lt;Sens!R$998),Sens!$R$1030:$AA$1030)/fac_life</f>
        <v>0</v>
      </c>
      <c r="S1033" s="38" t="n">
        <f aca="false">SUMPRODUCT(--(Sens!$R$998:$AA$998&lt;Sens!S$998),Sens!$R$1030:$AA$1030)/fac_life</f>
        <v>0.0202511502553155</v>
      </c>
      <c r="T1033" s="38" t="n">
        <f aca="false">SUMPRODUCT(--(Sens!$R$998:$AA$998&lt;Sens!T$998),Sens!$R$1030:$AA$1030)/fac_life</f>
        <v>0.360549480652134</v>
      </c>
      <c r="U1033" s="38" t="n">
        <f aca="false">SUMPRODUCT(--(Sens!$R$998:$AA$998&lt;Sens!U$998),Sens!$R$1030:$AA$1030)/fac_life</f>
        <v>1.29709472025025</v>
      </c>
      <c r="V1033" s="38" t="n">
        <f aca="false">SUMPRODUCT(--(Sens!$R$998:$AA$998&lt;Sens!V$998),Sens!$R$1030:$AA$1030)/fac_life</f>
        <v>3.1040137408821</v>
      </c>
      <c r="W1033" s="38" t="n">
        <f aca="false">SUMPRODUCT(--(Sens!$R$998:$AA$998&lt;Sens!W$998),Sens!$R$1030:$AA$1030)/fac_life</f>
        <v>4.9458769808821</v>
      </c>
      <c r="X1033" s="38" t="n">
        <f aca="false">SUMPRODUCT(--(Sens!$R$998:$AA$998&lt;Sens!X$998),Sens!$R$1030:$AA$1030)/fac_life</f>
        <v>6.7877402208821</v>
      </c>
      <c r="Y1033" s="38" t="n">
        <f aca="false">SUMPRODUCT(--(Sens!$R$998:$AA$998&lt;Sens!Y$998),Sens!$R$1030:$AA$1030)/fac_life</f>
        <v>8.6296034608821</v>
      </c>
      <c r="Z1033" s="38" t="n">
        <f aca="false">SUMPRODUCT(--(Sens!$R$998:$AA$998&lt;Sens!Z$998),Sens!$R$1030:$AA$1030)/fac_life</f>
        <v>10.4714667008821</v>
      </c>
      <c r="AA1033" s="38" t="n">
        <f aca="false">SUMPRODUCT(--(Sens!$R$998:$AA$998&lt;Sens!AA$998),Sens!$R$1030:$AA$1030)/fac_life</f>
        <v>12.3133299408821</v>
      </c>
    </row>
    <row r="1034" customFormat="false" ht="17.15" hidden="false" customHeight="false" outlineLevel="0" collapsed="false">
      <c r="A1034" s="1" t="s">
        <v>594</v>
      </c>
      <c r="B1034" s="8" t="s">
        <v>73</v>
      </c>
      <c r="C1034" s="38" t="n">
        <f aca="false">Sens!$C$1032+Sens!$C$1033</f>
        <v>0.203463948620839</v>
      </c>
      <c r="D1034" s="38" t="n">
        <f aca="false">Sens!$D$1032+Sens!$D$1033</f>
        <v>3.62245206231783</v>
      </c>
      <c r="E1034" s="38" t="n">
        <f aca="false">Sens!$E$1032+Sens!$E$1033</f>
        <v>6.51597588754466</v>
      </c>
      <c r="F1034" s="38" t="n">
        <f aca="false">Sens!$F$1032+Sens!$F$1033</f>
        <v>6.51597588754466</v>
      </c>
      <c r="G1034" s="38" t="n">
        <f aca="false">Sens!$G$1032+Sens!$G$1033</f>
        <v>13.0319517750893</v>
      </c>
      <c r="H1034" s="38" t="n">
        <f aca="false">Sens!$H$1032+Sens!$H$1033</f>
        <v>33.9950314172581</v>
      </c>
      <c r="I1034" s="38" t="n">
        <f aca="false">Sens!$I$1032+Sens!$I$1033</f>
        <v>56.1735325165581</v>
      </c>
      <c r="J1034" s="38" t="n">
        <f aca="false">Sens!$J$1032+Sens!$J$1033</f>
        <v>79.1620476112914</v>
      </c>
      <c r="K1034" s="38" t="n">
        <f aca="false">Sens!$K$1032+Sens!$K$1033</f>
        <v>102.665585667659</v>
      </c>
      <c r="L1034" s="38" t="n">
        <f aca="false">Sens!$L$1032+Sens!$L$1033</f>
        <v>123.971882499092</v>
      </c>
      <c r="M1034" s="38" t="n">
        <f aca="false">Sens!$M$1032+Sens!$M$1033</f>
        <v>144.771564960652</v>
      </c>
      <c r="N1034" s="38" t="n">
        <f aca="false">Sens!$N$1032+Sens!$N$1033</f>
        <v>1.81122603115892</v>
      </c>
      <c r="O1034" s="38" t="n">
        <f aca="false">Sens!$O$1032+Sens!$O$1033</f>
        <v>1.81122603115892</v>
      </c>
      <c r="R1034" s="38" t="n">
        <f aca="false">Sens!$R$1032+Sens!$R$1033</f>
        <v>0</v>
      </c>
      <c r="S1034" s="38" t="n">
        <f aca="false">Sens!$S$1032+Sens!$S$1033</f>
        <v>0.203463948620839</v>
      </c>
      <c r="T1034" s="38" t="n">
        <f aca="false">Sens!$T$1032+Sens!$T$1033</f>
        <v>3.62245206231783</v>
      </c>
      <c r="U1034" s="38" t="n">
        <f aca="false">Sens!$U$1032+Sens!$U$1033</f>
        <v>13.0319517750893</v>
      </c>
      <c r="V1034" s="38" t="n">
        <f aca="false">Sens!$V$1032+Sens!$V$1033</f>
        <v>33.9950314172581</v>
      </c>
      <c r="W1034" s="38" t="n">
        <f aca="false">Sens!$W$1032+Sens!$W$1033</f>
        <v>56.1735325165581</v>
      </c>
      <c r="X1034" s="38" t="n">
        <f aca="false">Sens!$X$1032+Sens!$X$1033</f>
        <v>79.1620476112914</v>
      </c>
      <c r="Y1034" s="38" t="n">
        <f aca="false">Sens!$Y$1032+Sens!$Y$1033</f>
        <v>102.665585667659</v>
      </c>
      <c r="Z1034" s="38" t="n">
        <f aca="false">Sens!$Z$1032+Sens!$Z$1033</f>
        <v>123.971882499092</v>
      </c>
      <c r="AA1034" s="38" t="n">
        <f aca="false">Sens!$AA$1032+Sens!$AA$1033</f>
        <v>144.771564960652</v>
      </c>
    </row>
    <row r="1035" customFormat="false" ht="17.15" hidden="false" customHeight="false" outlineLevel="0" collapsed="false">
      <c r="A1035" s="0" t="s">
        <v>595</v>
      </c>
      <c r="B1035" s="0" t="s">
        <v>73</v>
      </c>
      <c r="C1035" s="38" t="n">
        <f aca="false">Sens!$S$1035</f>
        <v>26.578941154416</v>
      </c>
      <c r="D1035" s="38" t="n">
        <f aca="false">Sens!$T$1035</f>
        <v>92.5251207231008</v>
      </c>
      <c r="G1035" s="38" t="n">
        <f aca="false">Sens!$U$1035</f>
        <v>230.56851308987</v>
      </c>
      <c r="H1035" s="38" t="n">
        <f aca="false">Sens!$V$1035</f>
        <v>355.430573628412</v>
      </c>
      <c r="I1035" s="38" t="n">
        <f aca="false">Sens!$W$1035</f>
        <v>462.974217040254</v>
      </c>
      <c r="J1035" s="38" t="n">
        <f aca="false">Sens!$X$1035</f>
        <v>551.718759917362</v>
      </c>
      <c r="K1035" s="38" t="n">
        <f aca="false">Sens!$Y$1035</f>
        <v>621.149179298103</v>
      </c>
      <c r="L1035" s="38" t="n">
        <f aca="false">Sens!$Z$1035</f>
        <v>698.599203767411</v>
      </c>
      <c r="M1035" s="38" t="n">
        <f aca="false">Sens!$AA$1035</f>
        <v>803.328314619359</v>
      </c>
      <c r="R1035" s="38" t="n">
        <f aca="false">SUM(Sens!$R$1027:$R$1027)-SUM(Sens!$R$1034:$R$1034)</f>
        <v>1.50429979529945</v>
      </c>
      <c r="S1035" s="38" t="n">
        <f aca="false">SUM(Sens!$R$1027:$S$1027)-SUM(Sens!$R$1034:$S$1034)</f>
        <v>26.578941154416</v>
      </c>
      <c r="T1035" s="38" t="n">
        <f aca="false">SUM(Sens!$R$1027:$T$1027)-SUM(Sens!$R$1034:$T$1034)</f>
        <v>92.5251207231008</v>
      </c>
      <c r="U1035" s="38" t="n">
        <f aca="false">SUM(Sens!$R$1027:$U$1027)-SUM(Sens!$R$1034:$U$1034)</f>
        <v>230.56851308987</v>
      </c>
      <c r="V1035" s="38" t="n">
        <f aca="false">SUM(Sens!$R$1027:$V$1027)-SUM(Sens!$R$1034:$V$1034)</f>
        <v>355.430573628412</v>
      </c>
      <c r="W1035" s="38" t="n">
        <f aca="false">SUM(Sens!$R$1027:$W$1027)-SUM(Sens!$R$1034:$W$1034)</f>
        <v>462.974217040254</v>
      </c>
      <c r="X1035" s="38" t="n">
        <f aca="false">SUM(Sens!$R$1027:$X$1027)-SUM(Sens!$R$1034:$X$1034)</f>
        <v>551.718759917362</v>
      </c>
      <c r="Y1035" s="38" t="n">
        <f aca="false">SUM(Sens!$R$1027:$Y$1027)-SUM(Sens!$R$1034:$Y$1034)</f>
        <v>621.149179298103</v>
      </c>
      <c r="Z1035" s="38" t="n">
        <f aca="false">SUM(Sens!$R$1027:$Z$1027)-SUM(Sens!$R$1034:$Z$1034)</f>
        <v>698.599203767411</v>
      </c>
      <c r="AA1035" s="38" t="n">
        <f aca="false">SUM(Sens!$R$1027:$AA$1027)-SUM(Sens!$R$1034:$AA$1034)</f>
        <v>803.328314619359</v>
      </c>
    </row>
    <row r="1036" customFormat="false" ht="17.15" hidden="false" customHeight="false" outlineLevel="0" collapsed="false">
      <c r="A1036" s="1" t="s">
        <v>596</v>
      </c>
    </row>
    <row r="1037" customFormat="false" ht="17.15" hidden="false" customHeight="false" outlineLevel="0" collapsed="false">
      <c r="A1037" s="0" t="s">
        <v>597</v>
      </c>
      <c r="B1037" s="0" t="s">
        <v>73</v>
      </c>
      <c r="C1037" s="38" t="n">
        <f aca="false">Sens!$C$1018-ext_sh_hi*Sens!$C$1020</f>
        <v>1.80694998843362</v>
      </c>
      <c r="D1037" s="38" t="n">
        <f aca="false">Sens!$D$1018-ext_sh_hi*Sens!$D$1020</f>
        <v>6.77606245662606</v>
      </c>
      <c r="E1037" s="38" t="n">
        <f aca="false">Sens!$E$1018-ext_sh_hi*Sens!$E$1020</f>
        <v>6.62548329092326</v>
      </c>
      <c r="F1037" s="38" t="n">
        <f aca="false">Sens!$F$1018-ext_sh_hi*Sens!$F$1020</f>
        <v>11.7200577158706</v>
      </c>
      <c r="G1037" s="38" t="n">
        <f aca="false">Sens!$G$1018-ext_sh_hi*Sens!$G$1020</f>
        <v>18.3455410067939</v>
      </c>
      <c r="H1037" s="38" t="n">
        <f aca="false">Sens!$H$1018-ext_sh_hi*Sens!$H$1020</f>
        <v>47.5171727060453</v>
      </c>
      <c r="I1037" s="38" t="n">
        <f aca="false">Sens!$I$1018-ext_sh_hi*Sens!$I$1020</f>
        <v>80.5539692643667</v>
      </c>
      <c r="J1037" s="38" t="n">
        <f aca="false">Sens!$J$1018-ext_sh_hi*Sens!$J$1020</f>
        <v>113.759316834883</v>
      </c>
      <c r="K1037" s="38" t="n">
        <f aca="false">Sens!$K$1018-ext_sh_hi*Sens!$K$1020</f>
        <v>147.020848076132</v>
      </c>
      <c r="L1037" s="38" t="n">
        <f aca="false">Sens!$L$1018-ext_sh_hi*Sens!$L$1020</f>
        <v>180.307917349531</v>
      </c>
      <c r="M1037" s="38" t="n">
        <f aca="false">Sens!$M$1018-ext_sh_hi*Sens!$M$1020</f>
        <v>213.608737871012</v>
      </c>
      <c r="N1037" s="38" t="n">
        <f aca="false">Sens!$N$1018-ext_sh_hi*Sens!$N$1020</f>
        <v>2.37162185981912</v>
      </c>
      <c r="O1037" s="38" t="n">
        <f aca="false">Sens!$O$1018-ext_sh_hi*Sens!$O$1020</f>
        <v>4.40444059680694</v>
      </c>
    </row>
    <row r="1038" customFormat="false" ht="17.15" hidden="false" customHeight="false" outlineLevel="0" collapsed="false">
      <c r="A1038" s="1" t="s">
        <v>598</v>
      </c>
      <c r="B1038" s="8" t="s">
        <v>73</v>
      </c>
      <c r="C1038" s="38" t="n">
        <f aca="false">Sens!$C$1037-ext_sh_hi*Sens!$C$1034</f>
        <v>1.60348603981278</v>
      </c>
      <c r="D1038" s="38" t="n">
        <f aca="false">Sens!$D$1037-ext_sh_hi*Sens!$D$1034</f>
        <v>3.15361039430823</v>
      </c>
      <c r="E1038" s="38" t="n">
        <f aca="false">Sens!$E$1037-ext_sh_hi*Sens!$E$1034</f>
        <v>0.109507403378603</v>
      </c>
      <c r="F1038" s="38" t="n">
        <f aca="false">Sens!$F$1037-ext_sh_hi*Sens!$F$1034</f>
        <v>5.20408182832593</v>
      </c>
      <c r="G1038" s="38" t="n">
        <f aca="false">Sens!$G$1037-ext_sh_hi*Sens!$G$1034</f>
        <v>5.31358923170454</v>
      </c>
      <c r="H1038" s="38" t="n">
        <f aca="false">Sens!$H$1037-ext_sh_hi*Sens!$H$1034</f>
        <v>13.5221412887873</v>
      </c>
      <c r="I1038" s="38" t="n">
        <f aca="false">Sens!$I$1037-ext_sh_hi*Sens!$I$1034</f>
        <v>24.3804367478086</v>
      </c>
      <c r="J1038" s="38" t="n">
        <f aca="false">Sens!$J$1037-ext_sh_hi*Sens!$J$1034</f>
        <v>34.597269223592</v>
      </c>
      <c r="K1038" s="38" t="n">
        <f aca="false">Sens!$K$1037-ext_sh_hi*Sens!$K$1034</f>
        <v>44.3552624084727</v>
      </c>
      <c r="L1038" s="38" t="n">
        <f aca="false">Sens!$L$1037-ext_sh_hi*Sens!$L$1034</f>
        <v>56.3360348504387</v>
      </c>
      <c r="M1038" s="38" t="n">
        <f aca="false">Sens!$M$1037-ext_sh_hi*Sens!$M$1034</f>
        <v>68.8371729103593</v>
      </c>
      <c r="N1038" s="38" t="n">
        <f aca="false">Sens!$N$1037-ext_sh_hi*Sens!$N$1034</f>
        <v>0.560395828660207</v>
      </c>
      <c r="O1038" s="38" t="n">
        <f aca="false">Sens!$O$1037-ext_sh_hi*Sens!$O$1034</f>
        <v>2.59321456564803</v>
      </c>
    </row>
    <row r="1039" customFormat="false" ht="17.15" hidden="false" customHeight="false" outlineLevel="0" collapsed="false">
      <c r="A1039" s="0" t="s">
        <v>599</v>
      </c>
      <c r="B1039" s="0" t="s">
        <v>52</v>
      </c>
      <c r="C1039" s="12" t="n">
        <f aca="false">Sens!$C$1038/Sens!$C$1018</f>
        <v>0.690858396769735</v>
      </c>
      <c r="D1039" s="12" t="n">
        <f aca="false">Sens!$D$1038/Sens!$D$1018</f>
        <v>0.362326941335482</v>
      </c>
      <c r="E1039" s="12" t="n">
        <f aca="false">Sens!$E$1038/Sens!$E$1018</f>
        <v>0.0128675512864105</v>
      </c>
      <c r="F1039" s="12" t="n">
        <f aca="false">Sens!$F$1038/Sens!$F$1018</f>
        <v>0.347786607799212</v>
      </c>
      <c r="G1039" s="12" t="n">
        <f aca="false">Sens!$G$1038/Sens!$G$1018</f>
        <v>0.226362679258213</v>
      </c>
      <c r="H1039" s="12" t="n">
        <f aca="false">Sens!$H$1038/Sens!$H$1018</f>
        <v>0.224747628935219</v>
      </c>
      <c r="I1039" s="12" t="n">
        <f aca="false">Sens!$I$1038/Sens!$I$1018</f>
        <v>0.2401925935235</v>
      </c>
      <c r="J1039" s="12" t="n">
        <f aca="false">Sens!$J$1038/Sens!$J$1018</f>
        <v>0.2418959673857</v>
      </c>
      <c r="K1039" s="12" t="n">
        <f aca="false">Sens!$K$1038/Sens!$K$1018</f>
        <v>0.240266741894385</v>
      </c>
      <c r="L1039" s="12" t="n">
        <f aca="false">Sens!$L$1038/Sens!$L$1018</f>
        <v>0.24903285532717</v>
      </c>
      <c r="M1039" s="12" t="n">
        <f aca="false">Sens!$M$1038/Sens!$M$1018</f>
        <v>0.257003608120619</v>
      </c>
      <c r="N1039" s="12" t="n">
        <f aca="false">Sens!$N$1038/Sens!$N$1018</f>
        <v>0.183958321821583</v>
      </c>
      <c r="O1039" s="12" t="n">
        <f aca="false">Sens!$O$1038/Sens!$O$1018</f>
        <v>0.458371582612197</v>
      </c>
    </row>
    <row r="1040" customFormat="false" ht="17.15" hidden="false" customHeight="false" outlineLevel="0" collapsed="false">
      <c r="A1040" s="5" t="s">
        <v>600</v>
      </c>
      <c r="B1040" s="0" t="s">
        <v>73</v>
      </c>
      <c r="C1040" s="38" t="n">
        <f aca="false">rd2*(1-ext_sh_hi)/ext_sh_hi*Sens!$C$1001*he_open*Sens!$C$1002/1000</f>
        <v>0</v>
      </c>
      <c r="D1040" s="38" t="n">
        <f aca="false">rd2*(1-ext_sh_hi)/ext_sh_hi*Sens!$D$1001*he_open*Sens!$D$1002/1000</f>
        <v>0</v>
      </c>
      <c r="E1040" s="38" t="n">
        <f aca="false">rd2*(1-ext_sh_hi)/ext_sh_hi*Sens!$E$1001*he_open*Sens!$E$1002/1000</f>
        <v>0</v>
      </c>
      <c r="F1040" s="38" t="n">
        <f aca="false">rd2*(1-ext_sh_hi)/ext_sh_hi*(mw_open*he_open+Sens!$F$1016*Sens!$F$1013)*Sens!$F$1002/1000</f>
        <v>0</v>
      </c>
      <c r="G1040" s="38" t="n">
        <f aca="false">Sens!$E$1040+Sens!$F$1040</f>
        <v>0</v>
      </c>
      <c r="H1040" s="38" t="n">
        <f aca="false">rd2*(1-ext_sh_hi)/ext_sh_hi*(mw_open*he_open+Sens!$H$1016*Sens!$H$1013)*Sens!$H$1002/1000</f>
        <v>0</v>
      </c>
      <c r="I1040" s="38" t="n">
        <f aca="false">rd2*(1-ext_sh_hi)/ext_sh_hi*(mw_open*he_open+Sens!$I$1016*Sens!$I$1013)*Sens!$I$1002/1000</f>
        <v>0</v>
      </c>
      <c r="J1040" s="38" t="n">
        <f aca="false">rd2*(1-ext_sh_hi)/ext_sh_hi*(mw_open*he_open+Sens!$J$1016*Sens!$J$1013)*Sens!$J$1002/1000</f>
        <v>0</v>
      </c>
      <c r="K1040" s="38" t="n">
        <f aca="false">rd2*(1-ext_sh_hi)/ext_sh_hi*(mw_open*he_open+Sens!$K$1016*Sens!$K$1013)*Sens!$K$1002/1000</f>
        <v>0</v>
      </c>
      <c r="L1040" s="38" t="n">
        <f aca="false">rd2*(1-ext_sh_hi)/ext_sh_hi*(mw_open*he_open+Sens!$L$1016*Sens!$L$1013)*Sens!$L$1002/1000</f>
        <v>0</v>
      </c>
      <c r="M1040" s="38" t="n">
        <f aca="false">rd2*(1-ext_sh_hi)/ext_sh_hi*(mw_open*he_open+Sens!$M$1016*Sens!$M$1013)*Sens!$M$1002/1000</f>
        <v>0</v>
      </c>
      <c r="N1040" s="38" t="n">
        <f aca="false">rd2*(1-ext_sh_hi)/ext_sh_hi*Sens!$N$1001*he_open*Sens!$N$1002/1000</f>
        <v>0</v>
      </c>
      <c r="O1040" s="38" t="n">
        <f aca="false">rd2*(1-ext_sh_hi)/ext_sh_hi*Sens!$O$1001*he_open*Sens!$O$1002/1000</f>
        <v>0</v>
      </c>
      <c r="P1040" s="8" t="s">
        <v>601</v>
      </c>
    </row>
    <row r="1041" customFormat="false" ht="17.15" hidden="false" customHeight="false" outlineLevel="0" collapsed="false">
      <c r="A1041" s="5" t="s">
        <v>602</v>
      </c>
      <c r="B1041" s="0" t="s">
        <v>73</v>
      </c>
      <c r="C1041" s="38" t="n">
        <f aca="false">(1-ext_sh_hi)*(Sens!$C$1020+Sens!$C$1034)-Sens!$C$1040</f>
        <v>0</v>
      </c>
      <c r="D1041" s="38" t="n">
        <f aca="false">(1-ext_sh_hi)*(Sens!$D$1020+Sens!$D$1034)-Sens!$D$1040</f>
        <v>0</v>
      </c>
      <c r="E1041" s="38" t="n">
        <f aca="false">(1-ext_sh_hi)*(Sens!$E$1020+Sens!$E$1034)-Sens!$E$1040</f>
        <v>0</v>
      </c>
      <c r="F1041" s="38" t="n">
        <f aca="false">(1-ext_sh_hi)*(Sens!$F$1020+Sens!$F$1034)-Sens!$F$1040</f>
        <v>0</v>
      </c>
      <c r="G1041" s="38" t="n">
        <f aca="false">(1-ext_sh_hi)*(Sens!$G$1020+Sens!$G$1034)-Sens!$G$1040</f>
        <v>0</v>
      </c>
      <c r="H1041" s="38" t="n">
        <f aca="false">(1-ext_sh_hi)*(Sens!$H$1020+Sens!$H$1034)-Sens!$H$1040</f>
        <v>0</v>
      </c>
      <c r="I1041" s="38" t="n">
        <f aca="false">(1-ext_sh_hi)*(Sens!$I$1020+Sens!$I$1034)-Sens!$I$1040</f>
        <v>0</v>
      </c>
      <c r="J1041" s="38" t="n">
        <f aca="false">(1-ext_sh_hi)*(Sens!$J$1020+Sens!$J$1034)-Sens!$J$1040</f>
        <v>0</v>
      </c>
      <c r="K1041" s="38" t="n">
        <f aca="false">(1-ext_sh_hi)*(Sens!$K$1020+Sens!$K$1034)-Sens!$K$1040</f>
        <v>0</v>
      </c>
      <c r="L1041" s="38" t="n">
        <f aca="false">(1-ext_sh_hi)*(Sens!$L$1020+Sens!$L$1034)-Sens!$L$1040</f>
        <v>0</v>
      </c>
      <c r="M1041" s="38" t="n">
        <f aca="false">(1-ext_sh_hi)*(Sens!$M$1020+Sens!$M$1034)-Sens!$M$1040</f>
        <v>0</v>
      </c>
      <c r="N1041" s="38" t="n">
        <f aca="false">(1-ext_sh_hi)*(Sens!$N$1020+Sens!$N$1034)-Sens!$N$1040</f>
        <v>0</v>
      </c>
      <c r="O1041" s="38" t="n">
        <f aca="false">(1-ext_sh_hi)*(Sens!$O$1020+Sens!$O$1034)-Sens!$O$1040</f>
        <v>0</v>
      </c>
    </row>
    <row r="1042" customFormat="false" ht="17.15" hidden="false" customHeight="false" outlineLevel="0" collapsed="false">
      <c r="A1042" s="0" t="s">
        <v>603</v>
      </c>
      <c r="B1042" s="0" t="s">
        <v>73</v>
      </c>
      <c r="C1042" s="38" t="n">
        <f aca="false">Q!$D$24</f>
        <v>39.834</v>
      </c>
      <c r="D1042" s="38" t="n">
        <f aca="false">Q!$E$24</f>
        <v>45.606</v>
      </c>
      <c r="E1042" s="38" t="n">
        <f aca="false">Q!$P$24</f>
        <v>30.782</v>
      </c>
      <c r="N1042" s="38" t="n">
        <f aca="false">Q!$N$24</f>
        <v>21.707</v>
      </c>
      <c r="O1042" s="38" t="n">
        <f aca="false">Q!$O$24</f>
        <v>23.899</v>
      </c>
    </row>
    <row r="1043" customFormat="false" ht="17.15" hidden="false" customHeight="false" outlineLevel="0" collapsed="false">
      <c r="A1043" s="0" t="s">
        <v>604</v>
      </c>
      <c r="B1043" s="0" t="s">
        <v>73</v>
      </c>
      <c r="C1043" s="38" t="n">
        <f aca="false">Sens!$C$1042-Sens!$C$1038</f>
        <v>38.2305139601872</v>
      </c>
      <c r="D1043" s="38" t="n">
        <f aca="false">Sens!$D$1042-Sens!$D$1038</f>
        <v>42.4523896056918</v>
      </c>
      <c r="E1043" s="38" t="n">
        <f aca="false">Sens!$E$1042-Sens!$E$1038</f>
        <v>30.6724925966214</v>
      </c>
      <c r="F1043" s="38" t="n">
        <f aca="false">Sens!$F$1022*Sens!$F$1044</f>
        <v>30.4331723552582</v>
      </c>
      <c r="G1043" s="38" t="n">
        <f aca="false">Sens!$E$1043+Sens!$F$1043</f>
        <v>61.1056649518796</v>
      </c>
      <c r="H1043" s="38" t="n">
        <f aca="false">Sens!$H$1022*Sens!$H$1044</f>
        <v>70.0447125522084</v>
      </c>
      <c r="I1043" s="38" t="n">
        <f aca="false">Sens!$I$1022*Sens!$I$1044</f>
        <v>81.5662335898215</v>
      </c>
      <c r="J1043" s="38" t="n">
        <f aca="false">Sens!$J$1022*Sens!$J$1044</f>
        <v>91.537219951455</v>
      </c>
      <c r="K1043" s="38" t="n">
        <f aca="false">Sens!$K$1022*Sens!$K$1044</f>
        <v>98.8601975475714</v>
      </c>
      <c r="L1043" s="38" t="n">
        <f aca="false">Sens!$L$1022*Sens!$L$1044</f>
        <v>106.769013351377</v>
      </c>
      <c r="M1043" s="38" t="n">
        <f aca="false">Sens!$M$1022*Sens!$M$1044</f>
        <v>115.310534419487</v>
      </c>
      <c r="N1043" s="38" t="n">
        <f aca="false">Sens!$N$1042-Sens!$N$1038</f>
        <v>21.1466041713398</v>
      </c>
      <c r="O1043" s="38" t="n">
        <f aca="false">Sens!$O$1042-Sens!$O$1038</f>
        <v>21.305785434352</v>
      </c>
      <c r="P1043" s="5" t="s">
        <v>605</v>
      </c>
    </row>
    <row r="1044" customFormat="false" ht="17.15" hidden="false" customHeight="false" outlineLevel="0" collapsed="false">
      <c r="A1044" s="0" t="s">
        <v>606</v>
      </c>
      <c r="B1044" s="0" t="s">
        <v>52</v>
      </c>
      <c r="C1044" s="12" t="n">
        <f aca="false">Sens!$C$1043/Sens!$C$1022</f>
        <v>0.36328708040392</v>
      </c>
      <c r="D1044" s="12" t="n">
        <f aca="false">Sens!$D$1043/Sens!$D$1022</f>
        <v>0.353707336919046</v>
      </c>
      <c r="E1044" s="12" t="n">
        <f aca="false">Sens!$E$1043/Sens!$E$1022</f>
        <v>0.430137071400516</v>
      </c>
      <c r="F1044" s="12" t="n">
        <f aca="false">(Sens!$O$1043+Sens!$E$1043)/(Sens!$O$1022+Sens!$E$1022)</f>
        <v>0.387215068655691</v>
      </c>
      <c r="G1044" s="12" t="n">
        <f aca="false">Sens!$G$1043/Sens!$G$1022</f>
        <v>0.407632915661687</v>
      </c>
      <c r="H1044" s="12" t="n">
        <f aca="false">Sens!$F$1044</f>
        <v>0.387215068655691</v>
      </c>
      <c r="I1044" s="12" t="n">
        <f aca="false">Sens!$F$1044</f>
        <v>0.387215068655691</v>
      </c>
      <c r="J1044" s="12" t="n">
        <f aca="false">Sens!$F$1044</f>
        <v>0.387215068655691</v>
      </c>
      <c r="K1044" s="12" t="n">
        <f aca="false">Sens!$F$1044</f>
        <v>0.387215068655691</v>
      </c>
      <c r="L1044" s="12" t="n">
        <f aca="false">Sens!$F$1044</f>
        <v>0.387215068655691</v>
      </c>
      <c r="M1044" s="12" t="n">
        <f aca="false">Sens!$F$1044</f>
        <v>0.387215068655691</v>
      </c>
      <c r="N1044" s="12" t="n">
        <f aca="false">Sens!$N$1043/Sens!$N$1022</f>
        <v>0.370384322706819</v>
      </c>
      <c r="O1044" s="12" t="n">
        <f aca="false">Sens!$O$1043/Sens!$O$1022</f>
        <v>0.338576436285062</v>
      </c>
      <c r="P1044" s="8" t="s">
        <v>607</v>
      </c>
    </row>
    <row r="1045" customFormat="false" ht="17.15" hidden="false" customHeight="false" outlineLevel="0" collapsed="false">
      <c r="A1045" s="0" t="s">
        <v>608</v>
      </c>
      <c r="B1045" s="0" t="s">
        <v>52</v>
      </c>
      <c r="D1045" s="12" t="n">
        <f aca="false">(Q!$E$31-ext_sh_hi*Sens!$D$1034)/Sens!$D$1022</f>
        <v>0.148536620986555</v>
      </c>
    </row>
    <row r="1046" customFormat="false" ht="17.15" hidden="false" customHeight="false" outlineLevel="0" collapsed="false">
      <c r="A1046" s="0" t="s">
        <v>609</v>
      </c>
      <c r="B1046" s="0" t="s">
        <v>73</v>
      </c>
      <c r="C1046" s="38" t="n">
        <f aca="false">Q!$D$31</f>
        <v>13.32</v>
      </c>
      <c r="D1046" s="38" t="n">
        <f aca="false">Q!$E$31</f>
        <v>21.45</v>
      </c>
      <c r="E1046" s="38" t="n">
        <f aca="false">Q!$P$31</f>
        <v>15.353</v>
      </c>
      <c r="F1046" s="38" t="n">
        <f aca="false">ext_sh_hi*Sens!$F$1034+Sens!$D$1045*Sens!$F$1022</f>
        <v>18.1902131615363</v>
      </c>
      <c r="G1046" s="38" t="n">
        <f aca="false">Sens!$E$1046+Sens!$F$1046</f>
        <v>33.5432131615363</v>
      </c>
      <c r="H1046" s="38" t="n">
        <f aca="false">ext_sh_hi*Sens!$H$1034+Sens!$D$1045*Sens!$H$1022</f>
        <v>60.8643496919838</v>
      </c>
      <c r="I1046" s="38" t="n">
        <f aca="false">ext_sh_hi*Sens!$I$1034+Sens!$D$1045*Sens!$I$1022</f>
        <v>87.4625336551093</v>
      </c>
      <c r="J1046" s="38" t="n">
        <f aca="false">ext_sh_hi*Sens!$J$1034+Sens!$D$1045*Sens!$J$1022</f>
        <v>114.27594282538</v>
      </c>
      <c r="K1046" s="38" t="n">
        <f aca="false">ext_sh_hi*Sens!$K$1034+Sens!$D$1045*Sens!$K$1022</f>
        <v>140.588592498875</v>
      </c>
      <c r="L1046" s="38" t="n">
        <f aca="false">ext_sh_hi*Sens!$L$1034+Sens!$D$1045*Sens!$L$1022</f>
        <v>164.928729876806</v>
      </c>
      <c r="M1046" s="38" t="n">
        <f aca="false">ext_sh_hi*Sens!$M$1034+Sens!$D$1045*Sens!$M$1022</f>
        <v>189.004960128583</v>
      </c>
      <c r="N1046" s="38" t="n">
        <f aca="false">Q!$N$31</f>
        <v>9.234</v>
      </c>
      <c r="O1046" s="38" t="n">
        <f aca="false">Q!$O$31</f>
        <v>12.216</v>
      </c>
    </row>
    <row r="1047" customFormat="false" ht="17.15" hidden="false" customHeight="false" outlineLevel="0" collapsed="false">
      <c r="A1047" s="1" t="s">
        <v>610</v>
      </c>
    </row>
    <row r="1048" customFormat="false" ht="17.15" hidden="false" customHeight="false" outlineLevel="0" collapsed="false">
      <c r="A1048" s="14" t="s">
        <v>611</v>
      </c>
      <c r="B1048" s="13" t="s">
        <v>52</v>
      </c>
      <c r="C1048" s="13"/>
      <c r="D1048" s="13"/>
      <c r="E1048" s="13"/>
      <c r="F1048" s="13"/>
      <c r="G1048" s="16" t="n">
        <f aca="false">Sens!$G$1038*(1-tax)/(ext_sh_hi*(Sens!$D$1035+Sens!$G$1035)/2)</f>
        <v>0.0271824133978603</v>
      </c>
      <c r="H1048" s="16" t="n">
        <f aca="false">Sens!$H$1038*(1-tax)/(ext_sh_hi*(Sens!$G$1035+Sens!$H$1035)/2)</f>
        <v>0.0381396730730498</v>
      </c>
      <c r="I1048" s="16" t="n">
        <f aca="false">Sens!$I$1038*(1-tax)/(ext_sh_hi*(Sens!$H$1035+Sens!$I$1035)/2)</f>
        <v>0.0492381530652197</v>
      </c>
      <c r="J1048" s="16" t="n">
        <f aca="false">Sens!$J$1038*(1-tax)/(ext_sh_hi*(Sens!$I$1035+Sens!$J$1035)/2)</f>
        <v>0.0563554085271428</v>
      </c>
      <c r="K1048" s="16" t="n">
        <f aca="false">Sens!$K$1038*(1-tax)/(ext_sh_hi*(Sens!$J$1035+Sens!$K$1035)/2)</f>
        <v>0.062506398128106</v>
      </c>
      <c r="L1048" s="16" t="n">
        <f aca="false">Sens!$L$1038*(1-tax)/(ext_sh_hi*(Sens!$K$1035+Sens!$L$1035)/2)</f>
        <v>0.0705543139989717</v>
      </c>
      <c r="M1048" s="16" t="n">
        <f aca="false">Sens!$M$1038*(1-tax)/(ext_sh_hi*(Sens!$L$1035+Sens!$M$1035)/2)</f>
        <v>0.0757534623213893</v>
      </c>
      <c r="N1048" s="13"/>
      <c r="O1048" s="13"/>
      <c r="P1048" s="8" t="s">
        <v>612</v>
      </c>
    </row>
    <row r="1049" customFormat="false" ht="17.15" hidden="false" customHeight="false" outlineLevel="0" collapsed="false">
      <c r="A1049" s="5" t="s">
        <v>613</v>
      </c>
      <c r="B1049" s="0" t="s">
        <v>57</v>
      </c>
      <c r="H1049" s="36" t="n">
        <f aca="false">Sens!$H$1018*1000/(mw_open*he_open+Sens!$H$1016*Sens!$H$1013)</f>
        <v>0.991949006767191</v>
      </c>
      <c r="I1049" s="36" t="n">
        <f aca="false">Sens!$I$1018*1000/(mw_open*he_open+Sens!$I$1016*Sens!$I$1013)</f>
        <v>0.991949006767191</v>
      </c>
      <c r="J1049" s="36" t="n">
        <f aca="false">Sens!$J$1018*1000/(mw_open*he_open+Sens!$J$1016*Sens!$J$1013)</f>
        <v>0.991949006767191</v>
      </c>
      <c r="K1049" s="36" t="n">
        <f aca="false">Sens!$K$1018*1000/(mw_open*he_open+Sens!$K$1016*Sens!$K$1013)</f>
        <v>0.991949006767191</v>
      </c>
      <c r="L1049" s="36" t="n">
        <f aca="false">Sens!$L$1018*1000/(mw_open*he_open+Sens!$L$1016*Sens!$L$1013)</f>
        <v>0.991949006767191</v>
      </c>
      <c r="M1049" s="36" t="n">
        <f aca="false">Sens!$M$1018*1000/(mw_open*he_open+Sens!$M$1016*Sens!$M$1013)</f>
        <v>0.991949006767192</v>
      </c>
    </row>
    <row r="1050" customFormat="false" ht="17.15" hidden="false" customHeight="false" outlineLevel="0" collapsed="false">
      <c r="A1050" s="5" t="s">
        <v>614</v>
      </c>
      <c r="B1050" s="0" t="s">
        <v>57</v>
      </c>
      <c r="H1050" s="36" t="n">
        <f aca="false">Sens!$H$1049*(Sens!$H$1018+wacc*ext_sh_hi*(Sens!$G$1035+Sens!$H$1035)/2/(1-tax)-Sens!$H$1038)/Sens!$H$1018</f>
        <v>1.49898910505825</v>
      </c>
      <c r="I1050" s="36" t="n">
        <f aca="false">Sens!$I$1049*(Sens!$I$1018+wacc*ext_sh_hi*(Sens!$H$1035+Sens!$I$1035)/2/(1-tax)-Sens!$I$1038)/Sens!$I$1018</f>
        <v>1.35798610033001</v>
      </c>
      <c r="J1050" s="36" t="n">
        <f aca="false">Sens!$J$1049*(Sens!$J$1018+wacc*ext_sh_hi*(Sens!$I$1035+Sens!$J$1035)/2/(1-tax)-Sens!$J$1038)/Sens!$J$1018</f>
        <v>1.28372276894492</v>
      </c>
      <c r="K1050" s="36" t="n">
        <f aca="false">Sens!$K$1049*(Sens!$K$1018+wacc*ext_sh_hi*(Sens!$J$1035+Sens!$K$1035)/2/(1-tax)-Sens!$K$1038)/Sens!$K$1018</f>
        <v>1.229785493047</v>
      </c>
      <c r="L1050" s="36" t="n">
        <f aca="false">Sens!$L$1049*(Sens!$L$1018+wacc*ext_sh_hi*(Sens!$K$1035+Sens!$L$1035)/2/(1-tax)-Sens!$L$1038)/Sens!$L$1018</f>
        <v>1.18216612481446</v>
      </c>
      <c r="M1050" s="36" t="n">
        <f aca="false">Sens!$M$1049*(Sens!$M$1018+wacc*ext_sh_hi*(Sens!$L$1035+Sens!$M$1035)/2/(1-tax)-Sens!$M$1038)/Sens!$M$1018</f>
        <v>1.15728466094422</v>
      </c>
    </row>
    <row r="1051" customFormat="false" ht="17.15" hidden="false" customHeight="false" outlineLevel="0" collapsed="false">
      <c r="A1051" s="5" t="s">
        <v>615</v>
      </c>
      <c r="B1051" s="0" t="s">
        <v>52</v>
      </c>
      <c r="C1051" s="12" t="n">
        <f aca="false">Sens!$C$1019/tk_pq</f>
        <v>0.195316432429398</v>
      </c>
      <c r="D1051" s="12" t="n">
        <f aca="false">Sens!$D$1019/tk_pq</f>
        <v>0.195316432429398</v>
      </c>
      <c r="E1051" s="12" t="n">
        <f aca="false">Sens!$E$1019/tk_pq</f>
        <v>0.195316432429398</v>
      </c>
      <c r="F1051" s="12" t="n">
        <f aca="false">Sens!$F$1019/tk_pq</f>
        <v>0.202241827274866</v>
      </c>
      <c r="G1051" s="12" t="n">
        <f aca="false">Sens!$G$1019/tk_pq</f>
        <v>0.199675016194063</v>
      </c>
      <c r="H1051" s="12" t="n">
        <f aca="false">Sens!$H$1019/tk_pq</f>
        <v>0.212647947710325</v>
      </c>
      <c r="I1051" s="12" t="n">
        <f aca="false">Sens!$I$1019/tk_pq</f>
        <v>0.219285125475351</v>
      </c>
      <c r="J1051" s="12" t="n">
        <f aca="false">Sens!$J$1019/tk_pq</f>
        <v>0.222492493217189</v>
      </c>
      <c r="K1051" s="12" t="n">
        <f aca="false">Sens!$K$1019/tk_pq</f>
        <v>0.224371415939166</v>
      </c>
      <c r="L1051" s="12" t="n">
        <f aca="false">Sens!$L$1019/tk_pq</f>
        <v>0.225603749825993</v>
      </c>
      <c r="M1051" s="12" t="n">
        <f aca="false">Sens!$M$1019/tk_pq</f>
        <v>0.22647376274628</v>
      </c>
      <c r="N1051" s="12" t="n">
        <f aca="false">Sens!$N$1019/tk_pq</f>
        <v>0.195316432429398</v>
      </c>
      <c r="O1051" s="12" t="n">
        <f aca="false">Sens!$O$1019/tk_pq</f>
        <v>0.195316432429398</v>
      </c>
      <c r="P1051" s="5" t="s">
        <v>616</v>
      </c>
    </row>
    <row r="1054" customFormat="false" ht="17.15" hidden="false" customHeight="false" outlineLevel="0" collapsed="false">
      <c r="A1054" s="1" t="s">
        <v>643</v>
      </c>
    </row>
    <row r="1055" customFormat="false" ht="17.15" hidden="false" customHeight="false" outlineLevel="0" collapsed="false">
      <c r="A1055" s="0" t="s">
        <v>644</v>
      </c>
      <c r="B1055" s="0" t="s">
        <v>73</v>
      </c>
      <c r="C1055" s="38" t="n">
        <f aca="false">Sens!$C$1018</f>
        <v>2.32100535697364</v>
      </c>
      <c r="D1055" s="38" t="n">
        <f aca="false">Sens!$D$1018</f>
        <v>8.70377008865116</v>
      </c>
      <c r="E1055" s="38" t="n">
        <f aca="false">Sens!$E$1018</f>
        <v>8.51035297557002</v>
      </c>
      <c r="F1055" s="38" t="n">
        <f aca="false">Sens!$F$1018</f>
        <v>14.9634336447205</v>
      </c>
      <c r="G1055" s="38" t="n">
        <f aca="false">Sens!$G$1018</f>
        <v>23.4737866202905</v>
      </c>
      <c r="H1055" s="38" t="n">
        <f aca="false">Sens!$H$1018</f>
        <v>60.1658907497746</v>
      </c>
      <c r="I1055" s="38" t="n">
        <f aca="false">Sens!$I$1018</f>
        <v>101.503699136432</v>
      </c>
      <c r="J1055" s="38" t="n">
        <f aca="false">Sens!$J$1018</f>
        <v>143.025407151278</v>
      </c>
      <c r="K1055" s="38" t="n">
        <f aca="false">Sens!$K$1018</f>
        <v>184.608415042187</v>
      </c>
      <c r="L1055" s="38" t="n">
        <f aca="false">Sens!$L$1018</f>
        <v>226.219286513125</v>
      </c>
      <c r="M1055" s="38" t="n">
        <f aca="false">Sens!$M$1018</f>
        <v>267.845161450232</v>
      </c>
      <c r="N1055" s="38" t="n">
        <f aca="false">Sens!$N$1018</f>
        <v>3.04631953102791</v>
      </c>
      <c r="O1055" s="38" t="n">
        <f aca="false">Sens!$O$1018</f>
        <v>5.65745055762326</v>
      </c>
      <c r="P1055" s="8" t="s">
        <v>645</v>
      </c>
    </row>
    <row r="1056" customFormat="false" ht="17.15" hidden="false" customHeight="false" outlineLevel="0" collapsed="false">
      <c r="A1056" s="0" t="s">
        <v>646</v>
      </c>
      <c r="B1056" s="0" t="s">
        <v>73</v>
      </c>
      <c r="C1056" s="38" t="n">
        <f aca="false">Sens!$C$1022</f>
        <v>105.234994643026</v>
      </c>
      <c r="D1056" s="38" t="n">
        <f aca="false">Sens!$D$1022</f>
        <v>120.021229911349</v>
      </c>
      <c r="E1056" s="38" t="n">
        <f aca="false">Sens!$E$1022</f>
        <v>71.30864702443</v>
      </c>
      <c r="F1056" s="38" t="n">
        <f aca="false">Sens!$F$1022</f>
        <v>78.5950104186653</v>
      </c>
      <c r="G1056" s="38" t="n">
        <f aca="false">Sens!$G$1022</f>
        <v>149.903657443095</v>
      </c>
      <c r="H1056" s="38" t="n">
        <f aca="false">Sens!$H$1022</f>
        <v>180.893560768142</v>
      </c>
      <c r="I1056" s="38" t="n">
        <f aca="false">Sens!$I$1022</f>
        <v>210.64839721501</v>
      </c>
      <c r="J1056" s="38" t="n">
        <f aca="false">Sens!$J$1022</f>
        <v>236.398909446495</v>
      </c>
      <c r="K1056" s="38" t="n">
        <f aca="false">Sens!$K$1022</f>
        <v>255.310822202215</v>
      </c>
      <c r="L1056" s="38" t="n">
        <f aca="false">Sens!$L$1022</f>
        <v>275.735687978392</v>
      </c>
      <c r="M1056" s="38" t="n">
        <f aca="false">Sens!$M$1022</f>
        <v>297.794543016663</v>
      </c>
      <c r="N1056" s="38" t="n">
        <f aca="false">Sens!$N$1022</f>
        <v>57.0936804689721</v>
      </c>
      <c r="O1056" s="38" t="n">
        <f aca="false">Sens!$O$1022</f>
        <v>62.9275494423768</v>
      </c>
      <c r="P1056" s="8" t="s">
        <v>645</v>
      </c>
    </row>
    <row r="1057" customFormat="false" ht="17.15" hidden="false" customHeight="false" outlineLevel="0" collapsed="false">
      <c r="A1057" s="1" t="s">
        <v>476</v>
      </c>
      <c r="B1057" s="8" t="s">
        <v>73</v>
      </c>
      <c r="C1057" s="38" t="n">
        <f aca="false">Q!$D$7</f>
        <v>107.556</v>
      </c>
      <c r="D1057" s="38" t="n">
        <f aca="false">Q!$E$7</f>
        <v>128.725</v>
      </c>
      <c r="E1057" s="38" t="n">
        <f aca="false">Q!$P$7</f>
        <v>79.819</v>
      </c>
      <c r="F1057" s="38" t="n">
        <f aca="false">Sens!$F$1055+Sens!$F$1056</f>
        <v>93.5584440633857</v>
      </c>
      <c r="G1057" s="38" t="n">
        <f aca="false">Sens!$G$1055+Sens!$G$1056</f>
        <v>173.377444063386</v>
      </c>
      <c r="H1057" s="38" t="n">
        <f aca="false">Sens!$H$1055+Sens!$H$1056</f>
        <v>241.059451517916</v>
      </c>
      <c r="I1057" s="38" t="n">
        <f aca="false">Sens!$I$1055+Sens!$I$1056</f>
        <v>312.152096351442</v>
      </c>
      <c r="J1057" s="38" t="n">
        <f aca="false">Sens!$J$1055+Sens!$J$1056</f>
        <v>379.424316597773</v>
      </c>
      <c r="K1057" s="38" t="n">
        <f aca="false">Sens!$K$1055+Sens!$K$1056</f>
        <v>439.919237244402</v>
      </c>
      <c r="L1057" s="38" t="n">
        <f aca="false">Sens!$L$1055+Sens!$L$1056</f>
        <v>501.954974491517</v>
      </c>
      <c r="M1057" s="38" t="n">
        <f aca="false">Sens!$M$1055+Sens!$M$1056</f>
        <v>565.639704466895</v>
      </c>
      <c r="N1057" s="38" t="n">
        <f aca="false">Q!$N$7</f>
        <v>60.14</v>
      </c>
      <c r="O1057" s="38" t="n">
        <f aca="false">Q!$O$7</f>
        <v>68.585</v>
      </c>
      <c r="P1057" s="5" t="s">
        <v>647</v>
      </c>
    </row>
    <row r="1058" customFormat="false" ht="15" hidden="false" customHeight="false" outlineLevel="0" collapsed="false">
      <c r="A1058" s="3" t="s">
        <v>648</v>
      </c>
      <c r="B1058" s="8" t="s">
        <v>73</v>
      </c>
      <c r="C1058" s="38" t="n">
        <f aca="false">Q!$D$8</f>
        <v>637.959</v>
      </c>
      <c r="D1058" s="38" t="n">
        <f aca="false">Q!$E$8</f>
        <v>716.924</v>
      </c>
      <c r="E1058" s="38" t="n">
        <f aca="false">Q!$P$8</f>
        <v>382.125</v>
      </c>
      <c r="F1058" s="38" t="n">
        <f aca="false">Sens!$F$991+Sens!$F$1057</f>
        <v>450.494873271816</v>
      </c>
      <c r="G1058" s="38" t="n">
        <f aca="false">Sens!$G$991+Sens!$G$1057</f>
        <v>832.619873271816</v>
      </c>
      <c r="H1058" s="38" t="n">
        <f aca="false">Sens!$H$991+Sens!$H$1057</f>
        <v>970.995189139617</v>
      </c>
      <c r="I1058" s="38" t="n">
        <f aca="false">Sens!$I$991+Sens!$I$1057</f>
        <v>1110.44766604932</v>
      </c>
      <c r="J1058" s="38" t="n">
        <f aca="false">Sens!$J$991+Sens!$J$1057</f>
        <v>1241.16113892356</v>
      </c>
      <c r="K1058" s="38" t="n">
        <f aca="false">Sens!$K$991+Sens!$K$1057</f>
        <v>1357.47672934633</v>
      </c>
      <c r="L1058" s="38" t="n">
        <f aca="false">Sens!$L$991+Sens!$L$1057</f>
        <v>1479.24006423468</v>
      </c>
      <c r="M1058" s="38" t="n">
        <f aca="false">Sens!$M$991+Sens!$M$1057</f>
        <v>1606.8537230104</v>
      </c>
      <c r="N1058" s="38" t="n">
        <f aca="false">Q!$N$8</f>
        <v>323.369</v>
      </c>
      <c r="O1058" s="38" t="n">
        <f aca="false">Q!$O$8</f>
        <v>393.555</v>
      </c>
    </row>
    <row r="1059" customFormat="false" ht="17.15" hidden="false" customHeight="false" outlineLevel="0" collapsed="false">
      <c r="A1059" s="24" t="s">
        <v>656</v>
      </c>
      <c r="B1059" s="25" t="s">
        <v>73</v>
      </c>
      <c r="C1059" s="39" t="n">
        <f aca="false">Sens!$C$991-(Sens!$C$993+Sens!$C$994)</f>
        <v>0</v>
      </c>
      <c r="D1059" s="39" t="n">
        <f aca="false">Sens!$D$991-(Sens!$D$993+Sens!$D$994)</f>
        <v>0</v>
      </c>
      <c r="E1059" s="39" t="n">
        <f aca="false">Sens!$E$991-(Sens!$E$993+Sens!$E$994)</f>
        <v>0</v>
      </c>
      <c r="F1059" s="39" t="n">
        <f aca="false">Sens!$F$991-(Sens!$F$993+Sens!$F$994)</f>
        <v>0</v>
      </c>
      <c r="G1059" s="39" t="n">
        <f aca="false">Sens!$G$991-(Sens!$G$993+Sens!$G$994)</f>
        <v>0</v>
      </c>
      <c r="H1059" s="39" t="n">
        <f aca="false">Sens!$H$991-(Sens!$H$993+Sens!$H$994)</f>
        <v>0</v>
      </c>
      <c r="I1059" s="39" t="n">
        <f aca="false">Sens!$I$991-(Sens!$I$993+Sens!$I$994)</f>
        <v>0</v>
      </c>
      <c r="J1059" s="39" t="n">
        <f aca="false">Sens!$J$991-(Sens!$J$993+Sens!$J$994)</f>
        <v>0</v>
      </c>
      <c r="K1059" s="39" t="n">
        <f aca="false">Sens!$K$991-(Sens!$K$993+Sens!$K$994)</f>
        <v>0</v>
      </c>
      <c r="L1059" s="39" t="n">
        <f aca="false">Sens!$L$991-(Sens!$L$993+Sens!$L$994)</f>
        <v>0</v>
      </c>
      <c r="M1059" s="39" t="n">
        <f aca="false">Sens!$M$991-(Sens!$M$993+Sens!$M$994)</f>
        <v>0</v>
      </c>
      <c r="N1059" s="39" t="n">
        <f aca="false">Sens!$N$991-(Sens!$N$993+Sens!$N$994)</f>
        <v>0</v>
      </c>
      <c r="O1059" s="39" t="n">
        <f aca="false">Sens!$O$991-(Sens!$O$993+Sens!$O$994)</f>
        <v>0</v>
      </c>
    </row>
    <row r="1060" customFormat="false" ht="17.15" hidden="false" customHeight="false" outlineLevel="0" collapsed="false">
      <c r="A1060" s="24" t="s">
        <v>657</v>
      </c>
      <c r="B1060" s="25" t="s">
        <v>73</v>
      </c>
      <c r="C1060" s="39" t="n">
        <f aca="false">Sens!$C$1055+Sens!$C$1056-Sens!$C$1057</f>
        <v>0</v>
      </c>
      <c r="D1060" s="39" t="n">
        <f aca="false">Sens!$D$1055+Sens!$D$1056-Sens!$D$1057</f>
        <v>0</v>
      </c>
      <c r="E1060" s="39" t="n">
        <f aca="false">Sens!$E$1055+Sens!$E$1056-Sens!$E$1057</f>
        <v>0</v>
      </c>
      <c r="F1060" s="39" t="n">
        <f aca="false">Sens!$F$1055+Sens!$F$1056-Sens!$F$1057</f>
        <v>0</v>
      </c>
      <c r="G1060" s="39" t="n">
        <f aca="false">Sens!$G$1055+Sens!$G$1056-Sens!$G$1057</f>
        <v>0</v>
      </c>
      <c r="H1060" s="39" t="n">
        <f aca="false">Sens!$H$1055+Sens!$H$1056-Sens!$H$1057</f>
        <v>0</v>
      </c>
      <c r="I1060" s="39" t="n">
        <f aca="false">Sens!$I$1055+Sens!$I$1056-Sens!$I$1057</f>
        <v>0</v>
      </c>
      <c r="J1060" s="39" t="n">
        <f aca="false">Sens!$J$1055+Sens!$J$1056-Sens!$J$1057</f>
        <v>0</v>
      </c>
      <c r="K1060" s="39" t="n">
        <f aca="false">Sens!$K$1055+Sens!$K$1056-Sens!$K$1057</f>
        <v>0</v>
      </c>
      <c r="L1060" s="39" t="n">
        <f aca="false">Sens!$L$1055+Sens!$L$1056-Sens!$L$1057</f>
        <v>0</v>
      </c>
      <c r="M1060" s="39" t="n">
        <f aca="false">Sens!$M$1055+Sens!$M$1056-Sens!$M$1057</f>
        <v>0</v>
      </c>
      <c r="N1060" s="39" t="n">
        <f aca="false">Sens!$N$1055+Sens!$N$1056-Sens!$N$1057</f>
        <v>0</v>
      </c>
      <c r="O1060" s="39" t="n">
        <f aca="false">Sens!$O$1055+Sens!$O$1056-Sens!$O$1057</f>
        <v>0</v>
      </c>
    </row>
    <row r="1061" customFormat="false" ht="17.15" hidden="false" customHeight="false" outlineLevel="0" collapsed="false">
      <c r="A1061" s="24" t="s">
        <v>658</v>
      </c>
      <c r="B1061" s="25" t="s">
        <v>73</v>
      </c>
      <c r="C1061" s="39" t="n">
        <f aca="false">Sens!$C$993+Sens!$C$994+Sens!$C$1057-Sens!$C$1058</f>
        <v>0</v>
      </c>
      <c r="D1061" s="39" t="n">
        <f aca="false">Sens!$D$993+Sens!$D$994+Sens!$D$1057-Sens!$D$1058</f>
        <v>0</v>
      </c>
      <c r="E1061" s="39" t="n">
        <f aca="false">Sens!$E$993+Sens!$E$994+Sens!$E$1057-Sens!$E$1058</f>
        <v>0</v>
      </c>
      <c r="F1061" s="39" t="n">
        <f aca="false">Sens!$F$993+Sens!$F$994+Sens!$F$1057-Sens!$F$1058</f>
        <v>0</v>
      </c>
      <c r="G1061" s="39" t="n">
        <f aca="false">Sens!$G$993+Sens!$G$994+Sens!$G$1057-Sens!$G$1058</f>
        <v>0</v>
      </c>
      <c r="H1061" s="39" t="n">
        <f aca="false">Sens!$H$993+Sens!$H$994+Sens!$H$1057-Sens!$H$1058</f>
        <v>0</v>
      </c>
      <c r="I1061" s="39" t="n">
        <f aca="false">Sens!$I$993+Sens!$I$994+Sens!$I$1057-Sens!$I$1058</f>
        <v>0</v>
      </c>
      <c r="J1061" s="39" t="n">
        <f aca="false">Sens!$J$993+Sens!$J$994+Sens!$J$1057-Sens!$J$1058</f>
        <v>0</v>
      </c>
      <c r="K1061" s="39" t="n">
        <f aca="false">Sens!$K$993+Sens!$K$994+Sens!$K$1057-Sens!$K$1058</f>
        <v>0</v>
      </c>
      <c r="L1061" s="39" t="n">
        <f aca="false">Sens!$L$993+Sens!$L$994+Sens!$L$1057-Sens!$L$1058</f>
        <v>0</v>
      </c>
      <c r="M1061" s="39" t="n">
        <f aca="false">Sens!$M$993+Sens!$M$994+Sens!$M$1057-Sens!$M$1058</f>
        <v>0</v>
      </c>
      <c r="N1061" s="39" t="n">
        <f aca="false">Sens!$N$993+Sens!$N$994+Sens!$N$1057-Sens!$N$1058</f>
        <v>0</v>
      </c>
      <c r="O1061" s="39" t="n">
        <f aca="false">Sens!$O$993+Sens!$O$994+Sens!$O$1057-Sens!$O$1058</f>
        <v>0</v>
      </c>
    </row>
    <row r="1062" customFormat="false" ht="15" hidden="false" customHeight="false" outlineLevel="0" collapsed="false">
      <c r="A1062" s="5" t="s">
        <v>652</v>
      </c>
      <c r="B1062" s="0" t="s">
        <v>52</v>
      </c>
      <c r="G1062" s="12" t="n">
        <f aca="false">Sens!$G$1058/Sens!$D$1058-1</f>
        <v>0.161378156222718</v>
      </c>
      <c r="H1062" s="12" t="n">
        <f aca="false">Sens!$H$1058/Sens!$G$1058-1</f>
        <v>0.166192665236357</v>
      </c>
      <c r="I1062" s="12" t="n">
        <f aca="false">Sens!$I$1058/Sens!$H$1058-1</f>
        <v>0.143618092519351</v>
      </c>
      <c r="J1062" s="12" t="n">
        <f aca="false">Sens!$J$1058/Sens!$I$1058-1</f>
        <v>0.117712411733268</v>
      </c>
      <c r="K1062" s="12" t="n">
        <f aca="false">Sens!$K$1058/Sens!$J$1058-1</f>
        <v>0.0937151404237868</v>
      </c>
      <c r="L1062" s="12" t="n">
        <f aca="false">Sens!$L$1058/Sens!$K$1058-1</f>
        <v>0.0896982852494186</v>
      </c>
      <c r="M1062" s="12" t="n">
        <f aca="false">Sens!$M$1058/Sens!$L$1058-1</f>
        <v>0.0862697420528154</v>
      </c>
    </row>
    <row r="1063" customFormat="false" ht="17.15" hidden="false" customHeight="false" outlineLevel="0" collapsed="false">
      <c r="A1063" s="0" t="s">
        <v>653</v>
      </c>
      <c r="B1063" s="0" t="s">
        <v>52</v>
      </c>
      <c r="C1063" s="12" t="n">
        <f aca="false">Sens!$C$1057/Sens!$C$1058</f>
        <v>0.168593906504964</v>
      </c>
      <c r="D1063" s="12" t="n">
        <f aca="false">Sens!$D$1057/Sens!$D$1058</f>
        <v>0.179551807444025</v>
      </c>
      <c r="E1063" s="12" t="n">
        <f aca="false">Sens!$E$1057/Sens!$E$1058</f>
        <v>0.208881910369643</v>
      </c>
      <c r="F1063" s="12" t="n">
        <f aca="false">Sens!$F$1057/Sens!$F$1058</f>
        <v>0.207679264769203</v>
      </c>
      <c r="G1063" s="12" t="n">
        <f aca="false">Sens!$G$1057/Sens!$G$1058</f>
        <v>0.208231210458731</v>
      </c>
      <c r="H1063" s="12" t="n">
        <f aca="false">Sens!$H$1057/Sens!$H$1058</f>
        <v>0.248260191414043</v>
      </c>
      <c r="I1063" s="12" t="n">
        <f aca="false">Sens!$I$1057/Sens!$I$1058</f>
        <v>0.28110473450946</v>
      </c>
      <c r="J1063" s="12" t="n">
        <f aca="false">Sens!$J$1057/Sens!$J$1058</f>
        <v>0.30570109287086</v>
      </c>
      <c r="K1063" s="12" t="n">
        <f aca="false">Sens!$K$1057/Sens!$K$1058</f>
        <v>0.324071291782835</v>
      </c>
      <c r="L1063" s="12" t="n">
        <f aca="false">Sens!$L$1057/Sens!$L$1058</f>
        <v>0.339333003903741</v>
      </c>
      <c r="M1063" s="12" t="n">
        <f aca="false">Sens!$M$1057/Sens!$M$1058</f>
        <v>0.3520169237354</v>
      </c>
      <c r="N1063" s="12" t="n">
        <f aca="false">Sens!$N$1057/Sens!$N$1058</f>
        <v>0.185979484737251</v>
      </c>
      <c r="O1063" s="12" t="n">
        <f aca="false">Sens!$O$1057/Sens!$O$1058</f>
        <v>0.174270432341096</v>
      </c>
    </row>
    <row r="1064" customFormat="false" ht="17.15" hidden="false" customHeight="false" outlineLevel="0" collapsed="false">
      <c r="A1064" s="0" t="s">
        <v>654</v>
      </c>
      <c r="B1064" s="0" t="s">
        <v>52</v>
      </c>
      <c r="C1064" s="12" t="n">
        <f aca="false">Sens!$C$1055/Sens!$C$1057</f>
        <v>0.0215795060896058</v>
      </c>
      <c r="D1064" s="12" t="n">
        <f aca="false">Sens!$D$1055/Sens!$D$1057</f>
        <v>0.0676152269462122</v>
      </c>
      <c r="E1064" s="12" t="n">
        <f aca="false">Sens!$E$1055/Sens!$E$1057</f>
        <v>0.106620641395783</v>
      </c>
      <c r="F1064" s="12" t="n">
        <f aca="false">Sens!$F$1055/Sens!$F$1057</f>
        <v>0.159936751776064</v>
      </c>
      <c r="G1064" s="12" t="n">
        <f aca="false">Sens!$G$1055/Sens!$G$1057</f>
        <v>0.135391237003751</v>
      </c>
      <c r="H1064" s="12" t="n">
        <f aca="false">Sens!$H$1055/Sens!$H$1057</f>
        <v>0.249589428545194</v>
      </c>
      <c r="I1064" s="12" t="n">
        <f aca="false">Sens!$I$1055/Sens!$I$1057</f>
        <v>0.325173850577483</v>
      </c>
      <c r="J1064" s="12" t="n">
        <f aca="false">Sens!$J$1055/Sens!$J$1057</f>
        <v>0.376953718817392</v>
      </c>
      <c r="K1064" s="12" t="n">
        <f aca="false">Sens!$K$1055/Sens!$K$1057</f>
        <v>0.419641605578676</v>
      </c>
      <c r="L1064" s="12" t="n">
        <f aca="false">Sens!$L$1055/Sens!$L$1057</f>
        <v>0.450676451094615</v>
      </c>
      <c r="M1064" s="12" t="n">
        <f aca="false">Sens!$M$1055/Sens!$M$1057</f>
        <v>0.473526096798086</v>
      </c>
      <c r="N1064" s="12" t="n">
        <f aca="false">Sens!$N$1055/Sens!$N$1057</f>
        <v>0.0506537999838362</v>
      </c>
      <c r="O1064" s="12" t="n">
        <f aca="false">Sens!$O$1055/Sens!$O$1057</f>
        <v>0.0824881615167056</v>
      </c>
    </row>
    <row r="1067" customFormat="false" ht="19.4" hidden="false" customHeight="false" outlineLevel="0" collapsed="false">
      <c r="A1067" s="31" t="s">
        <v>1067</v>
      </c>
    </row>
    <row r="1068" customFormat="false" ht="17.15" hidden="false" customHeight="false" outlineLevel="0" collapsed="false">
      <c r="A1068" s="6" t="s">
        <v>16</v>
      </c>
      <c r="B1068" s="6" t="s">
        <v>17</v>
      </c>
      <c r="C1068" s="20" t="s">
        <v>457</v>
      </c>
      <c r="D1068" s="20" t="s">
        <v>458</v>
      </c>
      <c r="E1068" s="20" t="s">
        <v>540</v>
      </c>
      <c r="F1068" s="20" t="s">
        <v>541</v>
      </c>
      <c r="G1068" s="20" t="s">
        <v>542</v>
      </c>
      <c r="H1068" s="20" t="s">
        <v>543</v>
      </c>
      <c r="I1068" s="20" t="s">
        <v>544</v>
      </c>
      <c r="J1068" s="20" t="s">
        <v>545</v>
      </c>
      <c r="K1068" s="20" t="s">
        <v>546</v>
      </c>
      <c r="L1068" s="20" t="s">
        <v>547</v>
      </c>
      <c r="M1068" s="20" t="s">
        <v>548</v>
      </c>
      <c r="N1068" s="20" t="s">
        <v>549</v>
      </c>
      <c r="O1068" s="20" t="s">
        <v>550</v>
      </c>
      <c r="P1068" s="6" t="s">
        <v>23</v>
      </c>
      <c r="R1068" s="20" t="n">
        <v>2023</v>
      </c>
      <c r="S1068" s="20" t="n">
        <v>2024</v>
      </c>
      <c r="T1068" s="20" t="n">
        <v>2025</v>
      </c>
      <c r="U1068" s="20" t="n">
        <v>2026</v>
      </c>
      <c r="V1068" s="20" t="n">
        <v>2027</v>
      </c>
      <c r="W1068" s="20" t="n">
        <v>2028</v>
      </c>
      <c r="X1068" s="20" t="n">
        <v>2029</v>
      </c>
      <c r="Y1068" s="20" t="n">
        <v>2030</v>
      </c>
      <c r="Z1068" s="20" t="n">
        <v>2031</v>
      </c>
      <c r="AA1068" s="20" t="n">
        <v>2032</v>
      </c>
    </row>
    <row r="1069" customFormat="false" ht="17.15" hidden="false" customHeight="false" outlineLevel="0" collapsed="false">
      <c r="A1069" s="1" t="s">
        <v>669</v>
      </c>
    </row>
    <row r="1070" customFormat="false" ht="15" hidden="false" customHeight="false" outlineLevel="0" collapsed="false">
      <c r="A1070" s="0" t="s">
        <v>479</v>
      </c>
      <c r="B1070" s="0" t="s">
        <v>73</v>
      </c>
      <c r="C1070" s="38" t="n">
        <f aca="false">Sens!$C$979</f>
        <v>247.029</v>
      </c>
      <c r="D1070" s="38" t="n">
        <f aca="false">Sens!$D$979</f>
        <v>269.287</v>
      </c>
      <c r="E1070" s="38" t="n">
        <f aca="false">Sens!$E$979</f>
        <v>134.686</v>
      </c>
      <c r="F1070" s="38" t="n">
        <f aca="false">Sens!$F$979</f>
        <v>160.728085930082</v>
      </c>
      <c r="G1070" s="38" t="n">
        <f aca="false">Sens!$G$979</f>
        <v>295.414085930082</v>
      </c>
      <c r="H1070" s="38" t="n">
        <f aca="false">Sens!$H$979</f>
        <v>320.828163943375</v>
      </c>
      <c r="I1070" s="38" t="n">
        <f aca="false">Sens!$I$979</f>
        <v>344.575578072228</v>
      </c>
      <c r="J1070" s="38" t="n">
        <f aca="false">Sens!$J$979</f>
        <v>365.942555779681</v>
      </c>
      <c r="K1070" s="38" t="n">
        <f aca="false">Sens!$K$979</f>
        <v>384.239683568665</v>
      </c>
      <c r="L1070" s="38" t="n">
        <f aca="false">Sens!$L$979</f>
        <v>403.451667747098</v>
      </c>
      <c r="M1070" s="38" t="n">
        <f aca="false">Sens!$M$979</f>
        <v>423.624251134453</v>
      </c>
      <c r="N1070" s="38" t="n">
        <f aca="false">Sens!$N$979</f>
        <v>118.892</v>
      </c>
      <c r="O1070" s="38" t="n">
        <f aca="false">Sens!$O$979</f>
        <v>150.395</v>
      </c>
    </row>
    <row r="1071" customFormat="false" ht="15" hidden="false" customHeight="false" outlineLevel="0" collapsed="false">
      <c r="A1071" s="0" t="s">
        <v>480</v>
      </c>
      <c r="B1071" s="0" t="s">
        <v>73</v>
      </c>
      <c r="C1071" s="38" t="n">
        <f aca="false">Sens!$C$981</f>
        <v>21.215</v>
      </c>
      <c r="D1071" s="38" t="n">
        <f aca="false">Sens!$D$981</f>
        <v>22.561</v>
      </c>
      <c r="E1071" s="38" t="n">
        <f aca="false">Sens!$E$981</f>
        <v>11.579</v>
      </c>
      <c r="F1071" s="38" t="n">
        <f aca="false">Sens!$F$981</f>
        <v>12.0952613121125</v>
      </c>
      <c r="G1071" s="38" t="n">
        <f aca="false">Sens!$G$981</f>
        <v>23.6742613121125</v>
      </c>
      <c r="H1071" s="38" t="n">
        <f aca="false">Sens!$H$981</f>
        <v>24.8803243963206</v>
      </c>
      <c r="I1071" s="38" t="n">
        <f aca="false">Sens!$I$981</f>
        <v>25.9741308664154</v>
      </c>
      <c r="J1071" s="38" t="n">
        <f aca="false">Sens!$J$981</f>
        <v>26.9346894124267</v>
      </c>
      <c r="K1071" s="38" t="n">
        <f aca="false">Sens!$K$981</f>
        <v>27.7427300947995</v>
      </c>
      <c r="L1071" s="38" t="n">
        <f aca="false">Sens!$L$981</f>
        <v>28.5750119976435</v>
      </c>
      <c r="M1071" s="38" t="n">
        <f aca="false">Sens!$M$981</f>
        <v>29.4322623575728</v>
      </c>
      <c r="N1071" s="38" t="n">
        <f aca="false">Sens!$N$981</f>
        <v>11.128</v>
      </c>
      <c r="O1071" s="38" t="n">
        <f aca="false">Sens!$O$981</f>
        <v>11.433</v>
      </c>
    </row>
    <row r="1072" customFormat="false" ht="15" hidden="false" customHeight="false" outlineLevel="0" collapsed="false">
      <c r="A1072" s="0" t="s">
        <v>481</v>
      </c>
      <c r="B1072" s="0" t="s">
        <v>73</v>
      </c>
      <c r="C1072" s="38" t="n">
        <f aca="false">Sens!$C$983</f>
        <v>156.146</v>
      </c>
      <c r="D1072" s="38" t="n">
        <f aca="false">Sens!$D$983</f>
        <v>172.162</v>
      </c>
      <c r="E1072" s="38" t="n">
        <f aca="false">Sens!$E$983</f>
        <v>88.358</v>
      </c>
      <c r="F1072" s="38" t="n">
        <f aca="false">Sens!$F$983</f>
        <v>103.62028337149</v>
      </c>
      <c r="G1072" s="38" t="n">
        <f aca="false">Sens!$G$983</f>
        <v>191.97828337149</v>
      </c>
      <c r="H1072" s="38" t="n">
        <f aca="false">Sens!$H$983</f>
        <v>212.128608444755</v>
      </c>
      <c r="I1072" s="38" t="n">
        <f aca="false">Sens!$I$983</f>
        <v>231.92183134134</v>
      </c>
      <c r="J1072" s="38" t="n">
        <f aca="false">Sens!$J$983</f>
        <v>250.859136487863</v>
      </c>
      <c r="K1072" s="38" t="n">
        <f aca="false">Sens!$K$983</f>
        <v>268.419276042014</v>
      </c>
      <c r="L1072" s="38" t="n">
        <f aca="false">Sens!$L$983</f>
        <v>287.208625364954</v>
      </c>
      <c r="M1072" s="38" t="n">
        <f aca="false">Sens!$M$983</f>
        <v>307.313229140501</v>
      </c>
      <c r="N1072" s="38" t="n">
        <f aca="false">Sens!$N$983</f>
        <v>76.86</v>
      </c>
      <c r="O1072" s="38" t="n">
        <f aca="false">Sens!$O$983</f>
        <v>95.302</v>
      </c>
    </row>
    <row r="1073" customFormat="false" ht="15" hidden="false" customHeight="false" outlineLevel="0" collapsed="false">
      <c r="A1073" s="0" t="s">
        <v>482</v>
      </c>
      <c r="B1073" s="0" t="s">
        <v>73</v>
      </c>
      <c r="C1073" s="38" t="n">
        <f aca="false">Sens!$C$985</f>
        <v>56.214</v>
      </c>
      <c r="D1073" s="38" t="n">
        <f aca="false">Sens!$D$985</f>
        <v>68.635</v>
      </c>
      <c r="E1073" s="38" t="n">
        <f aca="false">Sens!$E$985</f>
        <v>37.052</v>
      </c>
      <c r="F1073" s="38" t="n">
        <f aca="false">Sens!$F$985</f>
        <v>48.1533381827382</v>
      </c>
      <c r="G1073" s="38" t="n">
        <f aca="false">Sens!$G$985</f>
        <v>85.2053381827382</v>
      </c>
      <c r="H1073" s="38" t="n">
        <f aca="false">Sens!$H$985</f>
        <v>102.29336185894</v>
      </c>
      <c r="I1073" s="38" t="n">
        <f aca="false">Sens!$I$985</f>
        <v>119.379837585241</v>
      </c>
      <c r="J1073" s="38" t="n">
        <f aca="false">Sens!$J$985</f>
        <v>135.319079048844</v>
      </c>
      <c r="K1073" s="38" t="n">
        <f aca="false">Sens!$K$985</f>
        <v>148.850986953729</v>
      </c>
      <c r="L1073" s="38" t="n">
        <f aca="false">Sens!$L$985</f>
        <v>163.736085649102</v>
      </c>
      <c r="M1073" s="38" t="n">
        <f aca="false">Sens!$M$985</f>
        <v>180.109694214012</v>
      </c>
      <c r="N1073" s="38" t="n">
        <f aca="false">Sens!$N$985</f>
        <v>29.615</v>
      </c>
      <c r="O1073" s="38" t="n">
        <f aca="false">Sens!$O$985</f>
        <v>39.02</v>
      </c>
    </row>
    <row r="1074" customFormat="false" ht="15" hidden="false" customHeight="false" outlineLevel="0" collapsed="false">
      <c r="A1074" s="0" t="s">
        <v>483</v>
      </c>
      <c r="B1074" s="0" t="s">
        <v>73</v>
      </c>
      <c r="C1074" s="38" t="n">
        <f aca="false">Sens!$C$987</f>
        <v>44.374</v>
      </c>
      <c r="D1074" s="38" t="n">
        <f aca="false">Sens!$D$987</f>
        <v>49.619</v>
      </c>
      <c r="E1074" s="38" t="n">
        <f aca="false">Sens!$E$987</f>
        <v>27.157</v>
      </c>
      <c r="F1074" s="38" t="n">
        <f aca="false">Sens!$F$987</f>
        <v>28.9776360923374</v>
      </c>
      <c r="G1074" s="38" t="n">
        <f aca="false">Sens!$G$987</f>
        <v>56.1346360923374</v>
      </c>
      <c r="H1074" s="38" t="n">
        <f aca="false">Sens!$H$987</f>
        <v>62.4937078946075</v>
      </c>
      <c r="I1074" s="38" t="n">
        <f aca="false">Sens!$I$987</f>
        <v>68.6715233062498</v>
      </c>
      <c r="J1074" s="38" t="n">
        <f aca="false">Sens!$J$987</f>
        <v>74.4692882949818</v>
      </c>
      <c r="K1074" s="38" t="n">
        <f aca="false">Sens!$K$987</f>
        <v>79.6821384756306</v>
      </c>
      <c r="L1074" s="38" t="n">
        <f aca="false">Sens!$L$987</f>
        <v>85.2598881689247</v>
      </c>
      <c r="M1074" s="38" t="n">
        <f aca="false">Sens!$M$987</f>
        <v>91.2280803407494</v>
      </c>
      <c r="N1074" s="38" t="n">
        <f aca="false">Sens!$N$987</f>
        <v>23.923</v>
      </c>
      <c r="O1074" s="38" t="n">
        <f aca="false">Sens!$O$987</f>
        <v>25.696</v>
      </c>
    </row>
    <row r="1075" customFormat="false" ht="15" hidden="false" customHeight="false" outlineLevel="0" collapsed="false">
      <c r="A1075" s="0" t="s">
        <v>484</v>
      </c>
      <c r="B1075" s="0" t="s">
        <v>73</v>
      </c>
      <c r="C1075" s="38" t="n">
        <f aca="false">Sens!$C$989</f>
        <v>5.425</v>
      </c>
      <c r="D1075" s="38" t="n">
        <f aca="false">Sens!$D$989</f>
        <v>5.935</v>
      </c>
      <c r="E1075" s="38" t="n">
        <f aca="false">Sens!$E$989</f>
        <v>3.474</v>
      </c>
      <c r="F1075" s="38" t="n">
        <f aca="false">Sens!$F$989</f>
        <v>3.36182431966931</v>
      </c>
      <c r="G1075" s="38" t="n">
        <f aca="false">Sens!$G$989</f>
        <v>6.83582431966931</v>
      </c>
      <c r="H1075" s="38" t="n">
        <f aca="false">Sens!$H$989</f>
        <v>7.31157108370141</v>
      </c>
      <c r="I1075" s="38" t="n">
        <f aca="false">Sens!$I$989</f>
        <v>7.77266852639815</v>
      </c>
      <c r="J1075" s="38" t="n">
        <f aca="false">Sens!$J$989</f>
        <v>8.2120733019884</v>
      </c>
      <c r="K1075" s="38" t="n">
        <f aca="false">Sens!$K$989</f>
        <v>8.62267696708783</v>
      </c>
      <c r="L1075" s="38" t="n">
        <f aca="false">Sens!$L$989</f>
        <v>9.05381081544222</v>
      </c>
      <c r="M1075" s="38" t="n">
        <f aca="false">Sens!$M$989</f>
        <v>9.50650135621433</v>
      </c>
      <c r="N1075" s="38" t="n">
        <f aca="false">Sens!$N$989</f>
        <v>2.811</v>
      </c>
      <c r="O1075" s="38" t="n">
        <f aca="false">Sens!$O$989</f>
        <v>3.124</v>
      </c>
    </row>
    <row r="1076" customFormat="false" ht="17.15" hidden="false" customHeight="false" outlineLevel="0" collapsed="false">
      <c r="A1076" s="0" t="s">
        <v>670</v>
      </c>
      <c r="B1076" s="0" t="s">
        <v>73</v>
      </c>
      <c r="C1076" s="38" t="n">
        <f aca="false">Sens!$C$1057</f>
        <v>107.556</v>
      </c>
      <c r="D1076" s="38" t="n">
        <f aca="false">Sens!$D$1057</f>
        <v>128.725</v>
      </c>
      <c r="E1076" s="38" t="n">
        <f aca="false">Sens!$E$1057</f>
        <v>79.819</v>
      </c>
      <c r="F1076" s="38" t="n">
        <f aca="false">Sens!$F$1057</f>
        <v>93.5584440633857</v>
      </c>
      <c r="G1076" s="38" t="n">
        <f aca="false">Sens!$G$1057</f>
        <v>173.377444063386</v>
      </c>
      <c r="H1076" s="38" t="n">
        <f aca="false">Sens!$H$1057</f>
        <v>241.059451517916</v>
      </c>
      <c r="I1076" s="38" t="n">
        <f aca="false">Sens!$I$1057</f>
        <v>312.152096351442</v>
      </c>
      <c r="J1076" s="38" t="n">
        <f aca="false">Sens!$J$1057</f>
        <v>379.424316597773</v>
      </c>
      <c r="K1076" s="38" t="n">
        <f aca="false">Sens!$K$1057</f>
        <v>439.919237244402</v>
      </c>
      <c r="L1076" s="38" t="n">
        <f aca="false">Sens!$L$1057</f>
        <v>501.954974491517</v>
      </c>
      <c r="M1076" s="38" t="n">
        <f aca="false">Sens!$M$1057</f>
        <v>565.639704466895</v>
      </c>
      <c r="N1076" s="38" t="n">
        <f aca="false">Sens!$N$1057</f>
        <v>60.14</v>
      </c>
      <c r="O1076" s="38" t="n">
        <f aca="false">Sens!$O$1057</f>
        <v>68.585</v>
      </c>
    </row>
    <row r="1077" customFormat="false" ht="15" hidden="false" customHeight="false" outlineLevel="0" collapsed="false">
      <c r="A1077" s="1" t="s">
        <v>472</v>
      </c>
      <c r="B1077" s="8" t="s">
        <v>73</v>
      </c>
      <c r="C1077" s="38" t="n">
        <f aca="false">Sens!$C$993</f>
        <v>387.497</v>
      </c>
      <c r="D1077" s="38" t="n">
        <f aca="false">Sens!$D$993</f>
        <v>426.305</v>
      </c>
      <c r="E1077" s="38" t="n">
        <f aca="false">Sens!$E$993</f>
        <v>220.32</v>
      </c>
      <c r="F1077" s="38" t="n">
        <f aca="false">Sens!$F$993</f>
        <v>256.304015003807</v>
      </c>
      <c r="G1077" s="38" t="n">
        <f aca="false">Sens!$G$993</f>
        <v>476.624015003807</v>
      </c>
      <c r="H1077" s="38" t="n">
        <f aca="false">Sens!$H$993</f>
        <v>527.734391091543</v>
      </c>
      <c r="I1077" s="38" t="n">
        <f aca="false">Sens!$I$993</f>
        <v>577.157693029577</v>
      </c>
      <c r="J1077" s="38" t="n">
        <f aca="false">Sens!$J$993</f>
        <v>623.024923663827</v>
      </c>
      <c r="K1077" s="38" t="n">
        <f aca="false">Sens!$K$993</f>
        <v>663.382568393781</v>
      </c>
      <c r="L1077" s="38" t="n">
        <f aca="false">Sens!$L$993</f>
        <v>706.564873010432</v>
      </c>
      <c r="M1077" s="38" t="n">
        <f aca="false">Sens!$M$993</f>
        <v>752.784687406019</v>
      </c>
      <c r="N1077" s="38" t="n">
        <f aca="false">Sens!$N$993</f>
        <v>192.955</v>
      </c>
      <c r="O1077" s="38" t="n">
        <f aca="false">Sens!$O$993</f>
        <v>233.35</v>
      </c>
    </row>
    <row r="1078" customFormat="false" ht="15" hidden="false" customHeight="false" outlineLevel="0" collapsed="false">
      <c r="A1078" s="1" t="s">
        <v>475</v>
      </c>
      <c r="B1078" s="8" t="s">
        <v>73</v>
      </c>
      <c r="C1078" s="38" t="n">
        <f aca="false">Sens!$C$994</f>
        <v>142.906</v>
      </c>
      <c r="D1078" s="38" t="n">
        <f aca="false">Sens!$D$994</f>
        <v>161.894</v>
      </c>
      <c r="E1078" s="38" t="n">
        <f aca="false">Sens!$E$994</f>
        <v>81.986</v>
      </c>
      <c r="F1078" s="38" t="n">
        <f aca="false">Sens!$F$994</f>
        <v>100.632414204623</v>
      </c>
      <c r="G1078" s="38" t="n">
        <f aca="false">Sens!$G$994</f>
        <v>182.618414204623</v>
      </c>
      <c r="H1078" s="38" t="n">
        <f aca="false">Sens!$H$994</f>
        <v>202.201346530158</v>
      </c>
      <c r="I1078" s="38" t="n">
        <f aca="false">Sens!$I$994</f>
        <v>221.137876668296</v>
      </c>
      <c r="J1078" s="38" t="n">
        <f aca="false">Sens!$J$994</f>
        <v>238.711898661958</v>
      </c>
      <c r="K1078" s="38" t="n">
        <f aca="false">Sens!$K$994</f>
        <v>254.174923708144</v>
      </c>
      <c r="L1078" s="38" t="n">
        <f aca="false">Sens!$L$994</f>
        <v>270.720216732733</v>
      </c>
      <c r="M1078" s="38" t="n">
        <f aca="false">Sens!$M$994</f>
        <v>288.429331137484</v>
      </c>
      <c r="N1078" s="38" t="n">
        <f aca="false">Sens!$N$994</f>
        <v>70.274</v>
      </c>
      <c r="O1078" s="38" t="n">
        <f aca="false">Sens!$O$994</f>
        <v>91.62</v>
      </c>
    </row>
    <row r="1079" customFormat="false" ht="15" hidden="false" customHeight="false" outlineLevel="0" collapsed="false">
      <c r="A1079" s="1" t="s">
        <v>476</v>
      </c>
      <c r="B1079" s="8" t="s">
        <v>73</v>
      </c>
      <c r="C1079" s="38" t="n">
        <f aca="false">Sens!$C$1057</f>
        <v>107.556</v>
      </c>
      <c r="D1079" s="38" t="n">
        <f aca="false">Sens!$D$1057</f>
        <v>128.725</v>
      </c>
      <c r="E1079" s="38" t="n">
        <f aca="false">Sens!$E$1057</f>
        <v>79.819</v>
      </c>
      <c r="F1079" s="38" t="n">
        <f aca="false">Sens!$F$1057</f>
        <v>93.5584440633857</v>
      </c>
      <c r="G1079" s="38" t="n">
        <f aca="false">Sens!$G$1057</f>
        <v>173.377444063386</v>
      </c>
      <c r="H1079" s="38" t="n">
        <f aca="false">Sens!$H$1057</f>
        <v>241.059451517916</v>
      </c>
      <c r="I1079" s="38" t="n">
        <f aca="false">Sens!$I$1057</f>
        <v>312.152096351442</v>
      </c>
      <c r="J1079" s="38" t="n">
        <f aca="false">Sens!$J$1057</f>
        <v>379.424316597773</v>
      </c>
      <c r="K1079" s="38" t="n">
        <f aca="false">Sens!$K$1057</f>
        <v>439.919237244402</v>
      </c>
      <c r="L1079" s="38" t="n">
        <f aca="false">Sens!$L$1057</f>
        <v>501.954974491517</v>
      </c>
      <c r="M1079" s="38" t="n">
        <f aca="false">Sens!$M$1057</f>
        <v>565.639704466895</v>
      </c>
      <c r="N1079" s="38" t="n">
        <f aca="false">Sens!$N$1057</f>
        <v>60.14</v>
      </c>
      <c r="O1079" s="38" t="n">
        <f aca="false">Sens!$O$1057</f>
        <v>68.585</v>
      </c>
    </row>
    <row r="1080" customFormat="false" ht="17.15" hidden="false" customHeight="false" outlineLevel="0" collapsed="false">
      <c r="A1080" s="0" t="s">
        <v>644</v>
      </c>
      <c r="B1080" s="0" t="s">
        <v>73</v>
      </c>
      <c r="C1080" s="38" t="n">
        <f aca="false">Sens!$C$1055</f>
        <v>2.32100535697364</v>
      </c>
      <c r="D1080" s="38" t="n">
        <f aca="false">Sens!$D$1055</f>
        <v>8.70377008865116</v>
      </c>
      <c r="E1080" s="38" t="n">
        <f aca="false">Sens!$E$1055</f>
        <v>8.51035297557002</v>
      </c>
      <c r="F1080" s="38" t="n">
        <f aca="false">Sens!$F$1055</f>
        <v>14.9634336447205</v>
      </c>
      <c r="G1080" s="38" t="n">
        <f aca="false">Sens!$G$1055</f>
        <v>23.4737866202905</v>
      </c>
      <c r="H1080" s="38" t="n">
        <f aca="false">Sens!$H$1055</f>
        <v>60.1658907497746</v>
      </c>
      <c r="I1080" s="38" t="n">
        <f aca="false">Sens!$I$1055</f>
        <v>101.503699136432</v>
      </c>
      <c r="J1080" s="38" t="n">
        <f aca="false">Sens!$J$1055</f>
        <v>143.025407151278</v>
      </c>
      <c r="K1080" s="38" t="n">
        <f aca="false">Sens!$K$1055</f>
        <v>184.608415042187</v>
      </c>
      <c r="L1080" s="38" t="n">
        <f aca="false">Sens!$L$1055</f>
        <v>226.219286513125</v>
      </c>
      <c r="M1080" s="38" t="n">
        <f aca="false">Sens!$M$1055</f>
        <v>267.845161450232</v>
      </c>
      <c r="N1080" s="38" t="n">
        <f aca="false">Sens!$N$1055</f>
        <v>3.04631953102791</v>
      </c>
      <c r="O1080" s="38" t="n">
        <f aca="false">Sens!$O$1055</f>
        <v>5.65745055762326</v>
      </c>
    </row>
    <row r="1081" customFormat="false" ht="17.15" hidden="false" customHeight="false" outlineLevel="0" collapsed="false">
      <c r="A1081" s="0" t="s">
        <v>646</v>
      </c>
      <c r="B1081" s="0" t="s">
        <v>73</v>
      </c>
      <c r="C1081" s="38" t="n">
        <f aca="false">Sens!$C$1056</f>
        <v>105.234994643026</v>
      </c>
      <c r="D1081" s="38" t="n">
        <f aca="false">Sens!$D$1056</f>
        <v>120.021229911349</v>
      </c>
      <c r="E1081" s="38" t="n">
        <f aca="false">Sens!$E$1056</f>
        <v>71.30864702443</v>
      </c>
      <c r="F1081" s="38" t="n">
        <f aca="false">Sens!$F$1056</f>
        <v>78.5950104186653</v>
      </c>
      <c r="G1081" s="38" t="n">
        <f aca="false">Sens!$G$1056</f>
        <v>149.903657443095</v>
      </c>
      <c r="H1081" s="38" t="n">
        <f aca="false">Sens!$H$1056</f>
        <v>180.893560768142</v>
      </c>
      <c r="I1081" s="38" t="n">
        <f aca="false">Sens!$I$1056</f>
        <v>210.64839721501</v>
      </c>
      <c r="J1081" s="38" t="n">
        <f aca="false">Sens!$J$1056</f>
        <v>236.398909446495</v>
      </c>
      <c r="K1081" s="38" t="n">
        <f aca="false">Sens!$K$1056</f>
        <v>255.310822202215</v>
      </c>
      <c r="L1081" s="38" t="n">
        <f aca="false">Sens!$L$1056</f>
        <v>275.735687978392</v>
      </c>
      <c r="M1081" s="38" t="n">
        <f aca="false">Sens!$M$1056</f>
        <v>297.794543016663</v>
      </c>
      <c r="N1081" s="38" t="n">
        <f aca="false">Sens!$N$1056</f>
        <v>57.0936804689721</v>
      </c>
      <c r="O1081" s="38" t="n">
        <f aca="false">Sens!$O$1056</f>
        <v>62.9275494423768</v>
      </c>
    </row>
    <row r="1082" customFormat="false" ht="15" hidden="false" customHeight="false" outlineLevel="0" collapsed="false">
      <c r="A1082" s="3" t="s">
        <v>477</v>
      </c>
      <c r="B1082" s="8" t="s">
        <v>73</v>
      </c>
      <c r="C1082" s="38" t="n">
        <f aca="false">Sens!$C$1058</f>
        <v>637.959</v>
      </c>
      <c r="D1082" s="38" t="n">
        <f aca="false">Sens!$D$1058</f>
        <v>716.924</v>
      </c>
      <c r="E1082" s="38" t="n">
        <f aca="false">Sens!$E$1058</f>
        <v>382.125</v>
      </c>
      <c r="F1082" s="38" t="n">
        <f aca="false">Sens!$F$1058</f>
        <v>450.494873271816</v>
      </c>
      <c r="G1082" s="38" t="n">
        <f aca="false">Sens!$G$1058</f>
        <v>832.619873271816</v>
      </c>
      <c r="H1082" s="38" t="n">
        <f aca="false">Sens!$H$1058</f>
        <v>970.995189139617</v>
      </c>
      <c r="I1082" s="38" t="n">
        <f aca="false">Sens!$I$1058</f>
        <v>1110.44766604932</v>
      </c>
      <c r="J1082" s="38" t="n">
        <f aca="false">Sens!$J$1058</f>
        <v>1241.16113892356</v>
      </c>
      <c r="K1082" s="38" t="n">
        <f aca="false">Sens!$K$1058</f>
        <v>1357.47672934633</v>
      </c>
      <c r="L1082" s="38" t="n">
        <f aca="false">Sens!$L$1058</f>
        <v>1479.24006423468</v>
      </c>
      <c r="M1082" s="38" t="n">
        <f aca="false">Sens!$M$1058</f>
        <v>1606.8537230104</v>
      </c>
      <c r="N1082" s="38" t="n">
        <f aca="false">Sens!$N$1058</f>
        <v>323.369</v>
      </c>
      <c r="O1082" s="38" t="n">
        <f aca="false">Sens!$O$1058</f>
        <v>393.555</v>
      </c>
    </row>
    <row r="1083" customFormat="false" ht="17.15" hidden="false" customHeight="false" outlineLevel="0" collapsed="false">
      <c r="A1083" s="24" t="s">
        <v>656</v>
      </c>
      <c r="B1083" s="25" t="s">
        <v>73</v>
      </c>
      <c r="C1083" s="39" t="n">
        <f aca="false">Sens!$C$1070+Sens!$C$1071+Sens!$C$1072+Sens!$C$1073+Sens!$C$1074+Sens!$C$1075-(Sens!$C$1077+Sens!$C$1078)</f>
        <v>0</v>
      </c>
      <c r="D1083" s="39" t="n">
        <f aca="false">Sens!$D$1070+Sens!$D$1071+Sens!$D$1072+Sens!$D$1073+Sens!$D$1074+Sens!$D$1075-(Sens!$D$1077+Sens!$D$1078)</f>
        <v>0</v>
      </c>
      <c r="E1083" s="39" t="n">
        <f aca="false">Sens!$E$1070+Sens!$E$1071+Sens!$E$1072+Sens!$E$1073+Sens!$E$1074+Sens!$E$1075-(Sens!$E$1077+Sens!$E$1078)</f>
        <v>0</v>
      </c>
      <c r="F1083" s="39" t="n">
        <f aca="false">Sens!$F$1070+Sens!$F$1071+Sens!$F$1072+Sens!$F$1073+Sens!$F$1074+Sens!$F$1075-(Sens!$F$1077+Sens!$F$1078)</f>
        <v>0</v>
      </c>
      <c r="G1083" s="39" t="n">
        <f aca="false">Sens!$G$1070+Sens!$G$1071+Sens!$G$1072+Sens!$G$1073+Sens!$G$1074+Sens!$G$1075-(Sens!$G$1077+Sens!$G$1078)</f>
        <v>0</v>
      </c>
      <c r="H1083" s="39" t="n">
        <f aca="false">Sens!$H$1070+Sens!$H$1071+Sens!$H$1072+Sens!$H$1073+Sens!$H$1074+Sens!$H$1075-(Sens!$H$1077+Sens!$H$1078)</f>
        <v>0</v>
      </c>
      <c r="I1083" s="39" t="n">
        <f aca="false">Sens!$I$1070+Sens!$I$1071+Sens!$I$1072+Sens!$I$1073+Sens!$I$1074+Sens!$I$1075-(Sens!$I$1077+Sens!$I$1078)</f>
        <v>0</v>
      </c>
      <c r="J1083" s="39" t="n">
        <f aca="false">Sens!$J$1070+Sens!$J$1071+Sens!$J$1072+Sens!$J$1073+Sens!$J$1074+Sens!$J$1075-(Sens!$J$1077+Sens!$J$1078)</f>
        <v>0</v>
      </c>
      <c r="K1083" s="39" t="n">
        <f aca="false">Sens!$K$1070+Sens!$K$1071+Sens!$K$1072+Sens!$K$1073+Sens!$K$1074+Sens!$K$1075-(Sens!$K$1077+Sens!$K$1078)</f>
        <v>0</v>
      </c>
      <c r="L1083" s="39" t="n">
        <f aca="false">Sens!$L$1070+Sens!$L$1071+Sens!$L$1072+Sens!$L$1073+Sens!$L$1074+Sens!$L$1075-(Sens!$L$1077+Sens!$L$1078)</f>
        <v>0</v>
      </c>
      <c r="M1083" s="39" t="n">
        <f aca="false">Sens!$M$1070+Sens!$M$1071+Sens!$M$1072+Sens!$M$1073+Sens!$M$1074+Sens!$M$1075-(Sens!$M$1077+Sens!$M$1078)</f>
        <v>0</v>
      </c>
      <c r="N1083" s="39" t="n">
        <f aca="false">Sens!$N$1070+Sens!$N$1071+Sens!$N$1072+Sens!$N$1073+Sens!$N$1074+Sens!$N$1075-(Sens!$N$1077+Sens!$N$1078)</f>
        <v>0</v>
      </c>
      <c r="O1083" s="39" t="n">
        <f aca="false">Sens!$O$1070+Sens!$O$1071+Sens!$O$1072+Sens!$O$1073+Sens!$O$1074+Sens!$O$1075-(Sens!$O$1077+Sens!$O$1078)</f>
        <v>0</v>
      </c>
    </row>
    <row r="1084" customFormat="false" ht="17.15" hidden="false" customHeight="false" outlineLevel="0" collapsed="false">
      <c r="A1084" s="24" t="s">
        <v>657</v>
      </c>
      <c r="B1084" s="25" t="s">
        <v>73</v>
      </c>
      <c r="C1084" s="39" t="n">
        <f aca="false">Sens!$C$1080+Sens!$C$1081-Sens!$C$1079</f>
        <v>0</v>
      </c>
      <c r="D1084" s="39" t="n">
        <f aca="false">Sens!$D$1080+Sens!$D$1081-Sens!$D$1079</f>
        <v>0</v>
      </c>
      <c r="E1084" s="39" t="n">
        <f aca="false">Sens!$E$1080+Sens!$E$1081-Sens!$E$1079</f>
        <v>0</v>
      </c>
      <c r="F1084" s="39" t="n">
        <f aca="false">Sens!$F$1080+Sens!$F$1081-Sens!$F$1079</f>
        <v>0</v>
      </c>
      <c r="G1084" s="39" t="n">
        <f aca="false">Sens!$G$1080+Sens!$G$1081-Sens!$G$1079</f>
        <v>0</v>
      </c>
      <c r="H1084" s="39" t="n">
        <f aca="false">Sens!$H$1080+Sens!$H$1081-Sens!$H$1079</f>
        <v>0</v>
      </c>
      <c r="I1084" s="39" t="n">
        <f aca="false">Sens!$I$1080+Sens!$I$1081-Sens!$I$1079</f>
        <v>0</v>
      </c>
      <c r="J1084" s="39" t="n">
        <f aca="false">Sens!$J$1080+Sens!$J$1081-Sens!$J$1079</f>
        <v>0</v>
      </c>
      <c r="K1084" s="39" t="n">
        <f aca="false">Sens!$K$1080+Sens!$K$1081-Sens!$K$1079</f>
        <v>0</v>
      </c>
      <c r="L1084" s="39" t="n">
        <f aca="false">Sens!$L$1080+Sens!$L$1081-Sens!$L$1079</f>
        <v>0</v>
      </c>
      <c r="M1084" s="39" t="n">
        <f aca="false">Sens!$M$1080+Sens!$M$1081-Sens!$M$1079</f>
        <v>0</v>
      </c>
      <c r="N1084" s="39" t="n">
        <f aca="false">Sens!$N$1080+Sens!$N$1081-Sens!$N$1079</f>
        <v>0</v>
      </c>
      <c r="O1084" s="39" t="n">
        <f aca="false">Sens!$O$1080+Sens!$O$1081-Sens!$O$1079</f>
        <v>0</v>
      </c>
    </row>
    <row r="1085" customFormat="false" ht="17.15" hidden="false" customHeight="false" outlineLevel="0" collapsed="false">
      <c r="A1085" s="24" t="s">
        <v>711</v>
      </c>
      <c r="B1085" s="25" t="s">
        <v>73</v>
      </c>
      <c r="C1085" s="39" t="n">
        <f aca="false">Sens!$C$1070+Sens!$C$1071+Sens!$C$1072+Sens!$C$1073+Sens!$C$1074+Sens!$C$1075+Sens!$C$1076-Sens!$C$1082</f>
        <v>0</v>
      </c>
      <c r="D1085" s="39" t="n">
        <f aca="false">Sens!$D$1070+Sens!$D$1071+Sens!$D$1072+Sens!$D$1073+Sens!$D$1074+Sens!$D$1075+Sens!$D$1076-Sens!$D$1082</f>
        <v>0</v>
      </c>
      <c r="E1085" s="39" t="n">
        <f aca="false">Sens!$E$1070+Sens!$E$1071+Sens!$E$1072+Sens!$E$1073+Sens!$E$1074+Sens!$E$1075+Sens!$E$1076-Sens!$E$1082</f>
        <v>0</v>
      </c>
      <c r="F1085" s="39" t="n">
        <f aca="false">Sens!$F$1070+Sens!$F$1071+Sens!$F$1072+Sens!$F$1073+Sens!$F$1074+Sens!$F$1075+Sens!$F$1076-Sens!$F$1082</f>
        <v>0</v>
      </c>
      <c r="G1085" s="39" t="n">
        <f aca="false">Sens!$G$1070+Sens!$G$1071+Sens!$G$1072+Sens!$G$1073+Sens!$G$1074+Sens!$G$1075+Sens!$G$1076-Sens!$G$1082</f>
        <v>0</v>
      </c>
      <c r="H1085" s="39" t="n">
        <f aca="false">Sens!$H$1070+Sens!$H$1071+Sens!$H$1072+Sens!$H$1073+Sens!$H$1074+Sens!$H$1075+Sens!$H$1076-Sens!$H$1082</f>
        <v>0</v>
      </c>
      <c r="I1085" s="39" t="n">
        <f aca="false">Sens!$I$1070+Sens!$I$1071+Sens!$I$1072+Sens!$I$1073+Sens!$I$1074+Sens!$I$1075+Sens!$I$1076-Sens!$I$1082</f>
        <v>0</v>
      </c>
      <c r="J1085" s="39" t="n">
        <f aca="false">Sens!$J$1070+Sens!$J$1071+Sens!$J$1072+Sens!$J$1073+Sens!$J$1074+Sens!$J$1075+Sens!$J$1076-Sens!$J$1082</f>
        <v>0</v>
      </c>
      <c r="K1085" s="39" t="n">
        <f aca="false">Sens!$K$1070+Sens!$K$1071+Sens!$K$1072+Sens!$K$1073+Sens!$K$1074+Sens!$K$1075+Sens!$K$1076-Sens!$K$1082</f>
        <v>0</v>
      </c>
      <c r="L1085" s="39" t="n">
        <f aca="false">Sens!$L$1070+Sens!$L$1071+Sens!$L$1072+Sens!$L$1073+Sens!$L$1074+Sens!$L$1075+Sens!$L$1076-Sens!$L$1082</f>
        <v>0</v>
      </c>
      <c r="M1085" s="39" t="n">
        <f aca="false">Sens!$M$1070+Sens!$M$1071+Sens!$M$1072+Sens!$M$1073+Sens!$M$1074+Sens!$M$1075+Sens!$M$1076-Sens!$M$1082</f>
        <v>0</v>
      </c>
      <c r="N1085" s="39" t="n">
        <f aca="false">Sens!$N$1070+Sens!$N$1071+Sens!$N$1072+Sens!$N$1073+Sens!$N$1074+Sens!$N$1075+Sens!$N$1076-Sens!$N$1082</f>
        <v>0</v>
      </c>
      <c r="O1085" s="39" t="n">
        <f aca="false">Sens!$O$1070+Sens!$O$1071+Sens!$O$1072+Sens!$O$1073+Sens!$O$1074+Sens!$O$1075+Sens!$O$1076-Sens!$O$1082</f>
        <v>0</v>
      </c>
    </row>
    <row r="1086" customFormat="false" ht="17.15" hidden="false" customHeight="false" outlineLevel="0" collapsed="false">
      <c r="A1086" s="24" t="s">
        <v>658</v>
      </c>
      <c r="B1086" s="25" t="s">
        <v>73</v>
      </c>
      <c r="C1086" s="39" t="n">
        <f aca="false">Sens!$C$1077+Sens!$C$1078+Sens!$C$1079-Sens!$C$1082</f>
        <v>0</v>
      </c>
      <c r="D1086" s="39" t="n">
        <f aca="false">Sens!$D$1077+Sens!$D$1078+Sens!$D$1079-Sens!$D$1082</f>
        <v>0</v>
      </c>
      <c r="E1086" s="39" t="n">
        <f aca="false">Sens!$E$1077+Sens!$E$1078+Sens!$E$1079-Sens!$E$1082</f>
        <v>0</v>
      </c>
      <c r="F1086" s="39" t="n">
        <f aca="false">Sens!$F$1077+Sens!$F$1078+Sens!$F$1079-Sens!$F$1082</f>
        <v>0</v>
      </c>
      <c r="G1086" s="39" t="n">
        <f aca="false">Sens!$G$1077+Sens!$G$1078+Sens!$G$1079-Sens!$G$1082</f>
        <v>0</v>
      </c>
      <c r="H1086" s="39" t="n">
        <f aca="false">Sens!$H$1077+Sens!$H$1078+Sens!$H$1079-Sens!$H$1082</f>
        <v>0</v>
      </c>
      <c r="I1086" s="39" t="n">
        <f aca="false">Sens!$I$1077+Sens!$I$1078+Sens!$I$1079-Sens!$I$1082</f>
        <v>0</v>
      </c>
      <c r="J1086" s="39" t="n">
        <f aca="false">Sens!$J$1077+Sens!$J$1078+Sens!$J$1079-Sens!$J$1082</f>
        <v>0</v>
      </c>
      <c r="K1086" s="39" t="n">
        <f aca="false">Sens!$K$1077+Sens!$K$1078+Sens!$K$1079-Sens!$K$1082</f>
        <v>0</v>
      </c>
      <c r="L1086" s="39" t="n">
        <f aca="false">Sens!$L$1077+Sens!$L$1078+Sens!$L$1079-Sens!$L$1082</f>
        <v>0</v>
      </c>
      <c r="M1086" s="39" t="n">
        <f aca="false">Sens!$M$1077+Sens!$M$1078+Sens!$M$1079-Sens!$M$1082</f>
        <v>0</v>
      </c>
      <c r="N1086" s="39" t="n">
        <f aca="false">Sens!$N$1077+Sens!$N$1078+Sens!$N$1079-Sens!$N$1082</f>
        <v>0</v>
      </c>
      <c r="O1086" s="39" t="n">
        <f aca="false">Sens!$O$1077+Sens!$O$1078+Sens!$O$1079-Sens!$O$1082</f>
        <v>0</v>
      </c>
    </row>
    <row r="1087" customFormat="false" ht="17.15" hidden="false" customHeight="false" outlineLevel="0" collapsed="false">
      <c r="A1087" s="1" t="s">
        <v>672</v>
      </c>
    </row>
    <row r="1088" customFormat="false" ht="17.15" hidden="false" customHeight="false" outlineLevel="0" collapsed="false">
      <c r="A1088" s="0" t="s">
        <v>673</v>
      </c>
      <c r="B1088" s="0" t="s">
        <v>73</v>
      </c>
      <c r="C1088" s="38" t="n">
        <f aca="false">Sens!$C$995*m_ad</f>
        <v>20.5341564414228</v>
      </c>
      <c r="D1088" s="38" t="n">
        <f aca="false">Sens!$D$995*m_ad</f>
        <v>24.8720617299587</v>
      </c>
      <c r="E1088" s="38" t="n">
        <f aca="false">Sens!$E$995*m_ad</f>
        <v>13.5017112462207</v>
      </c>
      <c r="F1088" s="38" t="n">
        <f aca="false">Sens!$F$995*m_ad</f>
        <v>17.2886442824599</v>
      </c>
      <c r="G1088" s="38" t="n">
        <f aca="false">Sens!$G$995*m_ad</f>
        <v>30.8011958765886</v>
      </c>
      <c r="H1088" s="38" t="n">
        <f aca="false">Sens!$H$995*m_ad</f>
        <v>36.978409366026</v>
      </c>
      <c r="I1088" s="38" t="n">
        <f aca="false">Sens!$I$995*m_ad</f>
        <v>43.155063281273</v>
      </c>
      <c r="J1088" s="38" t="n">
        <f aca="false">Sens!$J$995*m_ad</f>
        <v>48.9169991988532</v>
      </c>
      <c r="K1088" s="38" t="n">
        <f aca="false">Sens!$K$995*m_ad</f>
        <v>53.8086991187386</v>
      </c>
      <c r="L1088" s="38" t="n">
        <f aca="false">Sens!$L$995*m_ad</f>
        <v>59.1895690306124</v>
      </c>
      <c r="M1088" s="38" t="n">
        <f aca="false">Sens!$M$995*m_ad</f>
        <v>65.1085259336737</v>
      </c>
      <c r="N1088" s="38" t="n">
        <f aca="false">Sens!$N$995*m_ad</f>
        <v>10.8543555706248</v>
      </c>
      <c r="O1088" s="38" t="n">
        <f aca="false">Sens!$O$995*m_ad</f>
        <v>14.0094731821399</v>
      </c>
    </row>
    <row r="1089" customFormat="false" ht="17.15" hidden="false" customHeight="false" outlineLevel="0" collapsed="false">
      <c r="A1089" s="0" t="s">
        <v>674</v>
      </c>
      <c r="B1089" s="0" t="s">
        <v>73</v>
      </c>
      <c r="C1089" s="38" t="n">
        <f aca="false">Sens!$C$993-Sens!$C$995</f>
        <v>346.428687117154</v>
      </c>
      <c r="D1089" s="38" t="n">
        <f aca="false">Sens!$D$993-Sens!$D$995</f>
        <v>376.560876540083</v>
      </c>
      <c r="E1089" s="38" t="n">
        <f aca="false">Sens!$E$993-Sens!$E$995</f>
        <v>193.316577507559</v>
      </c>
      <c r="F1089" s="38" t="n">
        <f aca="false">Sens!$F$993-Sens!$F$995</f>
        <v>221.726726438887</v>
      </c>
      <c r="G1089" s="38" t="n">
        <f aca="false">Sens!$G$993-Sens!$G$995</f>
        <v>415.02162325063</v>
      </c>
      <c r="H1089" s="38" t="n">
        <f aca="false">Sens!$H$993-Sens!$H$995</f>
        <v>453.777572359491</v>
      </c>
      <c r="I1089" s="38" t="n">
        <f aca="false">Sens!$I$993-Sens!$I$995</f>
        <v>490.847566467031</v>
      </c>
      <c r="J1089" s="38" t="n">
        <f aca="false">Sens!$J$993-Sens!$J$995</f>
        <v>525.190925266121</v>
      </c>
      <c r="K1089" s="38" t="n">
        <f aca="false">Sens!$K$993-Sens!$K$995</f>
        <v>555.765170156304</v>
      </c>
      <c r="L1089" s="38" t="n">
        <f aca="false">Sens!$L$993-Sens!$L$995</f>
        <v>588.185734949207</v>
      </c>
      <c r="M1089" s="38" t="n">
        <f aca="false">Sens!$M$993-Sens!$M$995</f>
        <v>622.567635538672</v>
      </c>
      <c r="N1089" s="38" t="n">
        <f aca="false">Sens!$N$993-Sens!$N$995</f>
        <v>171.24628885875</v>
      </c>
      <c r="O1089" s="38" t="n">
        <f aca="false">Sens!$O$993-Sens!$O$995</f>
        <v>205.33105363572</v>
      </c>
    </row>
    <row r="1090" customFormat="false" ht="17.15" hidden="false" customHeight="false" outlineLevel="0" collapsed="false">
      <c r="A1090" s="0" t="s">
        <v>675</v>
      </c>
      <c r="B1090" s="0" t="s">
        <v>73</v>
      </c>
      <c r="C1090" s="38" t="n">
        <f aca="false">Sens!$C$1041*Sens!$C$992</f>
        <v>0</v>
      </c>
      <c r="D1090" s="38" t="n">
        <f aca="false">Sens!$D$1041*Sens!$D$992</f>
        <v>0</v>
      </c>
      <c r="E1090" s="38" t="n">
        <f aca="false">Sens!$E$1041*Sens!$E$992</f>
        <v>0</v>
      </c>
      <c r="F1090" s="38" t="n">
        <f aca="false">Sens!$F$1041*Sens!$F$992</f>
        <v>0</v>
      </c>
      <c r="G1090" s="38" t="n">
        <f aca="false">Sens!$G$1041*Sens!$G$992</f>
        <v>0</v>
      </c>
      <c r="H1090" s="38" t="n">
        <f aca="false">Sens!$H$1041*Sens!$H$992</f>
        <v>0</v>
      </c>
      <c r="I1090" s="38" t="n">
        <f aca="false">Sens!$I$1041*Sens!$I$992</f>
        <v>0</v>
      </c>
      <c r="J1090" s="38" t="n">
        <f aca="false">Sens!$J$1041*Sens!$J$992</f>
        <v>0</v>
      </c>
      <c r="K1090" s="38" t="n">
        <f aca="false">Sens!$K$1041*Sens!$K$992</f>
        <v>0</v>
      </c>
      <c r="L1090" s="38" t="n">
        <f aca="false">Sens!$L$1041*Sens!$L$992</f>
        <v>0</v>
      </c>
      <c r="M1090" s="38" t="n">
        <f aca="false">Sens!$M$1041*Sens!$M$992</f>
        <v>0</v>
      </c>
      <c r="N1090" s="38" t="n">
        <f aca="false">Sens!$N$1041*Sens!$N$992</f>
        <v>0</v>
      </c>
      <c r="O1090" s="38" t="n">
        <f aca="false">Sens!$O$1041*Sens!$O$992</f>
        <v>0</v>
      </c>
    </row>
    <row r="1091" customFormat="false" ht="17.15" hidden="false" customHeight="false" outlineLevel="0" collapsed="false">
      <c r="A1091" s="0" t="s">
        <v>676</v>
      </c>
      <c r="B1091" s="0" t="s">
        <v>52</v>
      </c>
      <c r="C1091" s="28" t="n">
        <f aca="false">(Sens!$C$1092-Sens!$C$1088+Sens!$C$1090)/Sens!$C$1089</f>
        <v>0.0127958328031826</v>
      </c>
      <c r="D1091" s="28" t="n">
        <f aca="false">(Sens!$D$1092-Sens!$D$1088+Sens!$D$1090)/Sens!$D$1089</f>
        <v>0.0126060314965726</v>
      </c>
      <c r="E1091" s="28" t="n">
        <f aca="false">(Sens!$E$1092-Sens!$E$1088+Sens!$E$1090)/Sens!$E$1089</f>
        <v>0.0201135815868003</v>
      </c>
      <c r="F1091" s="28" t="n">
        <f aca="false">Sens!$O$1091+(Sens!$E$1091-Sens!$N$1091)</f>
        <v>0.0164587930208895</v>
      </c>
      <c r="G1091" s="28" t="n">
        <f aca="false">(Sens!$G$1092-Sens!$G$1088+Sens!$G$1090)/Sens!$G$1089</f>
        <v>0.018135929025999</v>
      </c>
      <c r="H1091" s="28" t="n">
        <f aca="false">Sens!$G$1091+step_na</f>
        <v>0.021135929025999</v>
      </c>
      <c r="I1091" s="28" t="n">
        <f aca="false">Sens!$H$1091+step_na</f>
        <v>0.024135929025999</v>
      </c>
      <c r="J1091" s="28" t="n">
        <f aca="false">Sens!$I$1091+step_na</f>
        <v>0.027135929025999</v>
      </c>
      <c r="K1091" s="28" t="n">
        <f aca="false">Sens!$J$1091+step_na</f>
        <v>0.030135929025999</v>
      </c>
      <c r="L1091" s="28" t="n">
        <f aca="false">Sens!$K$1091</f>
        <v>0.030135929025999</v>
      </c>
      <c r="M1091" s="28" t="n">
        <f aca="false">Sens!$L$1091</f>
        <v>0.030135929025999</v>
      </c>
      <c r="N1091" s="28" t="n">
        <f aca="false">(Sens!$N$1092-Sens!$N$1088+Sens!$N$1090)/Sens!$N$1089</f>
        <v>0.0146201383169259</v>
      </c>
      <c r="O1091" s="28" t="n">
        <f aca="false">(Sens!$O$1092-Sens!$O$1088+Sens!$O$1090)/Sens!$O$1089</f>
        <v>0.0109653497510151</v>
      </c>
      <c r="P1091" s="8" t="s">
        <v>677</v>
      </c>
    </row>
    <row r="1092" customFormat="false" ht="17.15" hidden="false" customHeight="false" outlineLevel="0" collapsed="false">
      <c r="A1092" s="1" t="s">
        <v>678</v>
      </c>
      <c r="B1092" s="8" t="s">
        <v>73</v>
      </c>
      <c r="C1092" s="38" t="n">
        <f aca="false">Q!$D$22</f>
        <v>24.967</v>
      </c>
      <c r="D1092" s="38" t="n">
        <f aca="false">Q!$E$22</f>
        <v>29.619</v>
      </c>
      <c r="E1092" s="38" t="n">
        <f aca="false">Q!$P$22</f>
        <v>17.39</v>
      </c>
      <c r="F1092" s="38" t="n">
        <f aca="false">Sens!$F$1088+Sens!$F$1089*Sens!$F$1091-Sens!$F$1090</f>
        <v>20.9379985801169</v>
      </c>
      <c r="G1092" s="38" t="n">
        <f aca="false">Sens!$E$1092+Sens!$F$1092</f>
        <v>38.3279985801169</v>
      </c>
      <c r="H1092" s="38" t="n">
        <f aca="false">Sens!$H$1088+Sens!$H$1089*Sens!$H$1091-Sens!$H$1090</f>
        <v>46.5694199290063</v>
      </c>
      <c r="I1092" s="38" t="n">
        <f aca="false">Sens!$I$1088+Sens!$I$1089*Sens!$I$1091-Sens!$I$1090</f>
        <v>55.0021253081056</v>
      </c>
      <c r="J1092" s="38" t="n">
        <f aca="false">Sens!$J$1088+Sens!$J$1089*Sens!$J$1091-Sens!$J$1090</f>
        <v>63.1685428719734</v>
      </c>
      <c r="K1092" s="38" t="n">
        <f aca="false">Sens!$K$1088+Sens!$K$1089*Sens!$K$1091-Sens!$K$1090</f>
        <v>70.5571988416912</v>
      </c>
      <c r="L1092" s="38" t="n">
        <f aca="false">Sens!$L$1088+Sens!$L$1089*Sens!$L$1091-Sens!$L$1090</f>
        <v>76.9150925931468</v>
      </c>
      <c r="M1092" s="38" t="n">
        <f aca="false">Sens!$M$1088+Sens!$M$1089*Sens!$M$1091-Sens!$M$1090</f>
        <v>83.8701800121511</v>
      </c>
      <c r="N1092" s="38" t="n">
        <f aca="false">Q!$N$22</f>
        <v>13.358</v>
      </c>
      <c r="O1092" s="38" t="n">
        <f aca="false">Q!$O$22</f>
        <v>16.261</v>
      </c>
    </row>
    <row r="1093" customFormat="false" ht="17.15" hidden="false" customHeight="false" outlineLevel="0" collapsed="false">
      <c r="A1093" s="0" t="s">
        <v>679</v>
      </c>
      <c r="B1093" s="0" t="s">
        <v>73</v>
      </c>
      <c r="C1093" s="38" t="n">
        <f aca="false">Sens!$C$996*m_ad</f>
        <v>7.57284355857716</v>
      </c>
      <c r="D1093" s="38" t="n">
        <f aca="false">Sens!$D$996*m_ad</f>
        <v>9.44543827004127</v>
      </c>
      <c r="E1093" s="38" t="n">
        <f aca="false">Sens!$E$996*m_ad</f>
        <v>5.02428875377928</v>
      </c>
      <c r="F1093" s="38" t="n">
        <f aca="false">Sens!$F$996*m_ad</f>
        <v>6.78802480890925</v>
      </c>
      <c r="G1093" s="38" t="n">
        <f aca="false">Sens!$G$996*m_ad</f>
        <v>11.8014732147805</v>
      </c>
      <c r="H1093" s="38" t="n">
        <f aca="false">Sens!$H$996*m_ad</f>
        <v>14.1682715634442</v>
      </c>
      <c r="I1093" s="38" t="n">
        <f aca="false">Sens!$I$996*m_ad</f>
        <v>16.5348555113474</v>
      </c>
      <c r="J1093" s="38" t="n">
        <f aca="false">Sens!$J$996*m_ad</f>
        <v>18.7425403255689</v>
      </c>
      <c r="K1093" s="38" t="n">
        <f aca="false">Sens!$K$996*m_ad</f>
        <v>20.6167943581258</v>
      </c>
      <c r="L1093" s="38" t="n">
        <f aca="false">Sens!$L$996*m_ad</f>
        <v>22.6784737939383</v>
      </c>
      <c r="M1093" s="38" t="n">
        <f aca="false">Sens!$M$996*m_ad</f>
        <v>24.9463211733322</v>
      </c>
      <c r="N1093" s="38" t="n">
        <f aca="false">Sens!$N$996*m_ad</f>
        <v>3.95314442937518</v>
      </c>
      <c r="O1093" s="38" t="n">
        <f aca="false">Sens!$O$996*m_ad</f>
        <v>5.50052681786011</v>
      </c>
    </row>
    <row r="1094" customFormat="false" ht="17.15" hidden="false" customHeight="false" outlineLevel="0" collapsed="false">
      <c r="A1094" s="0" t="s">
        <v>680</v>
      </c>
      <c r="B1094" s="0" t="s">
        <v>73</v>
      </c>
      <c r="C1094" s="38" t="n">
        <f aca="false">Sens!$C$994-Sens!$C$996</f>
        <v>127.760312882846</v>
      </c>
      <c r="D1094" s="38" t="n">
        <f aca="false">Sens!$D$994-Sens!$D$996</f>
        <v>143.003123459917</v>
      </c>
      <c r="E1094" s="38" t="n">
        <f aca="false">Sens!$E$994-Sens!$E$996</f>
        <v>71.9374224924414</v>
      </c>
      <c r="F1094" s="38" t="n">
        <f aca="false">Sens!$F$994-Sens!$F$996</f>
        <v>87.0563645868046</v>
      </c>
      <c r="G1094" s="38" t="n">
        <f aca="false">Sens!$G$994-Sens!$G$996</f>
        <v>159.015467775062</v>
      </c>
      <c r="H1094" s="38" t="n">
        <f aca="false">Sens!$H$994-Sens!$H$996</f>
        <v>173.864803403269</v>
      </c>
      <c r="I1094" s="38" t="n">
        <f aca="false">Sens!$I$994-Sens!$I$996</f>
        <v>188.068165645601</v>
      </c>
      <c r="J1094" s="38" t="n">
        <f aca="false">Sens!$J$994-Sens!$J$996</f>
        <v>201.22681801082</v>
      </c>
      <c r="K1094" s="38" t="n">
        <f aca="false">Sens!$K$994-Sens!$K$996</f>
        <v>212.941334991893</v>
      </c>
      <c r="L1094" s="38" t="n">
        <f aca="false">Sens!$L$994-Sens!$L$996</f>
        <v>225.363269144856</v>
      </c>
      <c r="M1094" s="38" t="n">
        <f aca="false">Sens!$M$994-Sens!$M$996</f>
        <v>238.536688790819</v>
      </c>
      <c r="N1094" s="38" t="n">
        <f aca="false">Sens!$N$994-Sens!$N$996</f>
        <v>62.3677111412496</v>
      </c>
      <c r="O1094" s="38" t="n">
        <f aca="false">Sens!$O$994-Sens!$O$996</f>
        <v>80.6189463642798</v>
      </c>
    </row>
    <row r="1095" customFormat="false" ht="17.15" hidden="false" customHeight="false" outlineLevel="0" collapsed="false">
      <c r="A1095" s="0" t="s">
        <v>681</v>
      </c>
      <c r="B1095" s="0" t="s">
        <v>73</v>
      </c>
      <c r="C1095" s="38" t="n">
        <f aca="false">Sens!$C$1041*(1-Sens!$C$992)</f>
        <v>0</v>
      </c>
      <c r="D1095" s="38" t="n">
        <f aca="false">Sens!$D$1041*(1-Sens!$D$992)</f>
        <v>0</v>
      </c>
      <c r="E1095" s="38" t="n">
        <f aca="false">Sens!$E$1041*(1-Sens!$E$992)</f>
        <v>0</v>
      </c>
      <c r="F1095" s="38" t="n">
        <f aca="false">Sens!$F$1041*(1-Sens!$F$992)</f>
        <v>0</v>
      </c>
      <c r="G1095" s="38" t="n">
        <f aca="false">Sens!$G$1041*(1-Sens!$G$992)</f>
        <v>0</v>
      </c>
      <c r="H1095" s="38" t="n">
        <f aca="false">Sens!$H$1041*(1-Sens!$H$992)</f>
        <v>0</v>
      </c>
      <c r="I1095" s="38" t="n">
        <f aca="false">Sens!$I$1041*(1-Sens!$I$992)</f>
        <v>0</v>
      </c>
      <c r="J1095" s="38" t="n">
        <f aca="false">Sens!$J$1041*(1-Sens!$J$992)</f>
        <v>0</v>
      </c>
      <c r="K1095" s="38" t="n">
        <f aca="false">Sens!$K$1041*(1-Sens!$K$992)</f>
        <v>0</v>
      </c>
      <c r="L1095" s="38" t="n">
        <f aca="false">Sens!$L$1041*(1-Sens!$L$992)</f>
        <v>0</v>
      </c>
      <c r="M1095" s="38" t="n">
        <f aca="false">Sens!$M$1041*(1-Sens!$M$992)</f>
        <v>0</v>
      </c>
      <c r="N1095" s="38" t="n">
        <f aca="false">Sens!$N$1041*(1-Sens!$N$992)</f>
        <v>0</v>
      </c>
      <c r="O1095" s="38" t="n">
        <f aca="false">Sens!$O$1041*(1-Sens!$O$992)</f>
        <v>0</v>
      </c>
    </row>
    <row r="1096" customFormat="false" ht="17.15" hidden="false" customHeight="false" outlineLevel="0" collapsed="false">
      <c r="A1096" s="0" t="s">
        <v>682</v>
      </c>
      <c r="B1096" s="0" t="s">
        <v>52</v>
      </c>
      <c r="C1096" s="28" t="n">
        <f aca="false">(Sens!$C$1097-Sens!$C$1093+Sens!$C$1095)/Sens!$C$1094</f>
        <v>-0.0295932553174328</v>
      </c>
      <c r="D1096" s="28" t="n">
        <f aca="false">(Sens!$D$1097-Sens!$D$1093+Sens!$D$1095)/Sens!$D$1094</f>
        <v>-0.0328345154737642</v>
      </c>
      <c r="E1096" s="28" t="n">
        <f aca="false">(Sens!$E$1097-Sens!$E$1093+Sens!$E$1095)/Sens!$E$1094</f>
        <v>-0.0261795417256875</v>
      </c>
      <c r="F1096" s="28" t="n">
        <f aca="false">Sens!$O$1096+(Sens!$E$1096-Sens!$N$1096)</f>
        <v>-0.0435123710750293</v>
      </c>
      <c r="G1096" s="28" t="n">
        <f aca="false">(Sens!$G$1097-Sens!$G$1093+Sens!$G$1095)/Sens!$G$1094</f>
        <v>-0.0355970228897637</v>
      </c>
      <c r="H1096" s="28" t="n">
        <f aca="false">Sens!$G$1096+step_in</f>
        <v>-0.0355970228897637</v>
      </c>
      <c r="I1096" s="28" t="n">
        <f aca="false">Sens!$H$1096+step_in</f>
        <v>-0.0355970228897637</v>
      </c>
      <c r="J1096" s="28" t="n">
        <f aca="false">Sens!$I$1096+step_in</f>
        <v>-0.0355970228897637</v>
      </c>
      <c r="K1096" s="28" t="n">
        <f aca="false">Sens!$J$1096+step_in</f>
        <v>-0.0355970228897637</v>
      </c>
      <c r="L1096" s="28" t="n">
        <f aca="false">Sens!$K$1096</f>
        <v>-0.0355970228897637</v>
      </c>
      <c r="M1096" s="28" t="n">
        <f aca="false">Sens!$L$1096</f>
        <v>-0.0355970228897637</v>
      </c>
      <c r="N1096" s="28" t="n">
        <f aca="false">(Sens!$N$1097-Sens!$N$1093+Sens!$N$1095)/Sens!$N$1094</f>
        <v>-0.0231232540522295</v>
      </c>
      <c r="O1096" s="28" t="n">
        <f aca="false">(Sens!$O$1097-Sens!$O$1093+Sens!$O$1095)/Sens!$O$1094</f>
        <v>-0.0404560834015714</v>
      </c>
      <c r="P1096" s="8" t="s">
        <v>677</v>
      </c>
    </row>
    <row r="1097" customFormat="false" ht="17.15" hidden="false" customHeight="false" outlineLevel="0" collapsed="false">
      <c r="A1097" s="1" t="s">
        <v>683</v>
      </c>
      <c r="B1097" s="8" t="s">
        <v>73</v>
      </c>
      <c r="C1097" s="38" t="n">
        <f aca="false">Q!$D$23</f>
        <v>3.792</v>
      </c>
      <c r="D1097" s="38" t="n">
        <f aca="false">Q!$E$23</f>
        <v>4.75</v>
      </c>
      <c r="E1097" s="38" t="n">
        <f aca="false">Q!$P$23</f>
        <v>3.141</v>
      </c>
      <c r="F1097" s="38" t="n">
        <f aca="false">Sens!$F$1093+Sens!$F$1094*Sens!$F$1096-Sens!$F$1095</f>
        <v>2.99999596856517</v>
      </c>
      <c r="G1097" s="38" t="n">
        <f aca="false">Sens!$E$1097+Sens!$F$1097</f>
        <v>6.14099596856517</v>
      </c>
      <c r="H1097" s="38" t="n">
        <f aca="false">Sens!$H$1093+Sens!$H$1094*Sens!$H$1096-Sens!$H$1095</f>
        <v>7.97920217697376</v>
      </c>
      <c r="I1097" s="38" t="n">
        <f aca="false">Sens!$I$1093+Sens!$I$1094*Sens!$I$1096-Sens!$I$1095</f>
        <v>9.8401887140251</v>
      </c>
      <c r="J1097" s="38" t="n">
        <f aca="false">Sens!$J$1093+Sens!$J$1094*Sens!$J$1096-Sens!$J$1095</f>
        <v>11.5794646788034</v>
      </c>
      <c r="K1097" s="38" t="n">
        <f aca="false">Sens!$K$1093+Sens!$K$1094*Sens!$K$1096-Sens!$K$1095</f>
        <v>13.0367167822425</v>
      </c>
      <c r="L1097" s="38" t="n">
        <f aca="false">Sens!$L$1093+Sens!$L$1094*Sens!$L$1096-Sens!$L$1095</f>
        <v>14.6562123436769</v>
      </c>
      <c r="M1097" s="38" t="n">
        <f aca="false">Sens!$M$1093+Sens!$M$1094*Sens!$M$1096-Sens!$M$1095</f>
        <v>16.4551252023969</v>
      </c>
      <c r="N1097" s="38" t="n">
        <f aca="false">Q!$N$23</f>
        <v>2.511</v>
      </c>
      <c r="O1097" s="38" t="n">
        <f aca="false">Q!$O$23</f>
        <v>2.239</v>
      </c>
    </row>
    <row r="1098" customFormat="false" ht="17.15" hidden="false" customHeight="false" outlineLevel="0" collapsed="false">
      <c r="A1098" s="0" t="s">
        <v>684</v>
      </c>
      <c r="B1098" s="0" t="s">
        <v>73</v>
      </c>
      <c r="C1098" s="38" t="n">
        <f aca="false">Sens!$C$1038</f>
        <v>1.60348603981278</v>
      </c>
      <c r="D1098" s="38" t="n">
        <f aca="false">Sens!$D$1038</f>
        <v>3.15361039430823</v>
      </c>
      <c r="E1098" s="38" t="n">
        <f aca="false">Sens!$E$1038</f>
        <v>0.109507403378603</v>
      </c>
      <c r="F1098" s="38" t="n">
        <f aca="false">Sens!$F$1038</f>
        <v>5.20408182832593</v>
      </c>
      <c r="G1098" s="38" t="n">
        <f aca="false">Sens!$G$1038</f>
        <v>5.31358923170454</v>
      </c>
      <c r="H1098" s="38" t="n">
        <f aca="false">Sens!$H$1038</f>
        <v>13.5221412887873</v>
      </c>
      <c r="I1098" s="38" t="n">
        <f aca="false">Sens!$I$1038</f>
        <v>24.3804367478086</v>
      </c>
      <c r="J1098" s="38" t="n">
        <f aca="false">Sens!$J$1038</f>
        <v>34.597269223592</v>
      </c>
      <c r="K1098" s="38" t="n">
        <f aca="false">Sens!$K$1038</f>
        <v>44.3552624084727</v>
      </c>
      <c r="L1098" s="38" t="n">
        <f aca="false">Sens!$L$1038</f>
        <v>56.3360348504387</v>
      </c>
      <c r="M1098" s="38" t="n">
        <f aca="false">Sens!$M$1038</f>
        <v>68.8371729103593</v>
      </c>
      <c r="N1098" s="38" t="n">
        <f aca="false">Sens!$N$1038</f>
        <v>0.560395828660207</v>
      </c>
      <c r="O1098" s="38" t="n">
        <f aca="false">Sens!$O$1038</f>
        <v>2.59321456564803</v>
      </c>
    </row>
    <row r="1099" customFormat="false" ht="17.15" hidden="false" customHeight="false" outlineLevel="0" collapsed="false">
      <c r="A1099" s="0" t="s">
        <v>604</v>
      </c>
      <c r="B1099" s="0" t="s">
        <v>73</v>
      </c>
      <c r="C1099" s="38" t="n">
        <f aca="false">Sens!$C$1043</f>
        <v>38.2305139601872</v>
      </c>
      <c r="D1099" s="38" t="n">
        <f aca="false">Sens!$D$1043</f>
        <v>42.4523896056918</v>
      </c>
      <c r="E1099" s="38" t="n">
        <f aca="false">Sens!$E$1043</f>
        <v>30.6724925966214</v>
      </c>
      <c r="F1099" s="38" t="n">
        <f aca="false">Sens!$F$1043</f>
        <v>30.4331723552582</v>
      </c>
      <c r="G1099" s="38" t="n">
        <f aca="false">Sens!$G$1043</f>
        <v>61.1056649518796</v>
      </c>
      <c r="H1099" s="38" t="n">
        <f aca="false">Sens!$H$1043</f>
        <v>70.0447125522084</v>
      </c>
      <c r="I1099" s="38" t="n">
        <f aca="false">Sens!$I$1043</f>
        <v>81.5662335898215</v>
      </c>
      <c r="J1099" s="38" t="n">
        <f aca="false">Sens!$J$1043</f>
        <v>91.537219951455</v>
      </c>
      <c r="K1099" s="38" t="n">
        <f aca="false">Sens!$K$1043</f>
        <v>98.8601975475714</v>
      </c>
      <c r="L1099" s="38" t="n">
        <f aca="false">Sens!$L$1043</f>
        <v>106.769013351377</v>
      </c>
      <c r="M1099" s="38" t="n">
        <f aca="false">Sens!$M$1043</f>
        <v>115.310534419487</v>
      </c>
      <c r="N1099" s="38" t="n">
        <f aca="false">Sens!$N$1043</f>
        <v>21.1466041713398</v>
      </c>
      <c r="O1099" s="38" t="n">
        <f aca="false">Sens!$O$1043</f>
        <v>21.305785434352</v>
      </c>
    </row>
    <row r="1100" customFormat="false" ht="17.15" hidden="false" customHeight="false" outlineLevel="0" collapsed="false">
      <c r="A1100" s="1" t="s">
        <v>685</v>
      </c>
      <c r="B1100" s="8" t="s">
        <v>73</v>
      </c>
      <c r="C1100" s="38" t="n">
        <f aca="false">Q!$D$24</f>
        <v>39.834</v>
      </c>
      <c r="D1100" s="38" t="n">
        <f aca="false">Q!$E$24</f>
        <v>45.606</v>
      </c>
      <c r="E1100" s="38" t="n">
        <f aca="false">Q!$P$24</f>
        <v>30.782</v>
      </c>
      <c r="F1100" s="38" t="n">
        <f aca="false">Sens!$F$1098+Sens!$F$1099</f>
        <v>35.6372541835842</v>
      </c>
      <c r="G1100" s="38" t="n">
        <f aca="false">Sens!$G$1098+Sens!$G$1099</f>
        <v>66.4192541835841</v>
      </c>
      <c r="H1100" s="38" t="n">
        <f aca="false">Sens!$H$1098+Sens!$H$1099</f>
        <v>83.5668538409956</v>
      </c>
      <c r="I1100" s="38" t="n">
        <f aca="false">Sens!$I$1098+Sens!$I$1099</f>
        <v>105.94667033763</v>
      </c>
      <c r="J1100" s="38" t="n">
        <f aca="false">Sens!$J$1098+Sens!$J$1099</f>
        <v>126.134489175047</v>
      </c>
      <c r="K1100" s="38" t="n">
        <f aca="false">Sens!$K$1098+Sens!$K$1099</f>
        <v>143.215459956044</v>
      </c>
      <c r="L1100" s="38" t="n">
        <f aca="false">Sens!$L$1098+Sens!$L$1099</f>
        <v>163.105048201816</v>
      </c>
      <c r="M1100" s="38" t="n">
        <f aca="false">Sens!$M$1098+Sens!$M$1099</f>
        <v>184.147707329847</v>
      </c>
      <c r="N1100" s="38" t="n">
        <f aca="false">Q!$N$24</f>
        <v>21.707</v>
      </c>
      <c r="O1100" s="38" t="n">
        <f aca="false">Q!$O$24</f>
        <v>23.899</v>
      </c>
    </row>
    <row r="1101" customFormat="false" ht="17.15" hidden="false" customHeight="false" outlineLevel="0" collapsed="false">
      <c r="A1101" s="5" t="s">
        <v>686</v>
      </c>
      <c r="B1101" s="0" t="s">
        <v>73</v>
      </c>
      <c r="C1101" s="38" t="n">
        <f aca="false">Q!$D$26</f>
        <v>0</v>
      </c>
      <c r="D1101" s="38" t="n">
        <f aca="false">Q!$E$26</f>
        <v>0</v>
      </c>
      <c r="E1101" s="38" t="n">
        <f aca="false">Q!$P$26</f>
        <v>0</v>
      </c>
      <c r="F1101" s="41" t="n">
        <v>0</v>
      </c>
      <c r="G1101" s="38" t="n">
        <f aca="false">Sens!$E$1101+Sens!$F$1101</f>
        <v>0</v>
      </c>
      <c r="H1101" s="41" t="n">
        <v>0</v>
      </c>
      <c r="I1101" s="41" t="n">
        <v>0</v>
      </c>
      <c r="J1101" s="41" t="n">
        <v>0</v>
      </c>
      <c r="K1101" s="41" t="n">
        <v>0</v>
      </c>
      <c r="L1101" s="41" t="n">
        <v>0</v>
      </c>
      <c r="M1101" s="41" t="n">
        <v>0</v>
      </c>
      <c r="N1101" s="38" t="n">
        <f aca="false">Q!$N$26</f>
        <v>0</v>
      </c>
      <c r="O1101" s="38" t="n">
        <f aca="false">Q!$O$26</f>
        <v>0</v>
      </c>
    </row>
    <row r="1102" customFormat="false" ht="15" hidden="false" customHeight="false" outlineLevel="0" collapsed="false">
      <c r="A1102" s="3" t="s">
        <v>494</v>
      </c>
      <c r="B1102" s="8" t="s">
        <v>73</v>
      </c>
      <c r="C1102" s="38" t="n">
        <f aca="false">Q!$D$25</f>
        <v>68.593</v>
      </c>
      <c r="D1102" s="38" t="n">
        <f aca="false">Q!$E$25</f>
        <v>79.975</v>
      </c>
      <c r="E1102" s="38" t="n">
        <f aca="false">Q!$P$25</f>
        <v>51.313</v>
      </c>
      <c r="F1102" s="38" t="n">
        <f aca="false">Sens!$F$1092+Sens!$F$1097+Sens!$F$1100+Sens!$F$1101</f>
        <v>59.5752487322662</v>
      </c>
      <c r="G1102" s="38" t="n">
        <f aca="false">Sens!$G$1092+Sens!$G$1097+Sens!$G$1100+Sens!$G$1101</f>
        <v>110.888248732266</v>
      </c>
      <c r="H1102" s="38" t="n">
        <f aca="false">Sens!$H$1092+Sens!$H$1097+Sens!$H$1100+Sens!$H$1101</f>
        <v>138.115475946976</v>
      </c>
      <c r="I1102" s="38" t="n">
        <f aca="false">Sens!$I$1092+Sens!$I$1097+Sens!$I$1100+Sens!$I$1101</f>
        <v>170.788984359761</v>
      </c>
      <c r="J1102" s="38" t="n">
        <f aca="false">Sens!$J$1092+Sens!$J$1097+Sens!$J$1100+Sens!$J$1101</f>
        <v>200.882496725824</v>
      </c>
      <c r="K1102" s="38" t="n">
        <f aca="false">Sens!$K$1092+Sens!$K$1097+Sens!$K$1100+Sens!$K$1101</f>
        <v>226.809375579978</v>
      </c>
      <c r="L1102" s="38" t="n">
        <f aca="false">Sens!$L$1092+Sens!$L$1097+Sens!$L$1100+Sens!$L$1101</f>
        <v>254.67635313864</v>
      </c>
      <c r="M1102" s="38" t="n">
        <f aca="false">Sens!$M$1092+Sens!$M$1097+Sens!$M$1100+Sens!$M$1101</f>
        <v>284.473012544395</v>
      </c>
      <c r="N1102" s="38" t="n">
        <f aca="false">Q!$N$25</f>
        <v>37.576</v>
      </c>
      <c r="O1102" s="38" t="n">
        <f aca="false">Q!$O$25</f>
        <v>42.399</v>
      </c>
    </row>
    <row r="1103" customFormat="false" ht="17.15" hidden="false" customHeight="false" outlineLevel="0" collapsed="false">
      <c r="A1103" s="24" t="s">
        <v>712</v>
      </c>
      <c r="B1103" s="25" t="s">
        <v>73</v>
      </c>
      <c r="C1103" s="39" t="n">
        <f aca="false">Sens!$C$1092+Sens!$C$1097+Sens!$C$1100+Sens!$C$1101-Sens!$C$1102</f>
        <v>0</v>
      </c>
      <c r="D1103" s="39" t="n">
        <f aca="false">Sens!$D$1092+Sens!$D$1097+Sens!$D$1100+Sens!$D$1101-Sens!$D$1102</f>
        <v>0</v>
      </c>
      <c r="E1103" s="39" t="n">
        <f aca="false">Sens!$E$1092+Sens!$E$1097+Sens!$E$1100+Sens!$E$1101-Sens!$E$1102</f>
        <v>0</v>
      </c>
      <c r="F1103" s="39" t="n">
        <f aca="false">Sens!$F$1092+Sens!$F$1097+Sens!$F$1100+Sens!$F$1101-Sens!$F$1102</f>
        <v>0</v>
      </c>
      <c r="G1103" s="39" t="n">
        <f aca="false">Sens!$G$1092+Sens!$G$1097+Sens!$G$1100+Sens!$G$1101-Sens!$G$1102</f>
        <v>0</v>
      </c>
      <c r="H1103" s="39" t="n">
        <f aca="false">Sens!$H$1092+Sens!$H$1097+Sens!$H$1100+Sens!$H$1101-Sens!$H$1102</f>
        <v>0</v>
      </c>
      <c r="I1103" s="39" t="n">
        <f aca="false">Sens!$I$1092+Sens!$I$1097+Sens!$I$1100+Sens!$I$1101-Sens!$I$1102</f>
        <v>0</v>
      </c>
      <c r="J1103" s="39" t="n">
        <f aca="false">Sens!$J$1092+Sens!$J$1097+Sens!$J$1100+Sens!$J$1101-Sens!$J$1102</f>
        <v>0</v>
      </c>
      <c r="K1103" s="39" t="n">
        <f aca="false">Sens!$K$1092+Sens!$K$1097+Sens!$K$1100+Sens!$K$1101-Sens!$K$1102</f>
        <v>0</v>
      </c>
      <c r="L1103" s="39" t="n">
        <f aca="false">Sens!$L$1092+Sens!$L$1097+Sens!$L$1100+Sens!$L$1101-Sens!$L$1102</f>
        <v>0</v>
      </c>
      <c r="M1103" s="39" t="n">
        <f aca="false">Sens!$M$1092+Sens!$M$1097+Sens!$M$1100+Sens!$M$1101-Sens!$M$1102</f>
        <v>0</v>
      </c>
      <c r="N1103" s="39" t="n">
        <f aca="false">Sens!$N$1092+Sens!$N$1097+Sens!$N$1100+Sens!$N$1101-Sens!$N$1102</f>
        <v>0</v>
      </c>
      <c r="O1103" s="39" t="n">
        <f aca="false">Sens!$O$1092+Sens!$O$1097+Sens!$O$1100+Sens!$O$1101-Sens!$O$1102</f>
        <v>0</v>
      </c>
    </row>
    <row r="1104" customFormat="false" ht="17.15" hidden="false" customHeight="false" outlineLevel="0" collapsed="false">
      <c r="A1104" s="0" t="s">
        <v>688</v>
      </c>
      <c r="B1104" s="0" t="s">
        <v>52</v>
      </c>
      <c r="C1104" s="12" t="n">
        <f aca="false">Sens!$C$1092/Sens!$C$1077</f>
        <v>0.0644314665661928</v>
      </c>
      <c r="D1104" s="12" t="n">
        <f aca="false">Sens!$D$1092/Sens!$D$1077</f>
        <v>0.0694784250712518</v>
      </c>
      <c r="E1104" s="12" t="n">
        <f aca="false">Sens!$E$1092/Sens!$E$1077</f>
        <v>0.0789306463326071</v>
      </c>
      <c r="F1104" s="12" t="n">
        <f aca="false">Sens!$F$1092/Sens!$F$1077</f>
        <v>0.0816920428648217</v>
      </c>
      <c r="G1104" s="12" t="n">
        <f aca="false">Sens!$G$1092/Sens!$G$1077</f>
        <v>0.0804155841367136</v>
      </c>
      <c r="H1104" s="12" t="n">
        <f aca="false">Sens!$H$1092/Sens!$H$1077</f>
        <v>0.0882440498764617</v>
      </c>
      <c r="I1104" s="12" t="n">
        <f aca="false">Sens!$I$1092/Sens!$I$1077</f>
        <v>0.0952982624547413</v>
      </c>
      <c r="J1104" s="12" t="n">
        <f aca="false">Sens!$J$1092/Sens!$J$1077</f>
        <v>0.101390073611338</v>
      </c>
      <c r="K1104" s="12" t="n">
        <f aca="false">Sens!$K$1092/Sens!$K$1077</f>
        <v>0.106359742030196</v>
      </c>
      <c r="L1104" s="12" t="n">
        <f aca="false">Sens!$L$1092/Sens!$L$1077</f>
        <v>0.108857792866829</v>
      </c>
      <c r="M1104" s="12" t="n">
        <f aca="false">Sens!$M$1092/Sens!$M$1077</f>
        <v>0.111413238626246</v>
      </c>
      <c r="N1104" s="12" t="n">
        <f aca="false">Sens!$N$1092/Sens!$N$1077</f>
        <v>0.069228576611127</v>
      </c>
      <c r="O1104" s="12" t="n">
        <f aca="false">Sens!$O$1092/Sens!$O$1077</f>
        <v>0.069685022498393</v>
      </c>
    </row>
    <row r="1105" customFormat="false" ht="17.15" hidden="false" customHeight="false" outlineLevel="0" collapsed="false">
      <c r="A1105" s="0" t="s">
        <v>689</v>
      </c>
      <c r="B1105" s="0" t="s">
        <v>52</v>
      </c>
      <c r="C1105" s="12" t="n">
        <f aca="false">Sens!$C$1097/Sens!$C$1078</f>
        <v>0.026534925055631</v>
      </c>
      <c r="D1105" s="12" t="n">
        <f aca="false">Sens!$D$1097/Sens!$D$1078</f>
        <v>0.0293401855535103</v>
      </c>
      <c r="E1105" s="12" t="n">
        <f aca="false">Sens!$E$1097/Sens!$E$1078</f>
        <v>0.03831141902276</v>
      </c>
      <c r="F1105" s="12" t="n">
        <f aca="false">Sens!$F$1097/Sens!$F$1078</f>
        <v>0.029811427980502</v>
      </c>
      <c r="G1105" s="12" t="n">
        <f aca="false">Sens!$G$1097/Sens!$G$1078</f>
        <v>0.0336274739615481</v>
      </c>
      <c r="H1105" s="12" t="n">
        <f aca="false">Sens!$H$1097/Sens!$H$1078</f>
        <v>0.0394616668677015</v>
      </c>
      <c r="I1105" s="12" t="n">
        <f aca="false">Sens!$I$1097/Sens!$I$1078</f>
        <v>0.0444979795513966</v>
      </c>
      <c r="J1105" s="12" t="n">
        <f aca="false">Sens!$J$1097/Sens!$J$1078</f>
        <v>0.0485081168710453</v>
      </c>
      <c r="K1105" s="12" t="n">
        <f aca="false">Sens!$K$1097/Sens!$K$1078</f>
        <v>0.0512903341999696</v>
      </c>
      <c r="L1105" s="12" t="n">
        <f aca="false">Sens!$L$1097/Sens!$L$1078</f>
        <v>0.0541378568640338</v>
      </c>
      <c r="M1105" s="12" t="n">
        <f aca="false">Sens!$M$1097/Sens!$M$1078</f>
        <v>0.0570508038745664</v>
      </c>
      <c r="N1105" s="12" t="n">
        <f aca="false">Sens!$N$1097/Sens!$N$1078</f>
        <v>0.0357315650169337</v>
      </c>
      <c r="O1105" s="12" t="n">
        <f aca="false">Sens!$O$1097/Sens!$O$1078</f>
        <v>0.0244378956559703</v>
      </c>
    </row>
    <row r="1106" customFormat="false" ht="17.15" hidden="false" customHeight="false" outlineLevel="0" collapsed="false">
      <c r="A1106" s="13" t="s">
        <v>690</v>
      </c>
      <c r="B1106" s="13" t="s">
        <v>52</v>
      </c>
      <c r="C1106" s="16" t="n">
        <f aca="false">Sens!$C$1100/Sens!$C$1079</f>
        <v>0.370355907620217</v>
      </c>
      <c r="D1106" s="16" t="n">
        <f aca="false">Sens!$D$1100/Sens!$D$1079</f>
        <v>0.35429015342785</v>
      </c>
      <c r="E1106" s="16" t="n">
        <f aca="false">Sens!$E$1100/Sens!$E$1079</f>
        <v>0.385647527531039</v>
      </c>
      <c r="F1106" s="16" t="n">
        <f aca="false">Sens!$F$1100/Sens!$F$1079</f>
        <v>0.380909008698776</v>
      </c>
      <c r="G1106" s="16" t="n">
        <f aca="false">Sens!$G$1100/Sens!$G$1079</f>
        <v>0.383090514123058</v>
      </c>
      <c r="H1106" s="16" t="n">
        <f aca="false">Sens!$H$1100/Sens!$H$1079</f>
        <v>0.346664913218658</v>
      </c>
      <c r="I1106" s="16" t="n">
        <f aca="false">Sens!$I$1100/Sens!$I$1079</f>
        <v>0.339407204295524</v>
      </c>
      <c r="J1106" s="16" t="n">
        <f aca="false">Sens!$J$1100/Sens!$J$1079</f>
        <v>0.332436493016767</v>
      </c>
      <c r="K1106" s="16" t="n">
        <f aca="false">Sens!$K$1100/Sens!$K$1079</f>
        <v>0.325549436876477</v>
      </c>
      <c r="L1106" s="16" t="n">
        <f aca="false">Sens!$L$1100/Sens!$L$1079</f>
        <v>0.324939599148394</v>
      </c>
      <c r="M1106" s="16" t="n">
        <f aca="false">Sens!$M$1100/Sens!$M$1079</f>
        <v>0.32555654399014</v>
      </c>
      <c r="N1106" s="16" t="n">
        <f aca="false">Sens!$N$1100/Sens!$N$1079</f>
        <v>0.360941137346192</v>
      </c>
      <c r="O1106" s="16" t="n">
        <f aca="false">Sens!$O$1100/Sens!$O$1079</f>
        <v>0.348458117664212</v>
      </c>
    </row>
    <row r="1107" customFormat="false" ht="17.15" hidden="false" customHeight="false" outlineLevel="0" collapsed="false">
      <c r="A1107" s="0" t="s">
        <v>691</v>
      </c>
      <c r="B1107" s="0" t="s">
        <v>52</v>
      </c>
      <c r="C1107" s="12" t="n">
        <f aca="false">Sens!$C$1098/Sens!$C$1080</f>
        <v>0.690858396769735</v>
      </c>
      <c r="D1107" s="12" t="n">
        <f aca="false">Sens!$D$1098/Sens!$D$1080</f>
        <v>0.362326941335482</v>
      </c>
      <c r="E1107" s="12" t="n">
        <f aca="false">Sens!$E$1098/Sens!$E$1080</f>
        <v>0.0128675512864105</v>
      </c>
      <c r="F1107" s="12" t="n">
        <f aca="false">Sens!$F$1098/Sens!$F$1080</f>
        <v>0.347786607799212</v>
      </c>
      <c r="G1107" s="12" t="n">
        <f aca="false">Sens!$G$1098/Sens!$G$1080</f>
        <v>0.226362679258213</v>
      </c>
      <c r="H1107" s="12" t="n">
        <f aca="false">Sens!$H$1098/Sens!$H$1080</f>
        <v>0.224747628935219</v>
      </c>
      <c r="I1107" s="12" t="n">
        <f aca="false">Sens!$I$1098/Sens!$I$1080</f>
        <v>0.2401925935235</v>
      </c>
      <c r="J1107" s="12" t="n">
        <f aca="false">Sens!$J$1098/Sens!$J$1080</f>
        <v>0.2418959673857</v>
      </c>
      <c r="K1107" s="12" t="n">
        <f aca="false">Sens!$K$1098/Sens!$K$1080</f>
        <v>0.240266741894385</v>
      </c>
      <c r="L1107" s="12" t="n">
        <f aca="false">Sens!$L$1098/Sens!$L$1080</f>
        <v>0.24903285532717</v>
      </c>
      <c r="M1107" s="12" t="n">
        <f aca="false">Sens!$M$1098/Sens!$M$1080</f>
        <v>0.257003608120619</v>
      </c>
      <c r="N1107" s="12" t="n">
        <f aca="false">Sens!$N$1098/Sens!$N$1080</f>
        <v>0.183958321821583</v>
      </c>
      <c r="O1107" s="12" t="n">
        <f aca="false">Sens!$O$1098/Sens!$O$1080</f>
        <v>0.458371582612197</v>
      </c>
    </row>
    <row r="1108" customFormat="false" ht="15" hidden="false" customHeight="false" outlineLevel="0" collapsed="false">
      <c r="A1108" s="5" t="s">
        <v>692</v>
      </c>
      <c r="B1108" s="0" t="s">
        <v>52</v>
      </c>
      <c r="C1108" s="12" t="n">
        <f aca="false">Sens!$C$1102/Sens!$C$1082</f>
        <v>0.107519448742004</v>
      </c>
      <c r="D1108" s="12" t="n">
        <f aca="false">Sens!$D$1102/Sens!$D$1082</f>
        <v>0.111552967957552</v>
      </c>
      <c r="E1108" s="12" t="n">
        <f aca="false">Sens!$E$1102/Sens!$E$1082</f>
        <v>0.13428328426562</v>
      </c>
      <c r="F1108" s="12" t="n">
        <f aca="false">Sens!$F$1102/Sens!$F$1082</f>
        <v>0.132244010458073</v>
      </c>
      <c r="G1108" s="12" t="n">
        <f aca="false">Sens!$G$1102/Sens!$G$1082</f>
        <v>0.133179920744056</v>
      </c>
      <c r="H1108" s="12" t="n">
        <f aca="false">Sens!$H$1102/Sens!$H$1082</f>
        <v>0.142241153706804</v>
      </c>
      <c r="I1108" s="12" t="n">
        <f aca="false">Sens!$I$1102/Sens!$I$1082</f>
        <v>0.15380192113635</v>
      </c>
      <c r="J1108" s="12" t="n">
        <f aca="false">Sens!$J$1102/Sens!$J$1082</f>
        <v>0.161850456339655</v>
      </c>
      <c r="K1108" s="12" t="n">
        <f aca="false">Sens!$K$1102/Sens!$K$1082</f>
        <v>0.167081593869528</v>
      </c>
      <c r="L1108" s="12" t="n">
        <f aca="false">Sens!$L$1102/Sens!$L$1082</f>
        <v>0.172167019604355</v>
      </c>
      <c r="M1108" s="12" t="n">
        <f aca="false">Sens!$M$1102/Sens!$M$1082</f>
        <v>0.177037280040303</v>
      </c>
      <c r="N1108" s="12" t="n">
        <f aca="false">Sens!$N$1102/Sens!$N$1082</f>
        <v>0.116201614873411</v>
      </c>
      <c r="O1108" s="12" t="n">
        <f aca="false">Sens!$O$1102/Sens!$O$1082</f>
        <v>0.107733353660861</v>
      </c>
    </row>
    <row r="1109" customFormat="false" ht="17.15" hidden="false" customHeight="false" outlineLevel="0" collapsed="false">
      <c r="A1109" s="1" t="s">
        <v>693</v>
      </c>
    </row>
    <row r="1110" customFormat="false" ht="17.15" hidden="false" customHeight="false" outlineLevel="0" collapsed="false">
      <c r="A1110" s="5" t="s">
        <v>694</v>
      </c>
      <c r="B1110" s="0" t="s">
        <v>52</v>
      </c>
      <c r="D1110" s="28" t="n">
        <f aca="false">(Q!$E$29+Q!$E$30-(1-ext_sh_hi)*Sens!$D$1034)/Sens!$D$991</f>
        <v>0.0346991409369958</v>
      </c>
    </row>
    <row r="1111" customFormat="false" ht="17.15" hidden="false" customHeight="false" outlineLevel="0" collapsed="false">
      <c r="A1111" s="0" t="s">
        <v>498</v>
      </c>
      <c r="B1111" s="0" t="s">
        <v>73</v>
      </c>
      <c r="C1111" s="38" t="n">
        <f aca="false">Q!$D$29</f>
        <v>14.285</v>
      </c>
      <c r="D1111" s="38" t="n">
        <f aca="false">Q!$E$29</f>
        <v>15.503</v>
      </c>
      <c r="E1111" s="38" t="n">
        <f aca="false">Q!$P$29</f>
        <v>8.78</v>
      </c>
      <c r="F1111" s="38" t="n">
        <f aca="false">(Sens!$D$1110*Sens!$F$991+(1-ext_sh_hi)*Sens!$F$1034)*Sens!$F$992</f>
        <v>8.89352913933498</v>
      </c>
      <c r="G1111" s="38" t="n">
        <f aca="false">Sens!$E$1111+Sens!$F$1111</f>
        <v>17.673529139335</v>
      </c>
      <c r="H1111" s="38" t="n">
        <f aca="false">(Sens!$D$1110*Sens!$H$991+(1-ext_sh_hi)*Sens!$H$1034)*Sens!$H$992</f>
        <v>18.3119300137851</v>
      </c>
      <c r="I1111" s="38" t="n">
        <f aca="false">(Sens!$D$1110*Sens!$I$991+(1-ext_sh_hi)*Sens!$I$1034)*Sens!$I$992</f>
        <v>20.0268761333047</v>
      </c>
      <c r="J1111" s="38" t="n">
        <f aca="false">(Sens!$D$1110*Sens!$J$991+(1-ext_sh_hi)*Sens!$J$1034)*Sens!$J$992</f>
        <v>21.6184296334722</v>
      </c>
      <c r="K1111" s="38" t="n">
        <f aca="false">(Sens!$D$1110*Sens!$K$991+(1-ext_sh_hi)*Sens!$K$1034)*Sens!$K$992</f>
        <v>23.0188052358421</v>
      </c>
      <c r="L1111" s="38" t="n">
        <f aca="false">(Sens!$D$1110*Sens!$L$991+(1-ext_sh_hi)*Sens!$L$1034)*Sens!$L$992</f>
        <v>24.5171941097195</v>
      </c>
      <c r="M1111" s="38" t="n">
        <f aca="false">(Sens!$D$1110*Sens!$M$991+(1-ext_sh_hi)*Sens!$M$1034)*Sens!$M$992</f>
        <v>26.1209819635138</v>
      </c>
      <c r="N1111" s="38" t="n">
        <f aca="false">Q!$N$29</f>
        <v>7.272</v>
      </c>
      <c r="O1111" s="38" t="n">
        <f aca="false">Q!$O$29</f>
        <v>8.231</v>
      </c>
    </row>
    <row r="1112" customFormat="false" ht="17.15" hidden="false" customHeight="false" outlineLevel="0" collapsed="false">
      <c r="A1112" s="0" t="s">
        <v>500</v>
      </c>
      <c r="B1112" s="0" t="s">
        <v>73</v>
      </c>
      <c r="C1112" s="38" t="n">
        <f aca="false">Q!$D$30</f>
        <v>4.462</v>
      </c>
      <c r="D1112" s="38" t="n">
        <f aca="false">Q!$E$30</f>
        <v>4.907</v>
      </c>
      <c r="E1112" s="38" t="n">
        <f aca="false">Q!$P$30</f>
        <v>2.57</v>
      </c>
      <c r="F1112" s="38" t="n">
        <f aca="false">(Sens!$D$1110*Sens!$F$991+(1-ext_sh_hi)*Sens!$F$1034)*(1-Sens!$F$992)</f>
        <v>3.49185832331636</v>
      </c>
      <c r="G1112" s="38" t="n">
        <f aca="false">Sens!$E$1112+Sens!$F$1112</f>
        <v>6.06185832331636</v>
      </c>
      <c r="H1112" s="38" t="n">
        <f aca="false">(Sens!$D$1110*Sens!$H$991+(1-ext_sh_hi)*Sens!$H$1034)*(1-Sens!$H$992)</f>
        <v>7.01621302090028</v>
      </c>
      <c r="I1112" s="38" t="n">
        <f aca="false">(Sens!$D$1110*Sens!$I$991+(1-ext_sh_hi)*Sens!$I$1034)*(1-Sens!$I$992)</f>
        <v>7.6732943490212</v>
      </c>
      <c r="J1112" s="38" t="n">
        <f aca="false">(Sens!$D$1110*Sens!$J$991+(1-ext_sh_hi)*Sens!$J$1034)*(1-Sens!$J$992)</f>
        <v>8.28309781500915</v>
      </c>
      <c r="K1112" s="38" t="n">
        <f aca="false">(Sens!$D$1110*Sens!$K$991+(1-ext_sh_hi)*Sens!$K$1034)*(1-Sens!$K$992)</f>
        <v>8.81965150039906</v>
      </c>
      <c r="L1112" s="38" t="n">
        <f aca="false">(Sens!$D$1110*Sens!$L$991+(1-ext_sh_hi)*Sens!$L$1034)*(1-Sens!$L$992)</f>
        <v>9.39375895490315</v>
      </c>
      <c r="M1112" s="38" t="n">
        <f aca="false">(Sens!$D$1110*Sens!$M$991+(1-ext_sh_hi)*Sens!$M$1034)*(1-Sens!$M$992)</f>
        <v>10.008250011503</v>
      </c>
      <c r="N1112" s="38" t="n">
        <f aca="false">Q!$N$30</f>
        <v>2.316</v>
      </c>
      <c r="O1112" s="38" t="n">
        <f aca="false">Q!$O$30</f>
        <v>2.591</v>
      </c>
    </row>
    <row r="1113" customFormat="false" ht="17.15" hidden="false" customHeight="false" outlineLevel="0" collapsed="false">
      <c r="A1113" s="0" t="s">
        <v>501</v>
      </c>
      <c r="B1113" s="0" t="s">
        <v>73</v>
      </c>
      <c r="C1113" s="38" t="n">
        <f aca="false">Sens!$C$1046</f>
        <v>13.32</v>
      </c>
      <c r="D1113" s="38" t="n">
        <f aca="false">Sens!$D$1046</f>
        <v>21.45</v>
      </c>
      <c r="E1113" s="38" t="n">
        <f aca="false">Sens!$E$1046</f>
        <v>15.353</v>
      </c>
      <c r="F1113" s="38" t="n">
        <f aca="false">Sens!$F$1046</f>
        <v>18.1902131615363</v>
      </c>
      <c r="G1113" s="38" t="n">
        <f aca="false">Sens!$G$1046</f>
        <v>33.5432131615363</v>
      </c>
      <c r="H1113" s="38" t="n">
        <f aca="false">Sens!$H$1046</f>
        <v>60.8643496919838</v>
      </c>
      <c r="I1113" s="38" t="n">
        <f aca="false">Sens!$I$1046</f>
        <v>87.4625336551093</v>
      </c>
      <c r="J1113" s="38" t="n">
        <f aca="false">Sens!$J$1046</f>
        <v>114.27594282538</v>
      </c>
      <c r="K1113" s="38" t="n">
        <f aca="false">Sens!$K$1046</f>
        <v>140.588592498875</v>
      </c>
      <c r="L1113" s="38" t="n">
        <f aca="false">Sens!$L$1046</f>
        <v>164.928729876806</v>
      </c>
      <c r="M1113" s="38" t="n">
        <f aca="false">Sens!$M$1046</f>
        <v>189.004960128583</v>
      </c>
      <c r="N1113" s="38" t="n">
        <f aca="false">Sens!$N$1046</f>
        <v>9.234</v>
      </c>
      <c r="O1113" s="38" t="n">
        <f aca="false">Sens!$O$1046</f>
        <v>12.216</v>
      </c>
    </row>
    <row r="1114" customFormat="false" ht="17.15" hidden="false" customHeight="false" outlineLevel="0" collapsed="false">
      <c r="A1114" s="5" t="s">
        <v>695</v>
      </c>
      <c r="B1114" s="0" t="s">
        <v>73</v>
      </c>
      <c r="C1114" s="38" t="n">
        <f aca="false">Sens!$C$1111+Sens!$C$1112+Sens!$C$1113</f>
        <v>32.067</v>
      </c>
      <c r="D1114" s="38" t="n">
        <f aca="false">Sens!$D$1111+Sens!$D$1112+Sens!$D$1113</f>
        <v>41.86</v>
      </c>
      <c r="E1114" s="38" t="n">
        <f aca="false">Sens!$E$1111+Sens!$E$1112+Sens!$E$1113</f>
        <v>26.703</v>
      </c>
      <c r="F1114" s="38" t="n">
        <f aca="false">Sens!$F$1111+Sens!$F$1112+Sens!$F$1113</f>
        <v>30.5756006241876</v>
      </c>
      <c r="G1114" s="38" t="n">
        <f aca="false">Sens!$G$1111+Sens!$G$1112+Sens!$G$1113</f>
        <v>57.2786006241876</v>
      </c>
      <c r="H1114" s="38" t="n">
        <f aca="false">Sens!$H$1111+Sens!$H$1112+Sens!$H$1113</f>
        <v>86.1924927266692</v>
      </c>
      <c r="I1114" s="38" t="n">
        <f aca="false">Sens!$I$1111+Sens!$I$1112+Sens!$I$1113</f>
        <v>115.162704137435</v>
      </c>
      <c r="J1114" s="38" t="n">
        <f aca="false">Sens!$J$1111+Sens!$J$1112+Sens!$J$1113</f>
        <v>144.177470273862</v>
      </c>
      <c r="K1114" s="38" t="n">
        <f aca="false">Sens!$K$1111+Sens!$K$1112+Sens!$K$1113</f>
        <v>172.427049235116</v>
      </c>
      <c r="L1114" s="38" t="n">
        <f aca="false">Sens!$L$1111+Sens!$L$1112+Sens!$L$1113</f>
        <v>198.839682941428</v>
      </c>
      <c r="M1114" s="38" t="n">
        <f aca="false">Sens!$M$1111+Sens!$M$1112+Sens!$M$1113</f>
        <v>225.134192103599</v>
      </c>
      <c r="N1114" s="38" t="n">
        <f aca="false">Sens!$N$1111+Sens!$N$1112+Sens!$N$1113</f>
        <v>18.822</v>
      </c>
      <c r="O1114" s="38" t="n">
        <f aca="false">Sens!$O$1111+Sens!$O$1112+Sens!$O$1113</f>
        <v>23.038</v>
      </c>
    </row>
    <row r="1115" customFormat="false" ht="17.15" hidden="false" customHeight="false" outlineLevel="0" collapsed="false">
      <c r="A1115" s="0" t="s">
        <v>696</v>
      </c>
      <c r="B1115" s="0" t="s">
        <v>73</v>
      </c>
      <c r="C1115" s="38" t="n">
        <f aca="false">Sens!$C$1088+Sens!$C$1093</f>
        <v>28.107</v>
      </c>
      <c r="D1115" s="38" t="n">
        <f aca="false">Sens!$D$1088+Sens!$D$1093</f>
        <v>34.3175</v>
      </c>
      <c r="E1115" s="38" t="n">
        <f aca="false">Sens!$E$1088+Sens!$E$1093</f>
        <v>18.526</v>
      </c>
      <c r="F1115" s="38" t="n">
        <f aca="false">Sens!$F$1088+Sens!$F$1093</f>
        <v>24.0766690913691</v>
      </c>
      <c r="G1115" s="38" t="n">
        <f aca="false">Sens!$G$1088+Sens!$G$1093</f>
        <v>42.6026690913691</v>
      </c>
      <c r="H1115" s="38" t="n">
        <f aca="false">Sens!$H$1088+Sens!$H$1093</f>
        <v>51.1466809294702</v>
      </c>
      <c r="I1115" s="38" t="n">
        <f aca="false">Sens!$I$1088+Sens!$I$1093</f>
        <v>59.6899187926205</v>
      </c>
      <c r="J1115" s="38" t="n">
        <f aca="false">Sens!$J$1088+Sens!$J$1093</f>
        <v>67.6595395244221</v>
      </c>
      <c r="K1115" s="38" t="n">
        <f aca="false">Sens!$K$1088+Sens!$K$1093</f>
        <v>74.4254934768643</v>
      </c>
      <c r="L1115" s="38" t="n">
        <f aca="false">Sens!$L$1088+Sens!$L$1093</f>
        <v>81.8680428245508</v>
      </c>
      <c r="M1115" s="38" t="n">
        <f aca="false">Sens!$M$1088+Sens!$M$1093</f>
        <v>90.0548471070059</v>
      </c>
      <c r="N1115" s="38" t="n">
        <f aca="false">Sens!$N$1088+Sens!$N$1093</f>
        <v>14.8075</v>
      </c>
      <c r="O1115" s="38" t="n">
        <f aca="false">Sens!$O$1088+Sens!$O$1093</f>
        <v>19.51</v>
      </c>
    </row>
    <row r="1116" customFormat="false" ht="17.15" hidden="false" customHeight="false" outlineLevel="0" collapsed="false">
      <c r="A1116" s="0" t="s">
        <v>697</v>
      </c>
      <c r="B1116" s="0" t="s">
        <v>73</v>
      </c>
      <c r="C1116" s="38" t="n">
        <f aca="false">Sens!$C$1092+Sens!$C$1097+Sens!$C$1111+Sens!$C$1112-Sens!$C$1115</f>
        <v>19.399</v>
      </c>
      <c r="D1116" s="38" t="n">
        <f aca="false">Sens!$D$1092+Sens!$D$1097+Sens!$D$1111+Sens!$D$1112-Sens!$D$1115</f>
        <v>20.4615</v>
      </c>
      <c r="E1116" s="38" t="n">
        <f aca="false">Sens!$E$1092+Sens!$E$1097+Sens!$E$1111+Sens!$E$1112-Sens!$E$1115</f>
        <v>13.355</v>
      </c>
      <c r="F1116" s="38" t="n">
        <f aca="false">Sens!$F$1092+Sens!$F$1097+Sens!$F$1111+Sens!$F$1112-Sens!$F$1115</f>
        <v>12.2467129199643</v>
      </c>
      <c r="G1116" s="38" t="n">
        <f aca="false">Sens!$G$1092+Sens!$G$1097+Sens!$G$1111+Sens!$G$1112-Sens!$G$1115</f>
        <v>25.6017129199643</v>
      </c>
      <c r="H1116" s="38" t="n">
        <f aca="false">Sens!$H$1092+Sens!$H$1097+Sens!$H$1111+Sens!$H$1112-Sens!$H$1115</f>
        <v>28.7300842111953</v>
      </c>
      <c r="I1116" s="38" t="n">
        <f aca="false">Sens!$I$1092+Sens!$I$1097+Sens!$I$1111+Sens!$I$1112-Sens!$I$1115</f>
        <v>32.8525657118361</v>
      </c>
      <c r="J1116" s="38" t="n">
        <f aca="false">Sens!$J$1092+Sens!$J$1097+Sens!$J$1111+Sens!$J$1112-Sens!$J$1115</f>
        <v>36.989995474836</v>
      </c>
      <c r="K1116" s="38" t="n">
        <f aca="false">Sens!$K$1092+Sens!$K$1097+Sens!$K$1111+Sens!$K$1112-Sens!$K$1115</f>
        <v>41.0068788833105</v>
      </c>
      <c r="L1116" s="38" t="n">
        <f aca="false">Sens!$L$1092+Sens!$L$1097+Sens!$L$1111+Sens!$L$1112-Sens!$L$1115</f>
        <v>43.6142151768956</v>
      </c>
      <c r="M1116" s="38" t="n">
        <f aca="false">Sens!$M$1092+Sens!$M$1097+Sens!$M$1111+Sens!$M$1112-Sens!$M$1115</f>
        <v>46.399690082559</v>
      </c>
      <c r="N1116" s="38" t="n">
        <f aca="false">Sens!$N$1092+Sens!$N$1097+Sens!$N$1111+Sens!$N$1112-Sens!$N$1115</f>
        <v>10.6495</v>
      </c>
      <c r="O1116" s="38" t="n">
        <f aca="false">Sens!$O$1092+Sens!$O$1097+Sens!$O$1111+Sens!$O$1112-Sens!$O$1115</f>
        <v>9.81200000000001</v>
      </c>
    </row>
    <row r="1117" customFormat="false" ht="17.15" hidden="false" customHeight="false" outlineLevel="0" collapsed="false">
      <c r="A1117" s="0" t="s">
        <v>698</v>
      </c>
      <c r="B1117" s="0" t="s">
        <v>73</v>
      </c>
      <c r="C1117" s="38" t="n">
        <f aca="false">Sens!$C$1099+Sens!$C$1113-ext_sh_hi*Sens!$C$1034</f>
        <v>51.3470500115664</v>
      </c>
      <c r="D1117" s="38" t="n">
        <f aca="false">Sens!$D$1099+Sens!$D$1113-ext_sh_hi*Sens!$D$1034</f>
        <v>60.2799375433739</v>
      </c>
      <c r="E1117" s="38" t="n">
        <f aca="false">Sens!$E$1099+Sens!$E$1113-ext_sh_hi*Sens!$E$1034</f>
        <v>39.5095167090767</v>
      </c>
      <c r="F1117" s="38" t="n">
        <f aca="false">Sens!$F$1099+Sens!$F$1113-ext_sh_hi*Sens!$F$1034</f>
        <v>42.1074096292498</v>
      </c>
      <c r="G1117" s="38" t="n">
        <f aca="false">Sens!$G$1099+Sens!$G$1113-ext_sh_hi*Sens!$G$1034</f>
        <v>81.6169263383266</v>
      </c>
      <c r="H1117" s="38" t="n">
        <f aca="false">Sens!$H$1099+Sens!$H$1113-ext_sh_hi*Sens!$H$1034</f>
        <v>96.9140308269341</v>
      </c>
      <c r="I1117" s="38" t="n">
        <f aca="false">Sens!$I$1099+Sens!$I$1113-ext_sh_hi*Sens!$I$1034</f>
        <v>112.855234728373</v>
      </c>
      <c r="J1117" s="38" t="n">
        <f aca="false">Sens!$J$1099+Sens!$J$1113-ext_sh_hi*Sens!$J$1034</f>
        <v>126.651115165544</v>
      </c>
      <c r="K1117" s="38" t="n">
        <f aca="false">Sens!$K$1099+Sens!$K$1113-ext_sh_hi*Sens!$K$1034</f>
        <v>136.783204378787</v>
      </c>
      <c r="L1117" s="38" t="n">
        <f aca="false">Sens!$L$1099+Sens!$L$1113-ext_sh_hi*Sens!$L$1034</f>
        <v>147.72586072909</v>
      </c>
      <c r="M1117" s="38" t="n">
        <f aca="false">Sens!$M$1099+Sens!$M$1113-ext_sh_hi*Sens!$M$1034</f>
        <v>159.543929587418</v>
      </c>
      <c r="N1117" s="38" t="n">
        <f aca="false">Sens!$N$1099+Sens!$N$1113-ext_sh_hi*Sens!$N$1034</f>
        <v>28.5693781401809</v>
      </c>
      <c r="O1117" s="38" t="n">
        <f aca="false">Sens!$O$1099+Sens!$O$1113-ext_sh_hi*Sens!$O$1034</f>
        <v>31.7105594031931</v>
      </c>
    </row>
    <row r="1118" customFormat="false" ht="17.15" hidden="false" customHeight="false" outlineLevel="0" collapsed="false">
      <c r="A1118" s="0" t="s">
        <v>699</v>
      </c>
      <c r="B1118" s="0" t="s">
        <v>73</v>
      </c>
      <c r="C1118" s="38" t="n">
        <f aca="false">Sens!$C$1037</f>
        <v>1.80694998843362</v>
      </c>
      <c r="D1118" s="38" t="n">
        <f aca="false">Sens!$D$1037</f>
        <v>6.77606245662606</v>
      </c>
      <c r="E1118" s="38" t="n">
        <f aca="false">Sens!$E$1037</f>
        <v>6.62548329092326</v>
      </c>
      <c r="F1118" s="38" t="n">
        <f aca="false">Sens!$F$1037</f>
        <v>11.7200577158706</v>
      </c>
      <c r="G1118" s="38" t="n">
        <f aca="false">Sens!$G$1037</f>
        <v>18.3455410067939</v>
      </c>
      <c r="H1118" s="38" t="n">
        <f aca="false">Sens!$H$1037</f>
        <v>47.5171727060453</v>
      </c>
      <c r="I1118" s="38" t="n">
        <f aca="false">Sens!$I$1037</f>
        <v>80.5539692643667</v>
      </c>
      <c r="J1118" s="38" t="n">
        <f aca="false">Sens!$J$1037</f>
        <v>113.759316834883</v>
      </c>
      <c r="K1118" s="38" t="n">
        <f aca="false">Sens!$K$1037</f>
        <v>147.020848076132</v>
      </c>
      <c r="L1118" s="38" t="n">
        <f aca="false">Sens!$L$1037</f>
        <v>180.307917349531</v>
      </c>
      <c r="M1118" s="38" t="n">
        <f aca="false">Sens!$M$1037</f>
        <v>213.608737871012</v>
      </c>
      <c r="N1118" s="38" t="n">
        <f aca="false">Sens!$N$1037</f>
        <v>2.37162185981912</v>
      </c>
      <c r="O1118" s="38" t="n">
        <f aca="false">Sens!$O$1037</f>
        <v>4.40444059680694</v>
      </c>
    </row>
    <row r="1119" customFormat="false" ht="17.15" hidden="false" customHeight="false" outlineLevel="0" collapsed="false">
      <c r="A1119" s="0" t="s">
        <v>700</v>
      </c>
      <c r="B1119" s="0" t="s">
        <v>73</v>
      </c>
      <c r="C1119" s="38" t="n">
        <f aca="false">Sens!$C$1102+Sens!$C$1114</f>
        <v>100.66</v>
      </c>
      <c r="D1119" s="38" t="n">
        <f aca="false">Sens!$D$1102+Sens!$D$1114</f>
        <v>121.835</v>
      </c>
      <c r="E1119" s="38" t="n">
        <f aca="false">Sens!$E$1102+Sens!$E$1114</f>
        <v>78.016</v>
      </c>
      <c r="F1119" s="38" t="n">
        <f aca="false">Sens!$F$1102+Sens!$F$1114</f>
        <v>90.1508493564538</v>
      </c>
      <c r="G1119" s="38" t="n">
        <f aca="false">Sens!$G$1102+Sens!$G$1114</f>
        <v>168.166849356454</v>
      </c>
      <c r="H1119" s="38" t="n">
        <f aca="false">Sens!$H$1102+Sens!$H$1114</f>
        <v>224.307968673645</v>
      </c>
      <c r="I1119" s="38" t="n">
        <f aca="false">Sens!$I$1102+Sens!$I$1114</f>
        <v>285.951688497196</v>
      </c>
      <c r="J1119" s="38" t="n">
        <f aca="false">Sens!$J$1102+Sens!$J$1114</f>
        <v>345.059966999685</v>
      </c>
      <c r="K1119" s="38" t="n">
        <f aca="false">Sens!$K$1102+Sens!$K$1114</f>
        <v>399.236424815094</v>
      </c>
      <c r="L1119" s="38" t="n">
        <f aca="false">Sens!$L$1102+Sens!$L$1114</f>
        <v>453.516036080068</v>
      </c>
      <c r="M1119" s="38" t="n">
        <f aca="false">Sens!$M$1102+Sens!$M$1114</f>
        <v>509.607204647994</v>
      </c>
      <c r="N1119" s="38" t="n">
        <f aca="false">Sens!$N$1102+Sens!$N$1114</f>
        <v>56.398</v>
      </c>
      <c r="O1119" s="38" t="n">
        <f aca="false">Sens!$O$1102+Sens!$O$1114</f>
        <v>65.437</v>
      </c>
    </row>
    <row r="1120" customFormat="false" ht="17.15" hidden="false" customHeight="false" outlineLevel="0" collapsed="false">
      <c r="A1120" s="1" t="s">
        <v>701</v>
      </c>
    </row>
    <row r="1121" customFormat="false" ht="15" hidden="false" customHeight="false" outlineLevel="0" collapsed="false">
      <c r="A1121" s="5" t="s">
        <v>504</v>
      </c>
      <c r="B1121" s="0" t="s">
        <v>73</v>
      </c>
      <c r="C1121" s="38" t="n">
        <f aca="false">Q!$D$34</f>
        <v>2.406</v>
      </c>
      <c r="D1121" s="38" t="n">
        <f aca="false">Q!$E$34</f>
        <v>2.274</v>
      </c>
      <c r="E1121" s="38" t="n">
        <f aca="false">Q!$P$34</f>
        <v>2.114</v>
      </c>
      <c r="F1121" s="38" t="n">
        <f aca="false">Sens!$F$1157</f>
        <v>3.24888964316061</v>
      </c>
      <c r="G1121" s="38" t="n">
        <f aca="false">Sens!$E$1121+Sens!$F$1121</f>
        <v>5.36288964316061</v>
      </c>
      <c r="H1121" s="38" t="n">
        <f aca="false">Sens!$H$1157</f>
        <v>7.42354178632123</v>
      </c>
      <c r="I1121" s="38" t="n">
        <f aca="false">Sens!$I$1157</f>
        <v>7.42354178632123</v>
      </c>
      <c r="J1121" s="38" t="n">
        <f aca="false">Sens!$J$1157</f>
        <v>7.42354178632123</v>
      </c>
      <c r="K1121" s="38" t="n">
        <f aca="false">Sens!$K$1157</f>
        <v>7.42354178632123</v>
      </c>
      <c r="L1121" s="38" t="n">
        <f aca="false">Sens!$L$1157</f>
        <v>7.42354178632123</v>
      </c>
      <c r="M1121" s="38" t="n">
        <f aca="false">Sens!$M$1157</f>
        <v>7.42354178632123</v>
      </c>
      <c r="N1121" s="38" t="n">
        <f aca="false">Q!$N$34</f>
        <v>1.057</v>
      </c>
      <c r="O1121" s="38" t="n">
        <f aca="false">Q!$O$34</f>
        <v>1.217</v>
      </c>
    </row>
    <row r="1122" customFormat="false" ht="15" hidden="false" customHeight="false" outlineLevel="0" collapsed="false">
      <c r="A1122" s="5" t="s">
        <v>702</v>
      </c>
      <c r="B1122" s="0" t="s">
        <v>73</v>
      </c>
      <c r="F1122" s="38" t="n">
        <f aca="false">Sens!$F$1158</f>
        <v>2.59</v>
      </c>
      <c r="H1122" s="38" t="n">
        <f aca="false">Sens!$H$1158</f>
        <v>4.39189161827253</v>
      </c>
      <c r="I1122" s="38" t="n">
        <f aca="false">Sens!$I$1158</f>
        <v>4.13439182641109</v>
      </c>
      <c r="J1122" s="38" t="n">
        <f aca="false">Sens!$J$1158</f>
        <v>5.81657215410559</v>
      </c>
      <c r="K1122" s="38" t="n">
        <f aca="false">Sens!$K$1158</f>
        <v>9.47866159717561</v>
      </c>
      <c r="L1122" s="38" t="n">
        <f aca="false">Sens!$L$1158</f>
        <v>15.0665181638667</v>
      </c>
      <c r="M1122" s="38" t="n">
        <f aca="false">Sens!$M$1158</f>
        <v>21.5646333209188</v>
      </c>
    </row>
    <row r="1123" customFormat="false" ht="17.15" hidden="false" customHeight="false" outlineLevel="0" collapsed="false">
      <c r="A1123" s="5" t="s">
        <v>703</v>
      </c>
      <c r="B1123" s="0" t="s">
        <v>73</v>
      </c>
      <c r="C1123" s="38" t="n">
        <f aca="false">Q!$D$39</f>
        <v>2.427</v>
      </c>
      <c r="D1123" s="38" t="n">
        <f aca="false">Q!$E$39</f>
        <v>19.61</v>
      </c>
      <c r="E1123" s="38" t="n">
        <f aca="false">Q!$P$39</f>
        <v>71.492</v>
      </c>
      <c r="F1123" s="41" t="n">
        <v>0</v>
      </c>
      <c r="G1123" s="38" t="n">
        <f aca="false">Sens!$E$1123+Sens!$F$1123</f>
        <v>71.492</v>
      </c>
      <c r="H1123" s="41" t="n">
        <v>0</v>
      </c>
      <c r="I1123" s="41" t="n">
        <v>0</v>
      </c>
      <c r="J1123" s="41" t="n">
        <v>0</v>
      </c>
      <c r="K1123" s="41" t="n">
        <v>0</v>
      </c>
      <c r="L1123" s="41" t="n">
        <v>0</v>
      </c>
      <c r="M1123" s="41" t="n">
        <v>0</v>
      </c>
      <c r="N1123" s="38" t="n">
        <f aca="false">Q!$N$39</f>
        <v>6.017</v>
      </c>
      <c r="O1123" s="38" t="n">
        <f aca="false">Q!$O$39</f>
        <v>13.593</v>
      </c>
      <c r="P1123" s="5" t="s">
        <v>704</v>
      </c>
    </row>
    <row r="1124" customFormat="false" ht="15" hidden="false" customHeight="false" outlineLevel="0" collapsed="false">
      <c r="A1124" s="5" t="s">
        <v>507</v>
      </c>
      <c r="B1124" s="0" t="s">
        <v>73</v>
      </c>
      <c r="C1124" s="38" t="n">
        <f aca="false">Q!$D$36</f>
        <v>68.614</v>
      </c>
      <c r="D1124" s="38" t="n">
        <f aca="false">Q!$E$36</f>
        <v>97.311</v>
      </c>
      <c r="E1124" s="38" t="n">
        <f aca="false">Q!$P$36</f>
        <v>120.691</v>
      </c>
      <c r="F1124" s="38" t="n">
        <f aca="false">Sens!$F$1102-Sens!$F$1121+Sens!$F$1122+Sens!$F$1123</f>
        <v>58.9163590891056</v>
      </c>
      <c r="G1124" s="38" t="n">
        <f aca="false">Sens!$E$1124+Sens!$F$1124</f>
        <v>179.607359089106</v>
      </c>
      <c r="H1124" s="38" t="n">
        <f aca="false">Sens!$H$1102-Sens!$H$1121+Sens!$H$1122+Sens!$H$1123</f>
        <v>135.083825778927</v>
      </c>
      <c r="I1124" s="38" t="n">
        <f aca="false">Sens!$I$1102-Sens!$I$1121+Sens!$I$1122+Sens!$I$1123</f>
        <v>167.499834399851</v>
      </c>
      <c r="J1124" s="38" t="n">
        <f aca="false">Sens!$J$1102-Sens!$J$1121+Sens!$J$1122+Sens!$J$1123</f>
        <v>199.275527093608</v>
      </c>
      <c r="K1124" s="38" t="n">
        <f aca="false">Sens!$K$1102-Sens!$K$1121+Sens!$K$1122+Sens!$K$1123</f>
        <v>228.864495390832</v>
      </c>
      <c r="L1124" s="38" t="n">
        <f aca="false">Sens!$L$1102-Sens!$L$1121+Sens!$L$1122+Sens!$L$1123</f>
        <v>262.319329516185</v>
      </c>
      <c r="M1124" s="38" t="n">
        <f aca="false">Sens!$M$1102-Sens!$M$1121+Sens!$M$1122+Sens!$M$1123</f>
        <v>298.614104078992</v>
      </c>
      <c r="N1124" s="38" t="n">
        <f aca="false">Q!$N$36</f>
        <v>42.536</v>
      </c>
      <c r="O1124" s="38" t="n">
        <f aca="false">Q!$O$36</f>
        <v>54.775</v>
      </c>
    </row>
    <row r="1125" customFormat="false" ht="15" hidden="false" customHeight="false" outlineLevel="0" collapsed="false">
      <c r="A1125" s="5" t="s">
        <v>508</v>
      </c>
      <c r="B1125" s="0" t="s">
        <v>73</v>
      </c>
      <c r="C1125" s="38" t="n">
        <f aca="false">Q!$D$37</f>
        <v>9.265</v>
      </c>
      <c r="D1125" s="38" t="n">
        <f aca="false">Q!$E$37</f>
        <v>19.087</v>
      </c>
      <c r="E1125" s="38" t="n">
        <f aca="false">Q!$P$37</f>
        <v>27.759</v>
      </c>
      <c r="F1125" s="38" t="n">
        <f aca="false">Sens!$F$1124*tax</f>
        <v>10.2269683027168</v>
      </c>
      <c r="G1125" s="38" t="n">
        <f aca="false">Sens!$E$1125+Sens!$F$1125</f>
        <v>37.9859683027168</v>
      </c>
      <c r="H1125" s="38" t="n">
        <f aca="false">Sens!$H$1124*tax</f>
        <v>23.4484619519922</v>
      </c>
      <c r="I1125" s="38" t="n">
        <f aca="false">Sens!$I$1124*tax</f>
        <v>29.0753794633983</v>
      </c>
      <c r="J1125" s="38" t="n">
        <f aca="false">Sens!$J$1124*tax</f>
        <v>34.5911480376994</v>
      </c>
      <c r="K1125" s="38" t="n">
        <f aca="false">Sens!$K$1124*tax</f>
        <v>39.7273350927775</v>
      </c>
      <c r="L1125" s="38" t="n">
        <f aca="false">Sens!$L$1124*tax</f>
        <v>45.5345766376119</v>
      </c>
      <c r="M1125" s="38" t="n">
        <f aca="false">Sens!$M$1124*tax</f>
        <v>51.8347878989136</v>
      </c>
      <c r="N1125" s="38" t="n">
        <f aca="false">Q!$N$37</f>
        <v>7.231</v>
      </c>
      <c r="O1125" s="38" t="n">
        <f aca="false">Q!$O$37</f>
        <v>11.856</v>
      </c>
    </row>
    <row r="1126" customFormat="false" ht="15" hidden="false" customHeight="false" outlineLevel="0" collapsed="false">
      <c r="A1126" s="3" t="s">
        <v>509</v>
      </c>
      <c r="B1126" s="8" t="s">
        <v>73</v>
      </c>
      <c r="C1126" s="38" t="n">
        <f aca="false">Q!$D$38</f>
        <v>59.248</v>
      </c>
      <c r="D1126" s="38" t="n">
        <f aca="false">Q!$E$38</f>
        <v>77.67</v>
      </c>
      <c r="E1126" s="38" t="n">
        <f aca="false">Q!$P$38</f>
        <v>92.902</v>
      </c>
      <c r="F1126" s="38" t="n">
        <f aca="false">Sens!$F$1124-Sens!$F$1125</f>
        <v>48.6893907863888</v>
      </c>
      <c r="G1126" s="38" t="n">
        <f aca="false">Sens!$E$1126+Sens!$F$1126</f>
        <v>141.591390786389</v>
      </c>
      <c r="H1126" s="38" t="n">
        <f aca="false">Sens!$H$1124-Sens!$H$1125</f>
        <v>111.635363826935</v>
      </c>
      <c r="I1126" s="38" t="n">
        <f aca="false">Sens!$I$1124-Sens!$I$1125</f>
        <v>138.424454936452</v>
      </c>
      <c r="J1126" s="38" t="n">
        <f aca="false">Sens!$J$1124-Sens!$J$1125</f>
        <v>164.684379055909</v>
      </c>
      <c r="K1126" s="38" t="n">
        <f aca="false">Sens!$K$1124-Sens!$K$1125</f>
        <v>189.137160298055</v>
      </c>
      <c r="L1126" s="38" t="n">
        <f aca="false">Sens!$L$1124-Sens!$L$1125</f>
        <v>216.784752878573</v>
      </c>
      <c r="M1126" s="38" t="n">
        <f aca="false">Sens!$M$1124-Sens!$M$1125</f>
        <v>246.779316180079</v>
      </c>
      <c r="N1126" s="38" t="n">
        <f aca="false">Q!$N$38</f>
        <v>35.291</v>
      </c>
      <c r="O1126" s="38" t="n">
        <f aca="false">Q!$O$38</f>
        <v>42.379</v>
      </c>
    </row>
    <row r="1127" customFormat="false" ht="17.15" hidden="false" customHeight="false" outlineLevel="0" collapsed="false">
      <c r="A1127" s="5" t="s">
        <v>512</v>
      </c>
      <c r="B1127" s="5" t="s">
        <v>33</v>
      </c>
      <c r="C1127" s="22" t="n">
        <f aca="false">Q!$D$41</f>
        <v>10.721</v>
      </c>
      <c r="D1127" s="22" t="n">
        <f aca="false">Q!$E$41</f>
        <v>10.827</v>
      </c>
      <c r="E1127" s="22" t="n">
        <f aca="false">(Q!$L$41+Q!$M$41)/2</f>
        <v>10.8885</v>
      </c>
      <c r="F1127" s="22" t="n">
        <f aca="false">Sens!$G$1127</f>
        <v>10.924806</v>
      </c>
      <c r="G1127" s="22" t="n">
        <f aca="false">Q!$M$41*(1+sh_g*0.25)</f>
        <v>10.924806</v>
      </c>
      <c r="H1127" s="22" t="n">
        <f aca="false">Sens!$G$1127*(1+sh_g)</f>
        <v>11.012204448</v>
      </c>
      <c r="I1127" s="22" t="n">
        <f aca="false">Sens!$H$1127*(1+sh_g)</f>
        <v>11.100302083584</v>
      </c>
      <c r="J1127" s="22" t="n">
        <f aca="false">Sens!$I$1127*(1+sh_g)</f>
        <v>11.1891045002527</v>
      </c>
      <c r="K1127" s="22" t="n">
        <f aca="false">Sens!$J$1127*(1+sh_g)</f>
        <v>11.2786173362547</v>
      </c>
      <c r="L1127" s="22" t="n">
        <f aca="false">Sens!$K$1127*(1+sh_g)</f>
        <v>11.3688462749447</v>
      </c>
      <c r="M1127" s="22" t="n">
        <f aca="false">Sens!$L$1127*(1+sh_g)</f>
        <v>11.4597970451443</v>
      </c>
      <c r="P1127" s="5" t="s">
        <v>705</v>
      </c>
    </row>
    <row r="1128" customFormat="false" ht="17.15" hidden="false" customHeight="false" outlineLevel="0" collapsed="false">
      <c r="A1128" s="42" t="s">
        <v>706</v>
      </c>
      <c r="B1128" s="13" t="s">
        <v>27</v>
      </c>
      <c r="C1128" s="43" t="n">
        <f aca="false">Sens!$C$1126/Sens!$C$1127</f>
        <v>5.52635015390355</v>
      </c>
      <c r="D1128" s="43" t="n">
        <f aca="false">Sens!$D$1126/Sens!$D$1127</f>
        <v>7.1737323358271</v>
      </c>
      <c r="E1128" s="43" t="n">
        <f aca="false">Sens!$E$1126/Sens!$E$1127</f>
        <v>8.53212104513937</v>
      </c>
      <c r="F1128" s="13"/>
      <c r="G1128" s="43" t="n">
        <f aca="false">Sens!$G$1126/Sens!$G$1127</f>
        <v>12.9605405154461</v>
      </c>
      <c r="H1128" s="43" t="n">
        <f aca="false">Sens!$H$1126/Sens!$H$1127</f>
        <v>10.1374220170067</v>
      </c>
      <c r="I1128" s="43" t="n">
        <f aca="false">Sens!$I$1126/Sens!$I$1127</f>
        <v>12.4703322390807</v>
      </c>
      <c r="J1128" s="43" t="n">
        <f aca="false">Sens!$J$1126/Sens!$J$1127</f>
        <v>14.7182805426645</v>
      </c>
      <c r="K1128" s="43" t="n">
        <f aca="false">Sens!$K$1126/Sens!$K$1127</f>
        <v>16.7695343018758</v>
      </c>
      <c r="L1128" s="43" t="n">
        <f aca="false">Sens!$L$1126/Sens!$L$1127</f>
        <v>19.0683159606384</v>
      </c>
      <c r="M1128" s="43" t="n">
        <f aca="false">Sens!$M$1126/Sens!$M$1127</f>
        <v>21.5343531135783</v>
      </c>
      <c r="N1128" s="13"/>
      <c r="O1128" s="13"/>
    </row>
    <row r="1129" customFormat="false" ht="17.15" hidden="false" customHeight="false" outlineLevel="0" collapsed="false">
      <c r="A1129" s="0" t="s">
        <v>707</v>
      </c>
      <c r="B1129" s="0" t="s">
        <v>27</v>
      </c>
      <c r="C1129" s="30" t="n">
        <f aca="false">(Sens!$C$1126-Sens!$C$1123*(1-tax))/Sens!$C$1127</f>
        <v>5.33926775917445</v>
      </c>
      <c r="D1129" s="30" t="n">
        <f aca="false">(Sens!$D$1126-Sens!$D$1123*(1-tax))/Sens!$D$1127</f>
        <v>5.67691812755503</v>
      </c>
      <c r="E1129" s="30" t="n">
        <f aca="false">(Sens!$E$1126-Sens!$E$1123*(1-tax))/Sens!$E$1127</f>
        <v>3.10602057006846</v>
      </c>
      <c r="G1129" s="30" t="n">
        <f aca="false">(Sens!$G$1126-Sens!$G$1123*(1-tax))/Sens!$G$1127</f>
        <v>7.55247239754914</v>
      </c>
      <c r="H1129" s="30" t="n">
        <f aca="false">(Sens!$H$1126-Sens!$H$1123*(1-tax))/Sens!$H$1127</f>
        <v>10.1374220170067</v>
      </c>
      <c r="I1129" s="30" t="n">
        <f aca="false">(Sens!$I$1126-Sens!$I$1123*(1-tax))/Sens!$I$1127</f>
        <v>12.4703322390807</v>
      </c>
      <c r="J1129" s="30" t="n">
        <f aca="false">(Sens!$J$1126-Sens!$J$1123*(1-tax))/Sens!$J$1127</f>
        <v>14.7182805426645</v>
      </c>
      <c r="K1129" s="30" t="n">
        <f aca="false">(Sens!$K$1126-Sens!$K$1123*(1-tax))/Sens!$K$1127</f>
        <v>16.7695343018758</v>
      </c>
      <c r="L1129" s="30" t="n">
        <f aca="false">(Sens!$L$1126-Sens!$L$1123*(1-tax))/Sens!$L$1127</f>
        <v>19.0683159606384</v>
      </c>
      <c r="M1129" s="30" t="n">
        <f aca="false">(Sens!$M$1126-Sens!$M$1123*(1-tax))/Sens!$M$1127</f>
        <v>21.5343531135783</v>
      </c>
      <c r="P1129" s="5" t="s">
        <v>708</v>
      </c>
    </row>
    <row r="1130" customFormat="false" ht="17.15" hidden="false" customHeight="false" outlineLevel="0" collapsed="false">
      <c r="A1130" s="0" t="s">
        <v>709</v>
      </c>
      <c r="B1130" s="0" t="s">
        <v>52</v>
      </c>
      <c r="H1130" s="12" t="n">
        <f aca="false">Sens!$H$1128/Sens!$G$1128-1</f>
        <v>-0.217824132803322</v>
      </c>
      <c r="I1130" s="12" t="n">
        <f aca="false">Sens!$I$1128/Sens!$H$1128-1</f>
        <v>0.230128549266296</v>
      </c>
      <c r="J1130" s="12" t="n">
        <f aca="false">Sens!$J$1128/Sens!$I$1128-1</f>
        <v>0.180263705929097</v>
      </c>
      <c r="K1130" s="12" t="n">
        <f aca="false">Sens!$K$1128/Sens!$J$1128-1</f>
        <v>0.139367757888924</v>
      </c>
      <c r="L1130" s="12" t="n">
        <f aca="false">Sens!$L$1128/Sens!$K$1128-1</f>
        <v>0.137080828684994</v>
      </c>
      <c r="M1130" s="12" t="n">
        <f aca="false">Sens!$M$1128/Sens!$L$1128-1</f>
        <v>0.129326425995374</v>
      </c>
    </row>
    <row r="1133" customFormat="false" ht="19.4" hidden="false" customHeight="false" outlineLevel="0" collapsed="false">
      <c r="A1133" s="31" t="s">
        <v>1068</v>
      </c>
    </row>
    <row r="1134" customFormat="false" ht="17.15" hidden="false" customHeight="false" outlineLevel="0" collapsed="false">
      <c r="A1134" s="6" t="s">
        <v>16</v>
      </c>
      <c r="B1134" s="6" t="s">
        <v>17</v>
      </c>
      <c r="C1134" s="20" t="s">
        <v>457</v>
      </c>
      <c r="D1134" s="20" t="s">
        <v>458</v>
      </c>
      <c r="E1134" s="20" t="s">
        <v>540</v>
      </c>
      <c r="F1134" s="20" t="s">
        <v>541</v>
      </c>
      <c r="G1134" s="20" t="s">
        <v>542</v>
      </c>
      <c r="H1134" s="20" t="s">
        <v>543</v>
      </c>
      <c r="I1134" s="20" t="s">
        <v>544</v>
      </c>
      <c r="J1134" s="20" t="s">
        <v>545</v>
      </c>
      <c r="K1134" s="20" t="s">
        <v>546</v>
      </c>
      <c r="L1134" s="20" t="s">
        <v>547</v>
      </c>
      <c r="M1134" s="20" t="s">
        <v>548</v>
      </c>
      <c r="N1134" s="20" t="s">
        <v>549</v>
      </c>
      <c r="O1134" s="20" t="s">
        <v>550</v>
      </c>
      <c r="P1134" s="6" t="s">
        <v>23</v>
      </c>
      <c r="R1134" s="20" t="n">
        <v>2023</v>
      </c>
      <c r="S1134" s="20" t="n">
        <v>2024</v>
      </c>
      <c r="T1134" s="20" t="n">
        <v>2025</v>
      </c>
      <c r="U1134" s="20" t="n">
        <v>2026</v>
      </c>
      <c r="V1134" s="20" t="n">
        <v>2027</v>
      </c>
      <c r="W1134" s="20" t="n">
        <v>2028</v>
      </c>
      <c r="X1134" s="20" t="n">
        <v>2029</v>
      </c>
      <c r="Y1134" s="20" t="n">
        <v>2030</v>
      </c>
      <c r="Z1134" s="20" t="n">
        <v>2031</v>
      </c>
      <c r="AA1134" s="20" t="n">
        <v>2032</v>
      </c>
    </row>
    <row r="1135" customFormat="false" ht="15" hidden="false" customHeight="false" outlineLevel="0" collapsed="false">
      <c r="A1135" s="5" t="s">
        <v>509</v>
      </c>
      <c r="B1135" s="0" t="s">
        <v>73</v>
      </c>
      <c r="C1135" s="38" t="n">
        <f aca="false">Sens!$C$1126</f>
        <v>59.248</v>
      </c>
      <c r="D1135" s="38" t="n">
        <f aca="false">Sens!$D$1126</f>
        <v>77.67</v>
      </c>
      <c r="E1135" s="38" t="n">
        <f aca="false">Sens!$E$1126</f>
        <v>92.902</v>
      </c>
      <c r="F1135" s="38" t="n">
        <f aca="false">Sens!$F$1126</f>
        <v>48.6893907863888</v>
      </c>
      <c r="G1135" s="38" t="n">
        <f aca="false">Sens!$G$1126</f>
        <v>141.591390786389</v>
      </c>
      <c r="H1135" s="38" t="n">
        <f aca="false">Sens!$H$1126</f>
        <v>111.635363826935</v>
      </c>
      <c r="I1135" s="38" t="n">
        <f aca="false">Sens!$I$1126</f>
        <v>138.424454936452</v>
      </c>
      <c r="J1135" s="38" t="n">
        <f aca="false">Sens!$J$1126</f>
        <v>164.684379055909</v>
      </c>
      <c r="K1135" s="38" t="n">
        <f aca="false">Sens!$K$1126</f>
        <v>189.137160298055</v>
      </c>
      <c r="L1135" s="38" t="n">
        <f aca="false">Sens!$L$1126</f>
        <v>216.784752878573</v>
      </c>
      <c r="M1135" s="38" t="n">
        <f aca="false">Sens!$M$1126</f>
        <v>246.779316180079</v>
      </c>
    </row>
    <row r="1136" customFormat="false" ht="17.15" hidden="false" customHeight="false" outlineLevel="0" collapsed="false">
      <c r="A1136" s="5" t="s">
        <v>731</v>
      </c>
      <c r="B1136" s="0" t="s">
        <v>73</v>
      </c>
      <c r="C1136" s="38" t="n">
        <f aca="false">Sens!$C$1114</f>
        <v>32.067</v>
      </c>
      <c r="D1136" s="38" t="n">
        <f aca="false">Sens!$D$1114</f>
        <v>41.86</v>
      </c>
      <c r="E1136" s="38" t="n">
        <f aca="false">Sens!$E$1114</f>
        <v>26.703</v>
      </c>
      <c r="F1136" s="38" t="n">
        <f aca="false">Sens!$F$1114</f>
        <v>30.5756006241876</v>
      </c>
      <c r="G1136" s="38" t="n">
        <f aca="false">Sens!$G$1114</f>
        <v>57.2786006241876</v>
      </c>
      <c r="H1136" s="38" t="n">
        <f aca="false">Sens!$H$1114</f>
        <v>86.1924927266692</v>
      </c>
      <c r="I1136" s="38" t="n">
        <f aca="false">Sens!$I$1114</f>
        <v>115.162704137435</v>
      </c>
      <c r="J1136" s="38" t="n">
        <f aca="false">Sens!$J$1114</f>
        <v>144.177470273862</v>
      </c>
      <c r="K1136" s="38" t="n">
        <f aca="false">Sens!$K$1114</f>
        <v>172.427049235116</v>
      </c>
      <c r="L1136" s="38" t="n">
        <f aca="false">Sens!$L$1114</f>
        <v>198.839682941428</v>
      </c>
      <c r="M1136" s="38" t="n">
        <f aca="false">Sens!$M$1114</f>
        <v>225.134192103599</v>
      </c>
    </row>
    <row r="1137" customFormat="false" ht="15" hidden="false" customHeight="false" outlineLevel="0" collapsed="false">
      <c r="A1137" s="5" t="s">
        <v>732</v>
      </c>
      <c r="B1137" s="0" t="s">
        <v>73</v>
      </c>
      <c r="C1137" s="38" t="n">
        <f aca="false">Q!$D$48</f>
        <v>22.011</v>
      </c>
      <c r="D1137" s="38" t="n">
        <f aca="false">Q!$E$48</f>
        <v>19.467</v>
      </c>
      <c r="E1137" s="38" t="n">
        <f aca="false">Q!$P$48</f>
        <v>10.07</v>
      </c>
      <c r="F1137" s="38" t="n">
        <f aca="false">sbc_r*Sens!$F$1058</f>
        <v>11.2170714500462</v>
      </c>
      <c r="G1137" s="38" t="n">
        <f aca="false">Sens!$E$1137+Sens!$F$1137</f>
        <v>21.2870714500462</v>
      </c>
      <c r="H1137" s="38" t="n">
        <f aca="false">sbc_r*Sens!$H$1058</f>
        <v>24.1772394325528</v>
      </c>
      <c r="I1137" s="38" t="n">
        <f aca="false">sbc_r*Sens!$I$1058</f>
        <v>27.6495284422397</v>
      </c>
      <c r="J1137" s="38" t="n">
        <f aca="false">sbc_r*Sens!$J$1058</f>
        <v>30.9042211184633</v>
      </c>
      <c r="K1137" s="38" t="n">
        <f aca="false">sbc_r*Sens!$K$1058</f>
        <v>33.8004145402678</v>
      </c>
      <c r="L1137" s="38" t="n">
        <f aca="false">sbc_r*Sens!$L$1058</f>
        <v>36.8322537652494</v>
      </c>
      <c r="M1137" s="38" t="n">
        <f aca="false">sbc_r*Sens!$M$1058</f>
        <v>40.0097627968013</v>
      </c>
    </row>
    <row r="1138" customFormat="false" ht="17.15" hidden="false" customHeight="false" outlineLevel="0" collapsed="false">
      <c r="A1138" s="5" t="s">
        <v>733</v>
      </c>
      <c r="B1138" s="0" t="s">
        <v>73</v>
      </c>
      <c r="C1138" s="38" t="n">
        <f aca="false">Q!$D$44-Sens!$C$1135-Sens!$C$1136-Sens!$C$1137</f>
        <v>2.551</v>
      </c>
      <c r="D1138" s="38" t="n">
        <f aca="false">Q!$E$44-Sens!$D$1135-Sens!$D$1136-Sens!$D$1137</f>
        <v>0.51700000000001</v>
      </c>
      <c r="E1138" s="38" t="n">
        <f aca="false">Q!$P$44-Sens!$E$1135-Sens!$E$1136-Sens!$E$1137</f>
        <v>-58.256</v>
      </c>
      <c r="F1138" s="38" t="n">
        <f aca="false">wc_2h26+oth_r*Sens!$F$1058</f>
        <v>7.34599241893378</v>
      </c>
      <c r="G1138" s="38" t="n">
        <f aca="false">Sens!$E$1138+Sens!$F$1138</f>
        <v>-50.9100075810662</v>
      </c>
      <c r="H1138" s="38" t="n">
        <f aca="false">oth_r*Sens!$H$1058</f>
        <v>11.6369707537667</v>
      </c>
      <c r="I1138" s="38" t="n">
        <f aca="false">oth_r*Sens!$I$1058</f>
        <v>13.3082502961262</v>
      </c>
      <c r="J1138" s="38" t="n">
        <f aca="false">oth_r*Sens!$J$1058</f>
        <v>14.8747965344332</v>
      </c>
      <c r="K1138" s="38" t="n">
        <f aca="false">oth_r*Sens!$K$1058</f>
        <v>16.2687901804328</v>
      </c>
      <c r="L1138" s="38" t="n">
        <f aca="false">oth_r*Sens!$L$1058</f>
        <v>17.7280727627002</v>
      </c>
      <c r="M1138" s="38" t="n">
        <f aca="false">oth_r*Sens!$M$1058</f>
        <v>19.2574690270319</v>
      </c>
      <c r="P1138" s="8" t="s">
        <v>734</v>
      </c>
    </row>
    <row r="1139" customFormat="false" ht="15" hidden="false" customHeight="false" outlineLevel="0" collapsed="false">
      <c r="A1139" s="3" t="s">
        <v>515</v>
      </c>
      <c r="B1139" s="8" t="s">
        <v>73</v>
      </c>
      <c r="C1139" s="38" t="n">
        <f aca="false">Q!$D$44</f>
        <v>115.877</v>
      </c>
      <c r="D1139" s="38" t="n">
        <f aca="false">Q!$E$44</f>
        <v>139.514</v>
      </c>
      <c r="E1139" s="38" t="n">
        <f aca="false">Q!$P$44</f>
        <v>71.419</v>
      </c>
      <c r="F1139" s="38" t="n">
        <f aca="false">Sens!$F$1135+Sens!$F$1136+Sens!$F$1137+Sens!$F$1138</f>
        <v>97.8280552795564</v>
      </c>
      <c r="G1139" s="38" t="n">
        <f aca="false">Sens!$E$1139+Sens!$F$1139</f>
        <v>169.247055279556</v>
      </c>
      <c r="H1139" s="38" t="n">
        <f aca="false">Sens!$H$1135+Sens!$H$1136+Sens!$H$1137+Sens!$H$1138</f>
        <v>233.642066739924</v>
      </c>
      <c r="I1139" s="38" t="n">
        <f aca="false">Sens!$I$1135+Sens!$I$1136+Sens!$I$1137+Sens!$I$1138</f>
        <v>294.544937812253</v>
      </c>
      <c r="J1139" s="38" t="n">
        <f aca="false">Sens!$J$1135+Sens!$J$1136+Sens!$J$1137+Sens!$J$1138</f>
        <v>354.640866982667</v>
      </c>
      <c r="K1139" s="38" t="n">
        <f aca="false">Sens!$K$1135+Sens!$K$1136+Sens!$K$1137+Sens!$K$1138</f>
        <v>411.633414253872</v>
      </c>
      <c r="L1139" s="38" t="n">
        <f aca="false">Sens!$L$1135+Sens!$L$1136+Sens!$L$1137+Sens!$L$1138</f>
        <v>470.184762347951</v>
      </c>
      <c r="M1139" s="38" t="n">
        <f aca="false">Sens!$M$1135+Sens!$M$1136+Sens!$M$1137+Sens!$M$1138</f>
        <v>531.180740107511</v>
      </c>
    </row>
    <row r="1140" customFormat="false" ht="17.15" hidden="false" customHeight="false" outlineLevel="0" collapsed="false">
      <c r="A1140" s="5" t="s">
        <v>735</v>
      </c>
      <c r="B1140" s="0" t="s">
        <v>73</v>
      </c>
      <c r="C1140" s="38" t="n">
        <f aca="false">Sens!$C$1027</f>
        <v>25.2781053077374</v>
      </c>
      <c r="D1140" s="38" t="n">
        <f aca="false">Sens!$D$1027</f>
        <v>69.5686316310026</v>
      </c>
      <c r="E1140" s="38" t="n">
        <f aca="false">Sens!$E$1027</f>
        <v>64.1899206485108</v>
      </c>
      <c r="F1140" s="38" t="n">
        <f aca="false">Sens!$F$1027</f>
        <v>86.8854234933474</v>
      </c>
      <c r="G1140" s="38" t="n">
        <f aca="false">Sens!$G$1027</f>
        <v>151.075344141858</v>
      </c>
      <c r="H1140" s="38" t="n">
        <f aca="false">Sens!$H$1027</f>
        <v>158.8570919558</v>
      </c>
      <c r="I1140" s="38" t="n">
        <f aca="false">Sens!$I$1027</f>
        <v>163.7171759284</v>
      </c>
      <c r="J1140" s="38" t="n">
        <f aca="false">Sens!$J$1027</f>
        <v>167.9065904884</v>
      </c>
      <c r="K1140" s="38" t="n">
        <f aca="false">Sens!$K$1027</f>
        <v>172.0960050484</v>
      </c>
      <c r="L1140" s="38" t="n">
        <f aca="false">Sens!$L$1027</f>
        <v>201.4219069684</v>
      </c>
      <c r="M1140" s="38" t="n">
        <f aca="false">Sens!$M$1027</f>
        <v>249.5006758126</v>
      </c>
    </row>
    <row r="1141" customFormat="false" ht="17.15" hidden="false" customHeight="false" outlineLevel="0" collapsed="false">
      <c r="A1141" s="5" t="s">
        <v>736</v>
      </c>
      <c r="B1141" s="0" t="s">
        <v>73</v>
      </c>
      <c r="C1141" s="38" t="n">
        <f aca="false">cx_awso*Sens!$C$1056</f>
        <v>21.0469989286053</v>
      </c>
      <c r="D1141" s="38" t="n">
        <f aca="false">cx_awso*Sens!$D$1056</f>
        <v>24.0042459822698</v>
      </c>
      <c r="E1141" s="38" t="n">
        <f aca="false">cx_awso*Sens!$E$1056</f>
        <v>14.261729404886</v>
      </c>
      <c r="F1141" s="38" t="n">
        <f aca="false">cx_awso*Sens!$F$1056</f>
        <v>15.7190020837331</v>
      </c>
      <c r="G1141" s="38" t="n">
        <f aca="false">Sens!$E$1141+Sens!$F$1141</f>
        <v>29.9807314886191</v>
      </c>
      <c r="H1141" s="38" t="n">
        <f aca="false">cx_awso*Sens!$H$1056</f>
        <v>36.1787121536283</v>
      </c>
      <c r="I1141" s="38" t="n">
        <f aca="false">cx_awso*Sens!$I$1056</f>
        <v>42.1296794430021</v>
      </c>
      <c r="J1141" s="38" t="n">
        <f aca="false">cx_awso*Sens!$J$1056</f>
        <v>47.279781889299</v>
      </c>
      <c r="K1141" s="38" t="n">
        <f aca="false">cx_awso*Sens!$K$1056</f>
        <v>51.0621644404429</v>
      </c>
      <c r="L1141" s="38" t="n">
        <f aca="false">cx_awso*Sens!$L$1056</f>
        <v>55.1471375956783</v>
      </c>
      <c r="M1141" s="38" t="n">
        <f aca="false">cx_awso*Sens!$M$1056</f>
        <v>59.5589086033326</v>
      </c>
    </row>
    <row r="1142" customFormat="false" ht="17.15" hidden="false" customHeight="false" outlineLevel="0" collapsed="false">
      <c r="A1142" s="5" t="s">
        <v>737</v>
      </c>
      <c r="B1142" s="0" t="s">
        <v>73</v>
      </c>
      <c r="C1142" s="38" t="n">
        <f aca="false">Q!$D$46-Sens!$C$1140-Sens!$C$1141</f>
        <v>31.3328957636573</v>
      </c>
      <c r="D1142" s="38" t="n">
        <f aca="false">Q!$E$46-Sens!$D$1140-Sens!$D$1141</f>
        <v>34.7471223867276</v>
      </c>
      <c r="E1142" s="38" t="n">
        <f aca="false">Q!$P$46-Sens!$E$1140-Sens!$E$1141</f>
        <v>17.8583499466032</v>
      </c>
      <c r="F1142" s="38" t="n">
        <f aca="false">cx_rt*Sens!$F$991</f>
        <v>21.0855744229195</v>
      </c>
      <c r="G1142" s="38" t="n">
        <f aca="false">Sens!$E$1142+Sens!$F$1142</f>
        <v>38.9439243695228</v>
      </c>
      <c r="H1142" s="38" t="n">
        <f aca="false">cx_rt*Sens!$H$991</f>
        <v>43.1200434029767</v>
      </c>
      <c r="I1142" s="38" t="n">
        <f aca="false">cx_rt*Sens!$I$991</f>
        <v>47.1583152318763</v>
      </c>
      <c r="J1142" s="38" t="n">
        <f aca="false">cx_rt*Sens!$J$991</f>
        <v>50.9060281137911</v>
      </c>
      <c r="K1142" s="38" t="n">
        <f aca="false">cx_rt*Sens!$K$991</f>
        <v>54.2035645673053</v>
      </c>
      <c r="L1142" s="38" t="n">
        <f aca="false">cx_rt*Sens!$L$991</f>
        <v>57.7318979121519</v>
      </c>
      <c r="M1142" s="38" t="n">
        <f aca="false">cx_rt*Sens!$M$991</f>
        <v>61.5084196557756</v>
      </c>
    </row>
    <row r="1143" customFormat="false" ht="15" hidden="false" customHeight="false" outlineLevel="0" collapsed="false">
      <c r="A1143" s="3" t="s">
        <v>738</v>
      </c>
      <c r="B1143" s="8" t="s">
        <v>73</v>
      </c>
      <c r="C1143" s="38" t="n">
        <f aca="false">Q!$D$46</f>
        <v>77.658</v>
      </c>
      <c r="D1143" s="38" t="n">
        <f aca="false">Q!$E$46</f>
        <v>128.32</v>
      </c>
      <c r="E1143" s="38" t="n">
        <f aca="false">Q!$P$46</f>
        <v>96.31</v>
      </c>
      <c r="F1143" s="38" t="n">
        <f aca="false">Sens!$F$1140+Sens!$F$1141+Sens!$F$1142</f>
        <v>123.69</v>
      </c>
      <c r="G1143" s="38" t="n">
        <f aca="false">Sens!$E$1143+Sens!$F$1143</f>
        <v>220</v>
      </c>
      <c r="H1143" s="38" t="n">
        <f aca="false">Sens!$H$1140+Sens!$H$1141+Sens!$H$1142</f>
        <v>238.155847512405</v>
      </c>
      <c r="I1143" s="38" t="n">
        <f aca="false">Sens!$I$1140+Sens!$I$1141+Sens!$I$1142</f>
        <v>253.005170603278</v>
      </c>
      <c r="J1143" s="38" t="n">
        <f aca="false">Sens!$J$1140+Sens!$J$1141+Sens!$J$1142</f>
        <v>266.09240049149</v>
      </c>
      <c r="K1143" s="38" t="n">
        <f aca="false">Sens!$K$1140+Sens!$K$1141+Sens!$K$1142</f>
        <v>277.361734056148</v>
      </c>
      <c r="L1143" s="38" t="n">
        <f aca="false">Sens!$L$1140+Sens!$L$1141+Sens!$L$1142</f>
        <v>314.30094247623</v>
      </c>
      <c r="M1143" s="38" t="n">
        <f aca="false">Sens!$M$1140+Sens!$M$1141+Sens!$M$1142</f>
        <v>370.568004071708</v>
      </c>
    </row>
    <row r="1144" customFormat="false" ht="17.15" hidden="false" customHeight="false" outlineLevel="0" collapsed="false">
      <c r="A1144" s="5" t="s">
        <v>523</v>
      </c>
      <c r="B1144" s="0" t="s">
        <v>73</v>
      </c>
      <c r="C1144" s="38" t="n">
        <f aca="false">Q!$D$50</f>
        <v>2.043</v>
      </c>
      <c r="D1144" s="38" t="n">
        <f aca="false">Q!$E$50</f>
        <v>1.557</v>
      </c>
      <c r="E1144" s="38" t="n">
        <f aca="false">lease_pr/2</f>
        <v>0.8</v>
      </c>
      <c r="F1144" s="38" t="n">
        <f aca="false">lease_pr/2</f>
        <v>0.8</v>
      </c>
      <c r="G1144" s="38" t="n">
        <f aca="false">Sens!$E$1144+Sens!$F$1144</f>
        <v>1.6</v>
      </c>
      <c r="H1144" s="38" t="n">
        <f aca="false">lease_pr</f>
        <v>1.6</v>
      </c>
      <c r="I1144" s="38" t="n">
        <f aca="false">lease_pr</f>
        <v>1.6</v>
      </c>
      <c r="J1144" s="38" t="n">
        <f aca="false">lease_pr</f>
        <v>1.6</v>
      </c>
      <c r="K1144" s="38" t="n">
        <f aca="false">lease_pr</f>
        <v>1.6</v>
      </c>
      <c r="L1144" s="38" t="n">
        <f aca="false">lease_pr</f>
        <v>1.6</v>
      </c>
      <c r="M1144" s="38" t="n">
        <f aca="false">lease_pr</f>
        <v>1.6</v>
      </c>
      <c r="P1144" s="8" t="s">
        <v>739</v>
      </c>
    </row>
    <row r="1145" customFormat="false" ht="15" hidden="false" customHeight="false" outlineLevel="0" collapsed="false">
      <c r="A1145" s="46" t="s">
        <v>740</v>
      </c>
      <c r="B1145" s="13" t="s">
        <v>73</v>
      </c>
      <c r="C1145" s="47" t="n">
        <f aca="false">Sens!$C$1139-Sens!$C$1143-Sens!$C$1144</f>
        <v>36.176</v>
      </c>
      <c r="D1145" s="47" t="n">
        <f aca="false">Sens!$D$1139-Sens!$D$1143-Sens!$D$1144</f>
        <v>9.63700000000002</v>
      </c>
      <c r="E1145" s="47" t="n">
        <f aca="false">Sens!$E$1139-Sens!$E$1143-Sens!$E$1144</f>
        <v>-25.691</v>
      </c>
      <c r="F1145" s="47" t="n">
        <f aca="false">Sens!$F$1139-Sens!$F$1143-Sens!$F$1144</f>
        <v>-26.6619447204436</v>
      </c>
      <c r="G1145" s="47" t="n">
        <f aca="false">Sens!$G$1139-Sens!$G$1143-Sens!$G$1144</f>
        <v>-52.3529447204436</v>
      </c>
      <c r="H1145" s="47" t="n">
        <f aca="false">Sens!$H$1139-Sens!$H$1143-Sens!$H$1144</f>
        <v>-6.11378077248162</v>
      </c>
      <c r="I1145" s="47" t="n">
        <f aca="false">Sens!$I$1139-Sens!$I$1143-Sens!$I$1144</f>
        <v>39.939767208975</v>
      </c>
      <c r="J1145" s="47" t="n">
        <f aca="false">Sens!$J$1139-Sens!$J$1143-Sens!$J$1144</f>
        <v>86.9484664911768</v>
      </c>
      <c r="K1145" s="47" t="n">
        <f aca="false">Sens!$K$1139-Sens!$K$1143-Sens!$K$1144</f>
        <v>132.671680197723</v>
      </c>
      <c r="L1145" s="47" t="n">
        <f aca="false">Sens!$L$1139-Sens!$L$1143-Sens!$L$1144</f>
        <v>154.283819871721</v>
      </c>
      <c r="M1145" s="47" t="n">
        <f aca="false">Sens!$M$1139-Sens!$M$1143-Sens!$M$1144</f>
        <v>159.012736035803</v>
      </c>
      <c r="N1145" s="13"/>
      <c r="O1145" s="13"/>
    </row>
    <row r="1146" customFormat="false" ht="17.15" hidden="false" customHeight="false" outlineLevel="0" collapsed="false">
      <c r="A1146" s="5" t="s">
        <v>741</v>
      </c>
      <c r="B1146" s="0" t="s">
        <v>73</v>
      </c>
      <c r="C1146" s="38" t="n">
        <f aca="false">dps*Sens!$C$1127</f>
        <v>0</v>
      </c>
      <c r="D1146" s="38" t="n">
        <f aca="false">dps*Sens!$D$1127</f>
        <v>0</v>
      </c>
      <c r="E1146" s="38" t="n">
        <f aca="false">dps*Sens!$E$1127</f>
        <v>0</v>
      </c>
      <c r="F1146" s="38" t="n">
        <f aca="false">0</f>
        <v>0</v>
      </c>
      <c r="G1146" s="38" t="n">
        <f aca="false">dps*Sens!$G$1127</f>
        <v>0</v>
      </c>
      <c r="H1146" s="38" t="n">
        <f aca="false">dps*Sens!$H$1127</f>
        <v>0</v>
      </c>
      <c r="I1146" s="38" t="n">
        <f aca="false">dps*Sens!$I$1127</f>
        <v>0</v>
      </c>
      <c r="J1146" s="38" t="n">
        <f aca="false">dps*Sens!$J$1127</f>
        <v>0</v>
      </c>
      <c r="K1146" s="38" t="n">
        <f aca="false">dps*Sens!$K$1127</f>
        <v>0</v>
      </c>
      <c r="L1146" s="38" t="n">
        <f aca="false">dps*Sens!$L$1127</f>
        <v>0</v>
      </c>
      <c r="M1146" s="38" t="n">
        <f aca="false">dps*Sens!$M$1127</f>
        <v>0</v>
      </c>
      <c r="P1146" s="8" t="s">
        <v>742</v>
      </c>
    </row>
    <row r="1147" customFormat="false" ht="17.15" hidden="false" customHeight="false" outlineLevel="0" collapsed="false">
      <c r="A1147" s="5" t="s">
        <v>743</v>
      </c>
      <c r="B1147" s="0" t="s">
        <v>73</v>
      </c>
      <c r="C1147" s="38" t="n">
        <f aca="false">0</f>
        <v>0</v>
      </c>
      <c r="D1147" s="38" t="n">
        <f aca="false">0</f>
        <v>0</v>
      </c>
      <c r="E1147" s="38" t="n">
        <f aca="false">0</f>
        <v>0</v>
      </c>
      <c r="F1147" s="38" t="n">
        <f aca="false">0</f>
        <v>0</v>
      </c>
      <c r="G1147" s="38" t="n">
        <f aca="false">0</f>
        <v>0</v>
      </c>
      <c r="H1147" s="38" t="n">
        <f aca="false">0</f>
        <v>0</v>
      </c>
      <c r="I1147" s="38" t="n">
        <f aca="false">0</f>
        <v>0</v>
      </c>
      <c r="J1147" s="38" t="n">
        <f aca="false">0</f>
        <v>0</v>
      </c>
      <c r="K1147" s="38" t="n">
        <f aca="false">0</f>
        <v>0</v>
      </c>
      <c r="L1147" s="38" t="n">
        <f aca="false">0</f>
        <v>0</v>
      </c>
      <c r="M1147" s="38" t="n">
        <f aca="false">0</f>
        <v>0</v>
      </c>
      <c r="P1147" s="8" t="s">
        <v>744</v>
      </c>
    </row>
    <row r="1148" customFormat="false" ht="15" hidden="false" customHeight="false" outlineLevel="0" collapsed="false">
      <c r="A1148" s="3" t="s">
        <v>745</v>
      </c>
      <c r="B1148" s="8" t="s">
        <v>73</v>
      </c>
      <c r="C1148" s="38" t="n">
        <f aca="false">Sens!$C$1145-Sens!$C$1146</f>
        <v>36.176</v>
      </c>
      <c r="D1148" s="38" t="n">
        <f aca="false">Sens!$D$1145-Sens!$D$1146</f>
        <v>9.63700000000002</v>
      </c>
      <c r="E1148" s="38" t="n">
        <f aca="false">Sens!$E$1145-Sens!$E$1146</f>
        <v>-25.691</v>
      </c>
      <c r="F1148" s="38" t="n">
        <f aca="false">Sens!$F$1145-Sens!$F$1146</f>
        <v>-26.6619447204436</v>
      </c>
      <c r="G1148" s="38" t="n">
        <f aca="false">Sens!$G$1145-Sens!$G$1146</f>
        <v>-52.3529447204436</v>
      </c>
      <c r="H1148" s="38" t="n">
        <f aca="false">Sens!$H$1145-Sens!$H$1146</f>
        <v>-6.11378077248162</v>
      </c>
      <c r="I1148" s="38" t="n">
        <f aca="false">Sens!$I$1145-Sens!$I$1146</f>
        <v>39.939767208975</v>
      </c>
      <c r="J1148" s="38" t="n">
        <f aca="false">Sens!$J$1145-Sens!$J$1146</f>
        <v>86.9484664911768</v>
      </c>
      <c r="K1148" s="38" t="n">
        <f aca="false">Sens!$K$1145-Sens!$K$1146</f>
        <v>132.671680197723</v>
      </c>
      <c r="L1148" s="38" t="n">
        <f aca="false">Sens!$L$1145-Sens!$L$1146</f>
        <v>154.283819871721</v>
      </c>
      <c r="M1148" s="38" t="n">
        <f aca="false">Sens!$M$1145-Sens!$M$1146</f>
        <v>159.012736035803</v>
      </c>
    </row>
    <row r="1149" customFormat="false" ht="17.15" hidden="false" customHeight="false" outlineLevel="0" collapsed="false">
      <c r="A1149" s="5" t="s">
        <v>746</v>
      </c>
      <c r="B1149" s="0" t="s">
        <v>73</v>
      </c>
      <c r="E1149" s="38" t="n">
        <f aca="false">Q!$P$53</f>
        <v>39.767</v>
      </c>
      <c r="F1149" s="38" t="n">
        <f aca="false">inv_2h26</f>
        <v>21.3</v>
      </c>
      <c r="G1149" s="38" t="n">
        <f aca="false">Sens!$E$1149+Sens!$F$1149</f>
        <v>61.067</v>
      </c>
      <c r="H1149" s="41" t="n">
        <v>0</v>
      </c>
      <c r="I1149" s="41" t="n">
        <v>0</v>
      </c>
      <c r="J1149" s="41" t="n">
        <v>0</v>
      </c>
      <c r="K1149" s="41" t="n">
        <v>0</v>
      </c>
      <c r="L1149" s="41" t="n">
        <v>0</v>
      </c>
      <c r="M1149" s="41" t="n">
        <v>0</v>
      </c>
    </row>
    <row r="1150" customFormat="false" ht="17.15" hidden="false" customHeight="false" outlineLevel="0" collapsed="false">
      <c r="A1150" s="5" t="s">
        <v>747</v>
      </c>
      <c r="B1150" s="0" t="s">
        <v>73</v>
      </c>
      <c r="F1150" s="38" t="n">
        <f aca="false">iss_2h26</f>
        <v>29.25</v>
      </c>
      <c r="G1150" s="38" t="n">
        <f aca="false">Sens!$F$1150</f>
        <v>29.25</v>
      </c>
      <c r="H1150" s="41" t="n">
        <v>0</v>
      </c>
      <c r="I1150" s="41" t="n">
        <v>0</v>
      </c>
      <c r="J1150" s="41" t="n">
        <v>0</v>
      </c>
      <c r="K1150" s="41" t="n">
        <v>0</v>
      </c>
      <c r="L1150" s="41" t="n">
        <v>0</v>
      </c>
      <c r="M1150" s="41" t="n">
        <v>0</v>
      </c>
    </row>
    <row r="1151" customFormat="false" ht="17.15" hidden="false" customHeight="false" outlineLevel="0" collapsed="false">
      <c r="A1151" s="5" t="s">
        <v>748</v>
      </c>
      <c r="B1151" s="0" t="s">
        <v>73</v>
      </c>
      <c r="F1151" s="38" t="n">
        <f aca="false">cash_q2</f>
        <v>122.988</v>
      </c>
      <c r="G1151" s="38" t="n">
        <f aca="false">cash_q2</f>
        <v>122.988</v>
      </c>
      <c r="H1151" s="38" t="n">
        <f aca="false">Sens!$G$1154</f>
        <v>104.276055279556</v>
      </c>
      <c r="I1151" s="38" t="n">
        <f aca="false">Sens!$H$1154</f>
        <v>98.1622745070748</v>
      </c>
      <c r="J1151" s="38" t="n">
        <f aca="false">Sens!$I$1154</f>
        <v>138.10204171605</v>
      </c>
      <c r="K1151" s="38" t="n">
        <f aca="false">Sens!$J$1154</f>
        <v>225.050508207227</v>
      </c>
      <c r="L1151" s="38" t="n">
        <f aca="false">Sens!$K$1154</f>
        <v>357.72218840495</v>
      </c>
      <c r="M1151" s="38" t="n">
        <f aca="false">Sens!$L$1154</f>
        <v>512.006008276671</v>
      </c>
    </row>
    <row r="1152" customFormat="false" ht="15" hidden="false" customHeight="false" outlineLevel="0" collapsed="false">
      <c r="A1152" s="5" t="s">
        <v>749</v>
      </c>
      <c r="B1152" s="0" t="s">
        <v>73</v>
      </c>
      <c r="F1152" s="38" t="n">
        <f aca="false">Sens!$F$1151+Sens!$F$1148-Sens!$F$1147-Sens!$F$1149+Sens!$F$1150</f>
        <v>104.276055279556</v>
      </c>
      <c r="H1152" s="38" t="n">
        <f aca="false">Sens!$H$1151+Sens!$H$1148-Sens!$H$1147-Sens!$H$1149+Sens!$H$1150</f>
        <v>98.1622745070748</v>
      </c>
      <c r="I1152" s="38" t="n">
        <f aca="false">Sens!$I$1151+Sens!$I$1148-Sens!$I$1147-Sens!$I$1149+Sens!$I$1150</f>
        <v>138.10204171605</v>
      </c>
      <c r="J1152" s="38" t="n">
        <f aca="false">Sens!$J$1151+Sens!$J$1148-Sens!$J$1147-Sens!$J$1149+Sens!$J$1150</f>
        <v>225.050508207227</v>
      </c>
      <c r="K1152" s="38" t="n">
        <f aca="false">Sens!$K$1151+Sens!$K$1148-Sens!$K$1147-Sens!$K$1149+Sens!$K$1150</f>
        <v>357.72218840495</v>
      </c>
      <c r="L1152" s="38" t="n">
        <f aca="false">Sens!$L$1151+Sens!$L$1148-Sens!$L$1147-Sens!$L$1149+Sens!$L$1150</f>
        <v>512.006008276671</v>
      </c>
      <c r="M1152" s="38" t="n">
        <f aca="false">Sens!$M$1151+Sens!$M$1148-Sens!$M$1147-Sens!$M$1149+Sens!$M$1150</f>
        <v>671.018744312474</v>
      </c>
    </row>
    <row r="1153" customFormat="false" ht="17.15" hidden="false" customHeight="false" outlineLevel="0" collapsed="false">
      <c r="A1153" s="5" t="s">
        <v>750</v>
      </c>
      <c r="B1153" s="0" t="s">
        <v>73</v>
      </c>
      <c r="F1153" s="38" t="n">
        <f aca="false">MAX(0,min_cash-Sens!$F$1152)</f>
        <v>0</v>
      </c>
      <c r="G1153" s="38" t="n">
        <f aca="false">Sens!$F$1153</f>
        <v>0</v>
      </c>
      <c r="H1153" s="38" t="n">
        <f aca="false">MAX(0,min_cash-Sens!$H$1152)</f>
        <v>0</v>
      </c>
      <c r="I1153" s="38" t="n">
        <f aca="false">MAX(0,min_cash-Sens!$I$1152)</f>
        <v>0</v>
      </c>
      <c r="J1153" s="38" t="n">
        <f aca="false">MAX(0,min_cash-Sens!$J$1152)</f>
        <v>0</v>
      </c>
      <c r="K1153" s="38" t="n">
        <f aca="false">MAX(0,min_cash-Sens!$K$1152)</f>
        <v>0</v>
      </c>
      <c r="L1153" s="38" t="n">
        <f aca="false">MAX(0,min_cash-Sens!$L$1152)</f>
        <v>0</v>
      </c>
      <c r="M1153" s="38" t="n">
        <f aca="false">MAX(0,min_cash-Sens!$M$1152)</f>
        <v>0</v>
      </c>
      <c r="P1153" s="5" t="s">
        <v>751</v>
      </c>
    </row>
    <row r="1154" customFormat="false" ht="15" hidden="false" customHeight="false" outlineLevel="0" collapsed="false">
      <c r="A1154" s="5" t="s">
        <v>752</v>
      </c>
      <c r="B1154" s="0" t="s">
        <v>73</v>
      </c>
      <c r="D1154" s="38" t="n">
        <f aca="false">Q!$E$61</f>
        <v>123.029</v>
      </c>
      <c r="E1154" s="38" t="n">
        <f aca="false">Q!$M$61</f>
        <v>122.988</v>
      </c>
      <c r="F1154" s="38" t="n">
        <f aca="false">Sens!$F$1152+Sens!$F$1153</f>
        <v>104.276055279556</v>
      </c>
      <c r="G1154" s="38" t="n">
        <f aca="false">Sens!$F$1154</f>
        <v>104.276055279556</v>
      </c>
      <c r="H1154" s="38" t="n">
        <f aca="false">Sens!$H$1152+Sens!$H$1153</f>
        <v>98.1622745070748</v>
      </c>
      <c r="I1154" s="38" t="n">
        <f aca="false">Sens!$I$1152+Sens!$I$1153</f>
        <v>138.10204171605</v>
      </c>
      <c r="J1154" s="38" t="n">
        <f aca="false">Sens!$J$1152+Sens!$J$1153</f>
        <v>225.050508207227</v>
      </c>
      <c r="K1154" s="38" t="n">
        <f aca="false">Sens!$K$1152+Sens!$K$1153</f>
        <v>357.72218840495</v>
      </c>
      <c r="L1154" s="38" t="n">
        <f aca="false">Sens!$L$1152+Sens!$L$1153</f>
        <v>512.006008276671</v>
      </c>
      <c r="M1154" s="38" t="n">
        <f aca="false">Sens!$M$1152+Sens!$M$1153</f>
        <v>671.018744312474</v>
      </c>
    </row>
    <row r="1155" customFormat="false" ht="15" hidden="false" customHeight="false" outlineLevel="0" collapsed="false">
      <c r="A1155" s="5" t="s">
        <v>753</v>
      </c>
      <c r="B1155" s="0" t="s">
        <v>73</v>
      </c>
      <c r="D1155" s="38" t="n">
        <f aca="false">Q!$E$62</f>
        <v>68.836</v>
      </c>
      <c r="E1155" s="38" t="n">
        <f aca="false">Q!$M$62</f>
        <v>132.995</v>
      </c>
      <c r="F1155" s="38" t="n">
        <f aca="false">debt_q2+Sens!$F$1150+Sens!$F$1153</f>
        <v>162.245</v>
      </c>
      <c r="G1155" s="38" t="n">
        <f aca="false">Sens!$F$1155</f>
        <v>162.245</v>
      </c>
      <c r="H1155" s="38" t="n">
        <f aca="false">Sens!$G$1155+Sens!$H$1153</f>
        <v>162.245</v>
      </c>
      <c r="I1155" s="38" t="n">
        <f aca="false">Sens!$H$1155+Sens!$I$1153</f>
        <v>162.245</v>
      </c>
      <c r="J1155" s="38" t="n">
        <f aca="false">Sens!$I$1155+Sens!$J$1153</f>
        <v>162.245</v>
      </c>
      <c r="K1155" s="38" t="n">
        <f aca="false">Sens!$J$1155+Sens!$K$1153</f>
        <v>162.245</v>
      </c>
      <c r="L1155" s="38" t="n">
        <f aca="false">Sens!$K$1155+Sens!$L$1153</f>
        <v>162.245</v>
      </c>
      <c r="M1155" s="38" t="n">
        <f aca="false">Sens!$L$1155+Sens!$M$1153</f>
        <v>162.245</v>
      </c>
    </row>
    <row r="1156" customFormat="false" ht="15" hidden="false" customHeight="false" outlineLevel="0" collapsed="false">
      <c r="A1156" s="5" t="s">
        <v>754</v>
      </c>
      <c r="B1156" s="0" t="s">
        <v>73</v>
      </c>
      <c r="D1156" s="38" t="n">
        <f aca="false">Sens!$D$1155-Sens!$D$1154</f>
        <v>-54.193</v>
      </c>
      <c r="E1156" s="38" t="n">
        <f aca="false">Sens!$E$1155-Sens!$E$1154</f>
        <v>10.007</v>
      </c>
      <c r="F1156" s="38" t="n">
        <f aca="false">Sens!$F$1155-Sens!$F$1154</f>
        <v>57.9689447204436</v>
      </c>
      <c r="G1156" s="38" t="n">
        <f aca="false">Sens!$G$1155-Sens!$G$1154</f>
        <v>57.9689447204436</v>
      </c>
      <c r="H1156" s="38" t="n">
        <f aca="false">Sens!$H$1155-Sens!$H$1154</f>
        <v>64.0827254929252</v>
      </c>
      <c r="I1156" s="38" t="n">
        <f aca="false">Sens!$I$1155-Sens!$I$1154</f>
        <v>24.1429582839502</v>
      </c>
      <c r="J1156" s="38" t="n">
        <f aca="false">Sens!$J$1155-Sens!$J$1154</f>
        <v>-62.8055082072266</v>
      </c>
      <c r="K1156" s="38" t="n">
        <f aca="false">Sens!$K$1155-Sens!$K$1154</f>
        <v>-195.47718840495</v>
      </c>
      <c r="L1156" s="38" t="n">
        <f aca="false">Sens!$L$1155-Sens!$L$1154</f>
        <v>-349.761008276671</v>
      </c>
      <c r="M1156" s="38" t="n">
        <f aca="false">Sens!$M$1155-Sens!$M$1154</f>
        <v>-508.773744312474</v>
      </c>
    </row>
    <row r="1157" customFormat="false" ht="17.15" hidden="false" customHeight="false" outlineLevel="0" collapsed="false">
      <c r="A1157" s="5" t="s">
        <v>755</v>
      </c>
      <c r="B1157" s="0" t="s">
        <v>73</v>
      </c>
      <c r="F1157" s="38" t="n">
        <f aca="false">debt_q2*kd_book*0.5+iss_2h26*kd_new*0.25</f>
        <v>3.24888964316061</v>
      </c>
      <c r="H1157" s="38" t="n">
        <f aca="false">debt_q2*kd_book+(Sens!$G$1155-debt_q2)*kd_new</f>
        <v>7.42354178632123</v>
      </c>
      <c r="I1157" s="38" t="n">
        <f aca="false">debt_q2*kd_book+(Sens!$H$1155-debt_q2)*kd_new</f>
        <v>7.42354178632123</v>
      </c>
      <c r="J1157" s="38" t="n">
        <f aca="false">debt_q2*kd_book+(Sens!$I$1155-debt_q2)*kd_new</f>
        <v>7.42354178632123</v>
      </c>
      <c r="K1157" s="38" t="n">
        <f aca="false">debt_q2*kd_book+(Sens!$J$1155-debt_q2)*kd_new</f>
        <v>7.42354178632123</v>
      </c>
      <c r="L1157" s="38" t="n">
        <f aca="false">debt_q2*kd_book+(Sens!$K$1155-debt_q2)*kd_new</f>
        <v>7.42354178632123</v>
      </c>
      <c r="M1157" s="38" t="n">
        <f aca="false">debt_q2*kd_book+(Sens!$L$1155-debt_q2)*kd_new</f>
        <v>7.42354178632123</v>
      </c>
    </row>
    <row r="1158" customFormat="false" ht="17.15" hidden="false" customHeight="false" outlineLevel="0" collapsed="false">
      <c r="A1158" s="5" t="s">
        <v>756</v>
      </c>
      <c r="B1158" s="0" t="s">
        <v>73</v>
      </c>
      <c r="F1158" s="38" t="n">
        <f aca="false">cash_q2*y_cash*0.5</f>
        <v>2.59</v>
      </c>
      <c r="H1158" s="38" t="n">
        <f aca="false">Sens!$G$1154*y_cash</f>
        <v>4.39189161827253</v>
      </c>
      <c r="I1158" s="38" t="n">
        <f aca="false">Sens!$H$1154*y_cash</f>
        <v>4.13439182641109</v>
      </c>
      <c r="J1158" s="38" t="n">
        <f aca="false">Sens!$I$1154*y_cash</f>
        <v>5.81657215410559</v>
      </c>
      <c r="K1158" s="38" t="n">
        <f aca="false">Sens!$J$1154*y_cash</f>
        <v>9.47866159717561</v>
      </c>
      <c r="L1158" s="38" t="n">
        <f aca="false">Sens!$K$1154*y_cash</f>
        <v>15.0665181638667</v>
      </c>
      <c r="M1158" s="38" t="n">
        <f aca="false">Sens!$L$1154*y_cash</f>
        <v>21.5646333209188</v>
      </c>
    </row>
    <row r="1159" customFormat="false" ht="17.15" hidden="false" customHeight="false" outlineLevel="0" collapsed="false">
      <c r="A1159" s="46" t="s">
        <v>757</v>
      </c>
      <c r="B1159" s="13" t="s">
        <v>73</v>
      </c>
      <c r="C1159" s="13"/>
      <c r="D1159" s="13"/>
      <c r="E1159" s="13"/>
      <c r="F1159" s="13"/>
      <c r="G1159" s="47" t="n">
        <f aca="false">SUM(Sens!$G$1148:$K$1148)</f>
        <v>201.09318840495</v>
      </c>
      <c r="H1159" s="13"/>
      <c r="I1159" s="13"/>
      <c r="J1159" s="13"/>
      <c r="K1159" s="13"/>
      <c r="L1159" s="13"/>
      <c r="M1159" s="13"/>
      <c r="N1159" s="13"/>
      <c r="O1159" s="13"/>
    </row>
    <row r="1160" customFormat="false" ht="17.15" hidden="false" customHeight="false" outlineLevel="0" collapsed="false">
      <c r="A1160" s="0" t="s">
        <v>724</v>
      </c>
      <c r="B1160" s="0" t="s">
        <v>73</v>
      </c>
      <c r="G1160" s="38" t="n">
        <f aca="false">SUM(Sens!$G$1153:$K$1153)</f>
        <v>0</v>
      </c>
    </row>
    <row r="1163" customFormat="false" ht="19.4" hidden="false" customHeight="false" outlineLevel="0" collapsed="false">
      <c r="A1163" s="31" t="s">
        <v>1069</v>
      </c>
    </row>
    <row r="1164" customFormat="false" ht="17.15" hidden="false" customHeight="false" outlineLevel="0" collapsed="false">
      <c r="A1164" s="6" t="s">
        <v>16</v>
      </c>
      <c r="B1164" s="6" t="s">
        <v>17</v>
      </c>
      <c r="C1164" s="20" t="s">
        <v>457</v>
      </c>
      <c r="D1164" s="20" t="s">
        <v>458</v>
      </c>
      <c r="E1164" s="20" t="s">
        <v>540</v>
      </c>
      <c r="F1164" s="20" t="s">
        <v>541</v>
      </c>
      <c r="G1164" s="20" t="s">
        <v>542</v>
      </c>
      <c r="H1164" s="20" t="s">
        <v>543</v>
      </c>
      <c r="I1164" s="20" t="s">
        <v>544</v>
      </c>
      <c r="J1164" s="20" t="s">
        <v>545</v>
      </c>
      <c r="K1164" s="20" t="s">
        <v>546</v>
      </c>
      <c r="L1164" s="20" t="s">
        <v>547</v>
      </c>
      <c r="M1164" s="20" t="s">
        <v>548</v>
      </c>
      <c r="N1164" s="20" t="s">
        <v>549</v>
      </c>
      <c r="O1164" s="20" t="s">
        <v>550</v>
      </c>
      <c r="P1164" s="6" t="s">
        <v>23</v>
      </c>
      <c r="R1164" s="20" t="n">
        <v>2023</v>
      </c>
      <c r="S1164" s="20" t="n">
        <v>2024</v>
      </c>
      <c r="T1164" s="20" t="n">
        <v>2025</v>
      </c>
      <c r="U1164" s="20" t="n">
        <v>2026</v>
      </c>
      <c r="V1164" s="20" t="n">
        <v>2027</v>
      </c>
      <c r="W1164" s="20" t="n">
        <v>2028</v>
      </c>
      <c r="X1164" s="20" t="n">
        <v>2029</v>
      </c>
      <c r="Y1164" s="20" t="n">
        <v>2030</v>
      </c>
      <c r="Z1164" s="20" t="n">
        <v>2031</v>
      </c>
      <c r="AA1164" s="20" t="n">
        <v>2032</v>
      </c>
    </row>
    <row r="1165" customFormat="false" ht="17.15" hidden="false" customHeight="false" outlineLevel="0" collapsed="false">
      <c r="A1165" s="1" t="s">
        <v>852</v>
      </c>
    </row>
    <row r="1166" customFormat="false" ht="17.15" hidden="false" customHeight="false" outlineLevel="0" collapsed="false">
      <c r="A1166" s="0" t="s">
        <v>853</v>
      </c>
      <c r="B1166" s="0" t="s">
        <v>73</v>
      </c>
      <c r="H1166" s="38" t="n">
        <f aca="false">Sens!$H$1102*(1-tax)</f>
        <v>114.140766435682</v>
      </c>
      <c r="I1166" s="38" t="n">
        <f aca="false">Sens!$I$1102*(1-tax)</f>
        <v>141.142659357586</v>
      </c>
      <c r="J1166" s="38" t="n">
        <f aca="false">Sens!$J$1102*(1-tax)</f>
        <v>166.012403625222</v>
      </c>
      <c r="K1166" s="38" t="n">
        <f aca="false">Sens!$K$1102*(1-tax)</f>
        <v>187.438777486717</v>
      </c>
      <c r="L1166" s="38" t="n">
        <f aca="false">Sens!$L$1102*(1-tax)</f>
        <v>210.4684789375</v>
      </c>
      <c r="M1166" s="38" t="n">
        <f aca="false">Sens!$M$1102*(1-tax)</f>
        <v>235.092899325419</v>
      </c>
    </row>
    <row r="1167" customFormat="false" ht="15" hidden="false" customHeight="false" outlineLevel="0" collapsed="false">
      <c r="A1167" s="5" t="s">
        <v>854</v>
      </c>
      <c r="B1167" s="0" t="s">
        <v>73</v>
      </c>
      <c r="H1167" s="38" t="n">
        <f aca="false">Sens!$H$1114</f>
        <v>86.1924927266692</v>
      </c>
      <c r="I1167" s="38" t="n">
        <f aca="false">Sens!$I$1114</f>
        <v>115.162704137435</v>
      </c>
      <c r="J1167" s="38" t="n">
        <f aca="false">Sens!$J$1114</f>
        <v>144.177470273862</v>
      </c>
      <c r="K1167" s="38" t="n">
        <f aca="false">Sens!$K$1114</f>
        <v>172.427049235116</v>
      </c>
      <c r="L1167" s="38" t="n">
        <f aca="false">Sens!$L$1114</f>
        <v>198.839682941428</v>
      </c>
      <c r="M1167" s="38" t="n">
        <f aca="false">Sens!$M$1114</f>
        <v>225.134192103599</v>
      </c>
    </row>
    <row r="1168" customFormat="false" ht="15" hidden="false" customHeight="false" outlineLevel="0" collapsed="false">
      <c r="A1168" s="5" t="s">
        <v>855</v>
      </c>
      <c r="B1168" s="0" t="s">
        <v>73</v>
      </c>
      <c r="H1168" s="38" t="n">
        <f aca="false">Sens!$H$1143</f>
        <v>238.155847512405</v>
      </c>
      <c r="I1168" s="38" t="n">
        <f aca="false">Sens!$I$1143</f>
        <v>253.005170603278</v>
      </c>
      <c r="J1168" s="38" t="n">
        <f aca="false">Sens!$J$1143</f>
        <v>266.09240049149</v>
      </c>
      <c r="K1168" s="38" t="n">
        <f aca="false">Sens!$K$1143</f>
        <v>277.361734056148</v>
      </c>
      <c r="L1168" s="38" t="n">
        <f aca="false">Sens!$L$1143</f>
        <v>314.30094247623</v>
      </c>
      <c r="M1168" s="38" t="n">
        <f aca="false">Sens!$M$1143</f>
        <v>370.568004071708</v>
      </c>
    </row>
    <row r="1169" customFormat="false" ht="15" hidden="false" customHeight="false" outlineLevel="0" collapsed="false">
      <c r="A1169" s="5" t="s">
        <v>856</v>
      </c>
      <c r="B1169" s="0" t="s">
        <v>73</v>
      </c>
      <c r="H1169" s="38" t="n">
        <f aca="false">Sens!$H$1144</f>
        <v>1.6</v>
      </c>
      <c r="I1169" s="38" t="n">
        <f aca="false">Sens!$I$1144</f>
        <v>1.6</v>
      </c>
      <c r="J1169" s="38" t="n">
        <f aca="false">Sens!$J$1144</f>
        <v>1.6</v>
      </c>
      <c r="K1169" s="38" t="n">
        <f aca="false">Sens!$K$1144</f>
        <v>1.6</v>
      </c>
      <c r="L1169" s="38" t="n">
        <f aca="false">Sens!$L$1144</f>
        <v>1.6</v>
      </c>
      <c r="M1169" s="38" t="n">
        <f aca="false">Sens!$M$1144</f>
        <v>1.6</v>
      </c>
    </row>
    <row r="1170" customFormat="false" ht="15" hidden="false" customHeight="false" outlineLevel="0" collapsed="false">
      <c r="A1170" s="5" t="s">
        <v>857</v>
      </c>
      <c r="B1170" s="0" t="s">
        <v>73</v>
      </c>
      <c r="H1170" s="38" t="n">
        <f aca="false">Sens!$H$1138</f>
        <v>11.6369707537667</v>
      </c>
      <c r="I1170" s="38" t="n">
        <f aca="false">Sens!$I$1138</f>
        <v>13.3082502961262</v>
      </c>
      <c r="J1170" s="38" t="n">
        <f aca="false">Sens!$J$1138</f>
        <v>14.8747965344332</v>
      </c>
      <c r="K1170" s="38" t="n">
        <f aca="false">Sens!$K$1138</f>
        <v>16.2687901804328</v>
      </c>
      <c r="L1170" s="38" t="n">
        <f aca="false">Sens!$L$1138</f>
        <v>17.7280727627002</v>
      </c>
      <c r="M1170" s="38" t="n">
        <f aca="false">Sens!$M$1138</f>
        <v>19.2574690270319</v>
      </c>
    </row>
    <row r="1171" customFormat="false" ht="17.15" hidden="false" customHeight="false" outlineLevel="0" collapsed="false">
      <c r="A1171" s="1" t="s">
        <v>858</v>
      </c>
      <c r="B1171" s="8" t="s">
        <v>73</v>
      </c>
      <c r="H1171" s="38" t="n">
        <f aca="false">Sens!$H$1166+Sens!$H$1167-Sens!$H$1168-Sens!$H$1169+Sens!$H$1170</f>
        <v>-27.785617596287</v>
      </c>
      <c r="I1171" s="38" t="n">
        <f aca="false">Sens!$I$1166+Sens!$I$1167-Sens!$I$1168-Sens!$I$1169+Sens!$I$1170</f>
        <v>15.0084431878689</v>
      </c>
      <c r="J1171" s="38" t="n">
        <f aca="false">Sens!$J$1166+Sens!$J$1167-Sens!$J$1168-Sens!$J$1169+Sens!$J$1170</f>
        <v>57.3722699420267</v>
      </c>
      <c r="K1171" s="38" t="n">
        <f aca="false">Sens!$K$1166+Sens!$K$1167-Sens!$K$1168-Sens!$K$1169+Sens!$K$1170</f>
        <v>97.1728828461178</v>
      </c>
      <c r="L1171" s="38" t="n">
        <f aca="false">Sens!$L$1166+Sens!$L$1167-Sens!$L$1168-Sens!$L$1169+Sens!$L$1170</f>
        <v>111.135292165398</v>
      </c>
      <c r="M1171" s="38" t="n">
        <f aca="false">Sens!$M$1166+Sens!$M$1167-Sens!$M$1168-Sens!$M$1169+Sens!$M$1170</f>
        <v>107.316556384342</v>
      </c>
    </row>
    <row r="1172" customFormat="false" ht="15" hidden="false" customHeight="false" outlineLevel="0" collapsed="false">
      <c r="A1172" s="5" t="s">
        <v>859</v>
      </c>
      <c r="B1172" s="0" t="s">
        <v>57</v>
      </c>
      <c r="H1172" s="51" t="n">
        <f aca="false">1/(1+wacc)^(2027-2026-0.5)</f>
        <v>0.942858177653364</v>
      </c>
      <c r="I1172" s="51" t="n">
        <f aca="false">1/(1+wacc)^(2028-2026-0.5)</f>
        <v>0.838183517758688</v>
      </c>
      <c r="J1172" s="51" t="n">
        <f aca="false">1/(1+wacc)^(2029-2026-0.5)</f>
        <v>0.745129677074952</v>
      </c>
      <c r="K1172" s="51" t="n">
        <f aca="false">1/(1+wacc)^(2030-2026-0.5)</f>
        <v>0.662406530186232</v>
      </c>
      <c r="L1172" s="51" t="n">
        <f aca="false">1/(1+wacc)^(2031-2026-0.5)</f>
        <v>0.588867179409399</v>
      </c>
      <c r="M1172" s="51" t="n">
        <f aca="false">1/(1+wacc)^(2032-2026-0.5)</f>
        <v>0.52349205387225</v>
      </c>
    </row>
    <row r="1173" customFormat="false" ht="15" hidden="false" customHeight="false" outlineLevel="0" collapsed="false">
      <c r="A1173" s="5" t="s">
        <v>860</v>
      </c>
      <c r="B1173" s="0" t="s">
        <v>73</v>
      </c>
      <c r="H1173" s="38" t="n">
        <f aca="false">Sens!$H$1171*Sens!$H$1172</f>
        <v>-26.1978967718084</v>
      </c>
      <c r="I1173" s="38" t="n">
        <f aca="false">Sens!$I$1171*Sens!$I$1172</f>
        <v>12.5798297072894</v>
      </c>
      <c r="J1173" s="38" t="n">
        <f aca="false">Sens!$J$1171*Sens!$J$1172</f>
        <v>42.7497809749593</v>
      </c>
      <c r="K1173" s="38" t="n">
        <f aca="false">Sens!$K$1171*Sens!$K$1172</f>
        <v>64.3679521542901</v>
      </c>
      <c r="L1173" s="38" t="n">
        <f aca="false">Sens!$L$1171*Sens!$L$1172</f>
        <v>65.4439260302774</v>
      </c>
      <c r="M1173" s="38" t="n">
        <f aca="false">Sens!$M$1171*Sens!$M$1172</f>
        <v>56.1793645161363</v>
      </c>
    </row>
    <row r="1174" customFormat="false" ht="15" hidden="false" customHeight="false" outlineLevel="0" collapsed="false">
      <c r="A1174" s="5" t="s">
        <v>861</v>
      </c>
      <c r="B1174" s="0" t="s">
        <v>73</v>
      </c>
      <c r="C1174" s="38" t="n">
        <f aca="false">SUM(Sens!$H$1173:$M$1173)</f>
        <v>215.122956611144</v>
      </c>
    </row>
    <row r="1175" customFormat="false" ht="17.15" hidden="false" customHeight="false" outlineLevel="0" collapsed="false">
      <c r="A1175" s="5" t="s">
        <v>862</v>
      </c>
      <c r="B1175" s="0" t="s">
        <v>73</v>
      </c>
      <c r="C1175" s="38" t="n">
        <f aca="false">Sens!$M$1166*(1+tg)*(1-tg/ronic)/(wacc-tg)</f>
        <v>1938.98430968479</v>
      </c>
    </row>
    <row r="1176" customFormat="false" ht="15" hidden="false" customHeight="false" outlineLevel="0" collapsed="false">
      <c r="A1176" s="5" t="s">
        <v>863</v>
      </c>
      <c r="B1176" s="0" t="s">
        <v>73</v>
      </c>
      <c r="C1176" s="38" t="n">
        <f aca="false">Sens!$C$1175/(1+wacc)^6</f>
        <v>957.041478853898</v>
      </c>
    </row>
    <row r="1177" customFormat="false" ht="17.15" hidden="false" customHeight="false" outlineLevel="0" collapsed="false">
      <c r="A1177" s="5" t="s">
        <v>864</v>
      </c>
      <c r="B1177" s="0" t="s">
        <v>73</v>
      </c>
      <c r="C1177" s="38" t="n">
        <f aca="false">Sens!$C$1174+Sens!$C$1176</f>
        <v>1172.16443546504</v>
      </c>
    </row>
    <row r="1178" customFormat="false" ht="17.15" hidden="false" customHeight="false" outlineLevel="0" collapsed="false">
      <c r="A1178" s="5" t="s">
        <v>865</v>
      </c>
      <c r="B1178" s="0" t="s">
        <v>52</v>
      </c>
      <c r="C1178" s="12" t="n">
        <f aca="false">Sens!$C$1176/Sens!$C$1177</f>
        <v>0.816473738579352</v>
      </c>
    </row>
    <row r="1179" customFormat="false" ht="17.15" hidden="false" customHeight="false" outlineLevel="0" collapsed="false">
      <c r="A1179" s="5" t="s">
        <v>866</v>
      </c>
      <c r="B1179" s="0" t="s">
        <v>73</v>
      </c>
      <c r="C1179" s="38" t="n">
        <f aca="false">Sens!$G$1156</f>
        <v>57.9689447204436</v>
      </c>
    </row>
    <row r="1180" customFormat="false" ht="17.15" hidden="false" customHeight="false" outlineLevel="0" collapsed="false">
      <c r="A1180" s="5" t="s">
        <v>867</v>
      </c>
      <c r="B1180" s="0" t="s">
        <v>73</v>
      </c>
      <c r="C1180" s="38" t="n">
        <f aca="false">(ant_val*ant_sh+oai_val*oai_sh)*(1-liq_disc)</f>
        <v>178.944</v>
      </c>
    </row>
    <row r="1181" customFormat="false" ht="15" hidden="false" customHeight="false" outlineLevel="0" collapsed="false">
      <c r="A1181" s="5" t="s">
        <v>868</v>
      </c>
      <c r="B1181" s="0" t="s">
        <v>73</v>
      </c>
      <c r="C1181" s="38" t="n">
        <f aca="false">Sens!$C$1177-Sens!$C$1179+Sens!$C$1180</f>
        <v>1293.1394907446</v>
      </c>
    </row>
    <row r="1182" customFormat="false" ht="17.15" hidden="false" customHeight="false" outlineLevel="0" collapsed="false">
      <c r="A1182" s="5" t="s">
        <v>869</v>
      </c>
      <c r="B1182" s="0" t="s">
        <v>27</v>
      </c>
      <c r="C1182" s="30" t="n">
        <f aca="false">Sens!$C$1181/sh_val</f>
        <v>117.235057020553</v>
      </c>
    </row>
    <row r="1183" customFormat="false" ht="17.15" hidden="false" customHeight="false" outlineLevel="0" collapsed="false">
      <c r="A1183" s="1" t="s">
        <v>870</v>
      </c>
      <c r="B1183" s="8" t="s">
        <v>27</v>
      </c>
      <c r="C1183" s="30" t="n">
        <f aca="false">Sens!$C$1182*(1+ke)^tp_yf</f>
        <v>129.479663221762</v>
      </c>
    </row>
    <row r="1184" customFormat="false" ht="17.15" hidden="false" customHeight="false" outlineLevel="0" collapsed="false">
      <c r="A1184" s="3" t="s">
        <v>871</v>
      </c>
    </row>
    <row r="1185" customFormat="false" ht="17.15" hidden="false" customHeight="false" outlineLevel="0" collapsed="false">
      <c r="A1185" s="5" t="s">
        <v>872</v>
      </c>
      <c r="B1185" s="0" t="s">
        <v>73</v>
      </c>
      <c r="C1185" s="38" t="n">
        <f aca="false">0.25*Sens!$H$1115+0.75*Sens!$I$1115</f>
        <v>57.5541093268329</v>
      </c>
    </row>
    <row r="1186" customFormat="false" ht="15" hidden="false" customHeight="false" outlineLevel="0" collapsed="false">
      <c r="A1186" s="5" t="s">
        <v>873</v>
      </c>
      <c r="B1186" s="0" t="s">
        <v>57</v>
      </c>
      <c r="C1186" s="30" t="n">
        <f aca="false">m_ads*m_x</f>
        <v>9.11</v>
      </c>
    </row>
    <row r="1187" customFormat="false" ht="17.15" hidden="false" customHeight="false" outlineLevel="0" collapsed="false">
      <c r="A1187" s="5" t="s">
        <v>874</v>
      </c>
      <c r="B1187" s="0" t="s">
        <v>73</v>
      </c>
      <c r="C1187" s="38" t="n">
        <f aca="false">Sens!$C$1185*Sens!$C$1186</f>
        <v>524.317935967448</v>
      </c>
    </row>
    <row r="1188" customFormat="false" ht="17.15" hidden="false" customHeight="false" outlineLevel="0" collapsed="false">
      <c r="A1188" s="5" t="s">
        <v>875</v>
      </c>
      <c r="B1188" s="0" t="s">
        <v>73</v>
      </c>
      <c r="C1188" s="38" t="n">
        <f aca="false">0.25*Sens!$H$1116+0.75*Sens!$I$1116</f>
        <v>31.8219453366759</v>
      </c>
    </row>
    <row r="1189" customFormat="false" ht="15" hidden="false" customHeight="false" outlineLevel="0" collapsed="false">
      <c r="A1189" s="5" t="s">
        <v>876</v>
      </c>
      <c r="B1189" s="0" t="s">
        <v>57</v>
      </c>
      <c r="C1189" s="30" t="n">
        <f aca="false">m_retail*m_x</f>
        <v>17.72</v>
      </c>
    </row>
    <row r="1190" customFormat="false" ht="17.15" hidden="false" customHeight="false" outlineLevel="0" collapsed="false">
      <c r="A1190" s="5" t="s">
        <v>877</v>
      </c>
      <c r="B1190" s="0" t="s">
        <v>73</v>
      </c>
      <c r="C1190" s="38" t="n">
        <f aca="false">Sens!$C$1188*Sens!$C$1189</f>
        <v>563.884871365896</v>
      </c>
    </row>
    <row r="1191" customFormat="false" ht="17.15" hidden="false" customHeight="false" outlineLevel="0" collapsed="false">
      <c r="A1191" s="0" t="s">
        <v>878</v>
      </c>
      <c r="B1191" s="0" t="s">
        <v>73</v>
      </c>
      <c r="C1191" s="38" t="n">
        <f aca="false">0.25*Sens!$H$1117+0.75*Sens!$I$1117</f>
        <v>108.869933753013</v>
      </c>
    </row>
    <row r="1192" customFormat="false" ht="17.15" hidden="false" customHeight="false" outlineLevel="0" collapsed="false">
      <c r="A1192" s="0" t="s">
        <v>879</v>
      </c>
      <c r="B1192" s="0" t="s">
        <v>57</v>
      </c>
      <c r="C1192" s="30" t="n">
        <f aca="false">m_cloud*m_x</f>
        <v>13.82</v>
      </c>
    </row>
    <row r="1193" customFormat="false" ht="17.15" hidden="false" customHeight="false" outlineLevel="0" collapsed="false">
      <c r="A1193" s="0" t="s">
        <v>880</v>
      </c>
      <c r="B1193" s="0" t="s">
        <v>73</v>
      </c>
      <c r="C1193" s="38" t="n">
        <f aca="false">Sens!$C$1191*Sens!$C$1192</f>
        <v>1504.58248446664</v>
      </c>
    </row>
    <row r="1194" customFormat="false" ht="17.15" hidden="false" customHeight="false" outlineLevel="0" collapsed="false">
      <c r="A1194" s="0" t="s">
        <v>881</v>
      </c>
      <c r="B1194" s="0" t="s">
        <v>73</v>
      </c>
      <c r="C1194" s="38" t="n">
        <f aca="false">0.25*Sens!$H$1118+0.75*Sens!$I$1118</f>
        <v>72.2947701247864</v>
      </c>
    </row>
    <row r="1195" customFormat="false" ht="17.15" hidden="false" customHeight="false" outlineLevel="0" collapsed="false">
      <c r="A1195" s="0" t="s">
        <v>882</v>
      </c>
      <c r="B1195" s="0" t="s">
        <v>57</v>
      </c>
      <c r="C1195" s="30" t="n">
        <f aca="false">m_ai</f>
        <v>6</v>
      </c>
    </row>
    <row r="1196" customFormat="false" ht="17.15" hidden="false" customHeight="false" outlineLevel="0" collapsed="false">
      <c r="A1196" s="0" t="s">
        <v>883</v>
      </c>
      <c r="B1196" s="0" t="s">
        <v>73</v>
      </c>
      <c r="C1196" s="38" t="n">
        <f aca="false">Sens!$C$1194*Sens!$C$1195</f>
        <v>433.768620748718</v>
      </c>
    </row>
    <row r="1197" customFormat="false" ht="17.15" hidden="false" customHeight="false" outlineLevel="0" collapsed="false">
      <c r="A1197" s="5" t="s">
        <v>884</v>
      </c>
      <c r="B1197" s="0" t="s">
        <v>73</v>
      </c>
      <c r="C1197" s="38" t="n">
        <f aca="false">Sens!$C$1187+Sens!$C$1190+Sens!$C$1193+Sens!$C$1196</f>
        <v>3026.5539125487</v>
      </c>
    </row>
    <row r="1198" customFormat="false" ht="17.15" hidden="false" customHeight="false" outlineLevel="0" collapsed="false">
      <c r="A1198" s="5" t="s">
        <v>885</v>
      </c>
      <c r="B1198" s="0" t="s">
        <v>73</v>
      </c>
      <c r="C1198" s="38" t="n">
        <f aca="false">Sens!$H$1156</f>
        <v>64.0827254929252</v>
      </c>
    </row>
    <row r="1199" customFormat="false" ht="15" hidden="false" customHeight="false" outlineLevel="0" collapsed="false">
      <c r="A1199" s="5" t="s">
        <v>886</v>
      </c>
      <c r="B1199" s="0" t="s">
        <v>73</v>
      </c>
      <c r="C1199" s="38" t="n">
        <f aca="false">Sens!$C$1197-Sens!$C$1198+Sens!$C$1180</f>
        <v>3141.41518705578</v>
      </c>
    </row>
    <row r="1200" customFormat="false" ht="15" hidden="false" customHeight="false" outlineLevel="0" collapsed="false">
      <c r="A1200" s="3" t="s">
        <v>887</v>
      </c>
      <c r="B1200" s="8" t="s">
        <v>27</v>
      </c>
      <c r="C1200" s="30" t="n">
        <f aca="false">Sens!$C$1199/sh_val</f>
        <v>284.798346362196</v>
      </c>
    </row>
    <row r="1201" customFormat="false" ht="17.15" hidden="false" customHeight="false" outlineLevel="0" collapsed="false">
      <c r="A1201" s="46" t="s">
        <v>888</v>
      </c>
      <c r="B1201" s="13" t="s">
        <v>27</v>
      </c>
      <c r="C1201" s="43" t="n">
        <f aca="false">w_dcf*Sens!$C$1183+(1-w_dcf)*Sens!$C$1200</f>
        <v>207.139004791979</v>
      </c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  <c r="N1201" s="13"/>
      <c r="O1201" s="13"/>
    </row>
    <row r="1202" customFormat="false" ht="17.15" hidden="false" customHeight="false" outlineLevel="0" collapsed="false">
      <c r="A1202" s="5" t="s">
        <v>889</v>
      </c>
      <c r="B1202" s="0" t="s">
        <v>27</v>
      </c>
      <c r="C1202" s="30" t="n">
        <f aca="false">0.45*Sens!$C$1183+0.55*Sens!$C$1200</f>
        <v>214.904938949001</v>
      </c>
    </row>
    <row r="1205" customFormat="false" ht="19.4" hidden="false" customHeight="false" outlineLevel="0" collapsed="false">
      <c r="A1205" s="31" t="s">
        <v>1070</v>
      </c>
    </row>
    <row r="1206" customFormat="false" ht="17.15" hidden="false" customHeight="false" outlineLevel="0" collapsed="false">
      <c r="A1206" s="6" t="s">
        <v>16</v>
      </c>
      <c r="B1206" s="6" t="s">
        <v>17</v>
      </c>
      <c r="C1206" s="20" t="s">
        <v>457</v>
      </c>
      <c r="D1206" s="20" t="s">
        <v>458</v>
      </c>
      <c r="E1206" s="20" t="s">
        <v>540</v>
      </c>
      <c r="F1206" s="20" t="s">
        <v>541</v>
      </c>
      <c r="G1206" s="20" t="s">
        <v>542</v>
      </c>
      <c r="H1206" s="20" t="s">
        <v>543</v>
      </c>
      <c r="I1206" s="20" t="s">
        <v>544</v>
      </c>
      <c r="J1206" s="20" t="s">
        <v>545</v>
      </c>
      <c r="K1206" s="20" t="s">
        <v>546</v>
      </c>
      <c r="L1206" s="20" t="s">
        <v>547</v>
      </c>
      <c r="M1206" s="20" t="s">
        <v>548</v>
      </c>
      <c r="N1206" s="20" t="s">
        <v>549</v>
      </c>
      <c r="O1206" s="20" t="s">
        <v>550</v>
      </c>
      <c r="P1206" s="6" t="s">
        <v>23</v>
      </c>
      <c r="R1206" s="20" t="n">
        <v>2023</v>
      </c>
      <c r="S1206" s="20" t="n">
        <v>2024</v>
      </c>
      <c r="T1206" s="20" t="n">
        <v>2025</v>
      </c>
      <c r="U1206" s="20" t="n">
        <v>2026</v>
      </c>
      <c r="V1206" s="20" t="n">
        <v>2027</v>
      </c>
      <c r="W1206" s="20" t="n">
        <v>2028</v>
      </c>
      <c r="X1206" s="20" t="n">
        <v>2029</v>
      </c>
      <c r="Y1206" s="20" t="n">
        <v>2030</v>
      </c>
      <c r="Z1206" s="20" t="n">
        <v>2031</v>
      </c>
      <c r="AA1206" s="20" t="n">
        <v>2032</v>
      </c>
    </row>
    <row r="1207" customFormat="false" ht="17.15" hidden="false" customHeight="false" outlineLevel="0" collapsed="false">
      <c r="A1207" s="1" t="s">
        <v>621</v>
      </c>
    </row>
    <row r="1208" customFormat="false" ht="17.15" hidden="false" customHeight="false" outlineLevel="0" collapsed="false">
      <c r="A1208" s="0" t="s">
        <v>479</v>
      </c>
      <c r="B1208" s="0" t="s">
        <v>73</v>
      </c>
      <c r="C1208" s="38" t="n">
        <f aca="false">Q!$D$10</f>
        <v>247.029</v>
      </c>
      <c r="D1208" s="38" t="n">
        <f aca="false">Q!$E$10</f>
        <v>269.287</v>
      </c>
      <c r="E1208" s="38" t="n">
        <f aca="false">Q!$P$10</f>
        <v>134.686</v>
      </c>
      <c r="F1208" s="38" t="n">
        <f aca="false">Sens!$O$1208*(1+Sens!$F$1209)-pd_amt*Q!$O$10/(Q!$O$10+Q!$O$12)</f>
        <v>160.728085930082</v>
      </c>
      <c r="G1208" s="38" t="n">
        <f aca="false">Sens!$E$1208+Sens!$F$1208</f>
        <v>295.414085930082</v>
      </c>
      <c r="H1208" s="38" t="n">
        <f aca="false">Sens!$G$1208*(1+Sens!$H$1209)</f>
        <v>320.828163943375</v>
      </c>
      <c r="I1208" s="38" t="n">
        <f aca="false">Sens!$H$1208*(1+Sens!$I$1209)</f>
        <v>344.575578072228</v>
      </c>
      <c r="J1208" s="38" t="n">
        <f aca="false">Sens!$I$1208*(1+Sens!$J$1209)</f>
        <v>365.942555779681</v>
      </c>
      <c r="K1208" s="38" t="n">
        <f aca="false">Sens!$J$1208*(1+Sens!$K$1209)</f>
        <v>384.239683568665</v>
      </c>
      <c r="L1208" s="38" t="n">
        <f aca="false">Sens!$K$1208*(1+Sens!$L$1209)</f>
        <v>403.451667747098</v>
      </c>
      <c r="M1208" s="38" t="n">
        <f aca="false">Sens!$L$1208*(1+Sens!$M$1209)</f>
        <v>423.624251134453</v>
      </c>
      <c r="N1208" s="38" t="n">
        <f aca="false">Q!$N$10</f>
        <v>118.892</v>
      </c>
      <c r="O1208" s="38" t="n">
        <f aca="false">Q!$O$10</f>
        <v>150.395</v>
      </c>
      <c r="P1208" s="8" t="s">
        <v>622</v>
      </c>
    </row>
    <row r="1209" customFormat="false" ht="17.15" hidden="false" customHeight="false" outlineLevel="0" collapsed="false">
      <c r="A1209" s="0" t="s">
        <v>623</v>
      </c>
      <c r="B1209" s="0" t="s">
        <v>52</v>
      </c>
      <c r="E1209" s="12" t="n">
        <f aca="false">Sens!$E$1208/Sens!$N$1208-1</f>
        <v>0.132843252699929</v>
      </c>
      <c r="F1209" s="12" t="n">
        <f aca="false">Sens!$O$1208/(Q!$F$10+Q!$G$10)-1</f>
        <v>0.0980382135842941</v>
      </c>
      <c r="G1209" s="12" t="n">
        <f aca="false">Sens!$G$1208/Sens!$D$1208-1</f>
        <v>0.0970231980380869</v>
      </c>
      <c r="H1209" s="12" t="n">
        <f aca="false">Sens!$F$1209+(g_os-Sens!$F$1209)*1/4</f>
        <v>0.0860286601882206</v>
      </c>
      <c r="I1209" s="12" t="n">
        <f aca="false">Sens!$F$1209+(g_os-Sens!$F$1209)*2/4</f>
        <v>0.074019106792147</v>
      </c>
      <c r="J1209" s="12" t="n">
        <f aca="false">Sens!$F$1209+(g_os-Sens!$F$1209)*3/4</f>
        <v>0.0620095533960735</v>
      </c>
      <c r="K1209" s="12" t="n">
        <f aca="false">Sens!$F$1209+(g_os-Sens!$F$1209)*4/4</f>
        <v>0.05</v>
      </c>
      <c r="L1209" s="12" t="n">
        <f aca="false">g_os</f>
        <v>0.05</v>
      </c>
      <c r="M1209" s="12" t="n">
        <f aca="false">g_os</f>
        <v>0.05</v>
      </c>
      <c r="P1209" s="8" t="s">
        <v>624</v>
      </c>
    </row>
    <row r="1210" customFormat="false" ht="17.15" hidden="false" customHeight="false" outlineLevel="0" collapsed="false">
      <c r="A1210" s="0" t="s">
        <v>480</v>
      </c>
      <c r="B1210" s="0" t="s">
        <v>73</v>
      </c>
      <c r="C1210" s="38" t="n">
        <f aca="false">Q!$D$11</f>
        <v>21.215</v>
      </c>
      <c r="D1210" s="38" t="n">
        <f aca="false">Q!$E$11</f>
        <v>22.561</v>
      </c>
      <c r="E1210" s="38" t="n">
        <f aca="false">Q!$P$11</f>
        <v>11.579</v>
      </c>
      <c r="F1210" s="38" t="n">
        <f aca="false">Sens!$O$1210*(1+Sens!$F$1211)</f>
        <v>12.0952613121125</v>
      </c>
      <c r="G1210" s="38" t="n">
        <f aca="false">Sens!$E$1210+Sens!$F$1210</f>
        <v>23.6742613121125</v>
      </c>
      <c r="H1210" s="38" t="n">
        <f aca="false">Sens!$G$1210*(1+Sens!$H$1211)</f>
        <v>24.8803243963206</v>
      </c>
      <c r="I1210" s="38" t="n">
        <f aca="false">Sens!$H$1210*(1+Sens!$I$1211)</f>
        <v>25.9741308664154</v>
      </c>
      <c r="J1210" s="38" t="n">
        <f aca="false">Sens!$I$1210*(1+Sens!$J$1211)</f>
        <v>26.9346894124267</v>
      </c>
      <c r="K1210" s="38" t="n">
        <f aca="false">Sens!$J$1210*(1+Sens!$K$1211)</f>
        <v>27.7427300947995</v>
      </c>
      <c r="L1210" s="38" t="n">
        <f aca="false">Sens!$K$1210*(1+Sens!$L$1211)</f>
        <v>28.5750119976435</v>
      </c>
      <c r="M1210" s="38" t="n">
        <f aca="false">Sens!$L$1210*(1+Sens!$M$1211)</f>
        <v>29.4322623575728</v>
      </c>
      <c r="N1210" s="38" t="n">
        <f aca="false">Q!$N$11</f>
        <v>11.128</v>
      </c>
      <c r="O1210" s="38" t="n">
        <f aca="false">Q!$O$11</f>
        <v>11.433</v>
      </c>
      <c r="P1210" s="8" t="s">
        <v>622</v>
      </c>
    </row>
    <row r="1211" customFormat="false" ht="17.15" hidden="false" customHeight="false" outlineLevel="0" collapsed="false">
      <c r="A1211" s="0" t="s">
        <v>625</v>
      </c>
      <c r="B1211" s="0" t="s">
        <v>52</v>
      </c>
      <c r="E1211" s="12" t="n">
        <f aca="false">Sens!$E$1210/Sens!$N$1210-1</f>
        <v>0.0405283968368082</v>
      </c>
      <c r="F1211" s="12" t="n">
        <f aca="false">Sens!$O$1210/(Q!$F$11+Q!$G$11)-1</f>
        <v>0.0579254187100955</v>
      </c>
      <c r="G1211" s="12" t="n">
        <f aca="false">Sens!$G$1210/Sens!$D$1210-1</f>
        <v>0.0493445021103904</v>
      </c>
      <c r="H1211" s="12" t="n">
        <f aca="false">Sens!$F$1211+(g_ps-Sens!$F$1211)*1/4</f>
        <v>0.0509440640325716</v>
      </c>
      <c r="I1211" s="12" t="n">
        <f aca="false">Sens!$F$1211+(g_ps-Sens!$F$1211)*2/4</f>
        <v>0.0439627093550477</v>
      </c>
      <c r="J1211" s="12" t="n">
        <f aca="false">Sens!$F$1211+(g_ps-Sens!$F$1211)*3/4</f>
        <v>0.0369813546775239</v>
      </c>
      <c r="K1211" s="12" t="n">
        <f aca="false">Sens!$F$1211+(g_ps-Sens!$F$1211)*4/4</f>
        <v>0.03</v>
      </c>
      <c r="L1211" s="12" t="n">
        <f aca="false">g_ps</f>
        <v>0.03</v>
      </c>
      <c r="M1211" s="12" t="n">
        <f aca="false">g_ps</f>
        <v>0.03</v>
      </c>
      <c r="P1211" s="8" t="s">
        <v>626</v>
      </c>
    </row>
    <row r="1212" customFormat="false" ht="17.15" hidden="false" customHeight="false" outlineLevel="0" collapsed="false">
      <c r="A1212" s="0" t="s">
        <v>481</v>
      </c>
      <c r="B1212" s="0" t="s">
        <v>73</v>
      </c>
      <c r="C1212" s="38" t="n">
        <f aca="false">Q!$D$12</f>
        <v>156.146</v>
      </c>
      <c r="D1212" s="38" t="n">
        <f aca="false">Q!$E$12</f>
        <v>172.162</v>
      </c>
      <c r="E1212" s="38" t="n">
        <f aca="false">Q!$P$12</f>
        <v>88.358</v>
      </c>
      <c r="F1212" s="38" t="n">
        <f aca="false">Sens!$O$1212*(1+Sens!$F$1213)-pd_amt*Q!$O$12/(Q!$O$10+Q!$O$12)</f>
        <v>103.62028337149</v>
      </c>
      <c r="G1212" s="38" t="n">
        <f aca="false">Sens!$E$1212+Sens!$F$1212</f>
        <v>191.97828337149</v>
      </c>
      <c r="H1212" s="38" t="n">
        <f aca="false">Sens!$G$1212*(1+Sens!$H$1213)</f>
        <v>212.128608444755</v>
      </c>
      <c r="I1212" s="38" t="n">
        <f aca="false">Sens!$H$1212*(1+Sens!$I$1213)</f>
        <v>231.92183134134</v>
      </c>
      <c r="J1212" s="38" t="n">
        <f aca="false">Sens!$I$1212*(1+Sens!$J$1213)</f>
        <v>250.859136487863</v>
      </c>
      <c r="K1212" s="38" t="n">
        <f aca="false">Sens!$J$1212*(1+Sens!$K$1213)</f>
        <v>268.419276042014</v>
      </c>
      <c r="L1212" s="38" t="n">
        <f aca="false">Sens!$K$1212*(1+Sens!$L$1213)</f>
        <v>287.208625364954</v>
      </c>
      <c r="M1212" s="38" t="n">
        <f aca="false">Sens!$L$1212*(1+Sens!$M$1213)</f>
        <v>307.313229140501</v>
      </c>
      <c r="N1212" s="38" t="n">
        <f aca="false">Q!$N$12</f>
        <v>76.86</v>
      </c>
      <c r="O1212" s="38" t="n">
        <f aca="false">Q!$O$12</f>
        <v>95.302</v>
      </c>
      <c r="P1212" s="8" t="s">
        <v>622</v>
      </c>
    </row>
    <row r="1213" customFormat="false" ht="17.15" hidden="false" customHeight="false" outlineLevel="0" collapsed="false">
      <c r="A1213" s="0" t="s">
        <v>627</v>
      </c>
      <c r="B1213" s="0" t="s">
        <v>52</v>
      </c>
      <c r="E1213" s="12" t="n">
        <f aca="false">Sens!$E$1212/Sens!$N$1212-1</f>
        <v>0.1495966692688</v>
      </c>
      <c r="F1213" s="12" t="n">
        <f aca="false">Sens!$O$1212/(Q!$F$12+Q!$G$12)-1</f>
        <v>0.11661530890813</v>
      </c>
      <c r="G1213" s="12" t="n">
        <f aca="false">Sens!$G$1212/Sens!$D$1212-1</f>
        <v>0.115102539303041</v>
      </c>
      <c r="H1213" s="12" t="n">
        <f aca="false">Sens!$F$1213+(g_sp-Sens!$F$1213)*1/4</f>
        <v>0.104961481681098</v>
      </c>
      <c r="I1213" s="12" t="n">
        <f aca="false">Sens!$F$1213+(g_sp-Sens!$F$1213)*2/4</f>
        <v>0.0933076544540651</v>
      </c>
      <c r="J1213" s="12" t="n">
        <f aca="false">Sens!$F$1213+(g_sp-Sens!$F$1213)*3/4</f>
        <v>0.0816538272270325</v>
      </c>
      <c r="K1213" s="12" t="n">
        <f aca="false">Sens!$F$1213+(g_sp-Sens!$F$1213)*4/4</f>
        <v>0.07</v>
      </c>
      <c r="L1213" s="12" t="n">
        <f aca="false">g_sp</f>
        <v>0.07</v>
      </c>
      <c r="M1213" s="12" t="n">
        <f aca="false">g_sp</f>
        <v>0.07</v>
      </c>
      <c r="P1213" s="8" t="s">
        <v>628</v>
      </c>
    </row>
    <row r="1214" customFormat="false" ht="17.15" hidden="false" customHeight="false" outlineLevel="0" collapsed="false">
      <c r="A1214" s="0" t="s">
        <v>482</v>
      </c>
      <c r="B1214" s="0" t="s">
        <v>73</v>
      </c>
      <c r="C1214" s="38" t="n">
        <f aca="false">Q!$D$13</f>
        <v>56.214</v>
      </c>
      <c r="D1214" s="38" t="n">
        <f aca="false">Q!$E$13</f>
        <v>68.635</v>
      </c>
      <c r="E1214" s="38" t="n">
        <f aca="false">Q!$P$13</f>
        <v>37.052</v>
      </c>
      <c r="F1214" s="38" t="n">
        <f aca="false">Sens!$O$1214*(1+Sens!$F$1215)</f>
        <v>48.1533381827382</v>
      </c>
      <c r="G1214" s="38" t="n">
        <f aca="false">Sens!$E$1214+Sens!$F$1214</f>
        <v>85.2053381827382</v>
      </c>
      <c r="H1214" s="38" t="n">
        <f aca="false">Sens!$G$1214*(1+Sens!$H$1215)</f>
        <v>102.29336185894</v>
      </c>
      <c r="I1214" s="38" t="n">
        <f aca="false">Sens!$H$1214*(1+Sens!$I$1215)</f>
        <v>119.379837585241</v>
      </c>
      <c r="J1214" s="38" t="n">
        <f aca="false">Sens!$I$1214*(1+Sens!$J$1215)</f>
        <v>135.319079048844</v>
      </c>
      <c r="K1214" s="38" t="n">
        <f aca="false">Sens!$J$1214*(1+Sens!$K$1215)</f>
        <v>148.850986953729</v>
      </c>
      <c r="L1214" s="38" t="n">
        <f aca="false">Sens!$K$1214*(1+Sens!$L$1215)</f>
        <v>163.736085649102</v>
      </c>
      <c r="M1214" s="38" t="n">
        <f aca="false">Sens!$L$1214*(1+Sens!$M$1215)</f>
        <v>180.109694214012</v>
      </c>
      <c r="N1214" s="38" t="n">
        <f aca="false">Q!$N$13</f>
        <v>29.615</v>
      </c>
      <c r="O1214" s="38" t="n">
        <f aca="false">Q!$O$13</f>
        <v>39.02</v>
      </c>
      <c r="P1214" s="8" t="s">
        <v>622</v>
      </c>
    </row>
    <row r="1215" customFormat="false" ht="17.15" hidden="false" customHeight="false" outlineLevel="0" collapsed="false">
      <c r="A1215" s="0" t="s">
        <v>629</v>
      </c>
      <c r="B1215" s="0" t="s">
        <v>52</v>
      </c>
      <c r="E1215" s="12" t="n">
        <f aca="false">Sens!$E$1214/Sens!$N$1214-1</f>
        <v>0.25112274185379</v>
      </c>
      <c r="F1215" s="12" t="n">
        <f aca="false">Sens!$O$1214/(Q!$F$13+Q!$G$13)-1</f>
        <v>0.234068123596572</v>
      </c>
      <c r="G1215" s="12" t="n">
        <f aca="false">Sens!$G$1214/Sens!$D$1214-1</f>
        <v>0.241426942270536</v>
      </c>
      <c r="H1215" s="12" t="n">
        <f aca="false">Sens!$F$1215+(g_ad-Sens!$F$1215)*1/4</f>
        <v>0.200551092697429</v>
      </c>
      <c r="I1215" s="12" t="n">
        <f aca="false">Sens!$F$1215+(g_ad-Sens!$F$1215)*2/4</f>
        <v>0.167034061798286</v>
      </c>
      <c r="J1215" s="12" t="n">
        <f aca="false">Sens!$F$1215+(g_ad-Sens!$F$1215)*3/4</f>
        <v>0.133517030899143</v>
      </c>
      <c r="K1215" s="12" t="n">
        <f aca="false">Sens!$F$1215+(g_ad-Sens!$F$1215)*4/4</f>
        <v>0.1</v>
      </c>
      <c r="L1215" s="12" t="n">
        <f aca="false">g_ad</f>
        <v>0.1</v>
      </c>
      <c r="M1215" s="12" t="n">
        <f aca="false">g_ad</f>
        <v>0.1</v>
      </c>
      <c r="P1215" s="8" t="s">
        <v>630</v>
      </c>
    </row>
    <row r="1216" customFormat="false" ht="17.15" hidden="false" customHeight="false" outlineLevel="0" collapsed="false">
      <c r="A1216" s="0" t="s">
        <v>483</v>
      </c>
      <c r="B1216" s="0" t="s">
        <v>73</v>
      </c>
      <c r="C1216" s="38" t="n">
        <f aca="false">Q!$D$14</f>
        <v>44.374</v>
      </c>
      <c r="D1216" s="38" t="n">
        <f aca="false">Q!$E$14</f>
        <v>49.619</v>
      </c>
      <c r="E1216" s="38" t="n">
        <f aca="false">Q!$P$14</f>
        <v>27.157</v>
      </c>
      <c r="F1216" s="38" t="n">
        <f aca="false">Sens!$O$1216*(1+Sens!$F$1217)</f>
        <v>28.9776360923374</v>
      </c>
      <c r="G1216" s="38" t="n">
        <f aca="false">Sens!$E$1216+Sens!$F$1216</f>
        <v>56.1346360923374</v>
      </c>
      <c r="H1216" s="38" t="n">
        <f aca="false">Sens!$G$1216*(1+Sens!$H$1217)</f>
        <v>62.4937078946075</v>
      </c>
      <c r="I1216" s="38" t="n">
        <f aca="false">Sens!$H$1216*(1+Sens!$I$1217)</f>
        <v>68.6715233062498</v>
      </c>
      <c r="J1216" s="38" t="n">
        <f aca="false">Sens!$I$1216*(1+Sens!$J$1217)</f>
        <v>74.4692882949818</v>
      </c>
      <c r="K1216" s="38" t="n">
        <f aca="false">Sens!$J$1216*(1+Sens!$K$1217)</f>
        <v>79.6821384756306</v>
      </c>
      <c r="L1216" s="38" t="n">
        <f aca="false">Sens!$K$1216*(1+Sens!$L$1217)</f>
        <v>85.2598881689247</v>
      </c>
      <c r="M1216" s="38" t="n">
        <f aca="false">Sens!$L$1216*(1+Sens!$M$1217)</f>
        <v>91.2280803407494</v>
      </c>
      <c r="N1216" s="38" t="n">
        <f aca="false">Q!$N$14</f>
        <v>23.923</v>
      </c>
      <c r="O1216" s="38" t="n">
        <f aca="false">Q!$O$14</f>
        <v>25.696</v>
      </c>
      <c r="P1216" s="8" t="s">
        <v>622</v>
      </c>
    </row>
    <row r="1217" customFormat="false" ht="17.15" hidden="false" customHeight="false" outlineLevel="0" collapsed="false">
      <c r="A1217" s="0" t="s">
        <v>631</v>
      </c>
      <c r="B1217" s="0" t="s">
        <v>52</v>
      </c>
      <c r="E1217" s="12" t="n">
        <f aca="false">Sens!$E$1216/Sens!$N$1216-1</f>
        <v>0.135183714417088</v>
      </c>
      <c r="F1217" s="12" t="n">
        <f aca="false">Sens!$O$1216/(Q!$F$14+Q!$G$14)-1</f>
        <v>0.127709997366804</v>
      </c>
      <c r="G1217" s="12" t="n">
        <f aca="false">Sens!$G$1216/Sens!$D$1216-1</f>
        <v>0.131313329416905</v>
      </c>
      <c r="H1217" s="12" t="n">
        <f aca="false">Sens!$F$1217+(g_sub-Sens!$F$1217)*1/4</f>
        <v>0.113282498025103</v>
      </c>
      <c r="I1217" s="12" t="n">
        <f aca="false">Sens!$F$1217+(g_sub-Sens!$F$1217)*2/4</f>
        <v>0.0988549986834021</v>
      </c>
      <c r="J1217" s="12" t="n">
        <f aca="false">Sens!$F$1217+(g_sub-Sens!$F$1217)*3/4</f>
        <v>0.084427499341701</v>
      </c>
      <c r="K1217" s="12" t="n">
        <f aca="false">Sens!$F$1217+(g_sub-Sens!$F$1217)*4/4</f>
        <v>0.07</v>
      </c>
      <c r="L1217" s="12" t="n">
        <f aca="false">g_sub</f>
        <v>0.07</v>
      </c>
      <c r="M1217" s="12" t="n">
        <f aca="false">g_sub</f>
        <v>0.07</v>
      </c>
      <c r="P1217" s="8" t="s">
        <v>632</v>
      </c>
    </row>
    <row r="1218" customFormat="false" ht="17.15" hidden="false" customHeight="false" outlineLevel="0" collapsed="false">
      <c r="A1218" s="0" t="s">
        <v>484</v>
      </c>
      <c r="B1218" s="0" t="s">
        <v>73</v>
      </c>
      <c r="C1218" s="38" t="n">
        <f aca="false">Q!$D$15</f>
        <v>5.425</v>
      </c>
      <c r="D1218" s="38" t="n">
        <f aca="false">Q!$E$15</f>
        <v>5.935</v>
      </c>
      <c r="E1218" s="38" t="n">
        <f aca="false">Q!$P$15</f>
        <v>3.474</v>
      </c>
      <c r="F1218" s="38" t="n">
        <f aca="false">Sens!$O$1218*(1+Sens!$F$1219)</f>
        <v>3.36182431966931</v>
      </c>
      <c r="G1218" s="38" t="n">
        <f aca="false">Sens!$E$1218+Sens!$F$1218</f>
        <v>6.83582431966931</v>
      </c>
      <c r="H1218" s="38" t="n">
        <f aca="false">Sens!$G$1218*(1+Sens!$H$1219)</f>
        <v>7.31157108370141</v>
      </c>
      <c r="I1218" s="38" t="n">
        <f aca="false">Sens!$H$1218*(1+Sens!$I$1219)</f>
        <v>7.77266852639815</v>
      </c>
      <c r="J1218" s="38" t="n">
        <f aca="false">Sens!$I$1218*(1+Sens!$J$1219)</f>
        <v>8.2120733019884</v>
      </c>
      <c r="K1218" s="38" t="n">
        <f aca="false">Sens!$J$1218*(1+Sens!$K$1219)</f>
        <v>8.62267696708783</v>
      </c>
      <c r="L1218" s="38" t="n">
        <f aca="false">Sens!$K$1218*(1+Sens!$L$1219)</f>
        <v>9.05381081544222</v>
      </c>
      <c r="M1218" s="38" t="n">
        <f aca="false">Sens!$L$1218*(1+Sens!$M$1219)</f>
        <v>9.50650135621433</v>
      </c>
      <c r="N1218" s="38" t="n">
        <f aca="false">Q!$N$15</f>
        <v>2.811</v>
      </c>
      <c r="O1218" s="38" t="n">
        <f aca="false">Q!$O$15</f>
        <v>3.124</v>
      </c>
      <c r="P1218" s="8" t="s">
        <v>622</v>
      </c>
    </row>
    <row r="1219" customFormat="false" ht="17.15" hidden="false" customHeight="false" outlineLevel="0" collapsed="false">
      <c r="A1219" s="0" t="s">
        <v>633</v>
      </c>
      <c r="B1219" s="0" t="s">
        <v>52</v>
      </c>
      <c r="E1219" s="12" t="n">
        <f aca="false">Sens!$E$1218/Sens!$N$1218-1</f>
        <v>0.235859124866596</v>
      </c>
      <c r="F1219" s="12" t="n">
        <f aca="false">Sens!$O$1218/(Q!$F$15+Q!$G$15)-1</f>
        <v>0.0761281433000345</v>
      </c>
      <c r="G1219" s="12" t="n">
        <f aca="false">Sens!$G$1218/Sens!$D$1218-1</f>
        <v>0.151781688234087</v>
      </c>
      <c r="H1219" s="12" t="n">
        <f aca="false">Sens!$F$1219+(g_ot-Sens!$F$1219)*1/4</f>
        <v>0.0695961074750259</v>
      </c>
      <c r="I1219" s="12" t="n">
        <f aca="false">Sens!$F$1219+(g_ot-Sens!$F$1219)*2/4</f>
        <v>0.0630640716500172</v>
      </c>
      <c r="J1219" s="12" t="n">
        <f aca="false">Sens!$F$1219+(g_ot-Sens!$F$1219)*3/4</f>
        <v>0.0565320358250086</v>
      </c>
      <c r="K1219" s="12" t="n">
        <f aca="false">Sens!$F$1219+(g_ot-Sens!$F$1219)*4/4</f>
        <v>0.05</v>
      </c>
      <c r="L1219" s="12" t="n">
        <f aca="false">g_ot</f>
        <v>0.05</v>
      </c>
      <c r="M1219" s="12" t="n">
        <f aca="false">g_ot</f>
        <v>0.05</v>
      </c>
      <c r="P1219" s="8" t="s">
        <v>634</v>
      </c>
    </row>
    <row r="1220" customFormat="false" ht="17.15" hidden="false" customHeight="false" outlineLevel="0" collapsed="false">
      <c r="A1220" s="3" t="s">
        <v>635</v>
      </c>
      <c r="B1220" s="8" t="s">
        <v>73</v>
      </c>
      <c r="C1220" s="38" t="n">
        <f aca="false">Sens!$C$1208+Sens!$C$1210+Sens!$C$1212+Sens!$C$1214+Sens!$C$1216+Sens!$C$1218</f>
        <v>530.403</v>
      </c>
      <c r="D1220" s="38" t="n">
        <f aca="false">Sens!$D$1208+Sens!$D$1210+Sens!$D$1212+Sens!$D$1214+Sens!$D$1216+Sens!$D$1218</f>
        <v>588.199</v>
      </c>
      <c r="E1220" s="38" t="n">
        <f aca="false">Sens!$E$1208+Sens!$E$1210+Sens!$E$1212+Sens!$E$1214+Sens!$E$1216+Sens!$E$1218</f>
        <v>302.306</v>
      </c>
      <c r="F1220" s="38" t="n">
        <f aca="false">Sens!$F$1208+Sens!$F$1210+Sens!$F$1212+Sens!$F$1214+Sens!$F$1216+Sens!$F$1218</f>
        <v>356.93642920843</v>
      </c>
      <c r="G1220" s="38" t="n">
        <f aca="false">Sens!$G$1208+Sens!$G$1210+Sens!$G$1212+Sens!$G$1214+Sens!$G$1216+Sens!$G$1218</f>
        <v>659.24242920843</v>
      </c>
      <c r="H1220" s="38" t="n">
        <f aca="false">Sens!$H$1208+Sens!$H$1210+Sens!$H$1212+Sens!$H$1214+Sens!$H$1216+Sens!$H$1218</f>
        <v>729.935737621701</v>
      </c>
      <c r="I1220" s="38" t="n">
        <f aca="false">Sens!$I$1208+Sens!$I$1210+Sens!$I$1212+Sens!$I$1214+Sens!$I$1216+Sens!$I$1218</f>
        <v>798.295569697873</v>
      </c>
      <c r="J1220" s="38" t="n">
        <f aca="false">Sens!$J$1208+Sens!$J$1210+Sens!$J$1212+Sens!$J$1214+Sens!$J$1216+Sens!$J$1218</f>
        <v>861.736822325785</v>
      </c>
      <c r="K1220" s="38" t="n">
        <f aca="false">Sens!$K$1208+Sens!$K$1210+Sens!$K$1212+Sens!$K$1214+Sens!$K$1216+Sens!$K$1218</f>
        <v>917.557492101925</v>
      </c>
      <c r="L1220" s="38" t="n">
        <f aca="false">Sens!$L$1208+Sens!$L$1210+Sens!$L$1212+Sens!$L$1214+Sens!$L$1216+Sens!$L$1218</f>
        <v>977.285089743165</v>
      </c>
      <c r="M1220" s="38" t="n">
        <f aca="false">Sens!$M$1208+Sens!$M$1210+Sens!$M$1212+Sens!$M$1214+Sens!$M$1216+Sens!$M$1218</f>
        <v>1041.2140185435</v>
      </c>
      <c r="N1220" s="38" t="n">
        <f aca="false">Sens!$N$1208+Sens!$N$1210+Sens!$N$1212+Sens!$N$1214+Sens!$N$1216+Sens!$N$1218</f>
        <v>263.229</v>
      </c>
      <c r="O1220" s="38" t="n">
        <f aca="false">Sens!$O$1208+Sens!$O$1210+Sens!$O$1212+Sens!$O$1214+Sens!$O$1216+Sens!$O$1218</f>
        <v>324.97</v>
      </c>
    </row>
    <row r="1221" customFormat="false" ht="17.15" hidden="false" customHeight="false" outlineLevel="0" collapsed="false">
      <c r="A1221" s="5" t="s">
        <v>636</v>
      </c>
      <c r="B1221" s="0" t="s">
        <v>52</v>
      </c>
      <c r="C1221" s="12" t="n">
        <f aca="false">Q!$D$5/(Q!$D$5+Q!$D$6)</f>
        <v>0.730570905519011</v>
      </c>
      <c r="D1221" s="12" t="n">
        <f aca="false">Q!$E$5/(Q!$E$5+Q!$E$6)</f>
        <v>0.724763217890544</v>
      </c>
      <c r="E1221" s="12" t="n">
        <f aca="false">Q!$P$5/(Q!$P$5+Q!$P$6)</f>
        <v>0.728797972914861</v>
      </c>
      <c r="F1221" s="12" t="n">
        <f aca="false">Sens!$O$1221</f>
        <v>0.718066283041511</v>
      </c>
      <c r="G1221" s="12" t="n">
        <f aca="false">Sens!$G$1222/Sens!$G$1220</f>
        <v>0.722987468473627</v>
      </c>
      <c r="H1221" s="12" t="n">
        <f aca="false">Sens!$G$1221</f>
        <v>0.722987468473627</v>
      </c>
      <c r="I1221" s="12" t="n">
        <f aca="false">Sens!$G$1221</f>
        <v>0.722987468473627</v>
      </c>
      <c r="J1221" s="12" t="n">
        <f aca="false">Sens!$G$1221</f>
        <v>0.722987468473627</v>
      </c>
      <c r="K1221" s="12" t="n">
        <f aca="false">Sens!$G$1221</f>
        <v>0.722987468473627</v>
      </c>
      <c r="L1221" s="12" t="n">
        <f aca="false">Sens!$G$1221</f>
        <v>0.722987468473627</v>
      </c>
      <c r="M1221" s="12" t="n">
        <f aca="false">Sens!$G$1221</f>
        <v>0.722987468473627</v>
      </c>
      <c r="N1221" s="12" t="n">
        <f aca="false">Q!$N$5/(Q!$N$5+Q!$N$6)</f>
        <v>0.733030935041352</v>
      </c>
      <c r="O1221" s="12" t="n">
        <f aca="false">Q!$O$5/(Q!$O$5+Q!$O$6)</f>
        <v>0.718066283041511</v>
      </c>
      <c r="P1221" s="8" t="s">
        <v>637</v>
      </c>
    </row>
    <row r="1222" customFormat="false" ht="17.15" hidden="false" customHeight="false" outlineLevel="0" collapsed="false">
      <c r="A1222" s="1" t="s">
        <v>472</v>
      </c>
      <c r="B1222" s="8" t="s">
        <v>73</v>
      </c>
      <c r="C1222" s="38" t="n">
        <f aca="false">Q!$D$5</f>
        <v>387.497</v>
      </c>
      <c r="D1222" s="38" t="n">
        <f aca="false">Q!$E$5</f>
        <v>426.305</v>
      </c>
      <c r="E1222" s="38" t="n">
        <f aca="false">Q!$P$5</f>
        <v>220.32</v>
      </c>
      <c r="F1222" s="38" t="n">
        <f aca="false">Sens!$F$1220*Sens!$F$1221</f>
        <v>256.304015003807</v>
      </c>
      <c r="G1222" s="38" t="n">
        <f aca="false">Sens!$E$1222+Sens!$F$1222</f>
        <v>476.624015003807</v>
      </c>
      <c r="H1222" s="38" t="n">
        <f aca="false">Sens!$H$1220*Sens!$H$1221</f>
        <v>527.734391091543</v>
      </c>
      <c r="I1222" s="38" t="n">
        <f aca="false">Sens!$I$1220*Sens!$I$1221</f>
        <v>577.157693029577</v>
      </c>
      <c r="J1222" s="38" t="n">
        <f aca="false">Sens!$J$1220*Sens!$J$1221</f>
        <v>623.024923663827</v>
      </c>
      <c r="K1222" s="38" t="n">
        <f aca="false">Sens!$K$1220*Sens!$K$1221</f>
        <v>663.382568393781</v>
      </c>
      <c r="L1222" s="38" t="n">
        <f aca="false">Sens!$L$1220*Sens!$L$1221</f>
        <v>706.564873010432</v>
      </c>
      <c r="M1222" s="38" t="n">
        <f aca="false">Sens!$M$1220*Sens!$M$1221</f>
        <v>752.784687406019</v>
      </c>
      <c r="N1222" s="38" t="n">
        <f aca="false">Q!$N$5</f>
        <v>192.955</v>
      </c>
      <c r="O1222" s="38" t="n">
        <f aca="false">Q!$O$5</f>
        <v>233.35</v>
      </c>
      <c r="P1222" s="5" t="s">
        <v>638</v>
      </c>
    </row>
    <row r="1223" customFormat="false" ht="17.15" hidden="false" customHeight="false" outlineLevel="0" collapsed="false">
      <c r="A1223" s="1" t="s">
        <v>475</v>
      </c>
      <c r="B1223" s="8" t="s">
        <v>73</v>
      </c>
      <c r="C1223" s="38" t="n">
        <f aca="false">Q!$D$6</f>
        <v>142.906</v>
      </c>
      <c r="D1223" s="38" t="n">
        <f aca="false">Q!$E$6</f>
        <v>161.894</v>
      </c>
      <c r="E1223" s="38" t="n">
        <f aca="false">Q!$P$6</f>
        <v>81.986</v>
      </c>
      <c r="F1223" s="38" t="n">
        <f aca="false">Sens!$F$1220*(1-Sens!$F$1221)</f>
        <v>100.632414204623</v>
      </c>
      <c r="G1223" s="38" t="n">
        <f aca="false">Sens!$E$1223+Sens!$F$1223</f>
        <v>182.618414204623</v>
      </c>
      <c r="H1223" s="38" t="n">
        <f aca="false">Sens!$H$1220*(1-Sens!$H$1221)</f>
        <v>202.201346530158</v>
      </c>
      <c r="I1223" s="38" t="n">
        <f aca="false">Sens!$I$1220*(1-Sens!$I$1221)</f>
        <v>221.137876668296</v>
      </c>
      <c r="J1223" s="38" t="n">
        <f aca="false">Sens!$J$1220*(1-Sens!$J$1221)</f>
        <v>238.711898661958</v>
      </c>
      <c r="K1223" s="38" t="n">
        <f aca="false">Sens!$K$1220*(1-Sens!$K$1221)</f>
        <v>254.174923708144</v>
      </c>
      <c r="L1223" s="38" t="n">
        <f aca="false">Sens!$L$1220*(1-Sens!$L$1221)</f>
        <v>270.720216732733</v>
      </c>
      <c r="M1223" s="38" t="n">
        <f aca="false">Sens!$M$1220*(1-Sens!$M$1221)</f>
        <v>288.429331137484</v>
      </c>
      <c r="N1223" s="38" t="n">
        <f aca="false">Q!$N$6</f>
        <v>70.274</v>
      </c>
      <c r="O1223" s="38" t="n">
        <f aca="false">Q!$O$6</f>
        <v>91.62</v>
      </c>
      <c r="P1223" s="5" t="s">
        <v>639</v>
      </c>
    </row>
    <row r="1224" customFormat="false" ht="17.15" hidden="false" customHeight="false" outlineLevel="0" collapsed="false">
      <c r="A1224" s="5" t="s">
        <v>640</v>
      </c>
      <c r="B1224" s="0" t="s">
        <v>73</v>
      </c>
      <c r="C1224" s="38" t="n">
        <f aca="false">Sens!$C$1214*Sens!$C$1221</f>
        <v>41.0683128828457</v>
      </c>
      <c r="D1224" s="38" t="n">
        <f aca="false">Sens!$D$1214*Sens!$D$1221</f>
        <v>49.7441234599175</v>
      </c>
      <c r="E1224" s="38" t="n">
        <f aca="false">Sens!$E$1214*Sens!$E$1221</f>
        <v>27.0034224924414</v>
      </c>
      <c r="F1224" s="38" t="n">
        <f aca="false">Sens!$F$1214*Sens!$F$1221</f>
        <v>34.5772885649197</v>
      </c>
      <c r="G1224" s="38" t="n">
        <f aca="false">Sens!$G$1214*Sens!$G$1221</f>
        <v>61.6023917531772</v>
      </c>
      <c r="H1224" s="38" t="n">
        <f aca="false">Sens!$H$1214*Sens!$H$1221</f>
        <v>73.9568187320519</v>
      </c>
      <c r="I1224" s="38" t="n">
        <f aca="false">Sens!$I$1214*Sens!$I$1221</f>
        <v>86.3101265625461</v>
      </c>
      <c r="J1224" s="38" t="n">
        <f aca="false">Sens!$J$1214*Sens!$J$1221</f>
        <v>97.8339983977065</v>
      </c>
      <c r="K1224" s="38" t="n">
        <f aca="false">Sens!$K$1214*Sens!$K$1221</f>
        <v>107.617398237477</v>
      </c>
      <c r="L1224" s="38" t="n">
        <f aca="false">Sens!$L$1214*Sens!$L$1221</f>
        <v>118.379138061225</v>
      </c>
      <c r="M1224" s="38" t="n">
        <f aca="false">Sens!$M$1214*Sens!$M$1221</f>
        <v>130.217051867347</v>
      </c>
      <c r="N1224" s="38" t="n">
        <f aca="false">Sens!$N$1214*Sens!$N$1221</f>
        <v>21.7087111412496</v>
      </c>
      <c r="O1224" s="38" t="n">
        <f aca="false">Sens!$O$1214*Sens!$O$1221</f>
        <v>28.0189463642798</v>
      </c>
      <c r="P1224" s="5" t="s">
        <v>641</v>
      </c>
    </row>
    <row r="1225" customFormat="false" ht="15" hidden="false" customHeight="false" outlineLevel="0" collapsed="false">
      <c r="A1225" s="5" t="s">
        <v>642</v>
      </c>
      <c r="B1225" s="0" t="s">
        <v>73</v>
      </c>
      <c r="C1225" s="38" t="n">
        <f aca="false">Sens!$C$1214-Sens!$C$1224</f>
        <v>15.1456871171543</v>
      </c>
      <c r="D1225" s="38" t="n">
        <f aca="false">Sens!$D$1214-Sens!$D$1224</f>
        <v>18.8908765400825</v>
      </c>
      <c r="E1225" s="38" t="n">
        <f aca="false">Sens!$E$1214-Sens!$E$1224</f>
        <v>10.0485775075586</v>
      </c>
      <c r="F1225" s="38" t="n">
        <f aca="false">Sens!$F$1214-Sens!$F$1224</f>
        <v>13.5760496178185</v>
      </c>
      <c r="G1225" s="38" t="n">
        <f aca="false">Sens!$G$1214-Sens!$G$1224</f>
        <v>23.6029464295611</v>
      </c>
      <c r="H1225" s="38" t="n">
        <f aca="false">Sens!$H$1214-Sens!$H$1224</f>
        <v>28.3365431268884</v>
      </c>
      <c r="I1225" s="38" t="n">
        <f aca="false">Sens!$I$1214-Sens!$I$1224</f>
        <v>33.0697110226949</v>
      </c>
      <c r="J1225" s="38" t="n">
        <f aca="false">Sens!$J$1214-Sens!$J$1224</f>
        <v>37.4850806511378</v>
      </c>
      <c r="K1225" s="38" t="n">
        <f aca="false">Sens!$K$1214-Sens!$K$1224</f>
        <v>41.2335887162515</v>
      </c>
      <c r="L1225" s="38" t="n">
        <f aca="false">Sens!$L$1214-Sens!$L$1224</f>
        <v>45.3569475878767</v>
      </c>
      <c r="M1225" s="38" t="n">
        <f aca="false">Sens!$M$1214-Sens!$M$1224</f>
        <v>49.8926423466644</v>
      </c>
      <c r="N1225" s="38" t="n">
        <f aca="false">Sens!$N$1214-Sens!$N$1224</f>
        <v>7.90628885875037</v>
      </c>
      <c r="O1225" s="38" t="n">
        <f aca="false">Sens!$O$1214-Sens!$O$1224</f>
        <v>11.0010536357202</v>
      </c>
    </row>
    <row r="1226" customFormat="false" ht="19.4" hidden="false" customHeight="false" outlineLevel="0" collapsed="false">
      <c r="A1226" s="31" t="s">
        <v>1071</v>
      </c>
    </row>
    <row r="1227" customFormat="false" ht="17.15" hidden="false" customHeight="false" outlineLevel="0" collapsed="false">
      <c r="A1227" s="6" t="s">
        <v>16</v>
      </c>
      <c r="B1227" s="6" t="s">
        <v>17</v>
      </c>
      <c r="C1227" s="20" t="s">
        <v>457</v>
      </c>
      <c r="D1227" s="20" t="s">
        <v>458</v>
      </c>
      <c r="E1227" s="20" t="s">
        <v>540</v>
      </c>
      <c r="F1227" s="20" t="s">
        <v>541</v>
      </c>
      <c r="G1227" s="20" t="s">
        <v>542</v>
      </c>
      <c r="H1227" s="20" t="s">
        <v>543</v>
      </c>
      <c r="I1227" s="20" t="s">
        <v>544</v>
      </c>
      <c r="J1227" s="20" t="s">
        <v>545</v>
      </c>
      <c r="K1227" s="20" t="s">
        <v>546</v>
      </c>
      <c r="L1227" s="20" t="s">
        <v>547</v>
      </c>
      <c r="M1227" s="20" t="s">
        <v>548</v>
      </c>
      <c r="N1227" s="20" t="s">
        <v>549</v>
      </c>
      <c r="O1227" s="20" t="s">
        <v>550</v>
      </c>
      <c r="P1227" s="6" t="s">
        <v>23</v>
      </c>
      <c r="R1227" s="20" t="n">
        <v>2023</v>
      </c>
      <c r="S1227" s="20" t="n">
        <v>2024</v>
      </c>
      <c r="T1227" s="20" t="n">
        <v>2025</v>
      </c>
      <c r="U1227" s="20" t="n">
        <v>2026</v>
      </c>
      <c r="V1227" s="20" t="n">
        <v>2027</v>
      </c>
      <c r="W1227" s="20" t="n">
        <v>2028</v>
      </c>
      <c r="X1227" s="20" t="n">
        <v>2029</v>
      </c>
      <c r="Y1227" s="20" t="n">
        <v>2030</v>
      </c>
      <c r="Z1227" s="20" t="n">
        <v>2031</v>
      </c>
      <c r="AA1227" s="20" t="n">
        <v>2032</v>
      </c>
    </row>
    <row r="1228" customFormat="false" ht="17.15" hidden="false" customHeight="false" outlineLevel="0" collapsed="false">
      <c r="A1228" s="1" t="s">
        <v>551</v>
      </c>
    </row>
    <row r="1229" customFormat="false" ht="17.15" hidden="false" customHeight="false" outlineLevel="0" collapsed="false">
      <c r="A1229" s="14" t="s">
        <v>552</v>
      </c>
      <c r="B1229" s="13" t="s">
        <v>108</v>
      </c>
      <c r="C1229" s="32" t="n">
        <f aca="false">mw_ye24</f>
        <v>360</v>
      </c>
      <c r="D1229" s="32" t="n">
        <f aca="false">mw_ye25</f>
        <v>1440</v>
      </c>
      <c r="E1229" s="32" t="n">
        <f aca="false">mw_open</f>
        <v>2080</v>
      </c>
      <c r="F1229" s="32" t="n">
        <f aca="false">Sens!$E$1229+(pace_B*0.75)*0.5</f>
        <v>3442.8625</v>
      </c>
      <c r="G1229" s="32" t="n">
        <f aca="false">Sens!$F$1229</f>
        <v>3442.8625</v>
      </c>
      <c r="H1229" s="32" t="n">
        <f aca="false">Sens!$G$1229+(pace_B*0.75)</f>
        <v>6168.5875</v>
      </c>
      <c r="I1229" s="32" t="n">
        <f aca="false">Sens!$H$1229+(pace_B*0.75)</f>
        <v>8894.3125</v>
      </c>
      <c r="J1229" s="32" t="n">
        <f aca="false">Sens!$I$1229+(pace_B*0.75)</f>
        <v>11620.0375</v>
      </c>
      <c r="K1229" s="32" t="n">
        <f aca="false">Sens!$J$1229+(pace_B*0.75)</f>
        <v>14345.7625</v>
      </c>
      <c r="L1229" s="32" t="n">
        <f aca="false">Sens!$K$1229+(pace_B*0.75)</f>
        <v>17071.4875</v>
      </c>
      <c r="M1229" s="32" t="n">
        <f aca="false">Sens!$L$1229+(pace_B*0.75)</f>
        <v>19797.2125</v>
      </c>
      <c r="N1229" s="32" t="n">
        <f aca="false">(mw_ye24+mw_ye25)/2</f>
        <v>900</v>
      </c>
      <c r="O1229" s="32" t="n">
        <f aca="false">mw_ye25</f>
        <v>1440</v>
      </c>
      <c r="P1229" s="5" t="s">
        <v>553</v>
      </c>
    </row>
    <row r="1230" customFormat="false" ht="17.15" hidden="false" customHeight="false" outlineLevel="0" collapsed="false">
      <c r="A1230" s="5" t="s">
        <v>554</v>
      </c>
      <c r="B1230" s="0" t="s">
        <v>108</v>
      </c>
      <c r="C1230" s="33" t="n">
        <f aca="false">(mw_ye23+mw_ye24)/2</f>
        <v>240</v>
      </c>
      <c r="D1230" s="33" t="n">
        <f aca="false">(Sens!$C$1229+Sens!$D$1229)/2</f>
        <v>900</v>
      </c>
      <c r="E1230" s="33" t="n">
        <f aca="false">(Sens!$D$1229+Sens!$E$1229)/2</f>
        <v>1760</v>
      </c>
      <c r="F1230" s="33" t="n">
        <f aca="false">(Sens!$E$1229+Sens!$F$1229)/2</f>
        <v>2761.43125</v>
      </c>
      <c r="G1230" s="33" t="n">
        <f aca="false">(Sens!$E$1230+Sens!$F$1230)/2</f>
        <v>2260.715625</v>
      </c>
      <c r="H1230" s="33" t="n">
        <f aca="false">(Sens!$G$1229+Sens!$H$1229)/2</f>
        <v>4805.725</v>
      </c>
      <c r="I1230" s="33" t="n">
        <f aca="false">(Sens!$H$1229+Sens!$I$1229)/2</f>
        <v>7531.45</v>
      </c>
      <c r="J1230" s="33" t="n">
        <f aca="false">(Sens!$I$1229+Sens!$J$1229)/2</f>
        <v>10257.175</v>
      </c>
      <c r="K1230" s="33" t="n">
        <f aca="false">(Sens!$J$1229+Sens!$K$1229)/2</f>
        <v>12982.9</v>
      </c>
      <c r="L1230" s="33" t="n">
        <f aca="false">(Sens!$K$1229+Sens!$L$1229)/2</f>
        <v>15708.625</v>
      </c>
      <c r="M1230" s="33" t="n">
        <f aca="false">(Sens!$L$1229+Sens!$M$1229)/2</f>
        <v>18434.35</v>
      </c>
      <c r="N1230" s="33" t="n">
        <f aca="false">(Sens!$C$1229+Sens!$N$1229)/2</f>
        <v>630</v>
      </c>
      <c r="O1230" s="33" t="n">
        <f aca="false">(Sens!$N$1229+Sens!$O$1229)/2</f>
        <v>1170</v>
      </c>
    </row>
    <row r="1231" customFormat="false" ht="15" hidden="false" customHeight="false" outlineLevel="0" collapsed="false">
      <c r="A1231" s="5" t="s">
        <v>555</v>
      </c>
      <c r="B1231" s="5" t="s">
        <v>102</v>
      </c>
      <c r="C1231" s="34" t="n">
        <v>1</v>
      </c>
      <c r="D1231" s="34" t="n">
        <v>1</v>
      </c>
      <c r="E1231" s="34" t="n">
        <v>0.5</v>
      </c>
      <c r="F1231" s="34" t="n">
        <v>0.5</v>
      </c>
      <c r="G1231" s="34" t="n">
        <v>1</v>
      </c>
      <c r="H1231" s="34" t="n">
        <v>1</v>
      </c>
      <c r="I1231" s="34" t="n">
        <v>1</v>
      </c>
      <c r="J1231" s="34" t="n">
        <v>1</v>
      </c>
      <c r="K1231" s="34" t="n">
        <v>1</v>
      </c>
      <c r="L1231" s="34" t="n">
        <v>1</v>
      </c>
      <c r="M1231" s="34" t="n">
        <v>1</v>
      </c>
      <c r="N1231" s="34" t="n">
        <v>0.5</v>
      </c>
      <c r="O1231" s="34" t="n">
        <v>0.5</v>
      </c>
    </row>
    <row r="1232" customFormat="false" ht="17.15" hidden="false" customHeight="false" outlineLevel="0" collapsed="false">
      <c r="A1232" s="5" t="s">
        <v>556</v>
      </c>
      <c r="B1232" s="0" t="s">
        <v>108</v>
      </c>
      <c r="C1232" s="33" t="n">
        <f aca="false">Sens!$C$1229-mw_ye23</f>
        <v>240</v>
      </c>
      <c r="D1232" s="33" t="n">
        <f aca="false">Sens!$D$1229-Sens!$C$1229</f>
        <v>1080</v>
      </c>
      <c r="E1232" s="33" t="n">
        <f aca="false">Sens!$E$1229-Sens!$D$1229</f>
        <v>640</v>
      </c>
      <c r="F1232" s="33" t="n">
        <f aca="false">Sens!$F$1229-Sens!$E$1229</f>
        <v>1362.8625</v>
      </c>
      <c r="G1232" s="33" t="n">
        <f aca="false">Sens!$E$1232+Sens!$F$1232</f>
        <v>2002.8625</v>
      </c>
      <c r="H1232" s="33" t="n">
        <f aca="false">Sens!$H$1229-Sens!$G$1229</f>
        <v>2725.725</v>
      </c>
      <c r="I1232" s="33" t="n">
        <f aca="false">Sens!$I$1229-Sens!$H$1229</f>
        <v>2725.725</v>
      </c>
      <c r="J1232" s="33" t="n">
        <f aca="false">Sens!$J$1229-Sens!$I$1229</f>
        <v>2725.725</v>
      </c>
      <c r="K1232" s="33" t="n">
        <f aca="false">Sens!$K$1229-Sens!$J$1229</f>
        <v>2725.725</v>
      </c>
      <c r="L1232" s="33" t="n">
        <f aca="false">Sens!$L$1229-Sens!$K$1229</f>
        <v>2725.725</v>
      </c>
      <c r="M1232" s="33" t="n">
        <f aca="false">Sens!$M$1229-Sens!$L$1229</f>
        <v>2725.725</v>
      </c>
      <c r="N1232" s="33" t="n">
        <f aca="false">Sens!$N$1229-Sens!$C$1229</f>
        <v>540</v>
      </c>
      <c r="O1232" s="33" t="n">
        <f aca="false">Sens!$O$1229-Sens!$N$1229</f>
        <v>540</v>
      </c>
    </row>
    <row r="1233" customFormat="false" ht="17.15" hidden="false" customHeight="false" outlineLevel="0" collapsed="false">
      <c r="A1233" s="5" t="s">
        <v>557</v>
      </c>
      <c r="B1233" s="0" t="s">
        <v>108</v>
      </c>
      <c r="C1233" s="33" t="n">
        <f aca="false">Sens!$C$1232/ext_sh</f>
        <v>300</v>
      </c>
      <c r="D1233" s="33" t="n">
        <f aca="false">Sens!$D$1232/ext_sh</f>
        <v>1350</v>
      </c>
      <c r="E1233" s="33" t="n">
        <f aca="false">Sens!$E$1232/ext_sh</f>
        <v>800</v>
      </c>
      <c r="F1233" s="33" t="n">
        <f aca="false">Sens!$F$1232/ext_sh</f>
        <v>1703.578125</v>
      </c>
      <c r="G1233" s="33" t="n">
        <f aca="false">Sens!$G$1232/ext_sh</f>
        <v>2503.578125</v>
      </c>
      <c r="H1233" s="33" t="n">
        <f aca="false">Sens!$H$1232/ext_sh</f>
        <v>3407.15625</v>
      </c>
      <c r="I1233" s="33" t="n">
        <f aca="false">Sens!$I$1232/ext_sh</f>
        <v>3407.15625</v>
      </c>
      <c r="J1233" s="33" t="n">
        <f aca="false">Sens!$J$1232/ext_sh</f>
        <v>3407.15625</v>
      </c>
      <c r="K1233" s="33" t="n">
        <f aca="false">Sens!$K$1232/ext_sh</f>
        <v>3407.15625</v>
      </c>
      <c r="L1233" s="33" t="n">
        <f aca="false">Sens!$L$1232/ext_sh</f>
        <v>3407.15625</v>
      </c>
      <c r="M1233" s="33" t="n">
        <f aca="false">Sens!$M$1232/ext_sh</f>
        <v>3407.15625</v>
      </c>
      <c r="N1233" s="33" t="n">
        <f aca="false">Sens!$N$1232/ext_sh</f>
        <v>675</v>
      </c>
      <c r="O1233" s="33" t="n">
        <f aca="false">Sens!$O$1232/ext_sh</f>
        <v>675</v>
      </c>
      <c r="P1233" s="8" t="s">
        <v>558</v>
      </c>
      <c r="R1233" s="33" t="n">
        <f aca="false">mw_ye23/ext_sh</f>
        <v>150</v>
      </c>
      <c r="S1233" s="33" t="n">
        <f aca="false">Sens!$C$1233</f>
        <v>300</v>
      </c>
      <c r="T1233" s="33" t="n">
        <f aca="false">Sens!$D$1233</f>
        <v>1350</v>
      </c>
      <c r="U1233" s="33" t="n">
        <f aca="false">Sens!$G$1233</f>
        <v>2503.578125</v>
      </c>
      <c r="V1233" s="33" t="n">
        <f aca="false">Sens!$H$1233</f>
        <v>3407.15625</v>
      </c>
      <c r="W1233" s="33" t="n">
        <f aca="false">Sens!$I$1233</f>
        <v>3407.15625</v>
      </c>
      <c r="X1233" s="33" t="n">
        <f aca="false">Sens!$J$1233</f>
        <v>3407.15625</v>
      </c>
      <c r="Y1233" s="33" t="n">
        <f aca="false">Sens!$K$1233</f>
        <v>3407.15625</v>
      </c>
      <c r="Z1233" s="33" t="n">
        <f aca="false">Sens!$L$1233</f>
        <v>3407.15625</v>
      </c>
      <c r="AA1233" s="33" t="n">
        <f aca="false">Sens!$M$1233</f>
        <v>3407.15625</v>
      </c>
    </row>
    <row r="1234" customFormat="false" ht="17.15" hidden="false" customHeight="false" outlineLevel="0" collapsed="false">
      <c r="A1234" s="1" t="s">
        <v>559</v>
      </c>
    </row>
    <row r="1235" customFormat="false" ht="17.15" hidden="false" customHeight="false" outlineLevel="0" collapsed="false">
      <c r="A1235" s="0" t="s">
        <v>560</v>
      </c>
      <c r="B1235" s="0" t="s">
        <v>52</v>
      </c>
      <c r="F1235" s="35" t="n">
        <f aca="false">na_vr26</f>
        <v>0</v>
      </c>
      <c r="G1235" s="35" t="n">
        <f aca="false">na_vr26</f>
        <v>0</v>
      </c>
      <c r="H1235" s="35" t="n">
        <f aca="false">na_vr27</f>
        <v>0.5</v>
      </c>
      <c r="I1235" s="35" t="n">
        <f aca="false">na_vr28</f>
        <v>1</v>
      </c>
      <c r="J1235" s="35" t="n">
        <f aca="false">na_vr28</f>
        <v>1</v>
      </c>
      <c r="K1235" s="35" t="n">
        <f aca="false">na_vr28</f>
        <v>1</v>
      </c>
      <c r="L1235" s="35" t="n">
        <f aca="false">na_vr28</f>
        <v>1</v>
      </c>
      <c r="M1235" s="35" t="n">
        <f aca="false">na_vr28</f>
        <v>1</v>
      </c>
    </row>
    <row r="1236" customFormat="false" ht="17.15" hidden="false" customHeight="false" outlineLevel="0" collapsed="false">
      <c r="A1236" s="5" t="s">
        <v>561</v>
      </c>
      <c r="B1236" s="0" t="s">
        <v>151</v>
      </c>
      <c r="F1236" s="36" t="n">
        <f aca="false">cust_sh*tk_he_gb300*cf_chip+(1-cust_sh)*((1-Sens!$F$1235)*tk_he_gb300+Sens!$F$1235*tk_he_vr200)</f>
        <v>10.8864110021101</v>
      </c>
      <c r="G1236" s="36" t="n">
        <f aca="false">cust_sh*tk_he_gb300*cf_chip+(1-cust_sh)*((1-Sens!$G$1235)*tk_he_gb300+Sens!$G$1235*tk_he_vr200)</f>
        <v>10.8864110021101</v>
      </c>
      <c r="H1236" s="36" t="n">
        <f aca="false">cust_sh*tk_he_gb300*cf_chip+(1-cust_sh)*((1-Sens!$H$1235)*tk_he_gb300+Sens!$H$1235*tk_he_vr200)</f>
        <v>11.2211760027286</v>
      </c>
      <c r="I1236" s="36" t="n">
        <f aca="false">cust_sh*tk_he_gb300*cf_chip+(1-cust_sh)*((1-Sens!$I$1235)*tk_he_gb300+Sens!$I$1235*tk_he_vr200)</f>
        <v>11.5559410033471</v>
      </c>
      <c r="J1236" s="36" t="n">
        <f aca="false">cust_sh*tk_he_gb300*cf_chip+(1-cust_sh)*((1-Sens!$J$1235)*tk_he_gb300+Sens!$J$1235*tk_he_vr200)</f>
        <v>11.5559410033471</v>
      </c>
      <c r="K1236" s="36" t="n">
        <f aca="false">cust_sh*tk_he_gb300*cf_chip+(1-cust_sh)*((1-Sens!$K$1235)*tk_he_gb300+Sens!$K$1235*tk_he_vr200)</f>
        <v>11.5559410033471</v>
      </c>
      <c r="L1236" s="36" t="n">
        <f aca="false">cust_sh*tk_he_gb300*cf_chip+(1-cust_sh)*((1-Sens!$L$1235)*tk_he_gb300+Sens!$L$1235*tk_he_vr200)</f>
        <v>11.5559410033471</v>
      </c>
      <c r="M1236" s="36" t="n">
        <f aca="false">cust_sh*tk_he_gb300*cf_chip+(1-cust_sh)*((1-Sens!$M$1235)*tk_he_gb300+Sens!$M$1235*tk_he_vr200)</f>
        <v>11.5559410033471</v>
      </c>
    </row>
    <row r="1237" customFormat="false" ht="17.15" hidden="false" customHeight="false" outlineLevel="0" collapsed="false">
      <c r="A1237" s="5" t="s">
        <v>562</v>
      </c>
      <c r="B1237" s="0" t="s">
        <v>151</v>
      </c>
      <c r="F1237" s="36" t="n">
        <f aca="false">cust_sh*tk_ox_gb300+(1-cust_sh)*((1-Sens!$F$1235)*tk_ox_gb300+Sens!$F$1235*tk_ox_vr200)</f>
        <v>1.98263481314457</v>
      </c>
      <c r="G1237" s="36" t="n">
        <f aca="false">cust_sh*tk_ox_gb300+(1-cust_sh)*((1-Sens!$G$1235)*tk_ox_gb300+Sens!$G$1235*tk_ox_vr200)</f>
        <v>1.98263481314457</v>
      </c>
      <c r="H1237" s="36" t="n">
        <f aca="false">cust_sh*tk_ox_gb300+(1-cust_sh)*((1-Sens!$H$1235)*tk_ox_gb300+Sens!$H$1235*tk_ox_vr200)</f>
        <v>2.01034999693694</v>
      </c>
      <c r="I1237" s="36" t="n">
        <f aca="false">cust_sh*tk_ox_gb300+(1-cust_sh)*((1-Sens!$I$1235)*tk_ox_gb300+Sens!$I$1235*tk_ox_vr200)</f>
        <v>2.0380651807293</v>
      </c>
      <c r="J1237" s="36" t="n">
        <f aca="false">cust_sh*tk_ox_gb300+(1-cust_sh)*((1-Sens!$J$1235)*tk_ox_gb300+Sens!$J$1235*tk_ox_vr200)</f>
        <v>2.0380651807293</v>
      </c>
      <c r="K1237" s="36" t="n">
        <f aca="false">cust_sh*tk_ox_gb300+(1-cust_sh)*((1-Sens!$K$1235)*tk_ox_gb300+Sens!$K$1235*tk_ox_vr200)</f>
        <v>2.0380651807293</v>
      </c>
      <c r="L1237" s="36" t="n">
        <f aca="false">cust_sh*tk_ox_gb300+(1-cust_sh)*((1-Sens!$L$1235)*tk_ox_gb300+Sens!$L$1235*tk_ox_vr200)</f>
        <v>2.0380651807293</v>
      </c>
      <c r="M1237" s="36" t="n">
        <f aca="false">cust_sh*tk_ox_gb300+(1-cust_sh)*((1-Sens!$M$1235)*tk_ox_gb300+Sens!$M$1235*tk_ox_vr200)</f>
        <v>2.0380651807293</v>
      </c>
    </row>
    <row r="1238" customFormat="false" ht="17.15" hidden="false" customHeight="false" outlineLevel="0" collapsed="false">
      <c r="A1238" s="5" t="s">
        <v>563</v>
      </c>
      <c r="B1238" s="0" t="s">
        <v>170</v>
      </c>
      <c r="F1238" s="36" t="n">
        <f aca="false">cust_sh*tk_cx_gb300*cf_cx+(1-cust_sh)*((1-Sens!$F$1235)*tk_cx_gb300+Sens!$F$1235*tk_cx_vr200)</f>
        <v>32.237224</v>
      </c>
      <c r="G1238" s="36" t="n">
        <f aca="false">cust_sh*tk_cx_gb300*cf_cx+(1-cust_sh)*((1-Sens!$G$1235)*tk_cx_gb300+Sens!$G$1235*tk_cx_vr200)</f>
        <v>32.237224</v>
      </c>
      <c r="H1238" s="36" t="n">
        <f aca="false">cust_sh*tk_cx_gb300*cf_cx+(1-cust_sh)*((1-Sens!$H$1235)*tk_cx_gb300+Sens!$H$1235*tk_cx_vr200)</f>
        <v>33.574506</v>
      </c>
      <c r="I1238" s="36" t="n">
        <f aca="false">cust_sh*tk_cx_gb300*cf_cx+(1-cust_sh)*((1-Sens!$I$1235)*tk_cx_gb300+Sens!$I$1235*tk_cx_vr200)</f>
        <v>34.911788</v>
      </c>
      <c r="J1238" s="36" t="n">
        <f aca="false">cust_sh*tk_cx_gb300*cf_cx+(1-cust_sh)*((1-Sens!$J$1235)*tk_cx_gb300+Sens!$J$1235*tk_cx_vr200)</f>
        <v>34.911788</v>
      </c>
      <c r="K1238" s="36" t="n">
        <f aca="false">cust_sh*tk_cx_gb300*cf_cx+(1-cust_sh)*((1-Sens!$K$1235)*tk_cx_gb300+Sens!$K$1235*tk_cx_vr200)</f>
        <v>34.911788</v>
      </c>
      <c r="L1238" s="36" t="n">
        <f aca="false">cust_sh*tk_cx_gb300*cf_cx+(1-cust_sh)*((1-Sens!$L$1235)*tk_cx_gb300+Sens!$L$1235*tk_cx_vr200)</f>
        <v>34.911788</v>
      </c>
      <c r="M1238" s="36" t="n">
        <f aca="false">cust_sh*tk_cx_gb300*cf_cx+(1-cust_sh)*((1-Sens!$M$1235)*tk_cx_gb300+Sens!$M$1235*tk_cx_vr200)</f>
        <v>34.911788</v>
      </c>
    </row>
    <row r="1239" customFormat="false" ht="17.15" hidden="false" customHeight="false" outlineLevel="0" collapsed="false">
      <c r="A1239" s="5" t="s">
        <v>564</v>
      </c>
      <c r="B1239" s="0" t="s">
        <v>108</v>
      </c>
      <c r="F1239" s="33" t="n">
        <f aca="false">Sens!$F$1229-mw_open</f>
        <v>1362.8625</v>
      </c>
      <c r="G1239" s="33" t="n">
        <f aca="false">Sens!$F$1239</f>
        <v>1362.8625</v>
      </c>
      <c r="H1239" s="33" t="n">
        <f aca="false">Sens!$H$1229-mw_open</f>
        <v>4088.5875</v>
      </c>
      <c r="I1239" s="33" t="n">
        <f aca="false">Sens!$I$1229-mw_open</f>
        <v>6814.3125</v>
      </c>
      <c r="J1239" s="33" t="n">
        <f aca="false">Sens!$J$1229-mw_open</f>
        <v>9540.0375</v>
      </c>
      <c r="K1239" s="33" t="n">
        <f aca="false">Sens!$K$1229-mw_open</f>
        <v>12265.7625</v>
      </c>
      <c r="L1239" s="33" t="n">
        <f aca="false">Sens!$L$1229-mw_open</f>
        <v>14991.4875</v>
      </c>
      <c r="M1239" s="33" t="n">
        <f aca="false">Sens!$M$1229-mw_open</f>
        <v>17717.2125</v>
      </c>
    </row>
    <row r="1240" customFormat="false" ht="17.15" hidden="false" customHeight="false" outlineLevel="0" collapsed="false">
      <c r="A1240" s="0" t="s">
        <v>565</v>
      </c>
      <c r="B1240" s="0" t="s">
        <v>566</v>
      </c>
      <c r="F1240" s="33" t="n">
        <f aca="false">Sens!$F$1232*Sens!$F$1236</f>
        <v>14836.6813143633</v>
      </c>
      <c r="G1240" s="33" t="n">
        <f aca="false">Sens!$F$1240</f>
        <v>14836.6813143633</v>
      </c>
      <c r="H1240" s="33" t="n">
        <f aca="false">Sens!$G$1240+Sens!$H$1232*Sens!$H$1236</f>
        <v>45422.5212744007</v>
      </c>
      <c r="I1240" s="33" t="n">
        <f aca="false">Sens!$H$1240+Sens!$I$1232*Sens!$I$1236</f>
        <v>76920.838565749</v>
      </c>
      <c r="J1240" s="33" t="n">
        <f aca="false">Sens!$I$1240+Sens!$J$1232*Sens!$J$1236</f>
        <v>108419.155857097</v>
      </c>
      <c r="K1240" s="33" t="n">
        <f aca="false">Sens!$J$1240+Sens!$K$1232*Sens!$K$1236</f>
        <v>139917.473148446</v>
      </c>
      <c r="L1240" s="33" t="n">
        <f aca="false">Sens!$K$1240+Sens!$L$1232*Sens!$L$1236</f>
        <v>171415.790439794</v>
      </c>
      <c r="M1240" s="33" t="n">
        <f aca="false">Sens!$L$1240+Sens!$M$1232*Sens!$M$1236</f>
        <v>202914.107731142</v>
      </c>
    </row>
    <row r="1241" customFormat="false" ht="17.15" hidden="false" customHeight="false" outlineLevel="0" collapsed="false">
      <c r="A1241" s="0" t="s">
        <v>567</v>
      </c>
      <c r="B1241" s="0" t="s">
        <v>566</v>
      </c>
      <c r="F1241" s="33" t="n">
        <f aca="false">Sens!$F$1232*Sens!$F$1237</f>
        <v>2702.05863802924</v>
      </c>
      <c r="G1241" s="33" t="n">
        <f aca="false">Sens!$F$1241</f>
        <v>2702.05863802924</v>
      </c>
      <c r="H1241" s="33" t="n">
        <f aca="false">Sens!$G$1241+Sens!$H$1232*Sens!$H$1237</f>
        <v>8181.71988343017</v>
      </c>
      <c r="I1241" s="33" t="n">
        <f aca="false">Sens!$H$1241+Sens!$I$1232*Sens!$I$1237</f>
        <v>13736.9250981735</v>
      </c>
      <c r="J1241" s="33" t="n">
        <f aca="false">Sens!$I$1241+Sens!$J$1232*Sens!$J$1237</f>
        <v>19292.1303129169</v>
      </c>
      <c r="K1241" s="33" t="n">
        <f aca="false">Sens!$J$1241+Sens!$K$1232*Sens!$K$1237</f>
        <v>24847.3355276603</v>
      </c>
      <c r="L1241" s="33" t="n">
        <f aca="false">Sens!$K$1241+Sens!$L$1232*Sens!$L$1237</f>
        <v>30402.5407424037</v>
      </c>
      <c r="M1241" s="33" t="n">
        <f aca="false">Sens!$L$1241+Sens!$M$1232*Sens!$M$1237</f>
        <v>35957.745957147</v>
      </c>
    </row>
    <row r="1242" customFormat="false" ht="17.15" hidden="false" customHeight="false" outlineLevel="0" collapsed="false">
      <c r="A1242" s="5" t="s">
        <v>568</v>
      </c>
      <c r="B1242" s="0" t="s">
        <v>151</v>
      </c>
      <c r="F1242" s="36" t="n">
        <f aca="false">IF(Sens!$F$1239&gt;0,Sens!$F$1240/Sens!$F$1239,Sens!$F$1236)</f>
        <v>10.8864110021101</v>
      </c>
      <c r="G1242" s="36" t="n">
        <f aca="false">IF(Sens!$G$1239&gt;0,Sens!$G$1240/Sens!$G$1239,Sens!$G$1236)</f>
        <v>10.8864110021101</v>
      </c>
      <c r="H1242" s="36" t="n">
        <f aca="false">IF(Sens!$H$1239&gt;0,Sens!$H$1240/Sens!$H$1239,Sens!$H$1236)</f>
        <v>11.1095876691891</v>
      </c>
      <c r="I1242" s="36" t="n">
        <f aca="false">IF(Sens!$I$1239&gt;0,Sens!$I$1240/Sens!$I$1239,Sens!$I$1236)</f>
        <v>11.2881290028523</v>
      </c>
      <c r="J1242" s="36" t="n">
        <f aca="false">IF(Sens!$J$1239&gt;0,Sens!$J$1240/Sens!$J$1239,Sens!$J$1236)</f>
        <v>11.3646467172794</v>
      </c>
      <c r="K1242" s="36" t="n">
        <f aca="false">IF(Sens!$K$1239&gt;0,Sens!$K$1240/Sens!$K$1239,Sens!$K$1236)</f>
        <v>11.4071565586278</v>
      </c>
      <c r="L1242" s="36" t="n">
        <f aca="false">IF(Sens!$L$1239&gt;0,Sens!$L$1240/Sens!$L$1239,Sens!$L$1236)</f>
        <v>11.4342082758495</v>
      </c>
      <c r="M1242" s="36" t="n">
        <f aca="false">IF(Sens!$M$1239&gt;0,Sens!$M$1240/Sens!$M$1239,Sens!$M$1236)</f>
        <v>11.4529363877722</v>
      </c>
    </row>
    <row r="1243" customFormat="false" ht="17.15" hidden="false" customHeight="false" outlineLevel="0" collapsed="false">
      <c r="A1243" s="5" t="s">
        <v>569</v>
      </c>
      <c r="B1243" s="0" t="s">
        <v>151</v>
      </c>
      <c r="F1243" s="36" t="n">
        <f aca="false">IF(Sens!$F$1239&gt;0,Sens!$F$1241/Sens!$F$1239,Sens!$F$1237)</f>
        <v>1.98263481314457</v>
      </c>
      <c r="G1243" s="36" t="n">
        <f aca="false">IF(Sens!$G$1239&gt;0,Sens!$G$1241/Sens!$G$1239,Sens!$G$1237)</f>
        <v>1.98263481314457</v>
      </c>
      <c r="H1243" s="36" t="n">
        <f aca="false">IF(Sens!$H$1239&gt;0,Sens!$H$1241/Sens!$H$1239,Sens!$H$1237)</f>
        <v>2.00111160233948</v>
      </c>
      <c r="I1243" s="36" t="n">
        <f aca="false">IF(Sens!$I$1239&gt;0,Sens!$I$1241/Sens!$I$1239,Sens!$I$1237)</f>
        <v>2.01589303369541</v>
      </c>
      <c r="J1243" s="36" t="n">
        <f aca="false">IF(Sens!$J$1239&gt;0,Sens!$J$1241/Sens!$J$1239,Sens!$J$1237)</f>
        <v>2.02222793284795</v>
      </c>
      <c r="K1243" s="36" t="n">
        <f aca="false">IF(Sens!$K$1239&gt;0,Sens!$K$1241/Sens!$K$1239,Sens!$K$1237)</f>
        <v>2.02574732126603</v>
      </c>
      <c r="L1243" s="36" t="n">
        <f aca="false">IF(Sens!$L$1239&gt;0,Sens!$L$1241/Sens!$L$1239,Sens!$L$1237)</f>
        <v>2.02798693207753</v>
      </c>
      <c r="M1243" s="36" t="n">
        <f aca="false">IF(Sens!$M$1239&gt;0,Sens!$M$1241/Sens!$M$1239,Sens!$M$1237)</f>
        <v>2.02953743187011</v>
      </c>
    </row>
    <row r="1244" customFormat="false" ht="17.15" hidden="false" customHeight="false" outlineLevel="0" collapsed="false">
      <c r="A1244" s="14" t="s">
        <v>570</v>
      </c>
      <c r="B1244" s="13" t="s">
        <v>151</v>
      </c>
      <c r="C1244" s="13"/>
      <c r="D1244" s="13"/>
      <c r="E1244" s="13"/>
      <c r="F1244" s="37" t="n">
        <f aca="false">Sens!$F$1242*k_B</f>
        <v>10.7987645808025</v>
      </c>
      <c r="G1244" s="37" t="n">
        <f aca="false">Sens!$G$1242*k_B</f>
        <v>10.7987645808025</v>
      </c>
      <c r="H1244" s="37" t="n">
        <f aca="false">Sens!$H$1242*k_B</f>
        <v>11.0201444540452</v>
      </c>
      <c r="I1244" s="37" t="n">
        <f aca="false">Sens!$I$1242*k_B</f>
        <v>11.1972483526393</v>
      </c>
      <c r="J1244" s="37" t="n">
        <f aca="false">Sens!$J$1242*k_B</f>
        <v>11.2731500234653</v>
      </c>
      <c r="K1244" s="37" t="n">
        <f aca="false">Sens!$K$1242*k_B</f>
        <v>11.3153176183687</v>
      </c>
      <c r="L1244" s="37" t="n">
        <f aca="false">Sens!$L$1242*k_B</f>
        <v>11.3421515423981</v>
      </c>
      <c r="M1244" s="37" t="n">
        <f aca="false">Sens!$M$1242*k_B</f>
        <v>11.3607288744184</v>
      </c>
      <c r="N1244" s="13"/>
      <c r="O1244" s="13"/>
      <c r="P1244" s="5" t="s">
        <v>571</v>
      </c>
    </row>
    <row r="1245" customFormat="false" ht="17.15" hidden="false" customHeight="false" outlineLevel="0" collapsed="false">
      <c r="A1245" s="5" t="s">
        <v>572</v>
      </c>
      <c r="B1245" s="0" t="s">
        <v>108</v>
      </c>
      <c r="F1245" s="33" t="n">
        <f aca="false">Sens!$F$1239/2</f>
        <v>681.43125</v>
      </c>
      <c r="H1245" s="33" t="n">
        <f aca="false">(Sens!$G$1239+Sens!$H$1239)/2</f>
        <v>2725.725</v>
      </c>
      <c r="I1245" s="33" t="n">
        <f aca="false">(Sens!$H$1239+Sens!$I$1239)/2</f>
        <v>5451.45</v>
      </c>
      <c r="J1245" s="33" t="n">
        <f aca="false">(Sens!$I$1239+Sens!$J$1239)/2</f>
        <v>8177.175</v>
      </c>
      <c r="K1245" s="33" t="n">
        <f aca="false">(Sens!$J$1239+Sens!$K$1239)/2</f>
        <v>10902.9</v>
      </c>
      <c r="L1245" s="33" t="n">
        <f aca="false">(Sens!$K$1239+Sens!$L$1239)/2</f>
        <v>13628.625</v>
      </c>
      <c r="M1245" s="33" t="n">
        <f aca="false">(Sens!$L$1239+Sens!$M$1239)/2</f>
        <v>16354.35</v>
      </c>
    </row>
    <row r="1246" customFormat="false" ht="17.15" hidden="false" customHeight="false" outlineLevel="0" collapsed="false">
      <c r="A1246" s="1" t="s">
        <v>573</v>
      </c>
    </row>
    <row r="1247" customFormat="false" ht="17.15" hidden="false" customHeight="false" outlineLevel="0" collapsed="false">
      <c r="A1247" s="1" t="s">
        <v>574</v>
      </c>
      <c r="B1247" s="8" t="s">
        <v>73</v>
      </c>
      <c r="C1247" s="38" t="n">
        <f aca="false">Sens!$C$1230*rpm_open*Sens!$C$1231/1000</f>
        <v>2.32100535697364</v>
      </c>
      <c r="D1247" s="38" t="n">
        <f aca="false">Sens!$D$1230*rpm_open*Sens!$D$1231/1000</f>
        <v>8.70377008865116</v>
      </c>
      <c r="E1247" s="38" t="n">
        <f aca="false">Sens!$E$1230*rpm_open*Sens!$E$1231/1000</f>
        <v>8.51035297557002</v>
      </c>
      <c r="F1247" s="38" t="n">
        <f aca="false">(mw_open*rpm_open+Sens!$F$1245*Sens!$F$1244)*Sens!$F$1231/1000</f>
        <v>13.7369977035951</v>
      </c>
      <c r="G1247" s="38" t="n">
        <f aca="false">Sens!$E$1247+Sens!$F$1247</f>
        <v>22.2473506791651</v>
      </c>
      <c r="H1247" s="38" t="n">
        <f aca="false">(mw_open*rpm_open+Sens!$H$1245*Sens!$H$1244)/1000</f>
        <v>50.1532630024405</v>
      </c>
      <c r="I1247" s="38" t="n">
        <f aca="false">(mw_open*rpm_open+Sens!$I$1245*Sens!$I$1244)/1000</f>
        <v>81.1566192924336</v>
      </c>
      <c r="J1247" s="38" t="n">
        <f aca="false">(mw_open*rpm_open+Sens!$J$1245*Sens!$J$1244)/1000</f>
        <v>112.297900303568</v>
      </c>
      <c r="K1247" s="38" t="n">
        <f aca="false">(mw_open*rpm_open+Sens!$K$1245*Sens!$K$1244)/1000</f>
        <v>143.48515622175</v>
      </c>
      <c r="L1247" s="38" t="n">
        <f aca="false">(mw_open*rpm_open+Sens!$L$1245*Sens!$L$1244)/1000</f>
        <v>174.693309824953</v>
      </c>
      <c r="M1247" s="38" t="n">
        <f aca="false">(mw_open*rpm_open+Sens!$M$1245*Sens!$M$1244)/1000</f>
        <v>205.912716027783</v>
      </c>
      <c r="N1247" s="38" t="n">
        <f aca="false">Sens!$N$1230*rpm_open*Sens!$N$1231/1000</f>
        <v>3.04631953102791</v>
      </c>
      <c r="O1247" s="38" t="n">
        <f aca="false">Sens!$O$1230*rpm_open*Sens!$O$1231/1000</f>
        <v>5.65745055762326</v>
      </c>
      <c r="P1247" s="5" t="s">
        <v>575</v>
      </c>
    </row>
    <row r="1248" customFormat="false" ht="17.15" hidden="false" customHeight="false" outlineLevel="0" collapsed="false">
      <c r="A1248" s="5" t="s">
        <v>576</v>
      </c>
      <c r="B1248" s="0" t="s">
        <v>151</v>
      </c>
      <c r="C1248" s="36" t="n">
        <f aca="false">Sens!$C$1247*1000/(Sens!$C$1230*Sens!$C$1231)</f>
        <v>9.67085565405685</v>
      </c>
      <c r="D1248" s="36" t="n">
        <f aca="false">Sens!$D$1247*1000/(Sens!$D$1230*Sens!$D$1231)</f>
        <v>9.67085565405685</v>
      </c>
      <c r="E1248" s="36" t="n">
        <f aca="false">Sens!$E$1247*1000/(Sens!$E$1230*Sens!$E$1231)</f>
        <v>9.67085565405685</v>
      </c>
      <c r="F1248" s="36" t="n">
        <f aca="false">Sens!$F$1247*1000/(Sens!$F$1230*Sens!$F$1231)</f>
        <v>9.94918682374955</v>
      </c>
      <c r="G1248" s="36" t="n">
        <f aca="false">Sens!$G$1247*1000/(Sens!$G$1230*Sens!$G$1231)</f>
        <v>9.84084439154754</v>
      </c>
      <c r="H1248" s="36" t="n">
        <f aca="false">Sens!$H$1247*1000/(Sens!$H$1230*Sens!$H$1231)</f>
        <v>10.4361491767508</v>
      </c>
      <c r="I1248" s="36" t="n">
        <f aca="false">Sens!$I$1247*1000/(Sens!$I$1230*Sens!$I$1231)</f>
        <v>10.7756964850638</v>
      </c>
      <c r="J1248" s="36" t="n">
        <f aca="false">Sens!$J$1247*1000/(Sens!$J$1230*Sens!$J$1231)</f>
        <v>10.9482289522766</v>
      </c>
      <c r="K1248" s="36" t="n">
        <f aca="false">Sens!$K$1247*1000/(Sens!$K$1230*Sens!$K$1231)</f>
        <v>11.0518571522349</v>
      </c>
      <c r="L1248" s="36" t="n">
        <f aca="false">Sens!$L$1247*1000/(Sens!$L$1230*Sens!$L$1231)</f>
        <v>11.1208530234157</v>
      </c>
      <c r="M1248" s="36" t="n">
        <f aca="false">Sens!$M$1247*1000/(Sens!$M$1230*Sens!$M$1231)</f>
        <v>11.1700556855969</v>
      </c>
      <c r="N1248" s="36" t="n">
        <f aca="false">Sens!$N$1247*1000/(Sens!$N$1230*Sens!$N$1231)</f>
        <v>9.67085565405685</v>
      </c>
      <c r="O1248" s="36" t="n">
        <f aca="false">Sens!$O$1247*1000/(Sens!$O$1230*Sens!$O$1231)</f>
        <v>9.67085565405685</v>
      </c>
    </row>
    <row r="1249" customFormat="false" ht="17.15" hidden="false" customHeight="false" outlineLevel="0" collapsed="false">
      <c r="A1249" s="0" t="s">
        <v>577</v>
      </c>
      <c r="B1249" s="0" t="s">
        <v>73</v>
      </c>
      <c r="C1249" s="38" t="n">
        <f aca="false">Sens!$C$1230/ext_sh*(ox_open+rent_mw)*Sens!$C$1231/1000</f>
        <v>0.642569210675032</v>
      </c>
      <c r="D1249" s="38" t="n">
        <f aca="false">Sens!$D$1230/ext_sh*(ox_open+rent_mw)*Sens!$D$1231/1000</f>
        <v>2.40963454003137</v>
      </c>
      <c r="E1249" s="38" t="n">
        <f aca="false">Sens!$E$1230/ext_sh*(ox_open+rent_mw)*Sens!$E$1231/1000</f>
        <v>2.35608710580845</v>
      </c>
      <c r="F1249" s="38" t="n">
        <f aca="false">((mw_open*ox_open+Sens!$F$1245*Sens!$F$1243)/ext_sh+Sens!$F$1230/ext_sh*rent_mw)*Sens!$F$1231/1000</f>
        <v>3.73678157819469</v>
      </c>
      <c r="G1249" s="38" t="n">
        <f aca="false">Sens!$E$1249+Sens!$F$1249</f>
        <v>6.09286868400315</v>
      </c>
      <c r="H1249" s="38" t="n">
        <f aca="false">((mw_open*ox_open+Sens!$H$1245*Sens!$H$1243)/ext_sh+Sens!$H$1230/ext_sh*rent_mw)*Sens!$H$1231/1000</f>
        <v>13.2504064557921</v>
      </c>
      <c r="I1249" s="38" t="n">
        <f aca="false">((mw_open*ox_open+Sens!$I$1245*Sens!$I$1243)/ext_sh+Sens!$I$1230/ext_sh*rent_mw)*Sens!$I$1231/1000</f>
        <v>21.0326050448572</v>
      </c>
      <c r="J1249" s="38" t="n">
        <f aca="false">((mw_open*ox_open+Sens!$J$1245*Sens!$J$1243)/ext_sh+Sens!$J$1230/ext_sh*rent_mw)*Sens!$J$1231/1000</f>
        <v>28.829192961416</v>
      </c>
      <c r="K1249" s="38" t="n">
        <f aca="false">((mw_open*ox_open+Sens!$K$1245*Sens!$K$1243)/ext_sh+Sens!$K$1230/ext_sh*rent_mw)*Sens!$K$1231/1000</f>
        <v>36.6305773204728</v>
      </c>
      <c r="L1249" s="38" t="n">
        <f aca="false">((mw_open*ox_open+Sens!$L$1245*Sens!$L$1243)/ext_sh+Sens!$L$1230/ext_sh*rent_mw)*Sens!$L$1231/1000</f>
        <v>44.434141880665</v>
      </c>
      <c r="M1249" s="38" t="n">
        <f aca="false">((mw_open*ox_open+Sens!$M$1245*Sens!$M$1243)/ext_sh+Sens!$M$1230/ext_sh*rent_mw)*Sens!$M$1231/1000</f>
        <v>52.2388803953148</v>
      </c>
      <c r="N1249" s="38" t="n">
        <f aca="false">Sens!$N$1230/ext_sh*(ox_open+rent_mw)*Sens!$N$1231/1000</f>
        <v>0.84337208901098</v>
      </c>
      <c r="O1249" s="38" t="n">
        <f aca="false">Sens!$O$1230/ext_sh*(ox_open+rent_mw)*Sens!$O$1231/1000</f>
        <v>1.56626245102039</v>
      </c>
    </row>
    <row r="1250" customFormat="false" ht="17.15" hidden="false" customHeight="false" outlineLevel="0" collapsed="false">
      <c r="A1250" s="0" t="s">
        <v>578</v>
      </c>
      <c r="B1250" s="0" t="s">
        <v>73</v>
      </c>
      <c r="C1250" s="38" t="n">
        <f aca="false">Q!$D$7</f>
        <v>107.556</v>
      </c>
      <c r="D1250" s="38" t="n">
        <f aca="false">Q!$E$7</f>
        <v>128.725</v>
      </c>
      <c r="E1250" s="38" t="n">
        <f aca="false">Q!$P$7</f>
        <v>79.819</v>
      </c>
      <c r="N1250" s="38" t="n">
        <f aca="false">Q!$N$7</f>
        <v>60.14</v>
      </c>
      <c r="O1250" s="38" t="n">
        <f aca="false">Q!$O$7</f>
        <v>68.585</v>
      </c>
    </row>
    <row r="1251" customFormat="false" ht="17.15" hidden="false" customHeight="false" outlineLevel="0" collapsed="false">
      <c r="A1251" s="1" t="s">
        <v>579</v>
      </c>
      <c r="B1251" s="8" t="s">
        <v>73</v>
      </c>
      <c r="C1251" s="38" t="n">
        <f aca="false">Sens!$C$1250-Sens!$C$1247</f>
        <v>105.234994643026</v>
      </c>
      <c r="D1251" s="38" t="n">
        <f aca="false">Sens!$D$1250-Sens!$D$1247</f>
        <v>120.021229911349</v>
      </c>
      <c r="E1251" s="38" t="n">
        <f aca="false">Sens!$E$1250-Sens!$E$1247</f>
        <v>71.30864702443</v>
      </c>
      <c r="F1251" s="38" t="n">
        <f aca="false">Sens!$O$1251*(1+Sens!$F$1252)</f>
        <v>78.5950104186653</v>
      </c>
      <c r="G1251" s="38" t="n">
        <f aca="false">Sens!$E$1251+Sens!$F$1251</f>
        <v>149.903657443095</v>
      </c>
      <c r="H1251" s="38" t="n">
        <f aca="false">Sens!$G$1251*(1+Sens!$H$1252)</f>
        <v>180.893560768142</v>
      </c>
      <c r="I1251" s="38" t="n">
        <f aca="false">Sens!$H$1251*(1+Sens!$I$1252)</f>
        <v>210.64839721501</v>
      </c>
      <c r="J1251" s="38" t="n">
        <f aca="false">Sens!$I$1251*(1+Sens!$J$1252)</f>
        <v>236.398909446495</v>
      </c>
      <c r="K1251" s="38" t="n">
        <f aca="false">Sens!$J$1251*(1+Sens!$K$1252)</f>
        <v>255.310822202215</v>
      </c>
      <c r="L1251" s="38" t="n">
        <f aca="false">Sens!$K$1251*(1+Sens!$L$1252)</f>
        <v>275.735687978392</v>
      </c>
      <c r="M1251" s="38" t="n">
        <f aca="false">Sens!$L$1251*(1+Sens!$M$1252)</f>
        <v>297.794543016663</v>
      </c>
      <c r="N1251" s="38" t="n">
        <f aca="false">Sens!$N$1250-Sens!$N$1247</f>
        <v>57.0936804689721</v>
      </c>
      <c r="O1251" s="38" t="n">
        <f aca="false">Sens!$O$1250-Sens!$O$1247</f>
        <v>62.9275494423768</v>
      </c>
      <c r="P1251" s="5" t="s">
        <v>580</v>
      </c>
    </row>
    <row r="1252" customFormat="false" ht="17.15" hidden="false" customHeight="false" outlineLevel="0" collapsed="false">
      <c r="A1252" s="0" t="s">
        <v>581</v>
      </c>
      <c r="B1252" s="0" t="s">
        <v>52</v>
      </c>
      <c r="E1252" s="12" t="n">
        <f aca="false">Sens!$E$1251/Sens!$N$1251-1</f>
        <v>0.248976181579029</v>
      </c>
      <c r="F1252" s="12" t="n">
        <f aca="false">Sens!$E$1252</f>
        <v>0.248976181579029</v>
      </c>
      <c r="G1252" s="12" t="n">
        <f aca="false">Sens!$G$1251/Sens!$D$1251-1</f>
        <v>0.248976181579029</v>
      </c>
      <c r="H1252" s="12" t="n">
        <f aca="false">Sens!$E$1252+(g_awso_lt-Sens!$E$1252)*1/4</f>
        <v>0.206732136184272</v>
      </c>
      <c r="I1252" s="12" t="n">
        <f aca="false">Sens!$E$1252+(g_awso_lt-Sens!$E$1252)*2/4</f>
        <v>0.164488090789515</v>
      </c>
      <c r="J1252" s="12" t="n">
        <f aca="false">Sens!$E$1252+(g_awso_lt-Sens!$E$1252)*3/4</f>
        <v>0.122244045394757</v>
      </c>
      <c r="K1252" s="12" t="n">
        <f aca="false">Sens!$E$1252+(g_awso_lt-Sens!$E$1252)*4/4</f>
        <v>0.08</v>
      </c>
      <c r="L1252" s="12" t="n">
        <f aca="false">g_awso_lt</f>
        <v>0.08</v>
      </c>
      <c r="M1252" s="12" t="n">
        <f aca="false">g_awso_lt</f>
        <v>0.08</v>
      </c>
      <c r="P1252" s="8" t="s">
        <v>582</v>
      </c>
    </row>
    <row r="1253" customFormat="false" ht="17.15" hidden="false" customHeight="false" outlineLevel="0" collapsed="false">
      <c r="A1253" s="1" t="s">
        <v>583</v>
      </c>
    </row>
    <row r="1254" customFormat="false" ht="17.15" hidden="false" customHeight="false" outlineLevel="0" collapsed="false">
      <c r="A1254" s="0" t="s">
        <v>584</v>
      </c>
      <c r="B1254" s="0" t="s">
        <v>73</v>
      </c>
      <c r="F1254" s="38" t="n">
        <f aca="false">cx_rt*Sens!$F$1220+cx_awso*Sens!$F$1251</f>
        <v>36.8045765066526</v>
      </c>
    </row>
    <row r="1255" customFormat="false" ht="17.15" hidden="false" customHeight="false" outlineLevel="0" collapsed="false">
      <c r="A1255" s="0" t="s">
        <v>585</v>
      </c>
      <c r="B1255" s="0" t="s">
        <v>52</v>
      </c>
      <c r="C1255" s="12" t="n">
        <f aca="false">tk_cx_h100/(tk_cx_h100+tk_fac*(1-colo_sh))</f>
        <v>0.730756458006641</v>
      </c>
      <c r="D1255" s="12" t="n">
        <f aca="false">tk_cx_h100/(tk_cx_h100+tk_fac*(1-colo_sh))</f>
        <v>0.730756458006641</v>
      </c>
      <c r="E1255" s="12" t="n">
        <f aca="false">Sens!$F$1255</f>
        <v>0.760792334328868</v>
      </c>
      <c r="F1255" s="12" t="n">
        <f aca="false">Sens!$F$1238/(Sens!$F$1238+tk_fac*(1-colo_sh))</f>
        <v>0.760792334328868</v>
      </c>
      <c r="G1255" s="12" t="n">
        <f aca="false">Sens!$G$1238/(Sens!$G$1238+tk_fac*(1-colo_sh))</f>
        <v>0.760792334328868</v>
      </c>
      <c r="H1255" s="12" t="n">
        <f aca="false">Sens!$H$1238/(Sens!$H$1238+tk_fac*(1-colo_sh))</f>
        <v>0.768110668862996</v>
      </c>
      <c r="I1255" s="12" t="n">
        <f aca="false">Sens!$I$1238/(Sens!$I$1238+tk_fac*(1-colo_sh))</f>
        <v>0.77499450139483</v>
      </c>
      <c r="J1255" s="12" t="n">
        <f aca="false">Sens!$J$1238/(Sens!$J$1238+tk_fac*(1-colo_sh))</f>
        <v>0.77499450139483</v>
      </c>
      <c r="K1255" s="12" t="n">
        <f aca="false">Sens!$K$1238/(Sens!$K$1238+tk_fac*(1-colo_sh))</f>
        <v>0.77499450139483</v>
      </c>
      <c r="L1255" s="12" t="n">
        <f aca="false">Sens!$L$1238/(Sens!$L$1238+tk_fac*(1-colo_sh))</f>
        <v>0.77499450139483</v>
      </c>
      <c r="M1255" s="12" t="n">
        <f aca="false">Sens!$M$1238/(Sens!$M$1238+tk_fac*(1-colo_sh))</f>
        <v>0.77499450139483</v>
      </c>
    </row>
    <row r="1256" customFormat="false" ht="17.15" hidden="false" customHeight="false" outlineLevel="0" collapsed="false">
      <c r="A1256" s="1" t="s">
        <v>586</v>
      </c>
      <c r="B1256" s="8" t="s">
        <v>73</v>
      </c>
      <c r="C1256" s="38" t="n">
        <f aca="false">Q!$D$46-cx_rt*Q!$D$16-cx_awso*Sens!$C$1251</f>
        <v>25.2781053077374</v>
      </c>
      <c r="D1256" s="38" t="n">
        <f aca="false">Q!$E$46-cx_rt*Q!$E$16-cx_awso*Sens!$D$1251</f>
        <v>69.5686316310026</v>
      </c>
      <c r="E1256" s="38" t="n">
        <f aca="false">Q!$P$46-cx_rt*Q!$P$16-cx_awso*Sens!$E$1251</f>
        <v>64.1899206485108</v>
      </c>
      <c r="F1256" s="38" t="n">
        <f aca="false">MAX(Sens!$F$1233*(Sens!$F$1238+tk_fac*(1-colo_sh))/1000,capex_g26-Q!$P$46-Sens!$F$1254)</f>
        <v>86.8854234933474</v>
      </c>
      <c r="G1256" s="38" t="n">
        <f aca="false">Sens!$E$1256+Sens!$F$1256</f>
        <v>151.075344141858</v>
      </c>
      <c r="H1256" s="38" t="n">
        <f aca="false">Sens!$H$1233*(Sens!$H$1238+tk_fac*(1-colo_sh))/1000+Sens!$H$1257</f>
        <v>148.928523708563</v>
      </c>
      <c r="I1256" s="38" t="n">
        <f aca="false">Sens!$I$1233*(Sens!$I$1238+tk_fac*(1-colo_sh))/1000+Sens!$I$1257</f>
        <v>153.484852432875</v>
      </c>
      <c r="J1256" s="38" t="n">
        <f aca="false">Sens!$J$1233*(Sens!$J$1238+tk_fac*(1-colo_sh))/1000+Sens!$J$1257</f>
        <v>158.721620632875</v>
      </c>
      <c r="K1256" s="38" t="n">
        <f aca="false">Sens!$K$1233*(Sens!$K$1238+tk_fac*(1-colo_sh))/1000+Sens!$K$1257</f>
        <v>163.958388832875</v>
      </c>
      <c r="L1256" s="38" t="n">
        <f aca="false">Sens!$L$1233*(Sens!$L$1238+tk_fac*(1-colo_sh))/1000+Sens!$L$1257</f>
        <v>200.615766232875</v>
      </c>
      <c r="M1256" s="38" t="n">
        <f aca="false">Sens!$M$1233*(Sens!$M$1238+tk_fac*(1-colo_sh))/1000+Sens!$M$1257</f>
        <v>240.889241174312</v>
      </c>
      <c r="P1256" s="5" t="s">
        <v>587</v>
      </c>
      <c r="R1256" s="38" t="n">
        <f aca="false">Q!$C$46-cx_rt*Q!$C$16-cx_awso*(Q!$C$7-mw_ye23/2*rpm_open/1000)</f>
        <v>1.50429979529945</v>
      </c>
      <c r="S1256" s="38" t="n">
        <f aca="false">Sens!$C$1256</f>
        <v>25.2781053077374</v>
      </c>
      <c r="T1256" s="38" t="n">
        <f aca="false">Sens!$D$1256</f>
        <v>69.5686316310026</v>
      </c>
      <c r="U1256" s="38" t="n">
        <f aca="false">Sens!$G$1256</f>
        <v>151.075344141858</v>
      </c>
      <c r="V1256" s="38" t="n">
        <f aca="false">Sens!$H$1256</f>
        <v>148.928523708563</v>
      </c>
      <c r="W1256" s="38" t="n">
        <f aca="false">Sens!$I$1256</f>
        <v>153.484852432875</v>
      </c>
      <c r="X1256" s="38" t="n">
        <f aca="false">Sens!$J$1256</f>
        <v>158.721620632875</v>
      </c>
      <c r="Y1256" s="38" t="n">
        <f aca="false">Sens!$K$1256</f>
        <v>163.958388832875</v>
      </c>
      <c r="Z1256" s="38" t="n">
        <f aca="false">Sens!$L$1256</f>
        <v>200.615766232875</v>
      </c>
      <c r="AA1256" s="38" t="n">
        <f aca="false">Sens!$M$1256</f>
        <v>240.889241174312</v>
      </c>
    </row>
    <row r="1257" customFormat="false" ht="17.15" hidden="false" customHeight="false" outlineLevel="0" collapsed="false">
      <c r="A1257" s="0" t="s">
        <v>588</v>
      </c>
      <c r="B1257" s="0" t="s">
        <v>73</v>
      </c>
      <c r="H1257" s="38" t="n">
        <f aca="false">SUMPRODUCT(--(Sens!$R$1227:$AA$1227=2027-tk_life),Sens!$R$1233:$AA$1233)*Sens!$H$1238/1000</f>
        <v>0</v>
      </c>
      <c r="I1257" s="38" t="n">
        <f aca="false">SUMPRODUCT(--(Sens!$R$1227:$AA$1227=2028-tk_life),Sens!$R$1233:$AA$1233)*Sens!$I$1238/1000</f>
        <v>0</v>
      </c>
      <c r="J1257" s="38" t="n">
        <f aca="false">SUMPRODUCT(--(Sens!$R$1227:$AA$1227=2029-tk_life),Sens!$R$1233:$AA$1233)*Sens!$J$1238/1000</f>
        <v>5.2367682</v>
      </c>
      <c r="K1257" s="38" t="n">
        <f aca="false">SUMPRODUCT(--(Sens!$R$1227:$AA$1227=2030-tk_life),Sens!$R$1233:$AA$1233)*Sens!$K$1238/1000</f>
        <v>10.4735364</v>
      </c>
      <c r="L1257" s="38" t="n">
        <f aca="false">SUMPRODUCT(--(Sens!$R$1227:$AA$1227=2031-tk_life),Sens!$R$1233:$AA$1233)*Sens!$L$1238/1000</f>
        <v>47.1309138</v>
      </c>
      <c r="M1257" s="38" t="n">
        <f aca="false">SUMPRODUCT(--(Sens!$R$1227:$AA$1227=2032-tk_life),Sens!$R$1233:$AA$1233)*Sens!$M$1238/1000</f>
        <v>87.4043887414375</v>
      </c>
    </row>
    <row r="1258" customFormat="false" ht="17.15" hidden="false" customHeight="false" outlineLevel="0" collapsed="false">
      <c r="A1258" s="5" t="s">
        <v>589</v>
      </c>
      <c r="B1258" s="0" t="s">
        <v>73</v>
      </c>
      <c r="C1258" s="38" t="n">
        <f aca="false">Sens!$C$1256*Sens!$C$1255</f>
        <v>18.472138699801</v>
      </c>
      <c r="D1258" s="38" t="n">
        <f aca="false">Sens!$D$1256*Sens!$D$1255</f>
        <v>50.8377268390402</v>
      </c>
      <c r="E1258" s="38" t="n">
        <f aca="false">Sens!$E$1256*Sens!$E$1255</f>
        <v>48.8351995705653</v>
      </c>
      <c r="F1258" s="38" t="n">
        <f aca="false">Sens!$F$1256*Sens!$F$1255</f>
        <v>66.101764158656</v>
      </c>
      <c r="G1258" s="38" t="n">
        <f aca="false">Sens!$E$1258+Sens!$F$1258</f>
        <v>114.936963729221</v>
      </c>
      <c r="H1258" s="38" t="n">
        <f aca="false">(Sens!$H$1256-Sens!$H$1257)*Sens!$H$1255+Sens!$H$1257</f>
        <v>114.393587958563</v>
      </c>
      <c r="I1258" s="38" t="n">
        <f aca="false">(Sens!$I$1256-Sens!$I$1257)*Sens!$I$1255+Sens!$I$1257</f>
        <v>118.949916682875</v>
      </c>
      <c r="J1258" s="38" t="n">
        <f aca="false">(Sens!$J$1256-Sens!$J$1257)*Sens!$J$1255+Sens!$J$1257</f>
        <v>124.186684882875</v>
      </c>
      <c r="K1258" s="38" t="n">
        <f aca="false">(Sens!$K$1256-Sens!$K$1257)*Sens!$K$1255+Sens!$K$1257</f>
        <v>129.423453082875</v>
      </c>
      <c r="L1258" s="38" t="n">
        <f aca="false">(Sens!$L$1256-Sens!$L$1257)*Sens!$L$1255+Sens!$L$1257</f>
        <v>166.080830482875</v>
      </c>
      <c r="M1258" s="38" t="n">
        <f aca="false">(Sens!$M$1256-Sens!$M$1257)*Sens!$M$1255+Sens!$M$1257</f>
        <v>206.354305424312</v>
      </c>
      <c r="R1258" s="38" t="n">
        <f aca="false">Sens!$R$1256*Sens!$C$1255</f>
        <v>1.09927679019314</v>
      </c>
      <c r="S1258" s="38" t="n">
        <f aca="false">Sens!$C$1258</f>
        <v>18.472138699801</v>
      </c>
      <c r="T1258" s="38" t="n">
        <f aca="false">Sens!$D$1258</f>
        <v>50.8377268390402</v>
      </c>
      <c r="U1258" s="38" t="n">
        <f aca="false">Sens!$G$1258</f>
        <v>114.936963729221</v>
      </c>
      <c r="V1258" s="38" t="n">
        <f aca="false">Sens!$H$1258</f>
        <v>114.393587958563</v>
      </c>
      <c r="W1258" s="38" t="n">
        <f aca="false">Sens!$I$1258</f>
        <v>118.949916682875</v>
      </c>
      <c r="X1258" s="38" t="n">
        <f aca="false">Sens!$J$1258</f>
        <v>124.186684882875</v>
      </c>
      <c r="Y1258" s="38" t="n">
        <f aca="false">Sens!$K$1258</f>
        <v>129.423453082875</v>
      </c>
      <c r="Z1258" s="38" t="n">
        <f aca="false">Sens!$L$1258</f>
        <v>166.080830482875</v>
      </c>
      <c r="AA1258" s="38" t="n">
        <f aca="false">Sens!$M$1258</f>
        <v>206.354305424312</v>
      </c>
    </row>
    <row r="1259" customFormat="false" ht="15" hidden="false" customHeight="false" outlineLevel="0" collapsed="false">
      <c r="A1259" s="5" t="s">
        <v>590</v>
      </c>
      <c r="B1259" s="0" t="s">
        <v>73</v>
      </c>
      <c r="C1259" s="38" t="n">
        <f aca="false">Sens!$C$1256-Sens!$C$1258</f>
        <v>6.80596660793636</v>
      </c>
      <c r="D1259" s="38" t="n">
        <f aca="false">Sens!$D$1256-Sens!$D$1258</f>
        <v>18.7309047919624</v>
      </c>
      <c r="E1259" s="38" t="n">
        <f aca="false">Sens!$E$1256-Sens!$E$1258</f>
        <v>15.3547210779455</v>
      </c>
      <c r="F1259" s="38" t="n">
        <f aca="false">Sens!$F$1256-Sens!$F$1258</f>
        <v>20.7836593346914</v>
      </c>
      <c r="G1259" s="38" t="n">
        <f aca="false">Sens!$G$1256-Sens!$G$1258</f>
        <v>36.1383804126369</v>
      </c>
      <c r="H1259" s="38" t="n">
        <f aca="false">Sens!$H$1256-Sens!$H$1258</f>
        <v>34.53493575</v>
      </c>
      <c r="I1259" s="38" t="n">
        <f aca="false">Sens!$I$1256-Sens!$I$1258</f>
        <v>34.53493575</v>
      </c>
      <c r="J1259" s="38" t="n">
        <f aca="false">Sens!$J$1256-Sens!$J$1258</f>
        <v>34.53493575</v>
      </c>
      <c r="K1259" s="38" t="n">
        <f aca="false">Sens!$K$1256-Sens!$K$1258</f>
        <v>34.53493575</v>
      </c>
      <c r="L1259" s="38" t="n">
        <f aca="false">Sens!$L$1256-Sens!$L$1258</f>
        <v>34.53493575</v>
      </c>
      <c r="M1259" s="38" t="n">
        <f aca="false">Sens!$M$1256-Sens!$M$1258</f>
        <v>34.53493575</v>
      </c>
      <c r="R1259" s="38" t="n">
        <f aca="false">Sens!$R$1256-Sens!$R$1258</f>
        <v>0.405023005106309</v>
      </c>
      <c r="S1259" s="38" t="n">
        <f aca="false">Sens!$S$1256-Sens!$S$1258</f>
        <v>6.80596660793636</v>
      </c>
      <c r="T1259" s="38" t="n">
        <f aca="false">Sens!$T$1256-Sens!$T$1258</f>
        <v>18.7309047919624</v>
      </c>
      <c r="U1259" s="38" t="n">
        <f aca="false">Sens!$U$1256-Sens!$U$1258</f>
        <v>36.1383804126369</v>
      </c>
      <c r="V1259" s="38" t="n">
        <f aca="false">Sens!$V$1256-Sens!$V$1258</f>
        <v>34.53493575</v>
      </c>
      <c r="W1259" s="38" t="n">
        <f aca="false">Sens!$W$1256-Sens!$W$1258</f>
        <v>34.53493575</v>
      </c>
      <c r="X1259" s="38" t="n">
        <f aca="false">Sens!$X$1256-Sens!$X$1258</f>
        <v>34.53493575</v>
      </c>
      <c r="Y1259" s="38" t="n">
        <f aca="false">Sens!$Y$1256-Sens!$Y$1258</f>
        <v>34.53493575</v>
      </c>
      <c r="Z1259" s="38" t="n">
        <f aca="false">Sens!$Z$1256-Sens!$Z$1258</f>
        <v>34.53493575</v>
      </c>
      <c r="AA1259" s="38" t="n">
        <f aca="false">Sens!$AA$1256-Sens!$AA$1258</f>
        <v>34.53493575</v>
      </c>
    </row>
    <row r="1260" customFormat="false" ht="17.15" hidden="false" customHeight="false" outlineLevel="0" collapsed="false">
      <c r="A1260" s="0" t="s">
        <v>591</v>
      </c>
      <c r="B1260" s="0" t="s">
        <v>52</v>
      </c>
      <c r="C1260" s="12" t="n">
        <f aca="false">Sens!$C$1256/Sens!$C$1372</f>
        <v>0.325505489553393</v>
      </c>
      <c r="D1260" s="12" t="n">
        <f aca="false">Sens!$D$1256/Sens!$D$1372</f>
        <v>0.54214956071542</v>
      </c>
      <c r="E1260" s="12" t="n">
        <f aca="false">Sens!$E$1256/Sens!$E$1372</f>
        <v>0.666492790452817</v>
      </c>
      <c r="F1260" s="12" t="n">
        <f aca="false">Sens!$F$1256/Sens!$F$1372</f>
        <v>0.702445011669071</v>
      </c>
      <c r="G1260" s="12" t="n">
        <f aca="false">Sens!$G$1256/Sens!$G$1372</f>
        <v>0.686706109735719</v>
      </c>
      <c r="H1260" s="12" t="n">
        <f aca="false">Sens!$H$1256/Sens!$H$1372</f>
        <v>0.652544797397023</v>
      </c>
      <c r="I1260" s="12" t="n">
        <f aca="false">Sens!$I$1256/Sens!$I$1372</f>
        <v>0.632215893422182</v>
      </c>
      <c r="J1260" s="12" t="n">
        <f aca="false">Sens!$J$1256/Sens!$J$1372</f>
        <v>0.617816387170918</v>
      </c>
      <c r="K1260" s="12" t="n">
        <f aca="false">Sens!$K$1256/Sens!$K$1372</f>
        <v>0.609003346906446</v>
      </c>
      <c r="L1260" s="12" t="n">
        <f aca="false">Sens!$L$1256/Sens!$L$1372</f>
        <v>0.639933310278001</v>
      </c>
      <c r="M1260" s="12" t="n">
        <f aca="false">Sens!$M$1256/Sens!$M$1372</f>
        <v>0.665519737772358</v>
      </c>
    </row>
    <row r="1261" customFormat="false" ht="17.15" hidden="false" customHeight="false" outlineLevel="0" collapsed="false">
      <c r="A1261" s="0" t="s">
        <v>592</v>
      </c>
      <c r="B1261" s="0" t="s">
        <v>73</v>
      </c>
      <c r="C1261" s="38" t="n">
        <f aca="false">Sens!$S$1261</f>
        <v>0.183212798365523</v>
      </c>
      <c r="D1261" s="38" t="n">
        <f aca="false">Sens!$T$1261</f>
        <v>3.2619025816657</v>
      </c>
      <c r="E1261" s="38" t="n">
        <f aca="false">Sens!$G$1261/2</f>
        <v>5.86742852741953</v>
      </c>
      <c r="F1261" s="38" t="n">
        <f aca="false">Sens!$G$1261/2</f>
        <v>5.86742852741953</v>
      </c>
      <c r="G1261" s="38" t="n">
        <f aca="false">Sens!$U$1261</f>
        <v>11.7348570548391</v>
      </c>
      <c r="H1261" s="38" t="n">
        <f aca="false">Sens!$V$1261</f>
        <v>30.891017676376</v>
      </c>
      <c r="I1261" s="38" t="n">
        <f aca="false">Sens!$W$1261</f>
        <v>49.9566156694697</v>
      </c>
      <c r="J1261" s="38" t="n">
        <f aca="false">Sens!$X$1261</f>
        <v>69.7816017832822</v>
      </c>
      <c r="K1261" s="38" t="n">
        <f aca="false">Sens!$Y$1261</f>
        <v>90.2961697987292</v>
      </c>
      <c r="L1261" s="38" t="n">
        <f aca="false">Sens!$Z$1261</f>
        <v>108.788055529242</v>
      </c>
      <c r="M1261" s="38" t="n">
        <f aca="false">Sens!$AA$1261</f>
        <v>127.995239469881</v>
      </c>
      <c r="N1261" s="38" t="n">
        <f aca="false">Sens!$D$1261/2</f>
        <v>1.63095129083285</v>
      </c>
      <c r="O1261" s="38" t="n">
        <f aca="false">Sens!$D$1261/2</f>
        <v>1.63095129083285</v>
      </c>
      <c r="R1261" s="38" t="n">
        <f aca="false">SUMPRODUCT(--(Sens!$R$1227:$AA$1227&lt;Sens!R$1227),--(Sens!$R$1227:$AA$1227&gt;=Sens!R$1227-tk_life),Sens!$R$1258:$AA$1258)/tk_life</f>
        <v>0</v>
      </c>
      <c r="S1261" s="38" t="n">
        <f aca="false">SUMPRODUCT(--(Sens!$R$1227:$AA$1227&lt;Sens!S$1227),--(Sens!$R$1227:$AA$1227&gt;=Sens!S$1227-tk_life),Sens!$R$1258:$AA$1258)/tk_life</f>
        <v>0.183212798365523</v>
      </c>
      <c r="T1261" s="38" t="n">
        <f aca="false">SUMPRODUCT(--(Sens!$R$1227:$AA$1227&lt;Sens!T$1227),--(Sens!$R$1227:$AA$1227&gt;=Sens!T$1227-tk_life),Sens!$R$1258:$AA$1258)/tk_life</f>
        <v>3.2619025816657</v>
      </c>
      <c r="U1261" s="38" t="n">
        <f aca="false">SUMPRODUCT(--(Sens!$R$1227:$AA$1227&lt;Sens!U$1227),--(Sens!$R$1227:$AA$1227&gt;=Sens!U$1227-tk_life),Sens!$R$1258:$AA$1258)/tk_life</f>
        <v>11.7348570548391</v>
      </c>
      <c r="V1261" s="38" t="n">
        <f aca="false">SUMPRODUCT(--(Sens!$R$1227:$AA$1227&lt;Sens!V$1227),--(Sens!$R$1227:$AA$1227&gt;=Sens!V$1227-tk_life),Sens!$R$1258:$AA$1258)/tk_life</f>
        <v>30.891017676376</v>
      </c>
      <c r="W1261" s="38" t="n">
        <f aca="false">SUMPRODUCT(--(Sens!$R$1227:$AA$1227&lt;Sens!W$1227),--(Sens!$R$1227:$AA$1227&gt;=Sens!W$1227-tk_life),Sens!$R$1258:$AA$1258)/tk_life</f>
        <v>49.9566156694697</v>
      </c>
      <c r="X1261" s="38" t="n">
        <f aca="false">SUMPRODUCT(--(Sens!$R$1227:$AA$1227&lt;Sens!X$1227),--(Sens!$R$1227:$AA$1227&gt;=Sens!X$1227-tk_life),Sens!$R$1258:$AA$1258)/tk_life</f>
        <v>69.7816017832822</v>
      </c>
      <c r="Y1261" s="38" t="n">
        <f aca="false">SUMPRODUCT(--(Sens!$R$1227:$AA$1227&lt;Sens!Y$1227),--(Sens!$R$1227:$AA$1227&gt;=Sens!Y$1227-tk_life),Sens!$R$1258:$AA$1258)/tk_life</f>
        <v>90.2961697987292</v>
      </c>
      <c r="Z1261" s="38" t="n">
        <f aca="false">SUMPRODUCT(--(Sens!$R$1227:$AA$1227&lt;Sens!Z$1227),--(Sens!$R$1227:$AA$1227&gt;=Sens!Z$1227-tk_life),Sens!$R$1258:$AA$1258)/tk_life</f>
        <v>108.788055529242</v>
      </c>
      <c r="AA1261" s="38" t="n">
        <f aca="false">SUMPRODUCT(--(Sens!$R$1227:$AA$1227&lt;Sens!AA$1227),--(Sens!$R$1227:$AA$1227&gt;=Sens!AA$1227-tk_life),Sens!$R$1258:$AA$1258)/tk_life</f>
        <v>127.995239469881</v>
      </c>
    </row>
    <row r="1262" customFormat="false" ht="17.15" hidden="false" customHeight="false" outlineLevel="0" collapsed="false">
      <c r="A1262" s="0" t="s">
        <v>593</v>
      </c>
      <c r="B1262" s="0" t="s">
        <v>73</v>
      </c>
      <c r="C1262" s="38" t="n">
        <f aca="false">Sens!$S$1262</f>
        <v>0.0202511502553155</v>
      </c>
      <c r="D1262" s="38" t="n">
        <f aca="false">Sens!$T$1262</f>
        <v>0.360549480652134</v>
      </c>
      <c r="E1262" s="38" t="n">
        <f aca="false">Sens!$G$1262/2</f>
        <v>0.648547360125127</v>
      </c>
      <c r="F1262" s="38" t="n">
        <f aca="false">Sens!$G$1262/2</f>
        <v>0.648547360125127</v>
      </c>
      <c r="G1262" s="38" t="n">
        <f aca="false">Sens!$U$1262</f>
        <v>1.29709472025025</v>
      </c>
      <c r="H1262" s="38" t="n">
        <f aca="false">Sens!$V$1262</f>
        <v>3.1040137408821</v>
      </c>
      <c r="I1262" s="38" t="n">
        <f aca="false">Sens!$W$1262</f>
        <v>4.8307605283821</v>
      </c>
      <c r="J1262" s="38" t="n">
        <f aca="false">Sens!$X$1262</f>
        <v>6.5575073158821</v>
      </c>
      <c r="K1262" s="38" t="n">
        <f aca="false">Sens!$Y$1262</f>
        <v>8.2842541033821</v>
      </c>
      <c r="L1262" s="38" t="n">
        <f aca="false">Sens!$Z$1262</f>
        <v>10.0110008908821</v>
      </c>
      <c r="M1262" s="38" t="n">
        <f aca="false">Sens!$AA$1262</f>
        <v>11.7377476783821</v>
      </c>
      <c r="N1262" s="38" t="n">
        <f aca="false">Sens!$D$1262/2</f>
        <v>0.180274740326067</v>
      </c>
      <c r="O1262" s="38" t="n">
        <f aca="false">Sens!$D$1262/2</f>
        <v>0.180274740326067</v>
      </c>
      <c r="R1262" s="38" t="n">
        <f aca="false">SUMPRODUCT(--(Sens!$R$1227:$AA$1227&lt;Sens!R$1227),Sens!$R$1259:$AA$1259)/fac_life</f>
        <v>0</v>
      </c>
      <c r="S1262" s="38" t="n">
        <f aca="false">SUMPRODUCT(--(Sens!$R$1227:$AA$1227&lt;Sens!S$1227),Sens!$R$1259:$AA$1259)/fac_life</f>
        <v>0.0202511502553155</v>
      </c>
      <c r="T1262" s="38" t="n">
        <f aca="false">SUMPRODUCT(--(Sens!$R$1227:$AA$1227&lt;Sens!T$1227),Sens!$R$1259:$AA$1259)/fac_life</f>
        <v>0.360549480652134</v>
      </c>
      <c r="U1262" s="38" t="n">
        <f aca="false">SUMPRODUCT(--(Sens!$R$1227:$AA$1227&lt;Sens!U$1227),Sens!$R$1259:$AA$1259)/fac_life</f>
        <v>1.29709472025025</v>
      </c>
      <c r="V1262" s="38" t="n">
        <f aca="false">SUMPRODUCT(--(Sens!$R$1227:$AA$1227&lt;Sens!V$1227),Sens!$R$1259:$AA$1259)/fac_life</f>
        <v>3.1040137408821</v>
      </c>
      <c r="W1262" s="38" t="n">
        <f aca="false">SUMPRODUCT(--(Sens!$R$1227:$AA$1227&lt;Sens!W$1227),Sens!$R$1259:$AA$1259)/fac_life</f>
        <v>4.8307605283821</v>
      </c>
      <c r="X1262" s="38" t="n">
        <f aca="false">SUMPRODUCT(--(Sens!$R$1227:$AA$1227&lt;Sens!X$1227),Sens!$R$1259:$AA$1259)/fac_life</f>
        <v>6.5575073158821</v>
      </c>
      <c r="Y1262" s="38" t="n">
        <f aca="false">SUMPRODUCT(--(Sens!$R$1227:$AA$1227&lt;Sens!Y$1227),Sens!$R$1259:$AA$1259)/fac_life</f>
        <v>8.2842541033821</v>
      </c>
      <c r="Z1262" s="38" t="n">
        <f aca="false">SUMPRODUCT(--(Sens!$R$1227:$AA$1227&lt;Sens!Z$1227),Sens!$R$1259:$AA$1259)/fac_life</f>
        <v>10.0110008908821</v>
      </c>
      <c r="AA1262" s="38" t="n">
        <f aca="false">SUMPRODUCT(--(Sens!$R$1227:$AA$1227&lt;Sens!AA$1227),Sens!$R$1259:$AA$1259)/fac_life</f>
        <v>11.7377476783821</v>
      </c>
    </row>
    <row r="1263" customFormat="false" ht="17.15" hidden="false" customHeight="false" outlineLevel="0" collapsed="false">
      <c r="A1263" s="1" t="s">
        <v>594</v>
      </c>
      <c r="B1263" s="8" t="s">
        <v>73</v>
      </c>
      <c r="C1263" s="38" t="n">
        <f aca="false">Sens!$C$1261+Sens!$C$1262</f>
        <v>0.203463948620839</v>
      </c>
      <c r="D1263" s="38" t="n">
        <f aca="false">Sens!$D$1261+Sens!$D$1262</f>
        <v>3.62245206231783</v>
      </c>
      <c r="E1263" s="38" t="n">
        <f aca="false">Sens!$E$1261+Sens!$E$1262</f>
        <v>6.51597588754466</v>
      </c>
      <c r="F1263" s="38" t="n">
        <f aca="false">Sens!$F$1261+Sens!$F$1262</f>
        <v>6.51597588754466</v>
      </c>
      <c r="G1263" s="38" t="n">
        <f aca="false">Sens!$G$1261+Sens!$G$1262</f>
        <v>13.0319517750893</v>
      </c>
      <c r="H1263" s="38" t="n">
        <f aca="false">Sens!$H$1261+Sens!$H$1262</f>
        <v>33.9950314172581</v>
      </c>
      <c r="I1263" s="38" t="n">
        <f aca="false">Sens!$I$1261+Sens!$I$1262</f>
        <v>54.7873761978518</v>
      </c>
      <c r="J1263" s="38" t="n">
        <f aca="false">Sens!$J$1261+Sens!$J$1262</f>
        <v>76.3391090991643</v>
      </c>
      <c r="K1263" s="38" t="n">
        <f aca="false">Sens!$K$1261+Sens!$K$1262</f>
        <v>98.5804239021113</v>
      </c>
      <c r="L1263" s="38" t="n">
        <f aca="false">Sens!$L$1261+Sens!$L$1262</f>
        <v>118.799056420124</v>
      </c>
      <c r="M1263" s="38" t="n">
        <f aca="false">Sens!$M$1261+Sens!$M$1262</f>
        <v>139.732987148263</v>
      </c>
      <c r="N1263" s="38" t="n">
        <f aca="false">Sens!$N$1261+Sens!$N$1262</f>
        <v>1.81122603115892</v>
      </c>
      <c r="O1263" s="38" t="n">
        <f aca="false">Sens!$O$1261+Sens!$O$1262</f>
        <v>1.81122603115892</v>
      </c>
      <c r="R1263" s="38" t="n">
        <f aca="false">Sens!$R$1261+Sens!$R$1262</f>
        <v>0</v>
      </c>
      <c r="S1263" s="38" t="n">
        <f aca="false">Sens!$S$1261+Sens!$S$1262</f>
        <v>0.203463948620839</v>
      </c>
      <c r="T1263" s="38" t="n">
        <f aca="false">Sens!$T$1261+Sens!$T$1262</f>
        <v>3.62245206231783</v>
      </c>
      <c r="U1263" s="38" t="n">
        <f aca="false">Sens!$U$1261+Sens!$U$1262</f>
        <v>13.0319517750893</v>
      </c>
      <c r="V1263" s="38" t="n">
        <f aca="false">Sens!$V$1261+Sens!$V$1262</f>
        <v>33.9950314172581</v>
      </c>
      <c r="W1263" s="38" t="n">
        <f aca="false">Sens!$W$1261+Sens!$W$1262</f>
        <v>54.7873761978518</v>
      </c>
      <c r="X1263" s="38" t="n">
        <f aca="false">Sens!$X$1261+Sens!$X$1262</f>
        <v>76.3391090991643</v>
      </c>
      <c r="Y1263" s="38" t="n">
        <f aca="false">Sens!$Y$1261+Sens!$Y$1262</f>
        <v>98.5804239021113</v>
      </c>
      <c r="Z1263" s="38" t="n">
        <f aca="false">Sens!$Z$1261+Sens!$Z$1262</f>
        <v>118.799056420124</v>
      </c>
      <c r="AA1263" s="38" t="n">
        <f aca="false">Sens!$AA$1261+Sens!$AA$1262</f>
        <v>139.732987148263</v>
      </c>
    </row>
    <row r="1264" customFormat="false" ht="17.15" hidden="false" customHeight="false" outlineLevel="0" collapsed="false">
      <c r="A1264" s="0" t="s">
        <v>595</v>
      </c>
      <c r="B1264" s="0" t="s">
        <v>73</v>
      </c>
      <c r="C1264" s="38" t="n">
        <f aca="false">Sens!$S$1264</f>
        <v>26.578941154416</v>
      </c>
      <c r="D1264" s="38" t="n">
        <f aca="false">Sens!$T$1264</f>
        <v>92.5251207231008</v>
      </c>
      <c r="G1264" s="38" t="n">
        <f aca="false">Sens!$U$1264</f>
        <v>230.56851308987</v>
      </c>
      <c r="H1264" s="38" t="n">
        <f aca="false">Sens!$V$1264</f>
        <v>345.502005381174</v>
      </c>
      <c r="I1264" s="38" t="n">
        <f aca="false">Sens!$W$1264</f>
        <v>444.199481616197</v>
      </c>
      <c r="J1264" s="38" t="n">
        <f aca="false">Sens!$X$1264</f>
        <v>526.581993149908</v>
      </c>
      <c r="K1264" s="38" t="n">
        <f aca="false">Sens!$Y$1264</f>
        <v>591.959958080672</v>
      </c>
      <c r="L1264" s="38" t="n">
        <f aca="false">Sens!$Z$1264</f>
        <v>673.776667893423</v>
      </c>
      <c r="M1264" s="38" t="n">
        <f aca="false">Sens!$AA$1264</f>
        <v>774.932921919473</v>
      </c>
      <c r="R1264" s="38" t="n">
        <f aca="false">SUM(Sens!$R$1256:$R$1256)-SUM(Sens!$R$1263:$R$1263)</f>
        <v>1.50429979529945</v>
      </c>
      <c r="S1264" s="38" t="n">
        <f aca="false">SUM(Sens!$R$1256:$S$1256)-SUM(Sens!$R$1263:$S$1263)</f>
        <v>26.578941154416</v>
      </c>
      <c r="T1264" s="38" t="n">
        <f aca="false">SUM(Sens!$R$1256:$T$1256)-SUM(Sens!$R$1263:$T$1263)</f>
        <v>92.5251207231008</v>
      </c>
      <c r="U1264" s="38" t="n">
        <f aca="false">SUM(Sens!$R$1256:$U$1256)-SUM(Sens!$R$1263:$U$1263)</f>
        <v>230.56851308987</v>
      </c>
      <c r="V1264" s="38" t="n">
        <f aca="false">SUM(Sens!$R$1256:$V$1256)-SUM(Sens!$R$1263:$V$1263)</f>
        <v>345.502005381174</v>
      </c>
      <c r="W1264" s="38" t="n">
        <f aca="false">SUM(Sens!$R$1256:$W$1256)-SUM(Sens!$R$1263:$W$1263)</f>
        <v>444.199481616197</v>
      </c>
      <c r="X1264" s="38" t="n">
        <f aca="false">SUM(Sens!$R$1256:$X$1256)-SUM(Sens!$R$1263:$X$1263)</f>
        <v>526.581993149908</v>
      </c>
      <c r="Y1264" s="38" t="n">
        <f aca="false">SUM(Sens!$R$1256:$Y$1256)-SUM(Sens!$R$1263:$Y$1263)</f>
        <v>591.959958080672</v>
      </c>
      <c r="Z1264" s="38" t="n">
        <f aca="false">SUM(Sens!$R$1256:$Z$1256)-SUM(Sens!$R$1263:$Z$1263)</f>
        <v>673.776667893423</v>
      </c>
      <c r="AA1264" s="38" t="n">
        <f aca="false">SUM(Sens!$R$1256:$AA$1256)-SUM(Sens!$R$1263:$AA$1263)</f>
        <v>774.932921919473</v>
      </c>
    </row>
    <row r="1265" customFormat="false" ht="17.15" hidden="false" customHeight="false" outlineLevel="0" collapsed="false">
      <c r="A1265" s="1" t="s">
        <v>596</v>
      </c>
    </row>
    <row r="1266" customFormat="false" ht="17.15" hidden="false" customHeight="false" outlineLevel="0" collapsed="false">
      <c r="A1266" s="0" t="s">
        <v>597</v>
      </c>
      <c r="B1266" s="0" t="s">
        <v>73</v>
      </c>
      <c r="C1266" s="38" t="n">
        <f aca="false">Sens!$C$1247-ext_sh*Sens!$C$1249</f>
        <v>1.80694998843362</v>
      </c>
      <c r="D1266" s="38" t="n">
        <f aca="false">Sens!$D$1247-ext_sh*Sens!$D$1249</f>
        <v>6.77606245662607</v>
      </c>
      <c r="E1266" s="38" t="n">
        <f aca="false">Sens!$E$1247-ext_sh*Sens!$E$1249</f>
        <v>6.62548329092326</v>
      </c>
      <c r="F1266" s="38" t="n">
        <f aca="false">Sens!$F$1247-ext_sh*Sens!$F$1249</f>
        <v>10.7475724410394</v>
      </c>
      <c r="G1266" s="38" t="n">
        <f aca="false">Sens!$G$1247-ext_sh*Sens!$G$1249</f>
        <v>17.3730557319626</v>
      </c>
      <c r="H1266" s="38" t="n">
        <f aca="false">Sens!$H$1247-ext_sh*Sens!$H$1249</f>
        <v>39.5529378378068</v>
      </c>
      <c r="I1266" s="38" t="n">
        <f aca="false">Sens!$I$1247-ext_sh*Sens!$I$1249</f>
        <v>64.3305352565479</v>
      </c>
      <c r="J1266" s="38" t="n">
        <f aca="false">Sens!$J$1247-ext_sh*Sens!$J$1249</f>
        <v>89.2345459344354</v>
      </c>
      <c r="K1266" s="38" t="n">
        <f aca="false">Sens!$K$1247-ext_sh*Sens!$K$1249</f>
        <v>114.180694365372</v>
      </c>
      <c r="L1266" s="38" t="n">
        <f aca="false">Sens!$L$1247-ext_sh*Sens!$L$1249</f>
        <v>139.145996320421</v>
      </c>
      <c r="M1266" s="38" t="n">
        <f aca="false">Sens!$M$1247-ext_sh*Sens!$M$1249</f>
        <v>164.121611711532</v>
      </c>
      <c r="N1266" s="38" t="n">
        <f aca="false">Sens!$N$1247-ext_sh*Sens!$N$1249</f>
        <v>2.37162185981912</v>
      </c>
      <c r="O1266" s="38" t="n">
        <f aca="false">Sens!$O$1247-ext_sh*Sens!$O$1249</f>
        <v>4.40444059680694</v>
      </c>
    </row>
    <row r="1267" customFormat="false" ht="17.15" hidden="false" customHeight="false" outlineLevel="0" collapsed="false">
      <c r="A1267" s="1" t="s">
        <v>598</v>
      </c>
      <c r="B1267" s="8" t="s">
        <v>73</v>
      </c>
      <c r="C1267" s="38" t="n">
        <f aca="false">Sens!$C$1266-ext_sh*Sens!$C$1263</f>
        <v>1.64417882953695</v>
      </c>
      <c r="D1267" s="38" t="n">
        <f aca="false">Sens!$D$1266-ext_sh*Sens!$D$1263</f>
        <v>3.8781008067718</v>
      </c>
      <c r="E1267" s="38" t="n">
        <f aca="false">Sens!$E$1266-ext_sh*Sens!$E$1263</f>
        <v>1.41270258088753</v>
      </c>
      <c r="F1267" s="38" t="n">
        <f aca="false">Sens!$F$1266-ext_sh*Sens!$F$1263</f>
        <v>5.53479173100364</v>
      </c>
      <c r="G1267" s="38" t="n">
        <f aca="false">Sens!$G$1266-ext_sh*Sens!$G$1263</f>
        <v>6.94749431189117</v>
      </c>
      <c r="H1267" s="38" t="n">
        <f aca="false">Sens!$H$1266-ext_sh*Sens!$H$1263</f>
        <v>12.3569127040004</v>
      </c>
      <c r="I1267" s="38" t="n">
        <f aca="false">Sens!$I$1266-ext_sh*Sens!$I$1263</f>
        <v>20.5006342982664</v>
      </c>
      <c r="J1267" s="38" t="n">
        <f aca="false">Sens!$J$1266-ext_sh*Sens!$J$1263</f>
        <v>28.163258655104</v>
      </c>
      <c r="K1267" s="38" t="n">
        <f aca="false">Sens!$K$1266-ext_sh*Sens!$K$1263</f>
        <v>35.3163552436828</v>
      </c>
      <c r="L1267" s="38" t="n">
        <f aca="false">Sens!$L$1266-ext_sh*Sens!$L$1263</f>
        <v>44.1067511843224</v>
      </c>
      <c r="M1267" s="38" t="n">
        <f aca="false">Sens!$M$1266-ext_sh*Sens!$M$1263</f>
        <v>52.3352219929214</v>
      </c>
      <c r="N1267" s="38" t="n">
        <f aca="false">Sens!$N$1266-ext_sh*Sens!$N$1263</f>
        <v>0.92264103489199</v>
      </c>
      <c r="O1267" s="38" t="n">
        <f aca="false">Sens!$O$1266-ext_sh*Sens!$O$1263</f>
        <v>2.95545977187981</v>
      </c>
    </row>
    <row r="1268" customFormat="false" ht="17.15" hidden="false" customHeight="false" outlineLevel="0" collapsed="false">
      <c r="A1268" s="0" t="s">
        <v>599</v>
      </c>
      <c r="B1268" s="0" t="s">
        <v>52</v>
      </c>
      <c r="C1268" s="12" t="n">
        <f aca="false">Sens!$C$1267/Sens!$C$1247</f>
        <v>0.708390794789371</v>
      </c>
      <c r="D1268" s="12" t="n">
        <f aca="false">Sens!$D$1267/Sens!$D$1247</f>
        <v>0.445565630441968</v>
      </c>
      <c r="E1268" s="12" t="n">
        <f aca="false">Sens!$E$1267/Sens!$E$1247</f>
        <v>0.165998118402711</v>
      </c>
      <c r="F1268" s="12" t="n">
        <f aca="false">Sens!$F$1267/Sens!$F$1247</f>
        <v>0.402911309328903</v>
      </c>
      <c r="G1268" s="12" t="n">
        <f aca="false">Sens!$G$1267/Sens!$G$1247</f>
        <v>0.312284119223129</v>
      </c>
      <c r="H1268" s="12" t="n">
        <f aca="false">Sens!$H$1267/Sens!$H$1247</f>
        <v>0.246383026033602</v>
      </c>
      <c r="I1268" s="12" t="n">
        <f aca="false">Sens!$I$1267/Sens!$I$1247</f>
        <v>0.252605819180269</v>
      </c>
      <c r="J1268" s="12" t="n">
        <f aca="false">Sens!$J$1267/Sens!$J$1247</f>
        <v>0.250790607651362</v>
      </c>
      <c r="K1268" s="12" t="n">
        <f aca="false">Sens!$K$1267/Sens!$K$1247</f>
        <v>0.246132465361803</v>
      </c>
      <c r="L1268" s="12" t="n">
        <f aca="false">Sens!$L$1267/Sens!$L$1247</f>
        <v>0.252481055104619</v>
      </c>
      <c r="M1268" s="12" t="n">
        <f aca="false">Sens!$M$1267/Sens!$M$1247</f>
        <v>0.254162166390248</v>
      </c>
      <c r="N1268" s="12" t="n">
        <f aca="false">Sens!$N$1267/Sens!$N$1247</f>
        <v>0.302870734830849</v>
      </c>
      <c r="O1268" s="12" t="n">
        <f aca="false">Sens!$O$1267/Sens!$O$1247</f>
        <v>0.52240134346334</v>
      </c>
    </row>
    <row r="1269" customFormat="false" ht="17.15" hidden="false" customHeight="false" outlineLevel="0" collapsed="false">
      <c r="A1269" s="5" t="s">
        <v>600</v>
      </c>
      <c r="B1269" s="0" t="s">
        <v>73</v>
      </c>
      <c r="C1269" s="38" t="n">
        <f aca="false">rd2*(1-ext_sh)/ext_sh*Sens!$C$1230*he_open*Sens!$C$1231/1000</f>
        <v>0</v>
      </c>
      <c r="D1269" s="38" t="n">
        <f aca="false">rd2*(1-ext_sh)/ext_sh*Sens!$D$1230*he_open*Sens!$D$1231/1000</f>
        <v>0</v>
      </c>
      <c r="E1269" s="38" t="n">
        <f aca="false">rd2*(1-ext_sh)/ext_sh*Sens!$E$1230*he_open*Sens!$E$1231/1000</f>
        <v>0</v>
      </c>
      <c r="F1269" s="38" t="n">
        <f aca="false">rd2*(1-ext_sh)/ext_sh*(mw_open*he_open+Sens!$F$1245*Sens!$F$1242)*Sens!$F$1231/1000</f>
        <v>0</v>
      </c>
      <c r="G1269" s="38" t="n">
        <f aca="false">Sens!$E$1269+Sens!$F$1269</f>
        <v>0</v>
      </c>
      <c r="H1269" s="38" t="n">
        <f aca="false">rd2*(1-ext_sh)/ext_sh*(mw_open*he_open+Sens!$H$1245*Sens!$H$1242)*Sens!$H$1231/1000</f>
        <v>0</v>
      </c>
      <c r="I1269" s="38" t="n">
        <f aca="false">rd2*(1-ext_sh)/ext_sh*(mw_open*he_open+Sens!$I$1245*Sens!$I$1242)*Sens!$I$1231/1000</f>
        <v>0</v>
      </c>
      <c r="J1269" s="38" t="n">
        <f aca="false">rd2*(1-ext_sh)/ext_sh*(mw_open*he_open+Sens!$J$1245*Sens!$J$1242)*Sens!$J$1231/1000</f>
        <v>0</v>
      </c>
      <c r="K1269" s="38" t="n">
        <f aca="false">rd2*(1-ext_sh)/ext_sh*(mw_open*he_open+Sens!$K$1245*Sens!$K$1242)*Sens!$K$1231/1000</f>
        <v>0</v>
      </c>
      <c r="L1269" s="38" t="n">
        <f aca="false">rd2*(1-ext_sh)/ext_sh*(mw_open*he_open+Sens!$L$1245*Sens!$L$1242)*Sens!$L$1231/1000</f>
        <v>0</v>
      </c>
      <c r="M1269" s="38" t="n">
        <f aca="false">rd2*(1-ext_sh)/ext_sh*(mw_open*he_open+Sens!$M$1245*Sens!$M$1242)*Sens!$M$1231/1000</f>
        <v>0</v>
      </c>
      <c r="N1269" s="38" t="n">
        <f aca="false">rd2*(1-ext_sh)/ext_sh*Sens!$N$1230*he_open*Sens!$N$1231/1000</f>
        <v>0</v>
      </c>
      <c r="O1269" s="38" t="n">
        <f aca="false">rd2*(1-ext_sh)/ext_sh*Sens!$O$1230*he_open*Sens!$O$1231/1000</f>
        <v>0</v>
      </c>
      <c r="P1269" s="8" t="s">
        <v>601</v>
      </c>
    </row>
    <row r="1270" customFormat="false" ht="17.15" hidden="false" customHeight="false" outlineLevel="0" collapsed="false">
      <c r="A1270" s="5" t="s">
        <v>602</v>
      </c>
      <c r="B1270" s="0" t="s">
        <v>73</v>
      </c>
      <c r="C1270" s="38" t="n">
        <f aca="false">(1-ext_sh)*(Sens!$C$1249+Sens!$C$1263)-Sens!$C$1269</f>
        <v>0.169206631859174</v>
      </c>
      <c r="D1270" s="38" t="n">
        <f aca="false">(1-ext_sh)*(Sens!$D$1249+Sens!$D$1263)-Sens!$D$1269</f>
        <v>1.20641732046984</v>
      </c>
      <c r="E1270" s="38" t="n">
        <f aca="false">(1-ext_sh)*(Sens!$E$1249+Sens!$E$1263)-Sens!$E$1269</f>
        <v>1.77441259867062</v>
      </c>
      <c r="F1270" s="38" t="n">
        <f aca="false">(1-ext_sh)*(Sens!$F$1249+Sens!$F$1263)-Sens!$F$1269</f>
        <v>2.05055149314787</v>
      </c>
      <c r="G1270" s="38" t="n">
        <f aca="false">(1-ext_sh)*(Sens!$G$1249+Sens!$G$1263)-Sens!$G$1269</f>
        <v>3.82496409181849</v>
      </c>
      <c r="H1270" s="38" t="n">
        <f aca="false">(1-ext_sh)*(Sens!$H$1249+Sens!$H$1263)-Sens!$H$1269</f>
        <v>9.44908757461003</v>
      </c>
      <c r="I1270" s="38" t="n">
        <f aca="false">(1-ext_sh)*(Sens!$I$1249+Sens!$I$1263)-Sens!$I$1269</f>
        <v>15.1639962485418</v>
      </c>
      <c r="J1270" s="38" t="n">
        <f aca="false">(1-ext_sh)*(Sens!$J$1249+Sens!$J$1263)-Sens!$J$1269</f>
        <v>21.0336604121161</v>
      </c>
      <c r="K1270" s="38" t="n">
        <f aca="false">(1-ext_sh)*(Sens!$K$1249+Sens!$K$1263)-Sens!$K$1269</f>
        <v>27.0422002445168</v>
      </c>
      <c r="L1270" s="38" t="n">
        <f aca="false">(1-ext_sh)*(Sens!$L$1249+Sens!$L$1263)-Sens!$L$1269</f>
        <v>32.6466396601577</v>
      </c>
      <c r="M1270" s="38" t="n">
        <f aca="false">(1-ext_sh)*(Sens!$M$1249+Sens!$M$1263)-Sens!$M$1269</f>
        <v>38.3943735087155</v>
      </c>
      <c r="N1270" s="38" t="n">
        <f aca="false">(1-ext_sh)*(Sens!$N$1249+Sens!$N$1263)-Sens!$N$1269</f>
        <v>0.530919624033979</v>
      </c>
      <c r="O1270" s="38" t="n">
        <f aca="false">(1-ext_sh)*(Sens!$O$1249+Sens!$O$1263)-Sens!$O$1269</f>
        <v>0.675497696435861</v>
      </c>
    </row>
    <row r="1271" customFormat="false" ht="17.15" hidden="false" customHeight="false" outlineLevel="0" collapsed="false">
      <c r="A1271" s="0" t="s">
        <v>603</v>
      </c>
      <c r="B1271" s="0" t="s">
        <v>73</v>
      </c>
      <c r="C1271" s="38" t="n">
        <f aca="false">Q!$D$24</f>
        <v>39.834</v>
      </c>
      <c r="D1271" s="38" t="n">
        <f aca="false">Q!$E$24</f>
        <v>45.606</v>
      </c>
      <c r="E1271" s="38" t="n">
        <f aca="false">Q!$P$24</f>
        <v>30.782</v>
      </c>
      <c r="N1271" s="38" t="n">
        <f aca="false">Q!$N$24</f>
        <v>21.707</v>
      </c>
      <c r="O1271" s="38" t="n">
        <f aca="false">Q!$O$24</f>
        <v>23.899</v>
      </c>
    </row>
    <row r="1272" customFormat="false" ht="17.15" hidden="false" customHeight="false" outlineLevel="0" collapsed="false">
      <c r="A1272" s="0" t="s">
        <v>604</v>
      </c>
      <c r="B1272" s="0" t="s">
        <v>73</v>
      </c>
      <c r="C1272" s="38" t="n">
        <f aca="false">Sens!$C$1271-Sens!$C$1267</f>
        <v>38.1898211704631</v>
      </c>
      <c r="D1272" s="38" t="n">
        <f aca="false">Sens!$D$1271-Sens!$D$1267</f>
        <v>41.7278991932282</v>
      </c>
      <c r="E1272" s="38" t="n">
        <f aca="false">Sens!$E$1271-Sens!$E$1267</f>
        <v>29.3692974191125</v>
      </c>
      <c r="F1272" s="38" t="n">
        <f aca="false">Sens!$F$1251*Sens!$F$1273</f>
        <v>29.458060516894</v>
      </c>
      <c r="G1272" s="38" t="n">
        <f aca="false">Sens!$E$1272+Sens!$F$1272</f>
        <v>58.8273579360065</v>
      </c>
      <c r="H1272" s="38" t="n">
        <f aca="false">Sens!$H$1251*Sens!$H$1273</f>
        <v>67.8004040185081</v>
      </c>
      <c r="I1272" s="38" t="n">
        <f aca="false">Sens!$I$1251*Sens!$I$1273</f>
        <v>78.9527630302702</v>
      </c>
      <c r="J1272" s="38" t="n">
        <f aca="false">Sens!$J$1251*Sens!$J$1273</f>
        <v>88.6042681781841</v>
      </c>
      <c r="K1272" s="38" t="n">
        <f aca="false">Sens!$K$1251*Sens!$K$1273</f>
        <v>95.6926096324389</v>
      </c>
      <c r="L1272" s="38" t="n">
        <f aca="false">Sens!$L$1251*Sens!$L$1273</f>
        <v>103.348018403034</v>
      </c>
      <c r="M1272" s="38" t="n">
        <f aca="false">Sens!$M$1251*Sens!$M$1273</f>
        <v>111.615859875277</v>
      </c>
      <c r="N1272" s="38" t="n">
        <f aca="false">Sens!$N$1271-Sens!$N$1267</f>
        <v>20.784358965108</v>
      </c>
      <c r="O1272" s="38" t="n">
        <f aca="false">Sens!$O$1271-Sens!$O$1267</f>
        <v>20.9435402281202</v>
      </c>
      <c r="P1272" s="5" t="s">
        <v>605</v>
      </c>
    </row>
    <row r="1273" customFormat="false" ht="17.15" hidden="false" customHeight="false" outlineLevel="0" collapsed="false">
      <c r="A1273" s="0" t="s">
        <v>606</v>
      </c>
      <c r="B1273" s="0" t="s">
        <v>52</v>
      </c>
      <c r="C1273" s="12" t="n">
        <f aca="false">Sens!$C$1272/Sens!$C$1251</f>
        <v>0.362900395443635</v>
      </c>
      <c r="D1273" s="12" t="n">
        <f aca="false">Sens!$D$1272/Sens!$D$1251</f>
        <v>0.34767098474203</v>
      </c>
      <c r="E1273" s="12" t="n">
        <f aca="false">Sens!$E$1272/Sens!$E$1251</f>
        <v>0.411861655558416</v>
      </c>
      <c r="F1273" s="12" t="n">
        <f aca="false">(Sens!$O$1272+Sens!$E$1272)/(Sens!$O$1251+Sens!$E$1251)</f>
        <v>0.37480827803158</v>
      </c>
      <c r="G1273" s="12" t="n">
        <f aca="false">Sens!$G$1272/Sens!$G$1251</f>
        <v>0.392434440489471</v>
      </c>
      <c r="H1273" s="12" t="n">
        <f aca="false">Sens!$F$1273</f>
        <v>0.37480827803158</v>
      </c>
      <c r="I1273" s="12" t="n">
        <f aca="false">Sens!$F$1273</f>
        <v>0.37480827803158</v>
      </c>
      <c r="J1273" s="12" t="n">
        <f aca="false">Sens!$F$1273</f>
        <v>0.37480827803158</v>
      </c>
      <c r="K1273" s="12" t="n">
        <f aca="false">Sens!$F$1273</f>
        <v>0.37480827803158</v>
      </c>
      <c r="L1273" s="12" t="n">
        <f aca="false">Sens!$F$1273</f>
        <v>0.37480827803158</v>
      </c>
      <c r="M1273" s="12" t="n">
        <f aca="false">Sens!$F$1273</f>
        <v>0.37480827803158</v>
      </c>
      <c r="N1273" s="12" t="n">
        <f aca="false">Sens!$N$1272/Sens!$N$1251</f>
        <v>0.364039571356823</v>
      </c>
      <c r="O1273" s="12" t="n">
        <f aca="false">Sens!$O$1272/Sens!$O$1251</f>
        <v>0.332819892300086</v>
      </c>
      <c r="P1273" s="8" t="s">
        <v>607</v>
      </c>
    </row>
    <row r="1274" customFormat="false" ht="17.15" hidden="false" customHeight="false" outlineLevel="0" collapsed="false">
      <c r="A1274" s="0" t="s">
        <v>608</v>
      </c>
      <c r="B1274" s="0" t="s">
        <v>52</v>
      </c>
      <c r="D1274" s="12" t="n">
        <f aca="false">(Q!$E$31-ext_sh*Sens!$D$1263)/Sens!$D$1251</f>
        <v>0.154572973163571</v>
      </c>
    </row>
    <row r="1275" customFormat="false" ht="17.15" hidden="false" customHeight="false" outlineLevel="0" collapsed="false">
      <c r="A1275" s="0" t="s">
        <v>609</v>
      </c>
      <c r="B1275" s="0" t="s">
        <v>73</v>
      </c>
      <c r="C1275" s="38" t="n">
        <f aca="false">Q!$D$31</f>
        <v>13.32</v>
      </c>
      <c r="D1275" s="38" t="n">
        <f aca="false">Q!$E$31</f>
        <v>21.45</v>
      </c>
      <c r="E1275" s="38" t="n">
        <f aca="false">Q!$P$31</f>
        <v>15.353</v>
      </c>
      <c r="F1275" s="38" t="n">
        <f aca="false">ext_sh*Sens!$F$1263+Sens!$D$1274*Sens!$F$1251</f>
        <v>17.3614451462707</v>
      </c>
      <c r="G1275" s="38" t="n">
        <f aca="false">Sens!$E$1275+Sens!$F$1275</f>
        <v>32.7144451462707</v>
      </c>
      <c r="H1275" s="38" t="n">
        <f aca="false">ext_sh*Sens!$H$1263+Sens!$D$1274*Sens!$H$1251</f>
        <v>55.1572806478833</v>
      </c>
      <c r="I1275" s="38" t="n">
        <f aca="false">ext_sh*Sens!$I$1263+Sens!$D$1274*Sens!$I$1251</f>
        <v>76.3904500079465</v>
      </c>
      <c r="J1275" s="38" t="n">
        <f aca="false">ext_sh*Sens!$J$1263+Sens!$D$1274*Sens!$J$1251</f>
        <v>97.612169565102</v>
      </c>
      <c r="K1275" s="38" t="n">
        <f aca="false">ext_sh*Sens!$K$1263+Sens!$D$1274*Sens!$K$1251</f>
        <v>118.328491990321</v>
      </c>
      <c r="L1275" s="38" t="n">
        <f aca="false">ext_sh*Sens!$L$1263+Sens!$D$1274*Sens!$L$1251</f>
        <v>137.660530234222</v>
      </c>
      <c r="M1275" s="38" t="n">
        <f aca="false">ext_sh*Sens!$M$1263+Sens!$D$1274*Sens!$M$1251</f>
        <v>157.817377624583</v>
      </c>
      <c r="N1275" s="38" t="n">
        <f aca="false">Q!$N$31</f>
        <v>9.234</v>
      </c>
      <c r="O1275" s="38" t="n">
        <f aca="false">Q!$O$31</f>
        <v>12.216</v>
      </c>
    </row>
    <row r="1276" customFormat="false" ht="17.15" hidden="false" customHeight="false" outlineLevel="0" collapsed="false">
      <c r="A1276" s="1" t="s">
        <v>610</v>
      </c>
    </row>
    <row r="1277" customFormat="false" ht="17.15" hidden="false" customHeight="false" outlineLevel="0" collapsed="false">
      <c r="A1277" s="14" t="s">
        <v>611</v>
      </c>
      <c r="B1277" s="13" t="s">
        <v>52</v>
      </c>
      <c r="C1277" s="13"/>
      <c r="D1277" s="13"/>
      <c r="E1277" s="13"/>
      <c r="F1277" s="13"/>
      <c r="G1277" s="16" t="n">
        <f aca="false">Sens!$G$1267*(1-tax)/(ext_sh*(Sens!$D$1264+Sens!$G$1264)/2)</f>
        <v>0.0444261059309735</v>
      </c>
      <c r="H1277" s="16" t="n">
        <f aca="false">Sens!$H$1267*(1-tax)/(ext_sh*(Sens!$G$1264+Sens!$H$1264)/2)</f>
        <v>0.0443172473436186</v>
      </c>
      <c r="I1277" s="16" t="n">
        <f aca="false">Sens!$I$1267*(1-tax)/(ext_sh*(Sens!$H$1264+Sens!$I$1264)/2)</f>
        <v>0.0536343215668386</v>
      </c>
      <c r="J1277" s="16" t="n">
        <f aca="false">Sens!$J$1267*(1-tax)/(ext_sh*(Sens!$I$1264+Sens!$J$1264)/2)</f>
        <v>0.0599376722216497</v>
      </c>
      <c r="K1277" s="16" t="n">
        <f aca="false">Sens!$K$1267*(1-tax)/(ext_sh*(Sens!$J$1264+Sens!$K$1264)/2)</f>
        <v>0.0652322034158368</v>
      </c>
      <c r="L1277" s="16" t="n">
        <f aca="false">Sens!$L$1267*(1-tax)/(ext_sh*(Sens!$K$1264+Sens!$L$1264)/2)</f>
        <v>0.07199464112676</v>
      </c>
      <c r="M1277" s="16" t="n">
        <f aca="false">Sens!$M$1267*(1-tax)/(ext_sh*(Sens!$L$1264+Sens!$M$1264)/2)</f>
        <v>0.0746364860870075</v>
      </c>
      <c r="N1277" s="13"/>
      <c r="O1277" s="13"/>
      <c r="P1277" s="8" t="s">
        <v>612</v>
      </c>
    </row>
    <row r="1278" customFormat="false" ht="17.15" hidden="false" customHeight="false" outlineLevel="0" collapsed="false">
      <c r="A1278" s="5" t="s">
        <v>613</v>
      </c>
      <c r="B1278" s="0" t="s">
        <v>57</v>
      </c>
      <c r="H1278" s="36" t="n">
        <f aca="false">Sens!$H$1247*1000/(mw_open*he_open+Sens!$H$1245*Sens!$H$1242)</f>
        <v>0.991949006767191</v>
      </c>
      <c r="I1278" s="36" t="n">
        <f aca="false">Sens!$I$1247*1000/(mw_open*he_open+Sens!$I$1245*Sens!$I$1242)</f>
        <v>0.991949006767191</v>
      </c>
      <c r="J1278" s="36" t="n">
        <f aca="false">Sens!$J$1247*1000/(mw_open*he_open+Sens!$J$1245*Sens!$J$1242)</f>
        <v>0.991949006767192</v>
      </c>
      <c r="K1278" s="36" t="n">
        <f aca="false">Sens!$K$1247*1000/(mw_open*he_open+Sens!$K$1245*Sens!$K$1242)</f>
        <v>0.991949006767191</v>
      </c>
      <c r="L1278" s="36" t="n">
        <f aca="false">Sens!$L$1247*1000/(mw_open*he_open+Sens!$L$1245*Sens!$L$1242)</f>
        <v>0.991949006767191</v>
      </c>
      <c r="M1278" s="36" t="n">
        <f aca="false">Sens!$M$1247*1000/(mw_open*he_open+Sens!$M$1245*Sens!$M$1242)</f>
        <v>0.991949006767191</v>
      </c>
    </row>
    <row r="1279" customFormat="false" ht="17.15" hidden="false" customHeight="false" outlineLevel="0" collapsed="false">
      <c r="A1279" s="5" t="s">
        <v>614</v>
      </c>
      <c r="B1279" s="0" t="s">
        <v>57</v>
      </c>
      <c r="H1279" s="36" t="n">
        <f aca="false">Sens!$H$1278*(Sens!$H$1247+wacc*ext_sh*(Sens!$G$1264+Sens!$H$1264)/2/(1-tax)-Sens!$H$1267)/Sens!$H$1247</f>
        <v>1.43624915415865</v>
      </c>
      <c r="I1279" s="36" t="n">
        <f aca="false">Sens!$I$1278*(Sens!$I$1247+wacc*ext_sh*(Sens!$H$1264+Sens!$I$1264)/2/(1-tax)-Sens!$I$1267)/Sens!$I$1247</f>
        <v>1.32481174024415</v>
      </c>
      <c r="J1279" s="36" t="n">
        <f aca="false">Sens!$J$1278*(Sens!$J$1247+wacc*ext_sh*(Sens!$I$1264+Sens!$J$1264)/2/(1-tax)-Sens!$J$1267)/Sens!$J$1247</f>
        <v>1.2615037393</v>
      </c>
      <c r="K1279" s="36" t="n">
        <f aca="false">Sens!$K$1278*(Sens!$K$1247+wacc*ext_sh*(Sens!$J$1264+Sens!$K$1264)/2/(1-tax)-Sens!$K$1267)/Sens!$K$1247</f>
        <v>1.21520884381643</v>
      </c>
      <c r="L1279" s="36" t="n">
        <f aca="false">Sens!$L$1278*(Sens!$L$1247+wacc*ext_sh*(Sens!$K$1264+Sens!$L$1264)/2/(1-tax)-Sens!$L$1267)/Sens!$L$1247</f>
        <v>1.17593128093589</v>
      </c>
      <c r="M1279" s="36" t="n">
        <f aca="false">Sens!$M$1278*(Sens!$M$1247+wacc*ext_sh*(Sens!$L$1264+Sens!$M$1264)/2/(1-tax)-Sens!$M$1267)/Sens!$M$1247</f>
        <v>1.16167674041605</v>
      </c>
    </row>
    <row r="1280" customFormat="false" ht="17.15" hidden="false" customHeight="false" outlineLevel="0" collapsed="false">
      <c r="A1280" s="5" t="s">
        <v>615</v>
      </c>
      <c r="B1280" s="0" t="s">
        <v>52</v>
      </c>
      <c r="C1280" s="12" t="n">
        <f aca="false">Sens!$C$1248/tk_pq</f>
        <v>0.195316432429398</v>
      </c>
      <c r="D1280" s="12" t="n">
        <f aca="false">Sens!$D$1248/tk_pq</f>
        <v>0.195316432429398</v>
      </c>
      <c r="E1280" s="12" t="n">
        <f aca="false">Sens!$E$1248/tk_pq</f>
        <v>0.195316432429398</v>
      </c>
      <c r="F1280" s="12" t="n">
        <f aca="false">Sens!$F$1248/tk_pq</f>
        <v>0.200937719008675</v>
      </c>
      <c r="G1280" s="12" t="n">
        <f aca="false">Sens!$G$1248/tk_pq</f>
        <v>0.198749592322125</v>
      </c>
      <c r="H1280" s="12" t="n">
        <f aca="false">Sens!$H$1248/tk_pq</f>
        <v>0.210772603626741</v>
      </c>
      <c r="I1280" s="12" t="n">
        <f aca="false">Sens!$I$1248/tk_pq</f>
        <v>0.217630235595727</v>
      </c>
      <c r="J1280" s="12" t="n">
        <f aca="false">Sens!$J$1248/tk_pq</f>
        <v>0.221114769661761</v>
      </c>
      <c r="K1280" s="12" t="n">
        <f aca="false">Sens!$K$1248/tk_pq</f>
        <v>0.223207685846114</v>
      </c>
      <c r="L1280" s="12" t="n">
        <f aca="false">Sens!$L$1248/tk_pq</f>
        <v>0.224601153796982</v>
      </c>
      <c r="M1280" s="12" t="n">
        <f aca="false">Sens!$M$1248/tk_pq</f>
        <v>0.225594870256728</v>
      </c>
      <c r="N1280" s="12" t="n">
        <f aca="false">Sens!$N$1248/tk_pq</f>
        <v>0.195316432429398</v>
      </c>
      <c r="O1280" s="12" t="n">
        <f aca="false">Sens!$O$1248/tk_pq</f>
        <v>0.195316432429398</v>
      </c>
      <c r="P1280" s="5" t="s">
        <v>616</v>
      </c>
    </row>
    <row r="1283" customFormat="false" ht="17.15" hidden="false" customHeight="false" outlineLevel="0" collapsed="false">
      <c r="A1283" s="1" t="s">
        <v>643</v>
      </c>
    </row>
    <row r="1284" customFormat="false" ht="17.15" hidden="false" customHeight="false" outlineLevel="0" collapsed="false">
      <c r="A1284" s="0" t="s">
        <v>644</v>
      </c>
      <c r="B1284" s="0" t="s">
        <v>73</v>
      </c>
      <c r="C1284" s="38" t="n">
        <f aca="false">Sens!$C$1247</f>
        <v>2.32100535697364</v>
      </c>
      <c r="D1284" s="38" t="n">
        <f aca="false">Sens!$D$1247</f>
        <v>8.70377008865116</v>
      </c>
      <c r="E1284" s="38" t="n">
        <f aca="false">Sens!$E$1247</f>
        <v>8.51035297557002</v>
      </c>
      <c r="F1284" s="38" t="n">
        <f aca="false">Sens!$F$1247</f>
        <v>13.7369977035951</v>
      </c>
      <c r="G1284" s="38" t="n">
        <f aca="false">Sens!$G$1247</f>
        <v>22.2473506791651</v>
      </c>
      <c r="H1284" s="38" t="n">
        <f aca="false">Sens!$H$1247</f>
        <v>50.1532630024405</v>
      </c>
      <c r="I1284" s="38" t="n">
        <f aca="false">Sens!$I$1247</f>
        <v>81.1566192924336</v>
      </c>
      <c r="J1284" s="38" t="n">
        <f aca="false">Sens!$J$1247</f>
        <v>112.297900303568</v>
      </c>
      <c r="K1284" s="38" t="n">
        <f aca="false">Sens!$K$1247</f>
        <v>143.48515622175</v>
      </c>
      <c r="L1284" s="38" t="n">
        <f aca="false">Sens!$L$1247</f>
        <v>174.693309824953</v>
      </c>
      <c r="M1284" s="38" t="n">
        <f aca="false">Sens!$M$1247</f>
        <v>205.912716027783</v>
      </c>
      <c r="N1284" s="38" t="n">
        <f aca="false">Sens!$N$1247</f>
        <v>3.04631953102791</v>
      </c>
      <c r="O1284" s="38" t="n">
        <f aca="false">Sens!$O$1247</f>
        <v>5.65745055762326</v>
      </c>
      <c r="P1284" s="8" t="s">
        <v>645</v>
      </c>
    </row>
    <row r="1285" customFormat="false" ht="17.15" hidden="false" customHeight="false" outlineLevel="0" collapsed="false">
      <c r="A1285" s="0" t="s">
        <v>646</v>
      </c>
      <c r="B1285" s="0" t="s">
        <v>73</v>
      </c>
      <c r="C1285" s="38" t="n">
        <f aca="false">Sens!$C$1251</f>
        <v>105.234994643026</v>
      </c>
      <c r="D1285" s="38" t="n">
        <f aca="false">Sens!$D$1251</f>
        <v>120.021229911349</v>
      </c>
      <c r="E1285" s="38" t="n">
        <f aca="false">Sens!$E$1251</f>
        <v>71.30864702443</v>
      </c>
      <c r="F1285" s="38" t="n">
        <f aca="false">Sens!$F$1251</f>
        <v>78.5950104186653</v>
      </c>
      <c r="G1285" s="38" t="n">
        <f aca="false">Sens!$G$1251</f>
        <v>149.903657443095</v>
      </c>
      <c r="H1285" s="38" t="n">
        <f aca="false">Sens!$H$1251</f>
        <v>180.893560768142</v>
      </c>
      <c r="I1285" s="38" t="n">
        <f aca="false">Sens!$I$1251</f>
        <v>210.64839721501</v>
      </c>
      <c r="J1285" s="38" t="n">
        <f aca="false">Sens!$J$1251</f>
        <v>236.398909446495</v>
      </c>
      <c r="K1285" s="38" t="n">
        <f aca="false">Sens!$K$1251</f>
        <v>255.310822202215</v>
      </c>
      <c r="L1285" s="38" t="n">
        <f aca="false">Sens!$L$1251</f>
        <v>275.735687978392</v>
      </c>
      <c r="M1285" s="38" t="n">
        <f aca="false">Sens!$M$1251</f>
        <v>297.794543016663</v>
      </c>
      <c r="N1285" s="38" t="n">
        <f aca="false">Sens!$N$1251</f>
        <v>57.0936804689721</v>
      </c>
      <c r="O1285" s="38" t="n">
        <f aca="false">Sens!$O$1251</f>
        <v>62.9275494423768</v>
      </c>
      <c r="P1285" s="8" t="s">
        <v>645</v>
      </c>
    </row>
    <row r="1286" customFormat="false" ht="17.15" hidden="false" customHeight="false" outlineLevel="0" collapsed="false">
      <c r="A1286" s="1" t="s">
        <v>476</v>
      </c>
      <c r="B1286" s="8" t="s">
        <v>73</v>
      </c>
      <c r="C1286" s="38" t="n">
        <f aca="false">Q!$D$7</f>
        <v>107.556</v>
      </c>
      <c r="D1286" s="38" t="n">
        <f aca="false">Q!$E$7</f>
        <v>128.725</v>
      </c>
      <c r="E1286" s="38" t="n">
        <f aca="false">Q!$P$7</f>
        <v>79.819</v>
      </c>
      <c r="F1286" s="38" t="n">
        <f aca="false">Sens!$F$1284+Sens!$F$1285</f>
        <v>92.3320081222604</v>
      </c>
      <c r="G1286" s="38" t="n">
        <f aca="false">Sens!$G$1284+Sens!$G$1285</f>
        <v>172.15100812226</v>
      </c>
      <c r="H1286" s="38" t="n">
        <f aca="false">Sens!$H$1284+Sens!$H$1285</f>
        <v>231.046823770582</v>
      </c>
      <c r="I1286" s="38" t="n">
        <f aca="false">Sens!$I$1284+Sens!$I$1285</f>
        <v>291.805016507444</v>
      </c>
      <c r="J1286" s="38" t="n">
        <f aca="false">Sens!$J$1284+Sens!$J$1285</f>
        <v>348.696809750063</v>
      </c>
      <c r="K1286" s="38" t="n">
        <f aca="false">Sens!$K$1284+Sens!$K$1285</f>
        <v>398.795978423965</v>
      </c>
      <c r="L1286" s="38" t="n">
        <f aca="false">Sens!$L$1284+Sens!$L$1285</f>
        <v>450.428997803345</v>
      </c>
      <c r="M1286" s="38" t="n">
        <f aca="false">Sens!$M$1284+Sens!$M$1285</f>
        <v>503.707259044446</v>
      </c>
      <c r="N1286" s="38" t="n">
        <f aca="false">Q!$N$7</f>
        <v>60.14</v>
      </c>
      <c r="O1286" s="38" t="n">
        <f aca="false">Q!$O$7</f>
        <v>68.585</v>
      </c>
      <c r="P1286" s="5" t="s">
        <v>647</v>
      </c>
    </row>
    <row r="1287" customFormat="false" ht="15" hidden="false" customHeight="false" outlineLevel="0" collapsed="false">
      <c r="A1287" s="3" t="s">
        <v>648</v>
      </c>
      <c r="B1287" s="8" t="s">
        <v>73</v>
      </c>
      <c r="C1287" s="38" t="n">
        <f aca="false">Q!$D$8</f>
        <v>637.959</v>
      </c>
      <c r="D1287" s="38" t="n">
        <f aca="false">Q!$E$8</f>
        <v>716.924</v>
      </c>
      <c r="E1287" s="38" t="n">
        <f aca="false">Q!$P$8</f>
        <v>382.125</v>
      </c>
      <c r="F1287" s="38" t="n">
        <f aca="false">Sens!$F$1220+Sens!$F$1286</f>
        <v>449.26843733069</v>
      </c>
      <c r="G1287" s="38" t="n">
        <f aca="false">Sens!$G$1220+Sens!$G$1286</f>
        <v>831.39343733069</v>
      </c>
      <c r="H1287" s="38" t="n">
        <f aca="false">Sens!$H$1220+Sens!$H$1286</f>
        <v>960.982561392283</v>
      </c>
      <c r="I1287" s="38" t="n">
        <f aca="false">Sens!$I$1220+Sens!$I$1286</f>
        <v>1090.10058620532</v>
      </c>
      <c r="J1287" s="38" t="n">
        <f aca="false">Sens!$J$1220+Sens!$J$1286</f>
        <v>1210.43363207585</v>
      </c>
      <c r="K1287" s="38" t="n">
        <f aca="false">Sens!$K$1220+Sens!$K$1286</f>
        <v>1316.35347052589</v>
      </c>
      <c r="L1287" s="38" t="n">
        <f aca="false">Sens!$L$1220+Sens!$L$1286</f>
        <v>1427.71408754651</v>
      </c>
      <c r="M1287" s="38" t="n">
        <f aca="false">Sens!$M$1220+Sens!$M$1286</f>
        <v>1544.92127758795</v>
      </c>
      <c r="N1287" s="38" t="n">
        <f aca="false">Q!$N$8</f>
        <v>323.369</v>
      </c>
      <c r="O1287" s="38" t="n">
        <f aca="false">Q!$O$8</f>
        <v>393.555</v>
      </c>
    </row>
    <row r="1288" customFormat="false" ht="17.15" hidden="false" customHeight="false" outlineLevel="0" collapsed="false">
      <c r="A1288" s="24" t="s">
        <v>656</v>
      </c>
      <c r="B1288" s="25" t="s">
        <v>73</v>
      </c>
      <c r="C1288" s="39" t="n">
        <f aca="false">Sens!$C$1220-(Sens!$C$1222+Sens!$C$1223)</f>
        <v>0</v>
      </c>
      <c r="D1288" s="39" t="n">
        <f aca="false">Sens!$D$1220-(Sens!$D$1222+Sens!$D$1223)</f>
        <v>0</v>
      </c>
      <c r="E1288" s="39" t="n">
        <f aca="false">Sens!$E$1220-(Sens!$E$1222+Sens!$E$1223)</f>
        <v>0</v>
      </c>
      <c r="F1288" s="39" t="n">
        <f aca="false">Sens!$F$1220-(Sens!$F$1222+Sens!$F$1223)</f>
        <v>0</v>
      </c>
      <c r="G1288" s="39" t="n">
        <f aca="false">Sens!$G$1220-(Sens!$G$1222+Sens!$G$1223)</f>
        <v>0</v>
      </c>
      <c r="H1288" s="39" t="n">
        <f aca="false">Sens!$H$1220-(Sens!$H$1222+Sens!$H$1223)</f>
        <v>0</v>
      </c>
      <c r="I1288" s="39" t="n">
        <f aca="false">Sens!$I$1220-(Sens!$I$1222+Sens!$I$1223)</f>
        <v>0</v>
      </c>
      <c r="J1288" s="39" t="n">
        <f aca="false">Sens!$J$1220-(Sens!$J$1222+Sens!$J$1223)</f>
        <v>0</v>
      </c>
      <c r="K1288" s="39" t="n">
        <f aca="false">Sens!$K$1220-(Sens!$K$1222+Sens!$K$1223)</f>
        <v>0</v>
      </c>
      <c r="L1288" s="39" t="n">
        <f aca="false">Sens!$L$1220-(Sens!$L$1222+Sens!$L$1223)</f>
        <v>0</v>
      </c>
      <c r="M1288" s="39" t="n">
        <f aca="false">Sens!$M$1220-(Sens!$M$1222+Sens!$M$1223)</f>
        <v>0</v>
      </c>
      <c r="N1288" s="39" t="n">
        <f aca="false">Sens!$N$1220-(Sens!$N$1222+Sens!$N$1223)</f>
        <v>0</v>
      </c>
      <c r="O1288" s="39" t="n">
        <f aca="false">Sens!$O$1220-(Sens!$O$1222+Sens!$O$1223)</f>
        <v>0</v>
      </c>
    </row>
    <row r="1289" customFormat="false" ht="17.15" hidden="false" customHeight="false" outlineLevel="0" collapsed="false">
      <c r="A1289" s="24" t="s">
        <v>657</v>
      </c>
      <c r="B1289" s="25" t="s">
        <v>73</v>
      </c>
      <c r="C1289" s="39" t="n">
        <f aca="false">Sens!$C$1284+Sens!$C$1285-Sens!$C$1286</f>
        <v>0</v>
      </c>
      <c r="D1289" s="39" t="n">
        <f aca="false">Sens!$D$1284+Sens!$D$1285-Sens!$D$1286</f>
        <v>0</v>
      </c>
      <c r="E1289" s="39" t="n">
        <f aca="false">Sens!$E$1284+Sens!$E$1285-Sens!$E$1286</f>
        <v>0</v>
      </c>
      <c r="F1289" s="39" t="n">
        <f aca="false">Sens!$F$1284+Sens!$F$1285-Sens!$F$1286</f>
        <v>0</v>
      </c>
      <c r="G1289" s="39" t="n">
        <f aca="false">Sens!$G$1284+Sens!$G$1285-Sens!$G$1286</f>
        <v>0</v>
      </c>
      <c r="H1289" s="39" t="n">
        <f aca="false">Sens!$H$1284+Sens!$H$1285-Sens!$H$1286</f>
        <v>0</v>
      </c>
      <c r="I1289" s="39" t="n">
        <f aca="false">Sens!$I$1284+Sens!$I$1285-Sens!$I$1286</f>
        <v>0</v>
      </c>
      <c r="J1289" s="39" t="n">
        <f aca="false">Sens!$J$1284+Sens!$J$1285-Sens!$J$1286</f>
        <v>0</v>
      </c>
      <c r="K1289" s="39" t="n">
        <f aca="false">Sens!$K$1284+Sens!$K$1285-Sens!$K$1286</f>
        <v>0</v>
      </c>
      <c r="L1289" s="39" t="n">
        <f aca="false">Sens!$L$1284+Sens!$L$1285-Sens!$L$1286</f>
        <v>0</v>
      </c>
      <c r="M1289" s="39" t="n">
        <f aca="false">Sens!$M$1284+Sens!$M$1285-Sens!$M$1286</f>
        <v>0</v>
      </c>
      <c r="N1289" s="39" t="n">
        <f aca="false">Sens!$N$1284+Sens!$N$1285-Sens!$N$1286</f>
        <v>0</v>
      </c>
      <c r="O1289" s="39" t="n">
        <f aca="false">Sens!$O$1284+Sens!$O$1285-Sens!$O$1286</f>
        <v>0</v>
      </c>
    </row>
    <row r="1290" customFormat="false" ht="17.15" hidden="false" customHeight="false" outlineLevel="0" collapsed="false">
      <c r="A1290" s="24" t="s">
        <v>658</v>
      </c>
      <c r="B1290" s="25" t="s">
        <v>73</v>
      </c>
      <c r="C1290" s="39" t="n">
        <f aca="false">Sens!$C$1222+Sens!$C$1223+Sens!$C$1286-Sens!$C$1287</f>
        <v>0</v>
      </c>
      <c r="D1290" s="39" t="n">
        <f aca="false">Sens!$D$1222+Sens!$D$1223+Sens!$D$1286-Sens!$D$1287</f>
        <v>0</v>
      </c>
      <c r="E1290" s="39" t="n">
        <f aca="false">Sens!$E$1222+Sens!$E$1223+Sens!$E$1286-Sens!$E$1287</f>
        <v>0</v>
      </c>
      <c r="F1290" s="39" t="n">
        <f aca="false">Sens!$F$1222+Sens!$F$1223+Sens!$F$1286-Sens!$F$1287</f>
        <v>0</v>
      </c>
      <c r="G1290" s="39" t="n">
        <f aca="false">Sens!$G$1222+Sens!$G$1223+Sens!$G$1286-Sens!$G$1287</f>
        <v>0</v>
      </c>
      <c r="H1290" s="39" t="n">
        <f aca="false">Sens!$H$1222+Sens!$H$1223+Sens!$H$1286-Sens!$H$1287</f>
        <v>0</v>
      </c>
      <c r="I1290" s="39" t="n">
        <f aca="false">Sens!$I$1222+Sens!$I$1223+Sens!$I$1286-Sens!$I$1287</f>
        <v>0</v>
      </c>
      <c r="J1290" s="39" t="n">
        <f aca="false">Sens!$J$1222+Sens!$J$1223+Sens!$J$1286-Sens!$J$1287</f>
        <v>0</v>
      </c>
      <c r="K1290" s="39" t="n">
        <f aca="false">Sens!$K$1222+Sens!$K$1223+Sens!$K$1286-Sens!$K$1287</f>
        <v>0</v>
      </c>
      <c r="L1290" s="39" t="n">
        <f aca="false">Sens!$L$1222+Sens!$L$1223+Sens!$L$1286-Sens!$L$1287</f>
        <v>0</v>
      </c>
      <c r="M1290" s="39" t="n">
        <f aca="false">Sens!$M$1222+Sens!$M$1223+Sens!$M$1286-Sens!$M$1287</f>
        <v>0</v>
      </c>
      <c r="N1290" s="39" t="n">
        <f aca="false">Sens!$N$1222+Sens!$N$1223+Sens!$N$1286-Sens!$N$1287</f>
        <v>0</v>
      </c>
      <c r="O1290" s="39" t="n">
        <f aca="false">Sens!$O$1222+Sens!$O$1223+Sens!$O$1286-Sens!$O$1287</f>
        <v>0</v>
      </c>
    </row>
    <row r="1291" customFormat="false" ht="15" hidden="false" customHeight="false" outlineLevel="0" collapsed="false">
      <c r="A1291" s="5" t="s">
        <v>652</v>
      </c>
      <c r="B1291" s="0" t="s">
        <v>52</v>
      </c>
      <c r="G1291" s="12" t="n">
        <f aca="false">Sens!$G$1287/Sens!$D$1287-1</f>
        <v>0.15966746451603</v>
      </c>
      <c r="H1291" s="12" t="n">
        <f aca="false">Sens!$H$1287/Sens!$G$1287-1</f>
        <v>0.155869794302992</v>
      </c>
      <c r="I1291" s="12" t="n">
        <f aca="false">Sens!$I$1287/Sens!$H$1287-1</f>
        <v>0.134360424424317</v>
      </c>
      <c r="J1291" s="12" t="n">
        <f aca="false">Sens!$J$1287/Sens!$I$1287-1</f>
        <v>0.110387103165787</v>
      </c>
      <c r="K1291" s="12" t="n">
        <f aca="false">Sens!$K$1287/Sens!$J$1287-1</f>
        <v>0.0875056968372505</v>
      </c>
      <c r="L1291" s="12" t="n">
        <f aca="false">Sens!$L$1287/Sens!$K$1287-1</f>
        <v>0.0845978071346831</v>
      </c>
      <c r="M1291" s="12" t="n">
        <f aca="false">Sens!$M$1287/Sens!$L$1287-1</f>
        <v>0.0820943009975177</v>
      </c>
    </row>
    <row r="1292" customFormat="false" ht="17.15" hidden="false" customHeight="false" outlineLevel="0" collapsed="false">
      <c r="A1292" s="0" t="s">
        <v>653</v>
      </c>
      <c r="B1292" s="0" t="s">
        <v>52</v>
      </c>
      <c r="C1292" s="12" t="n">
        <f aca="false">Sens!$C$1286/Sens!$C$1287</f>
        <v>0.168593906504964</v>
      </c>
      <c r="D1292" s="12" t="n">
        <f aca="false">Sens!$D$1286/Sens!$D$1287</f>
        <v>0.179551807444025</v>
      </c>
      <c r="E1292" s="12" t="n">
        <f aca="false">Sens!$E$1286/Sens!$E$1287</f>
        <v>0.208881910369643</v>
      </c>
      <c r="F1292" s="12" t="n">
        <f aca="false">Sens!$F$1286/Sens!$F$1287</f>
        <v>0.20551634713279</v>
      </c>
      <c r="G1292" s="12" t="n">
        <f aca="false">Sens!$G$1286/Sens!$G$1287</f>
        <v>0.207063227098564</v>
      </c>
      <c r="H1292" s="12" t="n">
        <f aca="false">Sens!$H$1286/Sens!$H$1287</f>
        <v>0.240427696664796</v>
      </c>
      <c r="I1292" s="12" t="n">
        <f aca="false">Sens!$I$1286/Sens!$I$1287</f>
        <v>0.267686321978074</v>
      </c>
      <c r="J1292" s="12" t="n">
        <f aca="false">Sens!$J$1286/Sens!$J$1287</f>
        <v>0.288075942794204</v>
      </c>
      <c r="K1292" s="12" t="n">
        <f aca="false">Sens!$K$1286/Sens!$K$1287</f>
        <v>0.302955085661486</v>
      </c>
      <c r="L1292" s="12" t="n">
        <f aca="false">Sens!$L$1286/Sens!$L$1287</f>
        <v>0.315489636007862</v>
      </c>
      <c r="M1292" s="12" t="n">
        <f aca="false">Sens!$M$1286/Sens!$M$1287</f>
        <v>0.326040728645328</v>
      </c>
      <c r="N1292" s="12" t="n">
        <f aca="false">Sens!$N$1286/Sens!$N$1287</f>
        <v>0.185979484737251</v>
      </c>
      <c r="O1292" s="12" t="n">
        <f aca="false">Sens!$O$1286/Sens!$O$1287</f>
        <v>0.174270432341096</v>
      </c>
    </row>
    <row r="1293" customFormat="false" ht="17.15" hidden="false" customHeight="false" outlineLevel="0" collapsed="false">
      <c r="A1293" s="0" t="s">
        <v>654</v>
      </c>
      <c r="B1293" s="0" t="s">
        <v>52</v>
      </c>
      <c r="C1293" s="12" t="n">
        <f aca="false">Sens!$C$1284/Sens!$C$1286</f>
        <v>0.0215795060896058</v>
      </c>
      <c r="D1293" s="12" t="n">
        <f aca="false">Sens!$D$1284/Sens!$D$1286</f>
        <v>0.0676152269462122</v>
      </c>
      <c r="E1293" s="12" t="n">
        <f aca="false">Sens!$E$1284/Sens!$E$1286</f>
        <v>0.106620641395783</v>
      </c>
      <c r="F1293" s="12" t="n">
        <f aca="false">Sens!$F$1284/Sens!$F$1286</f>
        <v>0.14877828374972</v>
      </c>
      <c r="G1293" s="12" t="n">
        <f aca="false">Sens!$G$1284/Sens!$G$1286</f>
        <v>0.129231602659946</v>
      </c>
      <c r="H1293" s="12" t="n">
        <f aca="false">Sens!$H$1284/Sens!$H$1286</f>
        <v>0.21706969255825</v>
      </c>
      <c r="I1293" s="12" t="n">
        <f aca="false">Sens!$I$1284/Sens!$I$1286</f>
        <v>0.278119342373825</v>
      </c>
      <c r="J1293" s="12" t="n">
        <f aca="false">Sens!$J$1284/Sens!$J$1286</f>
        <v>0.322050265914565</v>
      </c>
      <c r="K1293" s="12" t="n">
        <f aca="false">Sens!$K$1284/Sens!$K$1286</f>
        <v>0.359795895607576</v>
      </c>
      <c r="L1293" s="12" t="n">
        <f aca="false">Sens!$L$1284/Sens!$L$1286</f>
        <v>0.38783761853011</v>
      </c>
      <c r="M1293" s="12" t="n">
        <f aca="false">Sens!$M$1284/Sens!$M$1286</f>
        <v>0.408794418445365</v>
      </c>
      <c r="N1293" s="12" t="n">
        <f aca="false">Sens!$N$1284/Sens!$N$1286</f>
        <v>0.0506537999838362</v>
      </c>
      <c r="O1293" s="12" t="n">
        <f aca="false">Sens!$O$1284/Sens!$O$1286</f>
        <v>0.0824881615167056</v>
      </c>
    </row>
    <row r="1296" customFormat="false" ht="19.4" hidden="false" customHeight="false" outlineLevel="0" collapsed="false">
      <c r="A1296" s="31" t="s">
        <v>1072</v>
      </c>
    </row>
    <row r="1297" customFormat="false" ht="17.15" hidden="false" customHeight="false" outlineLevel="0" collapsed="false">
      <c r="A1297" s="6" t="s">
        <v>16</v>
      </c>
      <c r="B1297" s="6" t="s">
        <v>17</v>
      </c>
      <c r="C1297" s="20" t="s">
        <v>457</v>
      </c>
      <c r="D1297" s="20" t="s">
        <v>458</v>
      </c>
      <c r="E1297" s="20" t="s">
        <v>540</v>
      </c>
      <c r="F1297" s="20" t="s">
        <v>541</v>
      </c>
      <c r="G1297" s="20" t="s">
        <v>542</v>
      </c>
      <c r="H1297" s="20" t="s">
        <v>543</v>
      </c>
      <c r="I1297" s="20" t="s">
        <v>544</v>
      </c>
      <c r="J1297" s="20" t="s">
        <v>545</v>
      </c>
      <c r="K1297" s="20" t="s">
        <v>546</v>
      </c>
      <c r="L1297" s="20" t="s">
        <v>547</v>
      </c>
      <c r="M1297" s="20" t="s">
        <v>548</v>
      </c>
      <c r="N1297" s="20" t="s">
        <v>549</v>
      </c>
      <c r="O1297" s="20" t="s">
        <v>550</v>
      </c>
      <c r="P1297" s="6" t="s">
        <v>23</v>
      </c>
      <c r="R1297" s="20" t="n">
        <v>2023</v>
      </c>
      <c r="S1297" s="20" t="n">
        <v>2024</v>
      </c>
      <c r="T1297" s="20" t="n">
        <v>2025</v>
      </c>
      <c r="U1297" s="20" t="n">
        <v>2026</v>
      </c>
      <c r="V1297" s="20" t="n">
        <v>2027</v>
      </c>
      <c r="W1297" s="20" t="n">
        <v>2028</v>
      </c>
      <c r="X1297" s="20" t="n">
        <v>2029</v>
      </c>
      <c r="Y1297" s="20" t="n">
        <v>2030</v>
      </c>
      <c r="Z1297" s="20" t="n">
        <v>2031</v>
      </c>
      <c r="AA1297" s="20" t="n">
        <v>2032</v>
      </c>
    </row>
    <row r="1298" customFormat="false" ht="17.15" hidden="false" customHeight="false" outlineLevel="0" collapsed="false">
      <c r="A1298" s="1" t="s">
        <v>669</v>
      </c>
    </row>
    <row r="1299" customFormat="false" ht="15" hidden="false" customHeight="false" outlineLevel="0" collapsed="false">
      <c r="A1299" s="0" t="s">
        <v>479</v>
      </c>
      <c r="B1299" s="0" t="s">
        <v>73</v>
      </c>
      <c r="C1299" s="38" t="n">
        <f aca="false">Sens!$C$1208</f>
        <v>247.029</v>
      </c>
      <c r="D1299" s="38" t="n">
        <f aca="false">Sens!$D$1208</f>
        <v>269.287</v>
      </c>
      <c r="E1299" s="38" t="n">
        <f aca="false">Sens!$E$1208</f>
        <v>134.686</v>
      </c>
      <c r="F1299" s="38" t="n">
        <f aca="false">Sens!$F$1208</f>
        <v>160.728085930082</v>
      </c>
      <c r="G1299" s="38" t="n">
        <f aca="false">Sens!$G$1208</f>
        <v>295.414085930082</v>
      </c>
      <c r="H1299" s="38" t="n">
        <f aca="false">Sens!$H$1208</f>
        <v>320.828163943375</v>
      </c>
      <c r="I1299" s="38" t="n">
        <f aca="false">Sens!$I$1208</f>
        <v>344.575578072228</v>
      </c>
      <c r="J1299" s="38" t="n">
        <f aca="false">Sens!$J$1208</f>
        <v>365.942555779681</v>
      </c>
      <c r="K1299" s="38" t="n">
        <f aca="false">Sens!$K$1208</f>
        <v>384.239683568665</v>
      </c>
      <c r="L1299" s="38" t="n">
        <f aca="false">Sens!$L$1208</f>
        <v>403.451667747098</v>
      </c>
      <c r="M1299" s="38" t="n">
        <f aca="false">Sens!$M$1208</f>
        <v>423.624251134453</v>
      </c>
      <c r="N1299" s="38" t="n">
        <f aca="false">Sens!$N$1208</f>
        <v>118.892</v>
      </c>
      <c r="O1299" s="38" t="n">
        <f aca="false">Sens!$O$1208</f>
        <v>150.395</v>
      </c>
    </row>
    <row r="1300" customFormat="false" ht="15" hidden="false" customHeight="false" outlineLevel="0" collapsed="false">
      <c r="A1300" s="0" t="s">
        <v>480</v>
      </c>
      <c r="B1300" s="0" t="s">
        <v>73</v>
      </c>
      <c r="C1300" s="38" t="n">
        <f aca="false">Sens!$C$1210</f>
        <v>21.215</v>
      </c>
      <c r="D1300" s="38" t="n">
        <f aca="false">Sens!$D$1210</f>
        <v>22.561</v>
      </c>
      <c r="E1300" s="38" t="n">
        <f aca="false">Sens!$E$1210</f>
        <v>11.579</v>
      </c>
      <c r="F1300" s="38" t="n">
        <f aca="false">Sens!$F$1210</f>
        <v>12.0952613121125</v>
      </c>
      <c r="G1300" s="38" t="n">
        <f aca="false">Sens!$G$1210</f>
        <v>23.6742613121125</v>
      </c>
      <c r="H1300" s="38" t="n">
        <f aca="false">Sens!$H$1210</f>
        <v>24.8803243963206</v>
      </c>
      <c r="I1300" s="38" t="n">
        <f aca="false">Sens!$I$1210</f>
        <v>25.9741308664154</v>
      </c>
      <c r="J1300" s="38" t="n">
        <f aca="false">Sens!$J$1210</f>
        <v>26.9346894124267</v>
      </c>
      <c r="K1300" s="38" t="n">
        <f aca="false">Sens!$K$1210</f>
        <v>27.7427300947995</v>
      </c>
      <c r="L1300" s="38" t="n">
        <f aca="false">Sens!$L$1210</f>
        <v>28.5750119976435</v>
      </c>
      <c r="M1300" s="38" t="n">
        <f aca="false">Sens!$M$1210</f>
        <v>29.4322623575728</v>
      </c>
      <c r="N1300" s="38" t="n">
        <f aca="false">Sens!$N$1210</f>
        <v>11.128</v>
      </c>
      <c r="O1300" s="38" t="n">
        <f aca="false">Sens!$O$1210</f>
        <v>11.433</v>
      </c>
    </row>
    <row r="1301" customFormat="false" ht="15" hidden="false" customHeight="false" outlineLevel="0" collapsed="false">
      <c r="A1301" s="0" t="s">
        <v>481</v>
      </c>
      <c r="B1301" s="0" t="s">
        <v>73</v>
      </c>
      <c r="C1301" s="38" t="n">
        <f aca="false">Sens!$C$1212</f>
        <v>156.146</v>
      </c>
      <c r="D1301" s="38" t="n">
        <f aca="false">Sens!$D$1212</f>
        <v>172.162</v>
      </c>
      <c r="E1301" s="38" t="n">
        <f aca="false">Sens!$E$1212</f>
        <v>88.358</v>
      </c>
      <c r="F1301" s="38" t="n">
        <f aca="false">Sens!$F$1212</f>
        <v>103.62028337149</v>
      </c>
      <c r="G1301" s="38" t="n">
        <f aca="false">Sens!$G$1212</f>
        <v>191.97828337149</v>
      </c>
      <c r="H1301" s="38" t="n">
        <f aca="false">Sens!$H$1212</f>
        <v>212.128608444755</v>
      </c>
      <c r="I1301" s="38" t="n">
        <f aca="false">Sens!$I$1212</f>
        <v>231.92183134134</v>
      </c>
      <c r="J1301" s="38" t="n">
        <f aca="false">Sens!$J$1212</f>
        <v>250.859136487863</v>
      </c>
      <c r="K1301" s="38" t="n">
        <f aca="false">Sens!$K$1212</f>
        <v>268.419276042014</v>
      </c>
      <c r="L1301" s="38" t="n">
        <f aca="false">Sens!$L$1212</f>
        <v>287.208625364954</v>
      </c>
      <c r="M1301" s="38" t="n">
        <f aca="false">Sens!$M$1212</f>
        <v>307.313229140501</v>
      </c>
      <c r="N1301" s="38" t="n">
        <f aca="false">Sens!$N$1212</f>
        <v>76.86</v>
      </c>
      <c r="O1301" s="38" t="n">
        <f aca="false">Sens!$O$1212</f>
        <v>95.302</v>
      </c>
    </row>
    <row r="1302" customFormat="false" ht="15" hidden="false" customHeight="false" outlineLevel="0" collapsed="false">
      <c r="A1302" s="0" t="s">
        <v>482</v>
      </c>
      <c r="B1302" s="0" t="s">
        <v>73</v>
      </c>
      <c r="C1302" s="38" t="n">
        <f aca="false">Sens!$C$1214</f>
        <v>56.214</v>
      </c>
      <c r="D1302" s="38" t="n">
        <f aca="false">Sens!$D$1214</f>
        <v>68.635</v>
      </c>
      <c r="E1302" s="38" t="n">
        <f aca="false">Sens!$E$1214</f>
        <v>37.052</v>
      </c>
      <c r="F1302" s="38" t="n">
        <f aca="false">Sens!$F$1214</f>
        <v>48.1533381827382</v>
      </c>
      <c r="G1302" s="38" t="n">
        <f aca="false">Sens!$G$1214</f>
        <v>85.2053381827382</v>
      </c>
      <c r="H1302" s="38" t="n">
        <f aca="false">Sens!$H$1214</f>
        <v>102.29336185894</v>
      </c>
      <c r="I1302" s="38" t="n">
        <f aca="false">Sens!$I$1214</f>
        <v>119.379837585241</v>
      </c>
      <c r="J1302" s="38" t="n">
        <f aca="false">Sens!$J$1214</f>
        <v>135.319079048844</v>
      </c>
      <c r="K1302" s="38" t="n">
        <f aca="false">Sens!$K$1214</f>
        <v>148.850986953729</v>
      </c>
      <c r="L1302" s="38" t="n">
        <f aca="false">Sens!$L$1214</f>
        <v>163.736085649102</v>
      </c>
      <c r="M1302" s="38" t="n">
        <f aca="false">Sens!$M$1214</f>
        <v>180.109694214012</v>
      </c>
      <c r="N1302" s="38" t="n">
        <f aca="false">Sens!$N$1214</f>
        <v>29.615</v>
      </c>
      <c r="O1302" s="38" t="n">
        <f aca="false">Sens!$O$1214</f>
        <v>39.02</v>
      </c>
    </row>
    <row r="1303" customFormat="false" ht="15" hidden="false" customHeight="false" outlineLevel="0" collapsed="false">
      <c r="A1303" s="0" t="s">
        <v>483</v>
      </c>
      <c r="B1303" s="0" t="s">
        <v>73</v>
      </c>
      <c r="C1303" s="38" t="n">
        <f aca="false">Sens!$C$1216</f>
        <v>44.374</v>
      </c>
      <c r="D1303" s="38" t="n">
        <f aca="false">Sens!$D$1216</f>
        <v>49.619</v>
      </c>
      <c r="E1303" s="38" t="n">
        <f aca="false">Sens!$E$1216</f>
        <v>27.157</v>
      </c>
      <c r="F1303" s="38" t="n">
        <f aca="false">Sens!$F$1216</f>
        <v>28.9776360923374</v>
      </c>
      <c r="G1303" s="38" t="n">
        <f aca="false">Sens!$G$1216</f>
        <v>56.1346360923374</v>
      </c>
      <c r="H1303" s="38" t="n">
        <f aca="false">Sens!$H$1216</f>
        <v>62.4937078946075</v>
      </c>
      <c r="I1303" s="38" t="n">
        <f aca="false">Sens!$I$1216</f>
        <v>68.6715233062498</v>
      </c>
      <c r="J1303" s="38" t="n">
        <f aca="false">Sens!$J$1216</f>
        <v>74.4692882949818</v>
      </c>
      <c r="K1303" s="38" t="n">
        <f aca="false">Sens!$K$1216</f>
        <v>79.6821384756306</v>
      </c>
      <c r="L1303" s="38" t="n">
        <f aca="false">Sens!$L$1216</f>
        <v>85.2598881689247</v>
      </c>
      <c r="M1303" s="38" t="n">
        <f aca="false">Sens!$M$1216</f>
        <v>91.2280803407494</v>
      </c>
      <c r="N1303" s="38" t="n">
        <f aca="false">Sens!$N$1216</f>
        <v>23.923</v>
      </c>
      <c r="O1303" s="38" t="n">
        <f aca="false">Sens!$O$1216</f>
        <v>25.696</v>
      </c>
    </row>
    <row r="1304" customFormat="false" ht="15" hidden="false" customHeight="false" outlineLevel="0" collapsed="false">
      <c r="A1304" s="0" t="s">
        <v>484</v>
      </c>
      <c r="B1304" s="0" t="s">
        <v>73</v>
      </c>
      <c r="C1304" s="38" t="n">
        <f aca="false">Sens!$C$1218</f>
        <v>5.425</v>
      </c>
      <c r="D1304" s="38" t="n">
        <f aca="false">Sens!$D$1218</f>
        <v>5.935</v>
      </c>
      <c r="E1304" s="38" t="n">
        <f aca="false">Sens!$E$1218</f>
        <v>3.474</v>
      </c>
      <c r="F1304" s="38" t="n">
        <f aca="false">Sens!$F$1218</f>
        <v>3.36182431966931</v>
      </c>
      <c r="G1304" s="38" t="n">
        <f aca="false">Sens!$G$1218</f>
        <v>6.83582431966931</v>
      </c>
      <c r="H1304" s="38" t="n">
        <f aca="false">Sens!$H$1218</f>
        <v>7.31157108370141</v>
      </c>
      <c r="I1304" s="38" t="n">
        <f aca="false">Sens!$I$1218</f>
        <v>7.77266852639815</v>
      </c>
      <c r="J1304" s="38" t="n">
        <f aca="false">Sens!$J$1218</f>
        <v>8.2120733019884</v>
      </c>
      <c r="K1304" s="38" t="n">
        <f aca="false">Sens!$K$1218</f>
        <v>8.62267696708783</v>
      </c>
      <c r="L1304" s="38" t="n">
        <f aca="false">Sens!$L$1218</f>
        <v>9.05381081544222</v>
      </c>
      <c r="M1304" s="38" t="n">
        <f aca="false">Sens!$M$1218</f>
        <v>9.50650135621433</v>
      </c>
      <c r="N1304" s="38" t="n">
        <f aca="false">Sens!$N$1218</f>
        <v>2.811</v>
      </c>
      <c r="O1304" s="38" t="n">
        <f aca="false">Sens!$O$1218</f>
        <v>3.124</v>
      </c>
    </row>
    <row r="1305" customFormat="false" ht="17.15" hidden="false" customHeight="false" outlineLevel="0" collapsed="false">
      <c r="A1305" s="0" t="s">
        <v>670</v>
      </c>
      <c r="B1305" s="0" t="s">
        <v>73</v>
      </c>
      <c r="C1305" s="38" t="n">
        <f aca="false">Sens!$C$1286</f>
        <v>107.556</v>
      </c>
      <c r="D1305" s="38" t="n">
        <f aca="false">Sens!$D$1286</f>
        <v>128.725</v>
      </c>
      <c r="E1305" s="38" t="n">
        <f aca="false">Sens!$E$1286</f>
        <v>79.819</v>
      </c>
      <c r="F1305" s="38" t="n">
        <f aca="false">Sens!$F$1286</f>
        <v>92.3320081222604</v>
      </c>
      <c r="G1305" s="38" t="n">
        <f aca="false">Sens!$G$1286</f>
        <v>172.15100812226</v>
      </c>
      <c r="H1305" s="38" t="n">
        <f aca="false">Sens!$H$1286</f>
        <v>231.046823770582</v>
      </c>
      <c r="I1305" s="38" t="n">
        <f aca="false">Sens!$I$1286</f>
        <v>291.805016507444</v>
      </c>
      <c r="J1305" s="38" t="n">
        <f aca="false">Sens!$J$1286</f>
        <v>348.696809750063</v>
      </c>
      <c r="K1305" s="38" t="n">
        <f aca="false">Sens!$K$1286</f>
        <v>398.795978423965</v>
      </c>
      <c r="L1305" s="38" t="n">
        <f aca="false">Sens!$L$1286</f>
        <v>450.428997803345</v>
      </c>
      <c r="M1305" s="38" t="n">
        <f aca="false">Sens!$M$1286</f>
        <v>503.707259044446</v>
      </c>
      <c r="N1305" s="38" t="n">
        <f aca="false">Sens!$N$1286</f>
        <v>60.14</v>
      </c>
      <c r="O1305" s="38" t="n">
        <f aca="false">Sens!$O$1286</f>
        <v>68.585</v>
      </c>
    </row>
    <row r="1306" customFormat="false" ht="15" hidden="false" customHeight="false" outlineLevel="0" collapsed="false">
      <c r="A1306" s="1" t="s">
        <v>472</v>
      </c>
      <c r="B1306" s="8" t="s">
        <v>73</v>
      </c>
      <c r="C1306" s="38" t="n">
        <f aca="false">Sens!$C$1222</f>
        <v>387.497</v>
      </c>
      <c r="D1306" s="38" t="n">
        <f aca="false">Sens!$D$1222</f>
        <v>426.305</v>
      </c>
      <c r="E1306" s="38" t="n">
        <f aca="false">Sens!$E$1222</f>
        <v>220.32</v>
      </c>
      <c r="F1306" s="38" t="n">
        <f aca="false">Sens!$F$1222</f>
        <v>256.304015003807</v>
      </c>
      <c r="G1306" s="38" t="n">
        <f aca="false">Sens!$G$1222</f>
        <v>476.624015003807</v>
      </c>
      <c r="H1306" s="38" t="n">
        <f aca="false">Sens!$H$1222</f>
        <v>527.734391091543</v>
      </c>
      <c r="I1306" s="38" t="n">
        <f aca="false">Sens!$I$1222</f>
        <v>577.157693029577</v>
      </c>
      <c r="J1306" s="38" t="n">
        <f aca="false">Sens!$J$1222</f>
        <v>623.024923663827</v>
      </c>
      <c r="K1306" s="38" t="n">
        <f aca="false">Sens!$K$1222</f>
        <v>663.382568393781</v>
      </c>
      <c r="L1306" s="38" t="n">
        <f aca="false">Sens!$L$1222</f>
        <v>706.564873010432</v>
      </c>
      <c r="M1306" s="38" t="n">
        <f aca="false">Sens!$M$1222</f>
        <v>752.784687406019</v>
      </c>
      <c r="N1306" s="38" t="n">
        <f aca="false">Sens!$N$1222</f>
        <v>192.955</v>
      </c>
      <c r="O1306" s="38" t="n">
        <f aca="false">Sens!$O$1222</f>
        <v>233.35</v>
      </c>
    </row>
    <row r="1307" customFormat="false" ht="15" hidden="false" customHeight="false" outlineLevel="0" collapsed="false">
      <c r="A1307" s="1" t="s">
        <v>475</v>
      </c>
      <c r="B1307" s="8" t="s">
        <v>73</v>
      </c>
      <c r="C1307" s="38" t="n">
        <f aca="false">Sens!$C$1223</f>
        <v>142.906</v>
      </c>
      <c r="D1307" s="38" t="n">
        <f aca="false">Sens!$D$1223</f>
        <v>161.894</v>
      </c>
      <c r="E1307" s="38" t="n">
        <f aca="false">Sens!$E$1223</f>
        <v>81.986</v>
      </c>
      <c r="F1307" s="38" t="n">
        <f aca="false">Sens!$F$1223</f>
        <v>100.632414204623</v>
      </c>
      <c r="G1307" s="38" t="n">
        <f aca="false">Sens!$G$1223</f>
        <v>182.618414204623</v>
      </c>
      <c r="H1307" s="38" t="n">
        <f aca="false">Sens!$H$1223</f>
        <v>202.201346530158</v>
      </c>
      <c r="I1307" s="38" t="n">
        <f aca="false">Sens!$I$1223</f>
        <v>221.137876668296</v>
      </c>
      <c r="J1307" s="38" t="n">
        <f aca="false">Sens!$J$1223</f>
        <v>238.711898661958</v>
      </c>
      <c r="K1307" s="38" t="n">
        <f aca="false">Sens!$K$1223</f>
        <v>254.174923708144</v>
      </c>
      <c r="L1307" s="38" t="n">
        <f aca="false">Sens!$L$1223</f>
        <v>270.720216732733</v>
      </c>
      <c r="M1307" s="38" t="n">
        <f aca="false">Sens!$M$1223</f>
        <v>288.429331137484</v>
      </c>
      <c r="N1307" s="38" t="n">
        <f aca="false">Sens!$N$1223</f>
        <v>70.274</v>
      </c>
      <c r="O1307" s="38" t="n">
        <f aca="false">Sens!$O$1223</f>
        <v>91.62</v>
      </c>
    </row>
    <row r="1308" customFormat="false" ht="15" hidden="false" customHeight="false" outlineLevel="0" collapsed="false">
      <c r="A1308" s="1" t="s">
        <v>476</v>
      </c>
      <c r="B1308" s="8" t="s">
        <v>73</v>
      </c>
      <c r="C1308" s="38" t="n">
        <f aca="false">Sens!$C$1286</f>
        <v>107.556</v>
      </c>
      <c r="D1308" s="38" t="n">
        <f aca="false">Sens!$D$1286</f>
        <v>128.725</v>
      </c>
      <c r="E1308" s="38" t="n">
        <f aca="false">Sens!$E$1286</f>
        <v>79.819</v>
      </c>
      <c r="F1308" s="38" t="n">
        <f aca="false">Sens!$F$1286</f>
        <v>92.3320081222604</v>
      </c>
      <c r="G1308" s="38" t="n">
        <f aca="false">Sens!$G$1286</f>
        <v>172.15100812226</v>
      </c>
      <c r="H1308" s="38" t="n">
        <f aca="false">Sens!$H$1286</f>
        <v>231.046823770582</v>
      </c>
      <c r="I1308" s="38" t="n">
        <f aca="false">Sens!$I$1286</f>
        <v>291.805016507444</v>
      </c>
      <c r="J1308" s="38" t="n">
        <f aca="false">Sens!$J$1286</f>
        <v>348.696809750063</v>
      </c>
      <c r="K1308" s="38" t="n">
        <f aca="false">Sens!$K$1286</f>
        <v>398.795978423965</v>
      </c>
      <c r="L1308" s="38" t="n">
        <f aca="false">Sens!$L$1286</f>
        <v>450.428997803345</v>
      </c>
      <c r="M1308" s="38" t="n">
        <f aca="false">Sens!$M$1286</f>
        <v>503.707259044446</v>
      </c>
      <c r="N1308" s="38" t="n">
        <f aca="false">Sens!$N$1286</f>
        <v>60.14</v>
      </c>
      <c r="O1308" s="38" t="n">
        <f aca="false">Sens!$O$1286</f>
        <v>68.585</v>
      </c>
    </row>
    <row r="1309" customFormat="false" ht="17.15" hidden="false" customHeight="false" outlineLevel="0" collapsed="false">
      <c r="A1309" s="0" t="s">
        <v>644</v>
      </c>
      <c r="B1309" s="0" t="s">
        <v>73</v>
      </c>
      <c r="C1309" s="38" t="n">
        <f aca="false">Sens!$C$1284</f>
        <v>2.32100535697364</v>
      </c>
      <c r="D1309" s="38" t="n">
        <f aca="false">Sens!$D$1284</f>
        <v>8.70377008865116</v>
      </c>
      <c r="E1309" s="38" t="n">
        <f aca="false">Sens!$E$1284</f>
        <v>8.51035297557002</v>
      </c>
      <c r="F1309" s="38" t="n">
        <f aca="false">Sens!$F$1284</f>
        <v>13.7369977035951</v>
      </c>
      <c r="G1309" s="38" t="n">
        <f aca="false">Sens!$G$1284</f>
        <v>22.2473506791651</v>
      </c>
      <c r="H1309" s="38" t="n">
        <f aca="false">Sens!$H$1284</f>
        <v>50.1532630024405</v>
      </c>
      <c r="I1309" s="38" t="n">
        <f aca="false">Sens!$I$1284</f>
        <v>81.1566192924336</v>
      </c>
      <c r="J1309" s="38" t="n">
        <f aca="false">Sens!$J$1284</f>
        <v>112.297900303568</v>
      </c>
      <c r="K1309" s="38" t="n">
        <f aca="false">Sens!$K$1284</f>
        <v>143.48515622175</v>
      </c>
      <c r="L1309" s="38" t="n">
        <f aca="false">Sens!$L$1284</f>
        <v>174.693309824953</v>
      </c>
      <c r="M1309" s="38" t="n">
        <f aca="false">Sens!$M$1284</f>
        <v>205.912716027783</v>
      </c>
      <c r="N1309" s="38" t="n">
        <f aca="false">Sens!$N$1284</f>
        <v>3.04631953102791</v>
      </c>
      <c r="O1309" s="38" t="n">
        <f aca="false">Sens!$O$1284</f>
        <v>5.65745055762326</v>
      </c>
    </row>
    <row r="1310" customFormat="false" ht="17.15" hidden="false" customHeight="false" outlineLevel="0" collapsed="false">
      <c r="A1310" s="0" t="s">
        <v>646</v>
      </c>
      <c r="B1310" s="0" t="s">
        <v>73</v>
      </c>
      <c r="C1310" s="38" t="n">
        <f aca="false">Sens!$C$1285</f>
        <v>105.234994643026</v>
      </c>
      <c r="D1310" s="38" t="n">
        <f aca="false">Sens!$D$1285</f>
        <v>120.021229911349</v>
      </c>
      <c r="E1310" s="38" t="n">
        <f aca="false">Sens!$E$1285</f>
        <v>71.30864702443</v>
      </c>
      <c r="F1310" s="38" t="n">
        <f aca="false">Sens!$F$1285</f>
        <v>78.5950104186653</v>
      </c>
      <c r="G1310" s="38" t="n">
        <f aca="false">Sens!$G$1285</f>
        <v>149.903657443095</v>
      </c>
      <c r="H1310" s="38" t="n">
        <f aca="false">Sens!$H$1285</f>
        <v>180.893560768142</v>
      </c>
      <c r="I1310" s="38" t="n">
        <f aca="false">Sens!$I$1285</f>
        <v>210.64839721501</v>
      </c>
      <c r="J1310" s="38" t="n">
        <f aca="false">Sens!$J$1285</f>
        <v>236.398909446495</v>
      </c>
      <c r="K1310" s="38" t="n">
        <f aca="false">Sens!$K$1285</f>
        <v>255.310822202215</v>
      </c>
      <c r="L1310" s="38" t="n">
        <f aca="false">Sens!$L$1285</f>
        <v>275.735687978392</v>
      </c>
      <c r="M1310" s="38" t="n">
        <f aca="false">Sens!$M$1285</f>
        <v>297.794543016663</v>
      </c>
      <c r="N1310" s="38" t="n">
        <f aca="false">Sens!$N$1285</f>
        <v>57.0936804689721</v>
      </c>
      <c r="O1310" s="38" t="n">
        <f aca="false">Sens!$O$1285</f>
        <v>62.9275494423768</v>
      </c>
    </row>
    <row r="1311" customFormat="false" ht="15" hidden="false" customHeight="false" outlineLevel="0" collapsed="false">
      <c r="A1311" s="3" t="s">
        <v>477</v>
      </c>
      <c r="B1311" s="8" t="s">
        <v>73</v>
      </c>
      <c r="C1311" s="38" t="n">
        <f aca="false">Sens!$C$1287</f>
        <v>637.959</v>
      </c>
      <c r="D1311" s="38" t="n">
        <f aca="false">Sens!$D$1287</f>
        <v>716.924</v>
      </c>
      <c r="E1311" s="38" t="n">
        <f aca="false">Sens!$E$1287</f>
        <v>382.125</v>
      </c>
      <c r="F1311" s="38" t="n">
        <f aca="false">Sens!$F$1287</f>
        <v>449.26843733069</v>
      </c>
      <c r="G1311" s="38" t="n">
        <f aca="false">Sens!$G$1287</f>
        <v>831.39343733069</v>
      </c>
      <c r="H1311" s="38" t="n">
        <f aca="false">Sens!$H$1287</f>
        <v>960.982561392283</v>
      </c>
      <c r="I1311" s="38" t="n">
        <f aca="false">Sens!$I$1287</f>
        <v>1090.10058620532</v>
      </c>
      <c r="J1311" s="38" t="n">
        <f aca="false">Sens!$J$1287</f>
        <v>1210.43363207585</v>
      </c>
      <c r="K1311" s="38" t="n">
        <f aca="false">Sens!$K$1287</f>
        <v>1316.35347052589</v>
      </c>
      <c r="L1311" s="38" t="n">
        <f aca="false">Sens!$L$1287</f>
        <v>1427.71408754651</v>
      </c>
      <c r="M1311" s="38" t="n">
        <f aca="false">Sens!$M$1287</f>
        <v>1544.92127758795</v>
      </c>
      <c r="N1311" s="38" t="n">
        <f aca="false">Sens!$N$1287</f>
        <v>323.369</v>
      </c>
      <c r="O1311" s="38" t="n">
        <f aca="false">Sens!$O$1287</f>
        <v>393.555</v>
      </c>
    </row>
    <row r="1312" customFormat="false" ht="17.15" hidden="false" customHeight="false" outlineLevel="0" collapsed="false">
      <c r="A1312" s="24" t="s">
        <v>656</v>
      </c>
      <c r="B1312" s="25" t="s">
        <v>73</v>
      </c>
      <c r="C1312" s="39" t="n">
        <f aca="false">Sens!$C$1299+Sens!$C$1300+Sens!$C$1301+Sens!$C$1302+Sens!$C$1303+Sens!$C$1304-(Sens!$C$1306+Sens!$C$1307)</f>
        <v>0</v>
      </c>
      <c r="D1312" s="39" t="n">
        <f aca="false">Sens!$D$1299+Sens!$D$1300+Sens!$D$1301+Sens!$D$1302+Sens!$D$1303+Sens!$D$1304-(Sens!$D$1306+Sens!$D$1307)</f>
        <v>0</v>
      </c>
      <c r="E1312" s="39" t="n">
        <f aca="false">Sens!$E$1299+Sens!$E$1300+Sens!$E$1301+Sens!$E$1302+Sens!$E$1303+Sens!$E$1304-(Sens!$E$1306+Sens!$E$1307)</f>
        <v>0</v>
      </c>
      <c r="F1312" s="39" t="n">
        <f aca="false">Sens!$F$1299+Sens!$F$1300+Sens!$F$1301+Sens!$F$1302+Sens!$F$1303+Sens!$F$1304-(Sens!$F$1306+Sens!$F$1307)</f>
        <v>0</v>
      </c>
      <c r="G1312" s="39" t="n">
        <f aca="false">Sens!$G$1299+Sens!$G$1300+Sens!$G$1301+Sens!$G$1302+Sens!$G$1303+Sens!$G$1304-(Sens!$G$1306+Sens!$G$1307)</f>
        <v>0</v>
      </c>
      <c r="H1312" s="39" t="n">
        <f aca="false">Sens!$H$1299+Sens!$H$1300+Sens!$H$1301+Sens!$H$1302+Sens!$H$1303+Sens!$H$1304-(Sens!$H$1306+Sens!$H$1307)</f>
        <v>0</v>
      </c>
      <c r="I1312" s="39" t="n">
        <f aca="false">Sens!$I$1299+Sens!$I$1300+Sens!$I$1301+Sens!$I$1302+Sens!$I$1303+Sens!$I$1304-(Sens!$I$1306+Sens!$I$1307)</f>
        <v>0</v>
      </c>
      <c r="J1312" s="39" t="n">
        <f aca="false">Sens!$J$1299+Sens!$J$1300+Sens!$J$1301+Sens!$J$1302+Sens!$J$1303+Sens!$J$1304-(Sens!$J$1306+Sens!$J$1307)</f>
        <v>0</v>
      </c>
      <c r="K1312" s="39" t="n">
        <f aca="false">Sens!$K$1299+Sens!$K$1300+Sens!$K$1301+Sens!$K$1302+Sens!$K$1303+Sens!$K$1304-(Sens!$K$1306+Sens!$K$1307)</f>
        <v>0</v>
      </c>
      <c r="L1312" s="39" t="n">
        <f aca="false">Sens!$L$1299+Sens!$L$1300+Sens!$L$1301+Sens!$L$1302+Sens!$L$1303+Sens!$L$1304-(Sens!$L$1306+Sens!$L$1307)</f>
        <v>0</v>
      </c>
      <c r="M1312" s="39" t="n">
        <f aca="false">Sens!$M$1299+Sens!$M$1300+Sens!$M$1301+Sens!$M$1302+Sens!$M$1303+Sens!$M$1304-(Sens!$M$1306+Sens!$M$1307)</f>
        <v>0</v>
      </c>
      <c r="N1312" s="39" t="n">
        <f aca="false">Sens!$N$1299+Sens!$N$1300+Sens!$N$1301+Sens!$N$1302+Sens!$N$1303+Sens!$N$1304-(Sens!$N$1306+Sens!$N$1307)</f>
        <v>0</v>
      </c>
      <c r="O1312" s="39" t="n">
        <f aca="false">Sens!$O$1299+Sens!$O$1300+Sens!$O$1301+Sens!$O$1302+Sens!$O$1303+Sens!$O$1304-(Sens!$O$1306+Sens!$O$1307)</f>
        <v>0</v>
      </c>
    </row>
    <row r="1313" customFormat="false" ht="17.15" hidden="false" customHeight="false" outlineLevel="0" collapsed="false">
      <c r="A1313" s="24" t="s">
        <v>657</v>
      </c>
      <c r="B1313" s="25" t="s">
        <v>73</v>
      </c>
      <c r="C1313" s="39" t="n">
        <f aca="false">Sens!$C$1309+Sens!$C$1310-Sens!$C$1308</f>
        <v>0</v>
      </c>
      <c r="D1313" s="39" t="n">
        <f aca="false">Sens!$D$1309+Sens!$D$1310-Sens!$D$1308</f>
        <v>0</v>
      </c>
      <c r="E1313" s="39" t="n">
        <f aca="false">Sens!$E$1309+Sens!$E$1310-Sens!$E$1308</f>
        <v>0</v>
      </c>
      <c r="F1313" s="39" t="n">
        <f aca="false">Sens!$F$1309+Sens!$F$1310-Sens!$F$1308</f>
        <v>0</v>
      </c>
      <c r="G1313" s="39" t="n">
        <f aca="false">Sens!$G$1309+Sens!$G$1310-Sens!$G$1308</f>
        <v>0</v>
      </c>
      <c r="H1313" s="39" t="n">
        <f aca="false">Sens!$H$1309+Sens!$H$1310-Sens!$H$1308</f>
        <v>0</v>
      </c>
      <c r="I1313" s="39" t="n">
        <f aca="false">Sens!$I$1309+Sens!$I$1310-Sens!$I$1308</f>
        <v>0</v>
      </c>
      <c r="J1313" s="39" t="n">
        <f aca="false">Sens!$J$1309+Sens!$J$1310-Sens!$J$1308</f>
        <v>0</v>
      </c>
      <c r="K1313" s="39" t="n">
        <f aca="false">Sens!$K$1309+Sens!$K$1310-Sens!$K$1308</f>
        <v>0</v>
      </c>
      <c r="L1313" s="39" t="n">
        <f aca="false">Sens!$L$1309+Sens!$L$1310-Sens!$L$1308</f>
        <v>0</v>
      </c>
      <c r="M1313" s="39" t="n">
        <f aca="false">Sens!$M$1309+Sens!$M$1310-Sens!$M$1308</f>
        <v>0</v>
      </c>
      <c r="N1313" s="39" t="n">
        <f aca="false">Sens!$N$1309+Sens!$N$1310-Sens!$N$1308</f>
        <v>0</v>
      </c>
      <c r="O1313" s="39" t="n">
        <f aca="false">Sens!$O$1309+Sens!$O$1310-Sens!$O$1308</f>
        <v>0</v>
      </c>
    </row>
    <row r="1314" customFormat="false" ht="17.15" hidden="false" customHeight="false" outlineLevel="0" collapsed="false">
      <c r="A1314" s="24" t="s">
        <v>711</v>
      </c>
      <c r="B1314" s="25" t="s">
        <v>73</v>
      </c>
      <c r="C1314" s="39" t="n">
        <f aca="false">Sens!$C$1299+Sens!$C$1300+Sens!$C$1301+Sens!$C$1302+Sens!$C$1303+Sens!$C$1304+Sens!$C$1305-Sens!$C$1311</f>
        <v>0</v>
      </c>
      <c r="D1314" s="39" t="n">
        <f aca="false">Sens!$D$1299+Sens!$D$1300+Sens!$D$1301+Sens!$D$1302+Sens!$D$1303+Sens!$D$1304+Sens!$D$1305-Sens!$D$1311</f>
        <v>0</v>
      </c>
      <c r="E1314" s="39" t="n">
        <f aca="false">Sens!$E$1299+Sens!$E$1300+Sens!$E$1301+Sens!$E$1302+Sens!$E$1303+Sens!$E$1304+Sens!$E$1305-Sens!$E$1311</f>
        <v>0</v>
      </c>
      <c r="F1314" s="39" t="n">
        <f aca="false">Sens!$F$1299+Sens!$F$1300+Sens!$F$1301+Sens!$F$1302+Sens!$F$1303+Sens!$F$1304+Sens!$F$1305-Sens!$F$1311</f>
        <v>0</v>
      </c>
      <c r="G1314" s="39" t="n">
        <f aca="false">Sens!$G$1299+Sens!$G$1300+Sens!$G$1301+Sens!$G$1302+Sens!$G$1303+Sens!$G$1304+Sens!$G$1305-Sens!$G$1311</f>
        <v>0</v>
      </c>
      <c r="H1314" s="39" t="n">
        <f aca="false">Sens!$H$1299+Sens!$H$1300+Sens!$H$1301+Sens!$H$1302+Sens!$H$1303+Sens!$H$1304+Sens!$H$1305-Sens!$H$1311</f>
        <v>0</v>
      </c>
      <c r="I1314" s="39" t="n">
        <f aca="false">Sens!$I$1299+Sens!$I$1300+Sens!$I$1301+Sens!$I$1302+Sens!$I$1303+Sens!$I$1304+Sens!$I$1305-Sens!$I$1311</f>
        <v>0</v>
      </c>
      <c r="J1314" s="39" t="n">
        <f aca="false">Sens!$J$1299+Sens!$J$1300+Sens!$J$1301+Sens!$J$1302+Sens!$J$1303+Sens!$J$1304+Sens!$J$1305-Sens!$J$1311</f>
        <v>0</v>
      </c>
      <c r="K1314" s="39" t="n">
        <f aca="false">Sens!$K$1299+Sens!$K$1300+Sens!$K$1301+Sens!$K$1302+Sens!$K$1303+Sens!$K$1304+Sens!$K$1305-Sens!$K$1311</f>
        <v>0</v>
      </c>
      <c r="L1314" s="39" t="n">
        <f aca="false">Sens!$L$1299+Sens!$L$1300+Sens!$L$1301+Sens!$L$1302+Sens!$L$1303+Sens!$L$1304+Sens!$L$1305-Sens!$L$1311</f>
        <v>0</v>
      </c>
      <c r="M1314" s="39" t="n">
        <f aca="false">Sens!$M$1299+Sens!$M$1300+Sens!$M$1301+Sens!$M$1302+Sens!$M$1303+Sens!$M$1304+Sens!$M$1305-Sens!$M$1311</f>
        <v>0</v>
      </c>
      <c r="N1314" s="39" t="n">
        <f aca="false">Sens!$N$1299+Sens!$N$1300+Sens!$N$1301+Sens!$N$1302+Sens!$N$1303+Sens!$N$1304+Sens!$N$1305-Sens!$N$1311</f>
        <v>0</v>
      </c>
      <c r="O1314" s="39" t="n">
        <f aca="false">Sens!$O$1299+Sens!$O$1300+Sens!$O$1301+Sens!$O$1302+Sens!$O$1303+Sens!$O$1304+Sens!$O$1305-Sens!$O$1311</f>
        <v>0</v>
      </c>
    </row>
    <row r="1315" customFormat="false" ht="17.15" hidden="false" customHeight="false" outlineLevel="0" collapsed="false">
      <c r="A1315" s="24" t="s">
        <v>658</v>
      </c>
      <c r="B1315" s="25" t="s">
        <v>73</v>
      </c>
      <c r="C1315" s="39" t="n">
        <f aca="false">Sens!$C$1306+Sens!$C$1307+Sens!$C$1308-Sens!$C$1311</f>
        <v>0</v>
      </c>
      <c r="D1315" s="39" t="n">
        <f aca="false">Sens!$D$1306+Sens!$D$1307+Sens!$D$1308-Sens!$D$1311</f>
        <v>0</v>
      </c>
      <c r="E1315" s="39" t="n">
        <f aca="false">Sens!$E$1306+Sens!$E$1307+Sens!$E$1308-Sens!$E$1311</f>
        <v>0</v>
      </c>
      <c r="F1315" s="39" t="n">
        <f aca="false">Sens!$F$1306+Sens!$F$1307+Sens!$F$1308-Sens!$F$1311</f>
        <v>0</v>
      </c>
      <c r="G1315" s="39" t="n">
        <f aca="false">Sens!$G$1306+Sens!$G$1307+Sens!$G$1308-Sens!$G$1311</f>
        <v>0</v>
      </c>
      <c r="H1315" s="39" t="n">
        <f aca="false">Sens!$H$1306+Sens!$H$1307+Sens!$H$1308-Sens!$H$1311</f>
        <v>0</v>
      </c>
      <c r="I1315" s="39" t="n">
        <f aca="false">Sens!$I$1306+Sens!$I$1307+Sens!$I$1308-Sens!$I$1311</f>
        <v>0</v>
      </c>
      <c r="J1315" s="39" t="n">
        <f aca="false">Sens!$J$1306+Sens!$J$1307+Sens!$J$1308-Sens!$J$1311</f>
        <v>0</v>
      </c>
      <c r="K1315" s="39" t="n">
        <f aca="false">Sens!$K$1306+Sens!$K$1307+Sens!$K$1308-Sens!$K$1311</f>
        <v>0</v>
      </c>
      <c r="L1315" s="39" t="n">
        <f aca="false">Sens!$L$1306+Sens!$L$1307+Sens!$L$1308-Sens!$L$1311</f>
        <v>0</v>
      </c>
      <c r="M1315" s="39" t="n">
        <f aca="false">Sens!$M$1306+Sens!$M$1307+Sens!$M$1308-Sens!$M$1311</f>
        <v>0</v>
      </c>
      <c r="N1315" s="39" t="n">
        <f aca="false">Sens!$N$1306+Sens!$N$1307+Sens!$N$1308-Sens!$N$1311</f>
        <v>0</v>
      </c>
      <c r="O1315" s="39" t="n">
        <f aca="false">Sens!$O$1306+Sens!$O$1307+Sens!$O$1308-Sens!$O$1311</f>
        <v>0</v>
      </c>
    </row>
    <row r="1316" customFormat="false" ht="17.15" hidden="false" customHeight="false" outlineLevel="0" collapsed="false">
      <c r="A1316" s="1" t="s">
        <v>672</v>
      </c>
    </row>
    <row r="1317" customFormat="false" ht="17.15" hidden="false" customHeight="false" outlineLevel="0" collapsed="false">
      <c r="A1317" s="0" t="s">
        <v>673</v>
      </c>
      <c r="B1317" s="0" t="s">
        <v>73</v>
      </c>
      <c r="C1317" s="38" t="n">
        <f aca="false">Sens!$C$1224*m_ad</f>
        <v>20.5341564414228</v>
      </c>
      <c r="D1317" s="38" t="n">
        <f aca="false">Sens!$D$1224*m_ad</f>
        <v>24.8720617299587</v>
      </c>
      <c r="E1317" s="38" t="n">
        <f aca="false">Sens!$E$1224*m_ad</f>
        <v>13.5017112462207</v>
      </c>
      <c r="F1317" s="38" t="n">
        <f aca="false">Sens!$F$1224*m_ad</f>
        <v>17.2886442824599</v>
      </c>
      <c r="G1317" s="38" t="n">
        <f aca="false">Sens!$G$1224*m_ad</f>
        <v>30.8011958765886</v>
      </c>
      <c r="H1317" s="38" t="n">
        <f aca="false">Sens!$H$1224*m_ad</f>
        <v>36.978409366026</v>
      </c>
      <c r="I1317" s="38" t="n">
        <f aca="false">Sens!$I$1224*m_ad</f>
        <v>43.155063281273</v>
      </c>
      <c r="J1317" s="38" t="n">
        <f aca="false">Sens!$J$1224*m_ad</f>
        <v>48.9169991988532</v>
      </c>
      <c r="K1317" s="38" t="n">
        <f aca="false">Sens!$K$1224*m_ad</f>
        <v>53.8086991187386</v>
      </c>
      <c r="L1317" s="38" t="n">
        <f aca="false">Sens!$L$1224*m_ad</f>
        <v>59.1895690306124</v>
      </c>
      <c r="M1317" s="38" t="n">
        <f aca="false">Sens!$M$1224*m_ad</f>
        <v>65.1085259336737</v>
      </c>
      <c r="N1317" s="38" t="n">
        <f aca="false">Sens!$N$1224*m_ad</f>
        <v>10.8543555706248</v>
      </c>
      <c r="O1317" s="38" t="n">
        <f aca="false">Sens!$O$1224*m_ad</f>
        <v>14.0094731821399</v>
      </c>
    </row>
    <row r="1318" customFormat="false" ht="17.15" hidden="false" customHeight="false" outlineLevel="0" collapsed="false">
      <c r="A1318" s="0" t="s">
        <v>674</v>
      </c>
      <c r="B1318" s="0" t="s">
        <v>73</v>
      </c>
      <c r="C1318" s="38" t="n">
        <f aca="false">Sens!$C$1222-Sens!$C$1224</f>
        <v>346.428687117154</v>
      </c>
      <c r="D1318" s="38" t="n">
        <f aca="false">Sens!$D$1222-Sens!$D$1224</f>
        <v>376.560876540083</v>
      </c>
      <c r="E1318" s="38" t="n">
        <f aca="false">Sens!$E$1222-Sens!$E$1224</f>
        <v>193.316577507559</v>
      </c>
      <c r="F1318" s="38" t="n">
        <f aca="false">Sens!$F$1222-Sens!$F$1224</f>
        <v>221.726726438887</v>
      </c>
      <c r="G1318" s="38" t="n">
        <f aca="false">Sens!$G$1222-Sens!$G$1224</f>
        <v>415.02162325063</v>
      </c>
      <c r="H1318" s="38" t="n">
        <f aca="false">Sens!$H$1222-Sens!$H$1224</f>
        <v>453.777572359491</v>
      </c>
      <c r="I1318" s="38" t="n">
        <f aca="false">Sens!$I$1222-Sens!$I$1224</f>
        <v>490.847566467031</v>
      </c>
      <c r="J1318" s="38" t="n">
        <f aca="false">Sens!$J$1222-Sens!$J$1224</f>
        <v>525.190925266121</v>
      </c>
      <c r="K1318" s="38" t="n">
        <f aca="false">Sens!$K$1222-Sens!$K$1224</f>
        <v>555.765170156304</v>
      </c>
      <c r="L1318" s="38" t="n">
        <f aca="false">Sens!$L$1222-Sens!$L$1224</f>
        <v>588.185734949207</v>
      </c>
      <c r="M1318" s="38" t="n">
        <f aca="false">Sens!$M$1222-Sens!$M$1224</f>
        <v>622.567635538672</v>
      </c>
      <c r="N1318" s="38" t="n">
        <f aca="false">Sens!$N$1222-Sens!$N$1224</f>
        <v>171.24628885875</v>
      </c>
      <c r="O1318" s="38" t="n">
        <f aca="false">Sens!$O$1222-Sens!$O$1224</f>
        <v>205.33105363572</v>
      </c>
    </row>
    <row r="1319" customFormat="false" ht="17.15" hidden="false" customHeight="false" outlineLevel="0" collapsed="false">
      <c r="A1319" s="0" t="s">
        <v>675</v>
      </c>
      <c r="B1319" s="0" t="s">
        <v>73</v>
      </c>
      <c r="C1319" s="38" t="n">
        <f aca="false">Sens!$C$1270*Sens!$C$1221</f>
        <v>0.123617442257179</v>
      </c>
      <c r="D1319" s="38" t="n">
        <f aca="false">Sens!$D$1270*Sens!$D$1221</f>
        <v>0.874366899302609</v>
      </c>
      <c r="E1319" s="38" t="n">
        <f aca="false">Sens!$E$1270*Sens!$E$1221</f>
        <v>1.29318830502574</v>
      </c>
      <c r="F1319" s="38" t="n">
        <f aca="false">Sens!$F$1270*Sens!$F$1221</f>
        <v>1.47243188886991</v>
      </c>
      <c r="G1319" s="38" t="n">
        <f aca="false">Sens!$G$1270*Sens!$G$1221</f>
        <v>2.76540110574638</v>
      </c>
      <c r="H1319" s="38" t="n">
        <f aca="false">Sens!$H$1270*Sens!$H$1221</f>
        <v>6.83157190495291</v>
      </c>
      <c r="I1319" s="38" t="n">
        <f aca="false">Sens!$I$1270*Sens!$I$1221</f>
        <v>10.9633792596768</v>
      </c>
      <c r="J1319" s="38" t="n">
        <f aca="false">Sens!$J$1270*Sens!$J$1221</f>
        <v>15.2070728940897</v>
      </c>
      <c r="K1319" s="38" t="n">
        <f aca="false">Sens!$K$1270*Sens!$K$1221</f>
        <v>19.5511718967401</v>
      </c>
      <c r="L1319" s="38" t="n">
        <f aca="false">Sens!$L$1270*Sens!$L$1221</f>
        <v>23.6031113620681</v>
      </c>
      <c r="M1319" s="38" t="n">
        <f aca="false">Sens!$M$1270*Sens!$M$1221</f>
        <v>27.7586509066971</v>
      </c>
      <c r="N1319" s="38" t="n">
        <f aca="false">Sens!$N$1270*Sens!$N$1221</f>
        <v>0.389180508437431</v>
      </c>
      <c r="O1319" s="38" t="n">
        <f aca="false">Sens!$O$1270*Sens!$O$1221</f>
        <v>0.485052120082802</v>
      </c>
    </row>
    <row r="1320" customFormat="false" ht="17.15" hidden="false" customHeight="false" outlineLevel="0" collapsed="false">
      <c r="A1320" s="0" t="s">
        <v>676</v>
      </c>
      <c r="B1320" s="0" t="s">
        <v>52</v>
      </c>
      <c r="C1320" s="28" t="n">
        <f aca="false">(Sens!$C$1321-Sens!$C$1317+Sens!$C$1319)/Sens!$C$1318</f>
        <v>0.0131526665379575</v>
      </c>
      <c r="D1320" s="28" t="n">
        <f aca="false">(Sens!$D$1321-Sens!$D$1317+Sens!$D$1319)/Sens!$D$1318</f>
        <v>0.0149280116962589</v>
      </c>
      <c r="E1320" s="28" t="n">
        <f aca="false">(Sens!$E$1321-Sens!$E$1317+Sens!$E$1319)/Sens!$E$1318</f>
        <v>0.0268030663774938</v>
      </c>
      <c r="F1320" s="28" t="n">
        <f aca="false">Sens!$O$1320+(Sens!$E$1320-Sens!$N$1320)</f>
        <v>0.0232379346966962</v>
      </c>
      <c r="G1320" s="28" t="n">
        <f aca="false">(Sens!$G$1321-Sens!$G$1317+Sens!$G$1319)/Sens!$G$1318</f>
        <v>0.0248731348776324</v>
      </c>
      <c r="H1320" s="28" t="n">
        <f aca="false">Sens!$G$1320+step_na</f>
        <v>0.0278731348776324</v>
      </c>
      <c r="I1320" s="28" t="n">
        <f aca="false">Sens!$H$1320+step_na</f>
        <v>0.0308731348776324</v>
      </c>
      <c r="J1320" s="28" t="n">
        <f aca="false">Sens!$I$1320+step_na</f>
        <v>0.0338731348776324</v>
      </c>
      <c r="K1320" s="28" t="n">
        <f aca="false">Sens!$J$1320+step_na</f>
        <v>0.0368731348776324</v>
      </c>
      <c r="L1320" s="28" t="n">
        <f aca="false">Sens!$K$1320</f>
        <v>0.0368731348776324</v>
      </c>
      <c r="M1320" s="28" t="n">
        <f aca="false">Sens!$L$1320</f>
        <v>0.0368731348776324</v>
      </c>
      <c r="N1320" s="28" t="n">
        <f aca="false">(Sens!$N$1321-Sens!$N$1317+Sens!$N$1319)/Sens!$N$1318</f>
        <v>0.0168927744775755</v>
      </c>
      <c r="O1320" s="28" t="n">
        <f aca="false">(Sens!$O$1321-Sens!$O$1317+Sens!$O$1319)/Sens!$O$1318</f>
        <v>0.0133276427967779</v>
      </c>
      <c r="P1320" s="8" t="s">
        <v>677</v>
      </c>
    </row>
    <row r="1321" customFormat="false" ht="17.15" hidden="false" customHeight="false" outlineLevel="0" collapsed="false">
      <c r="A1321" s="1" t="s">
        <v>678</v>
      </c>
      <c r="B1321" s="8" t="s">
        <v>73</v>
      </c>
      <c r="C1321" s="38" t="n">
        <f aca="false">Q!$D$22</f>
        <v>24.967</v>
      </c>
      <c r="D1321" s="38" t="n">
        <f aca="false">Q!$E$22</f>
        <v>29.619</v>
      </c>
      <c r="E1321" s="38" t="n">
        <f aca="false">Q!$P$22</f>
        <v>17.39</v>
      </c>
      <c r="F1321" s="38" t="n">
        <f aca="false">Sens!$F$1317+Sens!$F$1318*Sens!$F$1320-Sens!$F$1319</f>
        <v>20.968683583089</v>
      </c>
      <c r="G1321" s="38" t="n">
        <f aca="false">Sens!$E$1321+Sens!$F$1321</f>
        <v>38.358683583089</v>
      </c>
      <c r="H1321" s="38" t="n">
        <f aca="false">Sens!$H$1317+Sens!$H$1318*Sens!$H$1320-Sens!$H$1319</f>
        <v>42.7950409398937</v>
      </c>
      <c r="I1321" s="38" t="n">
        <f aca="false">Sens!$I$1317+Sens!$I$1318*Sens!$I$1320-Sens!$I$1319</f>
        <v>47.3456871454905</v>
      </c>
      <c r="J1321" s="38" t="n">
        <f aca="false">Sens!$J$1317+Sens!$J$1318*Sens!$J$1320-Sens!$J$1319</f>
        <v>51.4997893528114</v>
      </c>
      <c r="K1321" s="38" t="n">
        <f aca="false">Sens!$K$1317+Sens!$K$1318*Sens!$K$1320-Sens!$K$1319</f>
        <v>54.7503313014622</v>
      </c>
      <c r="L1321" s="38" t="n">
        <f aca="false">Sens!$L$1317+Sens!$L$1318*Sens!$L$1320-Sens!$L$1319</f>
        <v>57.2747096064257</v>
      </c>
      <c r="M1321" s="38" t="n">
        <f aca="false">Sens!$M$1317+Sens!$M$1318*Sens!$M$1320-Sens!$M$1319</f>
        <v>60.3058954226427</v>
      </c>
      <c r="N1321" s="38" t="n">
        <f aca="false">Q!$N$22</f>
        <v>13.358</v>
      </c>
      <c r="O1321" s="38" t="n">
        <f aca="false">Q!$O$22</f>
        <v>16.261</v>
      </c>
    </row>
    <row r="1322" customFormat="false" ht="17.15" hidden="false" customHeight="false" outlineLevel="0" collapsed="false">
      <c r="A1322" s="0" t="s">
        <v>679</v>
      </c>
      <c r="B1322" s="0" t="s">
        <v>73</v>
      </c>
      <c r="C1322" s="38" t="n">
        <f aca="false">Sens!$C$1225*m_ad</f>
        <v>7.57284355857716</v>
      </c>
      <c r="D1322" s="38" t="n">
        <f aca="false">Sens!$D$1225*m_ad</f>
        <v>9.44543827004127</v>
      </c>
      <c r="E1322" s="38" t="n">
        <f aca="false">Sens!$E$1225*m_ad</f>
        <v>5.02428875377928</v>
      </c>
      <c r="F1322" s="38" t="n">
        <f aca="false">Sens!$F$1225*m_ad</f>
        <v>6.78802480890925</v>
      </c>
      <c r="G1322" s="38" t="n">
        <f aca="false">Sens!$G$1225*m_ad</f>
        <v>11.8014732147805</v>
      </c>
      <c r="H1322" s="38" t="n">
        <f aca="false">Sens!$H$1225*m_ad</f>
        <v>14.1682715634442</v>
      </c>
      <c r="I1322" s="38" t="n">
        <f aca="false">Sens!$I$1225*m_ad</f>
        <v>16.5348555113474</v>
      </c>
      <c r="J1322" s="38" t="n">
        <f aca="false">Sens!$J$1225*m_ad</f>
        <v>18.7425403255689</v>
      </c>
      <c r="K1322" s="38" t="n">
        <f aca="false">Sens!$K$1225*m_ad</f>
        <v>20.6167943581258</v>
      </c>
      <c r="L1322" s="38" t="n">
        <f aca="false">Sens!$L$1225*m_ad</f>
        <v>22.6784737939383</v>
      </c>
      <c r="M1322" s="38" t="n">
        <f aca="false">Sens!$M$1225*m_ad</f>
        <v>24.9463211733322</v>
      </c>
      <c r="N1322" s="38" t="n">
        <f aca="false">Sens!$N$1225*m_ad</f>
        <v>3.95314442937518</v>
      </c>
      <c r="O1322" s="38" t="n">
        <f aca="false">Sens!$O$1225*m_ad</f>
        <v>5.50052681786011</v>
      </c>
    </row>
    <row r="1323" customFormat="false" ht="17.15" hidden="false" customHeight="false" outlineLevel="0" collapsed="false">
      <c r="A1323" s="0" t="s">
        <v>680</v>
      </c>
      <c r="B1323" s="0" t="s">
        <v>73</v>
      </c>
      <c r="C1323" s="38" t="n">
        <f aca="false">Sens!$C$1223-Sens!$C$1225</f>
        <v>127.760312882846</v>
      </c>
      <c r="D1323" s="38" t="n">
        <f aca="false">Sens!$D$1223-Sens!$D$1225</f>
        <v>143.003123459917</v>
      </c>
      <c r="E1323" s="38" t="n">
        <f aca="false">Sens!$E$1223-Sens!$E$1225</f>
        <v>71.9374224924414</v>
      </c>
      <c r="F1323" s="38" t="n">
        <f aca="false">Sens!$F$1223-Sens!$F$1225</f>
        <v>87.0563645868046</v>
      </c>
      <c r="G1323" s="38" t="n">
        <f aca="false">Sens!$G$1223-Sens!$G$1225</f>
        <v>159.015467775062</v>
      </c>
      <c r="H1323" s="38" t="n">
        <f aca="false">Sens!$H$1223-Sens!$H$1225</f>
        <v>173.864803403269</v>
      </c>
      <c r="I1323" s="38" t="n">
        <f aca="false">Sens!$I$1223-Sens!$I$1225</f>
        <v>188.068165645601</v>
      </c>
      <c r="J1323" s="38" t="n">
        <f aca="false">Sens!$J$1223-Sens!$J$1225</f>
        <v>201.22681801082</v>
      </c>
      <c r="K1323" s="38" t="n">
        <f aca="false">Sens!$K$1223-Sens!$K$1225</f>
        <v>212.941334991893</v>
      </c>
      <c r="L1323" s="38" t="n">
        <f aca="false">Sens!$L$1223-Sens!$L$1225</f>
        <v>225.363269144856</v>
      </c>
      <c r="M1323" s="38" t="n">
        <f aca="false">Sens!$M$1223-Sens!$M$1225</f>
        <v>238.536688790819</v>
      </c>
      <c r="N1323" s="38" t="n">
        <f aca="false">Sens!$N$1223-Sens!$N$1225</f>
        <v>62.3677111412496</v>
      </c>
      <c r="O1323" s="38" t="n">
        <f aca="false">Sens!$O$1223-Sens!$O$1225</f>
        <v>80.6189463642798</v>
      </c>
    </row>
    <row r="1324" customFormat="false" ht="17.15" hidden="false" customHeight="false" outlineLevel="0" collapsed="false">
      <c r="A1324" s="0" t="s">
        <v>681</v>
      </c>
      <c r="B1324" s="0" t="s">
        <v>73</v>
      </c>
      <c r="C1324" s="38" t="n">
        <f aca="false">Sens!$C$1270*(1-Sens!$C$1221)</f>
        <v>0.0455891896019953</v>
      </c>
      <c r="D1324" s="38" t="n">
        <f aca="false">Sens!$D$1270*(1-Sens!$D$1221)</f>
        <v>0.332050421167231</v>
      </c>
      <c r="E1324" s="38" t="n">
        <f aca="false">Sens!$E$1270*(1-Sens!$E$1221)</f>
        <v>0.481224293644882</v>
      </c>
      <c r="F1324" s="38" t="n">
        <f aca="false">Sens!$F$1270*(1-Sens!$F$1221)</f>
        <v>0.578119604277958</v>
      </c>
      <c r="G1324" s="38" t="n">
        <f aca="false">Sens!$G$1270*(1-Sens!$G$1221)</f>
        <v>1.05956298607212</v>
      </c>
      <c r="H1324" s="38" t="n">
        <f aca="false">Sens!$H$1270*(1-Sens!$H$1221)</f>
        <v>2.61751566965712</v>
      </c>
      <c r="I1324" s="38" t="n">
        <f aca="false">Sens!$I$1270*(1-Sens!$I$1221)</f>
        <v>4.20061698886499</v>
      </c>
      <c r="J1324" s="38" t="n">
        <f aca="false">Sens!$J$1270*(1-Sens!$J$1221)</f>
        <v>5.82658751802633</v>
      </c>
      <c r="K1324" s="38" t="n">
        <f aca="false">Sens!$K$1270*(1-Sens!$K$1221)</f>
        <v>7.49102834777671</v>
      </c>
      <c r="L1324" s="38" t="n">
        <f aca="false">Sens!$L$1270*(1-Sens!$L$1221)</f>
        <v>9.04352829808959</v>
      </c>
      <c r="M1324" s="38" t="n">
        <f aca="false">Sens!$M$1270*(1-Sens!$M$1221)</f>
        <v>10.6357226020184</v>
      </c>
      <c r="N1324" s="38" t="n">
        <f aca="false">Sens!$N$1270*(1-Sens!$N$1221)</f>
        <v>0.141739115596548</v>
      </c>
      <c r="O1324" s="38" t="n">
        <f aca="false">Sens!$O$1270*(1-Sens!$O$1221)</f>
        <v>0.190445576353059</v>
      </c>
    </row>
    <row r="1325" customFormat="false" ht="17.15" hidden="false" customHeight="false" outlineLevel="0" collapsed="false">
      <c r="A1325" s="0" t="s">
        <v>682</v>
      </c>
      <c r="B1325" s="0" t="s">
        <v>52</v>
      </c>
      <c r="C1325" s="28" t="n">
        <f aca="false">(Sens!$C$1326-Sens!$C$1322+Sens!$C$1324)/Sens!$C$1323</f>
        <v>-0.0292364215826579</v>
      </c>
      <c r="D1325" s="28" t="n">
        <f aca="false">(Sens!$D$1326-Sens!$D$1322+Sens!$D$1324)/Sens!$D$1323</f>
        <v>-0.0305125352740778</v>
      </c>
      <c r="E1325" s="28" t="n">
        <f aca="false">(Sens!$E$1326-Sens!$E$1322+Sens!$E$1324)/Sens!$E$1323</f>
        <v>-0.019490056934994</v>
      </c>
      <c r="F1325" s="28" t="n">
        <f aca="false">Sens!$O$1325+(Sens!$E$1325-Sens!$N$1325)</f>
        <v>-0.0367332293992226</v>
      </c>
      <c r="G1325" s="28" t="n">
        <f aca="false">(Sens!$G$1326-Sens!$G$1322+Sens!$G$1324)/Sens!$G$1323</f>
        <v>-0.0288579878379997</v>
      </c>
      <c r="H1325" s="28" t="n">
        <f aca="false">Sens!$G$1325+step_in</f>
        <v>-0.0288579878379997</v>
      </c>
      <c r="I1325" s="28" t="n">
        <f aca="false">Sens!$H$1325+step_in</f>
        <v>-0.0288579878379997</v>
      </c>
      <c r="J1325" s="28" t="n">
        <f aca="false">Sens!$I$1325+step_in</f>
        <v>-0.0288579878379997</v>
      </c>
      <c r="K1325" s="28" t="n">
        <f aca="false">Sens!$J$1325+step_in</f>
        <v>-0.0288579878379997</v>
      </c>
      <c r="L1325" s="28" t="n">
        <f aca="false">Sens!$K$1325</f>
        <v>-0.0288579878379997</v>
      </c>
      <c r="M1325" s="28" t="n">
        <f aca="false">Sens!$L$1325</f>
        <v>-0.0288579878379997</v>
      </c>
      <c r="N1325" s="28" t="n">
        <f aca="false">(Sens!$N$1326-Sens!$N$1322+Sens!$N$1324)/Sens!$N$1323</f>
        <v>-0.02085061789158</v>
      </c>
      <c r="O1325" s="28" t="n">
        <f aca="false">(Sens!$O$1326-Sens!$O$1322+Sens!$O$1324)/Sens!$O$1323</f>
        <v>-0.0380937903558086</v>
      </c>
      <c r="P1325" s="8" t="s">
        <v>677</v>
      </c>
    </row>
    <row r="1326" customFormat="false" ht="17.15" hidden="false" customHeight="false" outlineLevel="0" collapsed="false">
      <c r="A1326" s="1" t="s">
        <v>683</v>
      </c>
      <c r="B1326" s="8" t="s">
        <v>73</v>
      </c>
      <c r="C1326" s="38" t="n">
        <f aca="false">Q!$D$23</f>
        <v>3.792</v>
      </c>
      <c r="D1326" s="38" t="n">
        <f aca="false">Q!$E$23</f>
        <v>4.75</v>
      </c>
      <c r="E1326" s="38" t="n">
        <f aca="false">Q!$P$23</f>
        <v>3.141</v>
      </c>
      <c r="F1326" s="38" t="n">
        <f aca="false">Sens!$F$1322+Sens!$F$1323*Sens!$F$1325-Sens!$F$1324</f>
        <v>3.01204379360184</v>
      </c>
      <c r="G1326" s="38" t="n">
        <f aca="false">Sens!$E$1326+Sens!$F$1326</f>
        <v>6.15304379360184</v>
      </c>
      <c r="H1326" s="38" t="n">
        <f aca="false">Sens!$H$1322+Sens!$H$1323*Sens!$H$1325-Sens!$H$1324</f>
        <v>6.53336751171933</v>
      </c>
      <c r="I1326" s="38" t="n">
        <f aca="false">Sens!$I$1322+Sens!$I$1323*Sens!$I$1325-Sens!$I$1324</f>
        <v>6.90696968556678</v>
      </c>
      <c r="J1326" s="38" t="n">
        <f aca="false">Sens!$J$1322+Sens!$J$1323*Sens!$J$1325-Sens!$J$1324</f>
        <v>7.10895174070691</v>
      </c>
      <c r="K1326" s="38" t="n">
        <f aca="false">Sens!$K$1322+Sens!$K$1323*Sens!$K$1325-Sens!$K$1324</f>
        <v>6.98070755494559</v>
      </c>
      <c r="L1326" s="38" t="n">
        <f aca="false">Sens!$L$1322+Sens!$L$1323*Sens!$L$1325-Sens!$L$1324</f>
        <v>7.13141501573464</v>
      </c>
      <c r="M1326" s="38" t="n">
        <f aca="false">Sens!$M$1322+Sens!$M$1323*Sens!$M$1325-Sens!$M$1324</f>
        <v>7.42690970727159</v>
      </c>
      <c r="N1326" s="38" t="n">
        <f aca="false">Q!$N$23</f>
        <v>2.511</v>
      </c>
      <c r="O1326" s="38" t="n">
        <f aca="false">Q!$O$23</f>
        <v>2.239</v>
      </c>
    </row>
    <row r="1327" customFormat="false" ht="17.15" hidden="false" customHeight="false" outlineLevel="0" collapsed="false">
      <c r="A1327" s="0" t="s">
        <v>684</v>
      </c>
      <c r="B1327" s="0" t="s">
        <v>73</v>
      </c>
      <c r="C1327" s="38" t="n">
        <f aca="false">Sens!$C$1267</f>
        <v>1.64417882953695</v>
      </c>
      <c r="D1327" s="38" t="n">
        <f aca="false">Sens!$D$1267</f>
        <v>3.8781008067718</v>
      </c>
      <c r="E1327" s="38" t="n">
        <f aca="false">Sens!$E$1267</f>
        <v>1.41270258088753</v>
      </c>
      <c r="F1327" s="38" t="n">
        <f aca="false">Sens!$F$1267</f>
        <v>5.53479173100364</v>
      </c>
      <c r="G1327" s="38" t="n">
        <f aca="false">Sens!$G$1267</f>
        <v>6.94749431189117</v>
      </c>
      <c r="H1327" s="38" t="n">
        <f aca="false">Sens!$H$1267</f>
        <v>12.3569127040004</v>
      </c>
      <c r="I1327" s="38" t="n">
        <f aca="false">Sens!$I$1267</f>
        <v>20.5006342982664</v>
      </c>
      <c r="J1327" s="38" t="n">
        <f aca="false">Sens!$J$1267</f>
        <v>28.163258655104</v>
      </c>
      <c r="K1327" s="38" t="n">
        <f aca="false">Sens!$K$1267</f>
        <v>35.3163552436828</v>
      </c>
      <c r="L1327" s="38" t="n">
        <f aca="false">Sens!$L$1267</f>
        <v>44.1067511843224</v>
      </c>
      <c r="M1327" s="38" t="n">
        <f aca="false">Sens!$M$1267</f>
        <v>52.3352219929214</v>
      </c>
      <c r="N1327" s="38" t="n">
        <f aca="false">Sens!$N$1267</f>
        <v>0.92264103489199</v>
      </c>
      <c r="O1327" s="38" t="n">
        <f aca="false">Sens!$O$1267</f>
        <v>2.95545977187981</v>
      </c>
    </row>
    <row r="1328" customFormat="false" ht="17.15" hidden="false" customHeight="false" outlineLevel="0" collapsed="false">
      <c r="A1328" s="0" t="s">
        <v>604</v>
      </c>
      <c r="B1328" s="0" t="s">
        <v>73</v>
      </c>
      <c r="C1328" s="38" t="n">
        <f aca="false">Sens!$C$1272</f>
        <v>38.1898211704631</v>
      </c>
      <c r="D1328" s="38" t="n">
        <f aca="false">Sens!$D$1272</f>
        <v>41.7278991932282</v>
      </c>
      <c r="E1328" s="38" t="n">
        <f aca="false">Sens!$E$1272</f>
        <v>29.3692974191125</v>
      </c>
      <c r="F1328" s="38" t="n">
        <f aca="false">Sens!$F$1272</f>
        <v>29.458060516894</v>
      </c>
      <c r="G1328" s="38" t="n">
        <f aca="false">Sens!$G$1272</f>
        <v>58.8273579360065</v>
      </c>
      <c r="H1328" s="38" t="n">
        <f aca="false">Sens!$H$1272</f>
        <v>67.8004040185081</v>
      </c>
      <c r="I1328" s="38" t="n">
        <f aca="false">Sens!$I$1272</f>
        <v>78.9527630302702</v>
      </c>
      <c r="J1328" s="38" t="n">
        <f aca="false">Sens!$J$1272</f>
        <v>88.6042681781841</v>
      </c>
      <c r="K1328" s="38" t="n">
        <f aca="false">Sens!$K$1272</f>
        <v>95.6926096324389</v>
      </c>
      <c r="L1328" s="38" t="n">
        <f aca="false">Sens!$L$1272</f>
        <v>103.348018403034</v>
      </c>
      <c r="M1328" s="38" t="n">
        <f aca="false">Sens!$M$1272</f>
        <v>111.615859875277</v>
      </c>
      <c r="N1328" s="38" t="n">
        <f aca="false">Sens!$N$1272</f>
        <v>20.784358965108</v>
      </c>
      <c r="O1328" s="38" t="n">
        <f aca="false">Sens!$O$1272</f>
        <v>20.9435402281202</v>
      </c>
    </row>
    <row r="1329" customFormat="false" ht="17.15" hidden="false" customHeight="false" outlineLevel="0" collapsed="false">
      <c r="A1329" s="1" t="s">
        <v>685</v>
      </c>
      <c r="B1329" s="8" t="s">
        <v>73</v>
      </c>
      <c r="C1329" s="38" t="n">
        <f aca="false">Q!$D$24</f>
        <v>39.834</v>
      </c>
      <c r="D1329" s="38" t="n">
        <f aca="false">Q!$E$24</f>
        <v>45.606</v>
      </c>
      <c r="E1329" s="38" t="n">
        <f aca="false">Q!$P$24</f>
        <v>30.782</v>
      </c>
      <c r="F1329" s="38" t="n">
        <f aca="false">Sens!$F$1327+Sens!$F$1328</f>
        <v>34.9928522478976</v>
      </c>
      <c r="G1329" s="38" t="n">
        <f aca="false">Sens!$G$1327+Sens!$G$1328</f>
        <v>65.7748522478976</v>
      </c>
      <c r="H1329" s="38" t="n">
        <f aca="false">Sens!$H$1327+Sens!$H$1328</f>
        <v>80.1573167225085</v>
      </c>
      <c r="I1329" s="38" t="n">
        <f aca="false">Sens!$I$1327+Sens!$I$1328</f>
        <v>99.4533973285366</v>
      </c>
      <c r="J1329" s="38" t="n">
        <f aca="false">Sens!$J$1327+Sens!$J$1328</f>
        <v>116.767526833288</v>
      </c>
      <c r="K1329" s="38" t="n">
        <f aca="false">Sens!$K$1327+Sens!$K$1328</f>
        <v>131.008964876122</v>
      </c>
      <c r="L1329" s="38" t="n">
        <f aca="false">Sens!$L$1327+Sens!$L$1328</f>
        <v>147.454769587356</v>
      </c>
      <c r="M1329" s="38" t="n">
        <f aca="false">Sens!$M$1327+Sens!$M$1328</f>
        <v>163.951081868198</v>
      </c>
      <c r="N1329" s="38" t="n">
        <f aca="false">Q!$N$24</f>
        <v>21.707</v>
      </c>
      <c r="O1329" s="38" t="n">
        <f aca="false">Q!$O$24</f>
        <v>23.899</v>
      </c>
    </row>
    <row r="1330" customFormat="false" ht="17.15" hidden="false" customHeight="false" outlineLevel="0" collapsed="false">
      <c r="A1330" s="5" t="s">
        <v>686</v>
      </c>
      <c r="B1330" s="0" t="s">
        <v>73</v>
      </c>
      <c r="C1330" s="38" t="n">
        <f aca="false">Q!$D$26</f>
        <v>0</v>
      </c>
      <c r="D1330" s="38" t="n">
        <f aca="false">Q!$E$26</f>
        <v>0</v>
      </c>
      <c r="E1330" s="38" t="n">
        <f aca="false">Q!$P$26</f>
        <v>0</v>
      </c>
      <c r="F1330" s="41" t="n">
        <v>0</v>
      </c>
      <c r="G1330" s="38" t="n">
        <f aca="false">Sens!$E$1330+Sens!$F$1330</f>
        <v>0</v>
      </c>
      <c r="H1330" s="41" t="n">
        <v>0</v>
      </c>
      <c r="I1330" s="41" t="n">
        <v>0</v>
      </c>
      <c r="J1330" s="41" t="n">
        <v>0</v>
      </c>
      <c r="K1330" s="41" t="n">
        <v>0</v>
      </c>
      <c r="L1330" s="41" t="n">
        <v>0</v>
      </c>
      <c r="M1330" s="41" t="n">
        <v>0</v>
      </c>
      <c r="N1330" s="38" t="n">
        <f aca="false">Q!$N$26</f>
        <v>0</v>
      </c>
      <c r="O1330" s="38" t="n">
        <f aca="false">Q!$O$26</f>
        <v>0</v>
      </c>
    </row>
    <row r="1331" customFormat="false" ht="15" hidden="false" customHeight="false" outlineLevel="0" collapsed="false">
      <c r="A1331" s="3" t="s">
        <v>494</v>
      </c>
      <c r="B1331" s="8" t="s">
        <v>73</v>
      </c>
      <c r="C1331" s="38" t="n">
        <f aca="false">Q!$D$25</f>
        <v>68.593</v>
      </c>
      <c r="D1331" s="38" t="n">
        <f aca="false">Q!$E$25</f>
        <v>79.975</v>
      </c>
      <c r="E1331" s="38" t="n">
        <f aca="false">Q!$P$25</f>
        <v>51.313</v>
      </c>
      <c r="F1331" s="38" t="n">
        <f aca="false">Sens!$F$1321+Sens!$F$1326+Sens!$F$1329+Sens!$F$1330</f>
        <v>58.9735796245885</v>
      </c>
      <c r="G1331" s="38" t="n">
        <f aca="false">Sens!$G$1321+Sens!$G$1326+Sens!$G$1329+Sens!$G$1330</f>
        <v>110.286579624589</v>
      </c>
      <c r="H1331" s="38" t="n">
        <f aca="false">Sens!$H$1321+Sens!$H$1326+Sens!$H$1329+Sens!$H$1330</f>
        <v>129.485725174122</v>
      </c>
      <c r="I1331" s="38" t="n">
        <f aca="false">Sens!$I$1321+Sens!$I$1326+Sens!$I$1329+Sens!$I$1330</f>
        <v>153.706054159594</v>
      </c>
      <c r="J1331" s="38" t="n">
        <f aca="false">Sens!$J$1321+Sens!$J$1326+Sens!$J$1329+Sens!$J$1330</f>
        <v>175.376267926806</v>
      </c>
      <c r="K1331" s="38" t="n">
        <f aca="false">Sens!$K$1321+Sens!$K$1326+Sens!$K$1329+Sens!$K$1330</f>
        <v>192.740003732529</v>
      </c>
      <c r="L1331" s="38" t="n">
        <f aca="false">Sens!$L$1321+Sens!$L$1326+Sens!$L$1329+Sens!$L$1330</f>
        <v>211.860894209517</v>
      </c>
      <c r="M1331" s="38" t="n">
        <f aca="false">Sens!$M$1321+Sens!$M$1326+Sens!$M$1329+Sens!$M$1330</f>
        <v>231.683886998112</v>
      </c>
      <c r="N1331" s="38" t="n">
        <f aca="false">Q!$N$25</f>
        <v>37.576</v>
      </c>
      <c r="O1331" s="38" t="n">
        <f aca="false">Q!$O$25</f>
        <v>42.399</v>
      </c>
    </row>
    <row r="1332" customFormat="false" ht="17.15" hidden="false" customHeight="false" outlineLevel="0" collapsed="false">
      <c r="A1332" s="24" t="s">
        <v>712</v>
      </c>
      <c r="B1332" s="25" t="s">
        <v>73</v>
      </c>
      <c r="C1332" s="39" t="n">
        <f aca="false">Sens!$C$1321+Sens!$C$1326+Sens!$C$1329+Sens!$C$1330-Sens!$C$1331</f>
        <v>0</v>
      </c>
      <c r="D1332" s="39" t="n">
        <f aca="false">Sens!$D$1321+Sens!$D$1326+Sens!$D$1329+Sens!$D$1330-Sens!$D$1331</f>
        <v>0</v>
      </c>
      <c r="E1332" s="39" t="n">
        <f aca="false">Sens!$E$1321+Sens!$E$1326+Sens!$E$1329+Sens!$E$1330-Sens!$E$1331</f>
        <v>0</v>
      </c>
      <c r="F1332" s="39" t="n">
        <f aca="false">Sens!$F$1321+Sens!$F$1326+Sens!$F$1329+Sens!$F$1330-Sens!$F$1331</f>
        <v>0</v>
      </c>
      <c r="G1332" s="39" t="n">
        <f aca="false">Sens!$G$1321+Sens!$G$1326+Sens!$G$1329+Sens!$G$1330-Sens!$G$1331</f>
        <v>0</v>
      </c>
      <c r="H1332" s="39" t="n">
        <f aca="false">Sens!$H$1321+Sens!$H$1326+Sens!$H$1329+Sens!$H$1330-Sens!$H$1331</f>
        <v>0</v>
      </c>
      <c r="I1332" s="39" t="n">
        <f aca="false">Sens!$I$1321+Sens!$I$1326+Sens!$I$1329+Sens!$I$1330-Sens!$I$1331</f>
        <v>0</v>
      </c>
      <c r="J1332" s="39" t="n">
        <f aca="false">Sens!$J$1321+Sens!$J$1326+Sens!$J$1329+Sens!$J$1330-Sens!$J$1331</f>
        <v>0</v>
      </c>
      <c r="K1332" s="39" t="n">
        <f aca="false">Sens!$K$1321+Sens!$K$1326+Sens!$K$1329+Sens!$K$1330-Sens!$K$1331</f>
        <v>0</v>
      </c>
      <c r="L1332" s="39" t="n">
        <f aca="false">Sens!$L$1321+Sens!$L$1326+Sens!$L$1329+Sens!$L$1330-Sens!$L$1331</f>
        <v>0</v>
      </c>
      <c r="M1332" s="39" t="n">
        <f aca="false">Sens!$M$1321+Sens!$M$1326+Sens!$M$1329+Sens!$M$1330-Sens!$M$1331</f>
        <v>0</v>
      </c>
      <c r="N1332" s="39" t="n">
        <f aca="false">Sens!$N$1321+Sens!$N$1326+Sens!$N$1329+Sens!$N$1330-Sens!$N$1331</f>
        <v>0</v>
      </c>
      <c r="O1332" s="39" t="n">
        <f aca="false">Sens!$O$1321+Sens!$O$1326+Sens!$O$1329+Sens!$O$1330-Sens!$O$1331</f>
        <v>0</v>
      </c>
    </row>
    <row r="1333" customFormat="false" ht="17.15" hidden="false" customHeight="false" outlineLevel="0" collapsed="false">
      <c r="A1333" s="0" t="s">
        <v>688</v>
      </c>
      <c r="B1333" s="0" t="s">
        <v>52</v>
      </c>
      <c r="C1333" s="12" t="n">
        <f aca="false">Sens!$C$1321/Sens!$C$1306</f>
        <v>0.0644314665661928</v>
      </c>
      <c r="D1333" s="12" t="n">
        <f aca="false">Sens!$D$1321/Sens!$D$1306</f>
        <v>0.0694784250712518</v>
      </c>
      <c r="E1333" s="12" t="n">
        <f aca="false">Sens!$E$1321/Sens!$E$1306</f>
        <v>0.0789306463326071</v>
      </c>
      <c r="F1333" s="12" t="n">
        <f aca="false">Sens!$F$1321/Sens!$F$1306</f>
        <v>0.0818117639818385</v>
      </c>
      <c r="G1333" s="12" t="n">
        <f aca="false">Sens!$G$1321/Sens!$G$1306</f>
        <v>0.0804799640294723</v>
      </c>
      <c r="H1333" s="12" t="n">
        <f aca="false">Sens!$H$1321/Sens!$H$1306</f>
        <v>0.0810920070063623</v>
      </c>
      <c r="I1333" s="12" t="n">
        <f aca="false">Sens!$I$1321/Sens!$I$1306</f>
        <v>0.082032497733794</v>
      </c>
      <c r="J1333" s="12" t="n">
        <f aca="false">Sens!$J$1321/Sens!$J$1306</f>
        <v>0.0826608814458917</v>
      </c>
      <c r="K1333" s="12" t="n">
        <f aca="false">Sens!$K$1321/Sens!$K$1306</f>
        <v>0.0825320620558764</v>
      </c>
      <c r="L1333" s="12" t="n">
        <f aca="false">Sens!$L$1321/Sens!$L$1306</f>
        <v>0.081060793982579</v>
      </c>
      <c r="M1333" s="12" t="n">
        <f aca="false">Sens!$M$1321/Sens!$M$1306</f>
        <v>0.0801104172701063</v>
      </c>
      <c r="N1333" s="12" t="n">
        <f aca="false">Sens!$N$1321/Sens!$N$1306</f>
        <v>0.069228576611127</v>
      </c>
      <c r="O1333" s="12" t="n">
        <f aca="false">Sens!$O$1321/Sens!$O$1306</f>
        <v>0.069685022498393</v>
      </c>
    </row>
    <row r="1334" customFormat="false" ht="17.15" hidden="false" customHeight="false" outlineLevel="0" collapsed="false">
      <c r="A1334" s="0" t="s">
        <v>689</v>
      </c>
      <c r="B1334" s="0" t="s">
        <v>52</v>
      </c>
      <c r="C1334" s="12" t="n">
        <f aca="false">Sens!$C$1326/Sens!$C$1307</f>
        <v>0.026534925055631</v>
      </c>
      <c r="D1334" s="12" t="n">
        <f aca="false">Sens!$D$1326/Sens!$D$1307</f>
        <v>0.0293401855535103</v>
      </c>
      <c r="E1334" s="12" t="n">
        <f aca="false">Sens!$E$1326/Sens!$E$1307</f>
        <v>0.03831141902276</v>
      </c>
      <c r="F1334" s="12" t="n">
        <f aca="false">Sens!$F$1326/Sens!$F$1307</f>
        <v>0.0299311490975188</v>
      </c>
      <c r="G1334" s="12" t="n">
        <f aca="false">Sens!$G$1326/Sens!$G$1307</f>
        <v>0.0336934466351646</v>
      </c>
      <c r="H1334" s="12" t="n">
        <f aca="false">Sens!$H$1326/Sens!$H$1307</f>
        <v>0.0323111968532064</v>
      </c>
      <c r="I1334" s="12" t="n">
        <f aca="false">Sens!$I$1326/Sens!$I$1307</f>
        <v>0.0312337704857641</v>
      </c>
      <c r="J1334" s="12" t="n">
        <f aca="false">Sens!$J$1326/Sens!$J$1307</f>
        <v>0.0297804666652748</v>
      </c>
      <c r="K1334" s="12" t="n">
        <f aca="false">Sens!$K$1326/Sens!$K$1307</f>
        <v>0.0274641866833455</v>
      </c>
      <c r="L1334" s="12" t="n">
        <f aca="false">Sens!$L$1326/Sens!$L$1307</f>
        <v>0.0263423807124648</v>
      </c>
      <c r="M1334" s="12" t="n">
        <f aca="false">Sens!$M$1326/Sens!$M$1307</f>
        <v>0.0257494953026516</v>
      </c>
      <c r="N1334" s="12" t="n">
        <f aca="false">Sens!$N$1326/Sens!$N$1307</f>
        <v>0.0357315650169337</v>
      </c>
      <c r="O1334" s="12" t="n">
        <f aca="false">Sens!$O$1326/Sens!$O$1307</f>
        <v>0.0244378956559703</v>
      </c>
    </row>
    <row r="1335" customFormat="false" ht="17.15" hidden="false" customHeight="false" outlineLevel="0" collapsed="false">
      <c r="A1335" s="13" t="s">
        <v>690</v>
      </c>
      <c r="B1335" s="13" t="s">
        <v>52</v>
      </c>
      <c r="C1335" s="16" t="n">
        <f aca="false">Sens!$C$1329/Sens!$C$1308</f>
        <v>0.370355907620217</v>
      </c>
      <c r="D1335" s="16" t="n">
        <f aca="false">Sens!$D$1329/Sens!$D$1308</f>
        <v>0.35429015342785</v>
      </c>
      <c r="E1335" s="16" t="n">
        <f aca="false">Sens!$E$1329/Sens!$E$1308</f>
        <v>0.385647527531039</v>
      </c>
      <c r="F1335" s="16" t="n">
        <f aca="false">Sens!$F$1329/Sens!$F$1308</f>
        <v>0.37898939879616</v>
      </c>
      <c r="G1335" s="16" t="n">
        <f aca="false">Sens!$G$1329/Sens!$G$1308</f>
        <v>0.382076486018512</v>
      </c>
      <c r="H1335" s="16" t="n">
        <f aca="false">Sens!$H$1329/Sens!$H$1308</f>
        <v>0.346931048063663</v>
      </c>
      <c r="I1335" s="16" t="n">
        <f aca="false">Sens!$I$1329/Sens!$I$1308</f>
        <v>0.340821410539389</v>
      </c>
      <c r="J1335" s="16" t="n">
        <f aca="false">Sens!$J$1329/Sens!$J$1308</f>
        <v>0.334868354307526</v>
      </c>
      <c r="K1335" s="16" t="n">
        <f aca="false">Sens!$K$1329/Sens!$K$1308</f>
        <v>0.328511248769025</v>
      </c>
      <c r="L1335" s="16" t="n">
        <f aca="false">Sens!$L$1329/Sens!$L$1308</f>
        <v>0.327365179210186</v>
      </c>
      <c r="M1335" s="16" t="n">
        <f aca="false">Sens!$M$1329/Sens!$M$1308</f>
        <v>0.325488820985467</v>
      </c>
      <c r="N1335" s="16" t="n">
        <f aca="false">Sens!$N$1329/Sens!$N$1308</f>
        <v>0.360941137346192</v>
      </c>
      <c r="O1335" s="16" t="n">
        <f aca="false">Sens!$O$1329/Sens!$O$1308</f>
        <v>0.348458117664212</v>
      </c>
    </row>
    <row r="1336" customFormat="false" ht="17.15" hidden="false" customHeight="false" outlineLevel="0" collapsed="false">
      <c r="A1336" s="0" t="s">
        <v>691</v>
      </c>
      <c r="B1336" s="0" t="s">
        <v>52</v>
      </c>
      <c r="C1336" s="12" t="n">
        <f aca="false">Sens!$C$1327/Sens!$C$1309</f>
        <v>0.708390794789371</v>
      </c>
      <c r="D1336" s="12" t="n">
        <f aca="false">Sens!$D$1327/Sens!$D$1309</f>
        <v>0.445565630441968</v>
      </c>
      <c r="E1336" s="12" t="n">
        <f aca="false">Sens!$E$1327/Sens!$E$1309</f>
        <v>0.165998118402711</v>
      </c>
      <c r="F1336" s="12" t="n">
        <f aca="false">Sens!$F$1327/Sens!$F$1309</f>
        <v>0.402911309328903</v>
      </c>
      <c r="G1336" s="12" t="n">
        <f aca="false">Sens!$G$1327/Sens!$G$1309</f>
        <v>0.312284119223129</v>
      </c>
      <c r="H1336" s="12" t="n">
        <f aca="false">Sens!$H$1327/Sens!$H$1309</f>
        <v>0.246383026033602</v>
      </c>
      <c r="I1336" s="12" t="n">
        <f aca="false">Sens!$I$1327/Sens!$I$1309</f>
        <v>0.252605819180269</v>
      </c>
      <c r="J1336" s="12" t="n">
        <f aca="false">Sens!$J$1327/Sens!$J$1309</f>
        <v>0.250790607651362</v>
      </c>
      <c r="K1336" s="12" t="n">
        <f aca="false">Sens!$K$1327/Sens!$K$1309</f>
        <v>0.246132465361803</v>
      </c>
      <c r="L1336" s="12" t="n">
        <f aca="false">Sens!$L$1327/Sens!$L$1309</f>
        <v>0.252481055104619</v>
      </c>
      <c r="M1336" s="12" t="n">
        <f aca="false">Sens!$M$1327/Sens!$M$1309</f>
        <v>0.254162166390248</v>
      </c>
      <c r="N1336" s="12" t="n">
        <f aca="false">Sens!$N$1327/Sens!$N$1309</f>
        <v>0.302870734830849</v>
      </c>
      <c r="O1336" s="12" t="n">
        <f aca="false">Sens!$O$1327/Sens!$O$1309</f>
        <v>0.52240134346334</v>
      </c>
    </row>
    <row r="1337" customFormat="false" ht="15" hidden="false" customHeight="false" outlineLevel="0" collapsed="false">
      <c r="A1337" s="5" t="s">
        <v>692</v>
      </c>
      <c r="B1337" s="0" t="s">
        <v>52</v>
      </c>
      <c r="C1337" s="12" t="n">
        <f aca="false">Sens!$C$1331/Sens!$C$1311</f>
        <v>0.107519448742004</v>
      </c>
      <c r="D1337" s="12" t="n">
        <f aca="false">Sens!$D$1331/Sens!$D$1311</f>
        <v>0.111552967957552</v>
      </c>
      <c r="E1337" s="12" t="n">
        <f aca="false">Sens!$E$1331/Sens!$E$1311</f>
        <v>0.13428328426562</v>
      </c>
      <c r="F1337" s="12" t="n">
        <f aca="false">Sens!$F$1331/Sens!$F$1311</f>
        <v>0.131265797292544</v>
      </c>
      <c r="G1337" s="12" t="n">
        <f aca="false">Sens!$G$1331/Sens!$G$1311</f>
        <v>0.132652694467591</v>
      </c>
      <c r="H1337" s="12" t="n">
        <f aca="false">Sens!$H$1331/Sens!$H$1311</f>
        <v>0.134743054011845</v>
      </c>
      <c r="I1337" s="12" t="n">
        <f aca="false">Sens!$I$1331/Sens!$I$1311</f>
        <v>0.141001716818308</v>
      </c>
      <c r="J1337" s="12" t="n">
        <f aca="false">Sens!$J$1331/Sens!$J$1311</f>
        <v>0.144887140673746</v>
      </c>
      <c r="K1337" s="12" t="n">
        <f aca="false">Sens!$K$1331/Sens!$K$1311</f>
        <v>0.146419641872884</v>
      </c>
      <c r="L1337" s="12" t="n">
        <f aca="false">Sens!$L$1331/Sens!$L$1311</f>
        <v>0.1483916815401</v>
      </c>
      <c r="M1337" s="12" t="n">
        <f aca="false">Sens!$M$1331/Sens!$M$1311</f>
        <v>0.149964849574624</v>
      </c>
      <c r="N1337" s="12" t="n">
        <f aca="false">Sens!$N$1331/Sens!$N$1311</f>
        <v>0.116201614873411</v>
      </c>
      <c r="O1337" s="12" t="n">
        <f aca="false">Sens!$O$1331/Sens!$O$1311</f>
        <v>0.107733353660861</v>
      </c>
    </row>
    <row r="1338" customFormat="false" ht="17.15" hidden="false" customHeight="false" outlineLevel="0" collapsed="false">
      <c r="A1338" s="1" t="s">
        <v>693</v>
      </c>
    </row>
    <row r="1339" customFormat="false" ht="17.15" hidden="false" customHeight="false" outlineLevel="0" collapsed="false">
      <c r="A1339" s="5" t="s">
        <v>694</v>
      </c>
      <c r="B1339" s="0" t="s">
        <v>52</v>
      </c>
      <c r="D1339" s="28" t="n">
        <f aca="false">(Q!$E$29+Q!$E$30-(1-ext_sh)*Sens!$D$1263)/Sens!$D$1220</f>
        <v>0.0334674312393194</v>
      </c>
    </row>
    <row r="1340" customFormat="false" ht="17.15" hidden="false" customHeight="false" outlineLevel="0" collapsed="false">
      <c r="A1340" s="0" t="s">
        <v>498</v>
      </c>
      <c r="B1340" s="0" t="s">
        <v>73</v>
      </c>
      <c r="C1340" s="38" t="n">
        <f aca="false">Q!$D$29</f>
        <v>14.285</v>
      </c>
      <c r="D1340" s="38" t="n">
        <f aca="false">Q!$E$29</f>
        <v>15.503</v>
      </c>
      <c r="E1340" s="38" t="n">
        <f aca="false">Q!$P$29</f>
        <v>8.78</v>
      </c>
      <c r="F1340" s="38" t="n">
        <f aca="false">(Sens!$D$1339*Sens!$F$1220+(1-ext_sh)*Sens!$F$1263)*Sens!$F$1221</f>
        <v>9.51361751569285</v>
      </c>
      <c r="G1340" s="38" t="n">
        <f aca="false">Sens!$E$1340+Sens!$F$1340</f>
        <v>18.2936175156929</v>
      </c>
      <c r="H1340" s="38" t="n">
        <f aca="false">(Sens!$D$1339*Sens!$H$1220+(1-ext_sh)*Sens!$H$1263)*Sens!$H$1221</f>
        <v>22.5775107874893</v>
      </c>
      <c r="I1340" s="38" t="n">
        <f aca="false">(Sens!$D$1339*Sens!$I$1220+(1-ext_sh)*Sens!$I$1263)*Sens!$I$1221</f>
        <v>27.238102690031</v>
      </c>
      <c r="J1340" s="38" t="n">
        <f aca="false">(Sens!$D$1339*Sens!$J$1220+(1-ext_sh)*Sens!$J$1263)*Sens!$J$1221</f>
        <v>31.8894876397287</v>
      </c>
      <c r="K1340" s="38" t="n">
        <f aca="false">(Sens!$D$1339*Sens!$K$1220+(1-ext_sh)*Sens!$K$1263)*Sens!$K$1221</f>
        <v>36.4561927166908</v>
      </c>
      <c r="L1340" s="38" t="n">
        <f aca="false">(Sens!$D$1339*Sens!$L$1220+(1-ext_sh)*Sens!$L$1263)*Sens!$L$1221</f>
        <v>40.8249571152432</v>
      </c>
      <c r="M1340" s="38" t="n">
        <f aca="false">(Sens!$D$1339*Sens!$M$1220+(1-ext_sh)*Sens!$M$1263)*Sens!$M$1221</f>
        <v>45.3988094918896</v>
      </c>
      <c r="N1340" s="38" t="n">
        <f aca="false">Q!$N$29</f>
        <v>7.272</v>
      </c>
      <c r="O1340" s="38" t="n">
        <f aca="false">Q!$O$29</f>
        <v>8.231</v>
      </c>
    </row>
    <row r="1341" customFormat="false" ht="17.15" hidden="false" customHeight="false" outlineLevel="0" collapsed="false">
      <c r="A1341" s="0" t="s">
        <v>500</v>
      </c>
      <c r="B1341" s="0" t="s">
        <v>73</v>
      </c>
      <c r="C1341" s="38" t="n">
        <f aca="false">Q!$D$30</f>
        <v>4.462</v>
      </c>
      <c r="D1341" s="38" t="n">
        <f aca="false">Q!$E$30</f>
        <v>4.907</v>
      </c>
      <c r="E1341" s="38" t="n">
        <f aca="false">Q!$P$30</f>
        <v>2.57</v>
      </c>
      <c r="F1341" s="38" t="n">
        <f aca="false">(Sens!$D$1339*Sens!$F$1220+(1-ext_sh)*Sens!$F$1263)*(1-Sens!$F$1221)</f>
        <v>3.7353230631574</v>
      </c>
      <c r="G1341" s="38" t="n">
        <f aca="false">Sens!$E$1341+Sens!$F$1341</f>
        <v>6.3053230631574</v>
      </c>
      <c r="H1341" s="38" t="n">
        <f aca="false">(Sens!$D$1339*Sens!$H$1220+(1-ext_sh)*Sens!$H$1263)*(1-Sens!$H$1221)</f>
        <v>8.6505696039385</v>
      </c>
      <c r="I1341" s="38" t="n">
        <f aca="false">(Sens!$D$1339*Sens!$I$1220+(1-ext_sh)*Sens!$I$1263)*(1-Sens!$I$1221)</f>
        <v>10.4362746370562</v>
      </c>
      <c r="J1341" s="38" t="n">
        <f aca="false">(Sens!$D$1339*Sens!$J$1220+(1-ext_sh)*Sens!$J$1263)*(1-Sens!$J$1221)</f>
        <v>12.218452027682</v>
      </c>
      <c r="K1341" s="38" t="n">
        <f aca="false">(Sens!$D$1339*Sens!$K$1220+(1-ext_sh)*Sens!$K$1263)*(1-Sens!$K$1221)</f>
        <v>13.9681843387749</v>
      </c>
      <c r="L1341" s="38" t="n">
        <f aca="false">(Sens!$D$1339*Sens!$L$1220+(1-ext_sh)*Sens!$L$1263)*(1-Sens!$L$1221)</f>
        <v>15.642075710973</v>
      </c>
      <c r="M1341" s="38" t="n">
        <f aca="false">(Sens!$D$1339*Sens!$M$1220+(1-ext_sh)*Sens!$M$1263)*(1-Sens!$M$1221)</f>
        <v>17.3945465087831</v>
      </c>
      <c r="N1341" s="38" t="n">
        <f aca="false">Q!$N$30</f>
        <v>2.316</v>
      </c>
      <c r="O1341" s="38" t="n">
        <f aca="false">Q!$O$30</f>
        <v>2.591</v>
      </c>
    </row>
    <row r="1342" customFormat="false" ht="17.15" hidden="false" customHeight="false" outlineLevel="0" collapsed="false">
      <c r="A1342" s="0" t="s">
        <v>501</v>
      </c>
      <c r="B1342" s="0" t="s">
        <v>73</v>
      </c>
      <c r="C1342" s="38" t="n">
        <f aca="false">Sens!$C$1275</f>
        <v>13.32</v>
      </c>
      <c r="D1342" s="38" t="n">
        <f aca="false">Sens!$D$1275</f>
        <v>21.45</v>
      </c>
      <c r="E1342" s="38" t="n">
        <f aca="false">Sens!$E$1275</f>
        <v>15.353</v>
      </c>
      <c r="F1342" s="38" t="n">
        <f aca="false">Sens!$F$1275</f>
        <v>17.3614451462707</v>
      </c>
      <c r="G1342" s="38" t="n">
        <f aca="false">Sens!$G$1275</f>
        <v>32.7144451462707</v>
      </c>
      <c r="H1342" s="38" t="n">
        <f aca="false">Sens!$H$1275</f>
        <v>55.1572806478833</v>
      </c>
      <c r="I1342" s="38" t="n">
        <f aca="false">Sens!$I$1275</f>
        <v>76.3904500079465</v>
      </c>
      <c r="J1342" s="38" t="n">
        <f aca="false">Sens!$J$1275</f>
        <v>97.612169565102</v>
      </c>
      <c r="K1342" s="38" t="n">
        <f aca="false">Sens!$K$1275</f>
        <v>118.328491990321</v>
      </c>
      <c r="L1342" s="38" t="n">
        <f aca="false">Sens!$L$1275</f>
        <v>137.660530234222</v>
      </c>
      <c r="M1342" s="38" t="n">
        <f aca="false">Sens!$M$1275</f>
        <v>157.817377624583</v>
      </c>
      <c r="N1342" s="38" t="n">
        <f aca="false">Sens!$N$1275</f>
        <v>9.234</v>
      </c>
      <c r="O1342" s="38" t="n">
        <f aca="false">Sens!$O$1275</f>
        <v>12.216</v>
      </c>
    </row>
    <row r="1343" customFormat="false" ht="17.15" hidden="false" customHeight="false" outlineLevel="0" collapsed="false">
      <c r="A1343" s="5" t="s">
        <v>695</v>
      </c>
      <c r="B1343" s="0" t="s">
        <v>73</v>
      </c>
      <c r="C1343" s="38" t="n">
        <f aca="false">Sens!$C$1340+Sens!$C$1341+Sens!$C$1342</f>
        <v>32.067</v>
      </c>
      <c r="D1343" s="38" t="n">
        <f aca="false">Sens!$D$1340+Sens!$D$1341+Sens!$D$1342</f>
        <v>41.86</v>
      </c>
      <c r="E1343" s="38" t="n">
        <f aca="false">Sens!$E$1340+Sens!$E$1341+Sens!$E$1342</f>
        <v>26.703</v>
      </c>
      <c r="F1343" s="38" t="n">
        <f aca="false">Sens!$F$1340+Sens!$F$1341+Sens!$F$1342</f>
        <v>30.6103857251209</v>
      </c>
      <c r="G1343" s="38" t="n">
        <f aca="false">Sens!$G$1340+Sens!$G$1341+Sens!$G$1342</f>
        <v>57.3133857251209</v>
      </c>
      <c r="H1343" s="38" t="n">
        <f aca="false">Sens!$H$1340+Sens!$H$1341+Sens!$H$1342</f>
        <v>86.385361039311</v>
      </c>
      <c r="I1343" s="38" t="n">
        <f aca="false">Sens!$I$1340+Sens!$I$1341+Sens!$I$1342</f>
        <v>114.064827335034</v>
      </c>
      <c r="J1343" s="38" t="n">
        <f aca="false">Sens!$J$1340+Sens!$J$1341+Sens!$J$1342</f>
        <v>141.720109232513</v>
      </c>
      <c r="K1343" s="38" t="n">
        <f aca="false">Sens!$K$1340+Sens!$K$1341+Sens!$K$1342</f>
        <v>168.752869045787</v>
      </c>
      <c r="L1343" s="38" t="n">
        <f aca="false">Sens!$L$1340+Sens!$L$1341+Sens!$L$1342</f>
        <v>194.127563060438</v>
      </c>
      <c r="M1343" s="38" t="n">
        <f aca="false">Sens!$M$1340+Sens!$M$1341+Sens!$M$1342</f>
        <v>220.610733625255</v>
      </c>
      <c r="N1343" s="38" t="n">
        <f aca="false">Sens!$N$1340+Sens!$N$1341+Sens!$N$1342</f>
        <v>18.822</v>
      </c>
      <c r="O1343" s="38" t="n">
        <f aca="false">Sens!$O$1340+Sens!$O$1341+Sens!$O$1342</f>
        <v>23.038</v>
      </c>
    </row>
    <row r="1344" customFormat="false" ht="17.15" hidden="false" customHeight="false" outlineLevel="0" collapsed="false">
      <c r="A1344" s="0" t="s">
        <v>696</v>
      </c>
      <c r="B1344" s="0" t="s">
        <v>73</v>
      </c>
      <c r="C1344" s="38" t="n">
        <f aca="false">Sens!$C$1317+Sens!$C$1322</f>
        <v>28.107</v>
      </c>
      <c r="D1344" s="38" t="n">
        <f aca="false">Sens!$D$1317+Sens!$D$1322</f>
        <v>34.3175</v>
      </c>
      <c r="E1344" s="38" t="n">
        <f aca="false">Sens!$E$1317+Sens!$E$1322</f>
        <v>18.526</v>
      </c>
      <c r="F1344" s="38" t="n">
        <f aca="false">Sens!$F$1317+Sens!$F$1322</f>
        <v>24.0766690913691</v>
      </c>
      <c r="G1344" s="38" t="n">
        <f aca="false">Sens!$G$1317+Sens!$G$1322</f>
        <v>42.6026690913691</v>
      </c>
      <c r="H1344" s="38" t="n">
        <f aca="false">Sens!$H$1317+Sens!$H$1322</f>
        <v>51.1466809294702</v>
      </c>
      <c r="I1344" s="38" t="n">
        <f aca="false">Sens!$I$1317+Sens!$I$1322</f>
        <v>59.6899187926205</v>
      </c>
      <c r="J1344" s="38" t="n">
        <f aca="false">Sens!$J$1317+Sens!$J$1322</f>
        <v>67.6595395244221</v>
      </c>
      <c r="K1344" s="38" t="n">
        <f aca="false">Sens!$K$1317+Sens!$K$1322</f>
        <v>74.4254934768643</v>
      </c>
      <c r="L1344" s="38" t="n">
        <f aca="false">Sens!$L$1317+Sens!$L$1322</f>
        <v>81.8680428245508</v>
      </c>
      <c r="M1344" s="38" t="n">
        <f aca="false">Sens!$M$1317+Sens!$M$1322</f>
        <v>90.0548471070059</v>
      </c>
      <c r="N1344" s="38" t="n">
        <f aca="false">Sens!$N$1317+Sens!$N$1322</f>
        <v>14.8075</v>
      </c>
      <c r="O1344" s="38" t="n">
        <f aca="false">Sens!$O$1317+Sens!$O$1322</f>
        <v>19.51</v>
      </c>
    </row>
    <row r="1345" customFormat="false" ht="17.15" hidden="false" customHeight="false" outlineLevel="0" collapsed="false">
      <c r="A1345" s="0" t="s">
        <v>697</v>
      </c>
      <c r="B1345" s="0" t="s">
        <v>73</v>
      </c>
      <c r="C1345" s="38" t="n">
        <f aca="false">Sens!$C$1321+Sens!$C$1326+Sens!$C$1340+Sens!$C$1341-Sens!$C$1344</f>
        <v>19.399</v>
      </c>
      <c r="D1345" s="38" t="n">
        <f aca="false">Sens!$D$1321+Sens!$D$1326+Sens!$D$1340+Sens!$D$1341-Sens!$D$1344</f>
        <v>20.4615</v>
      </c>
      <c r="E1345" s="38" t="n">
        <f aca="false">Sens!$E$1321+Sens!$E$1326+Sens!$E$1340+Sens!$E$1341-Sens!$E$1344</f>
        <v>13.355</v>
      </c>
      <c r="F1345" s="38" t="n">
        <f aca="false">Sens!$F$1321+Sens!$F$1326+Sens!$F$1340+Sens!$F$1341-Sens!$F$1344</f>
        <v>13.152998864172</v>
      </c>
      <c r="G1345" s="38" t="n">
        <f aca="false">Sens!$G$1321+Sens!$G$1326+Sens!$G$1340+Sens!$G$1341-Sens!$G$1344</f>
        <v>26.507998864172</v>
      </c>
      <c r="H1345" s="38" t="n">
        <f aca="false">Sens!$H$1321+Sens!$H$1326+Sens!$H$1340+Sens!$H$1341-Sens!$H$1344</f>
        <v>29.4098079135706</v>
      </c>
      <c r="I1345" s="38" t="n">
        <f aca="false">Sens!$I$1321+Sens!$I$1326+Sens!$I$1340+Sens!$I$1341-Sens!$I$1344</f>
        <v>32.237115365524</v>
      </c>
      <c r="J1345" s="38" t="n">
        <f aca="false">Sens!$J$1321+Sens!$J$1326+Sens!$J$1340+Sens!$J$1341-Sens!$J$1344</f>
        <v>35.0571412365068</v>
      </c>
      <c r="K1345" s="38" t="n">
        <f aca="false">Sens!$K$1321+Sens!$K$1326+Sens!$K$1340+Sens!$K$1341-Sens!$K$1344</f>
        <v>37.7299224350092</v>
      </c>
      <c r="L1345" s="38" t="n">
        <f aca="false">Sens!$L$1321+Sens!$L$1326+Sens!$L$1340+Sens!$L$1341-Sens!$L$1344</f>
        <v>39.0051146238258</v>
      </c>
      <c r="M1345" s="38" t="n">
        <f aca="false">Sens!$M$1321+Sens!$M$1326+Sens!$M$1340+Sens!$M$1341-Sens!$M$1344</f>
        <v>40.4713140235811</v>
      </c>
      <c r="N1345" s="38" t="n">
        <f aca="false">Sens!$N$1321+Sens!$N$1326+Sens!$N$1340+Sens!$N$1341-Sens!$N$1344</f>
        <v>10.6495</v>
      </c>
      <c r="O1345" s="38" t="n">
        <f aca="false">Sens!$O$1321+Sens!$O$1326+Sens!$O$1340+Sens!$O$1341-Sens!$O$1344</f>
        <v>9.81200000000001</v>
      </c>
    </row>
    <row r="1346" customFormat="false" ht="17.15" hidden="false" customHeight="false" outlineLevel="0" collapsed="false">
      <c r="A1346" s="0" t="s">
        <v>698</v>
      </c>
      <c r="B1346" s="0" t="s">
        <v>73</v>
      </c>
      <c r="C1346" s="38" t="n">
        <f aca="false">Sens!$C$1328+Sens!$C$1342-ext_sh*Sens!$C$1263</f>
        <v>51.3470500115664</v>
      </c>
      <c r="D1346" s="38" t="n">
        <f aca="false">Sens!$D$1328+Sens!$D$1342-ext_sh*Sens!$D$1263</f>
        <v>60.2799375433739</v>
      </c>
      <c r="E1346" s="38" t="n">
        <f aca="false">Sens!$E$1328+Sens!$E$1342-ext_sh*Sens!$E$1263</f>
        <v>39.5095167090767</v>
      </c>
      <c r="F1346" s="38" t="n">
        <f aca="false">Sens!$F$1328+Sens!$F$1342-ext_sh*Sens!$F$1263</f>
        <v>41.606724953129</v>
      </c>
      <c r="G1346" s="38" t="n">
        <f aca="false">Sens!$G$1328+Sens!$G$1342-ext_sh*Sens!$G$1263</f>
        <v>81.1162416622057</v>
      </c>
      <c r="H1346" s="38" t="n">
        <f aca="false">Sens!$H$1328+Sens!$H$1342-ext_sh*Sens!$H$1263</f>
        <v>95.7616595325849</v>
      </c>
      <c r="I1346" s="38" t="n">
        <f aca="false">Sens!$I$1328+Sens!$I$1342-ext_sh*Sens!$I$1263</f>
        <v>111.513312079935</v>
      </c>
      <c r="J1346" s="38" t="n">
        <f aca="false">Sens!$J$1328+Sens!$J$1342-ext_sh*Sens!$J$1263</f>
        <v>125.145150463955</v>
      </c>
      <c r="K1346" s="38" t="n">
        <f aca="false">Sens!$K$1328+Sens!$K$1342-ext_sh*Sens!$K$1263</f>
        <v>135.156762501071</v>
      </c>
      <c r="L1346" s="38" t="n">
        <f aca="false">Sens!$L$1328+Sens!$L$1342-ext_sh*Sens!$L$1263</f>
        <v>145.969303501157</v>
      </c>
      <c r="M1346" s="38" t="n">
        <f aca="false">Sens!$M$1328+Sens!$M$1342-ext_sh*Sens!$M$1263</f>
        <v>157.646847781249</v>
      </c>
      <c r="N1346" s="38" t="n">
        <f aca="false">Sens!$N$1328+Sens!$N$1342-ext_sh*Sens!$N$1263</f>
        <v>28.5693781401809</v>
      </c>
      <c r="O1346" s="38" t="n">
        <f aca="false">Sens!$O$1328+Sens!$O$1342-ext_sh*Sens!$O$1263</f>
        <v>31.7105594031931</v>
      </c>
    </row>
    <row r="1347" customFormat="false" ht="17.15" hidden="false" customHeight="false" outlineLevel="0" collapsed="false">
      <c r="A1347" s="0" t="s">
        <v>699</v>
      </c>
      <c r="B1347" s="0" t="s">
        <v>73</v>
      </c>
      <c r="C1347" s="38" t="n">
        <f aca="false">Sens!$C$1266</f>
        <v>1.80694998843362</v>
      </c>
      <c r="D1347" s="38" t="n">
        <f aca="false">Sens!$D$1266</f>
        <v>6.77606245662607</v>
      </c>
      <c r="E1347" s="38" t="n">
        <f aca="false">Sens!$E$1266</f>
        <v>6.62548329092326</v>
      </c>
      <c r="F1347" s="38" t="n">
        <f aca="false">Sens!$F$1266</f>
        <v>10.7475724410394</v>
      </c>
      <c r="G1347" s="38" t="n">
        <f aca="false">Sens!$G$1266</f>
        <v>17.3730557319626</v>
      </c>
      <c r="H1347" s="38" t="n">
        <f aca="false">Sens!$H$1266</f>
        <v>39.5529378378068</v>
      </c>
      <c r="I1347" s="38" t="n">
        <f aca="false">Sens!$I$1266</f>
        <v>64.3305352565479</v>
      </c>
      <c r="J1347" s="38" t="n">
        <f aca="false">Sens!$J$1266</f>
        <v>89.2345459344354</v>
      </c>
      <c r="K1347" s="38" t="n">
        <f aca="false">Sens!$K$1266</f>
        <v>114.180694365372</v>
      </c>
      <c r="L1347" s="38" t="n">
        <f aca="false">Sens!$L$1266</f>
        <v>139.145996320421</v>
      </c>
      <c r="M1347" s="38" t="n">
        <f aca="false">Sens!$M$1266</f>
        <v>164.121611711532</v>
      </c>
      <c r="N1347" s="38" t="n">
        <f aca="false">Sens!$N$1266</f>
        <v>2.37162185981912</v>
      </c>
      <c r="O1347" s="38" t="n">
        <f aca="false">Sens!$O$1266</f>
        <v>4.40444059680694</v>
      </c>
    </row>
    <row r="1348" customFormat="false" ht="17.15" hidden="false" customHeight="false" outlineLevel="0" collapsed="false">
      <c r="A1348" s="0" t="s">
        <v>700</v>
      </c>
      <c r="B1348" s="0" t="s">
        <v>73</v>
      </c>
      <c r="C1348" s="38" t="n">
        <f aca="false">Sens!$C$1331+Sens!$C$1343</f>
        <v>100.66</v>
      </c>
      <c r="D1348" s="38" t="n">
        <f aca="false">Sens!$D$1331+Sens!$D$1343</f>
        <v>121.835</v>
      </c>
      <c r="E1348" s="38" t="n">
        <f aca="false">Sens!$E$1331+Sens!$E$1343</f>
        <v>78.016</v>
      </c>
      <c r="F1348" s="38" t="n">
        <f aca="false">Sens!$F$1331+Sens!$F$1343</f>
        <v>89.5839653497095</v>
      </c>
      <c r="G1348" s="38" t="n">
        <f aca="false">Sens!$G$1331+Sens!$G$1343</f>
        <v>167.599965349709</v>
      </c>
      <c r="H1348" s="38" t="n">
        <f aca="false">Sens!$H$1331+Sens!$H$1343</f>
        <v>215.871086213433</v>
      </c>
      <c r="I1348" s="38" t="n">
        <f aca="false">Sens!$I$1331+Sens!$I$1343</f>
        <v>267.770881494628</v>
      </c>
      <c r="J1348" s="38" t="n">
        <f aca="false">Sens!$J$1331+Sens!$J$1343</f>
        <v>317.096377159319</v>
      </c>
      <c r="K1348" s="38" t="n">
        <f aca="false">Sens!$K$1331+Sens!$K$1343</f>
        <v>361.492872778316</v>
      </c>
      <c r="L1348" s="38" t="n">
        <f aca="false">Sens!$L$1331+Sens!$L$1343</f>
        <v>405.988457269955</v>
      </c>
      <c r="M1348" s="38" t="n">
        <f aca="false">Sens!$M$1331+Sens!$M$1343</f>
        <v>452.294620623368</v>
      </c>
      <c r="N1348" s="38" t="n">
        <f aca="false">Sens!$N$1331+Sens!$N$1343</f>
        <v>56.398</v>
      </c>
      <c r="O1348" s="38" t="n">
        <f aca="false">Sens!$O$1331+Sens!$O$1343</f>
        <v>65.437</v>
      </c>
    </row>
    <row r="1349" customFormat="false" ht="17.15" hidden="false" customHeight="false" outlineLevel="0" collapsed="false">
      <c r="A1349" s="1" t="s">
        <v>701</v>
      </c>
    </row>
    <row r="1350" customFormat="false" ht="15" hidden="false" customHeight="false" outlineLevel="0" collapsed="false">
      <c r="A1350" s="5" t="s">
        <v>504</v>
      </c>
      <c r="B1350" s="0" t="s">
        <v>73</v>
      </c>
      <c r="C1350" s="38" t="n">
        <f aca="false">Q!$D$34</f>
        <v>2.406</v>
      </c>
      <c r="D1350" s="38" t="n">
        <f aca="false">Q!$E$34</f>
        <v>2.274</v>
      </c>
      <c r="E1350" s="38" t="n">
        <f aca="false">Q!$P$34</f>
        <v>2.114</v>
      </c>
      <c r="F1350" s="38" t="n">
        <f aca="false">Sens!$F$1386</f>
        <v>3.24888964316061</v>
      </c>
      <c r="G1350" s="38" t="n">
        <f aca="false">Sens!$E$1350+Sens!$F$1350</f>
        <v>5.36288964316061</v>
      </c>
      <c r="H1350" s="38" t="n">
        <f aca="false">Sens!$H$1386</f>
        <v>7.42354178632123</v>
      </c>
      <c r="I1350" s="38" t="n">
        <f aca="false">Sens!$I$1386</f>
        <v>7.42354178632123</v>
      </c>
      <c r="J1350" s="38" t="n">
        <f aca="false">Sens!$J$1386</f>
        <v>7.42354178632123</v>
      </c>
      <c r="K1350" s="38" t="n">
        <f aca="false">Sens!$K$1386</f>
        <v>7.42354178632123</v>
      </c>
      <c r="L1350" s="38" t="n">
        <f aca="false">Sens!$L$1386</f>
        <v>7.42354178632123</v>
      </c>
      <c r="M1350" s="38" t="n">
        <f aca="false">Sens!$M$1386</f>
        <v>7.42354178632123</v>
      </c>
      <c r="N1350" s="38" t="n">
        <f aca="false">Q!$N$34</f>
        <v>1.057</v>
      </c>
      <c r="O1350" s="38" t="n">
        <f aca="false">Q!$O$34</f>
        <v>1.217</v>
      </c>
    </row>
    <row r="1351" customFormat="false" ht="15" hidden="false" customHeight="false" outlineLevel="0" collapsed="false">
      <c r="A1351" s="5" t="s">
        <v>702</v>
      </c>
      <c r="B1351" s="0" t="s">
        <v>73</v>
      </c>
      <c r="F1351" s="38" t="n">
        <f aca="false">Sens!$F$1387</f>
        <v>2.59</v>
      </c>
      <c r="H1351" s="38" t="n">
        <f aca="false">Sens!$H$1387</f>
        <v>4.37050921052144</v>
      </c>
      <c r="I1351" s="38" t="n">
        <f aca="false">Sens!$I$1387</f>
        <v>4.22262976536071</v>
      </c>
      <c r="J1351" s="38" t="n">
        <f aca="false">Sens!$J$1387</f>
        <v>5.66639261402426</v>
      </c>
      <c r="K1351" s="38" t="n">
        <f aca="false">Sens!$K$1387</f>
        <v>8.67108021008724</v>
      </c>
      <c r="L1351" s="38" t="n">
        <f aca="false">Sens!$L$1387</f>
        <v>13.1690844091987</v>
      </c>
      <c r="M1351" s="38" t="n">
        <f aca="false">Sens!$M$1387</f>
        <v>17.8663257017569</v>
      </c>
    </row>
    <row r="1352" customFormat="false" ht="17.15" hidden="false" customHeight="false" outlineLevel="0" collapsed="false">
      <c r="A1352" s="5" t="s">
        <v>703</v>
      </c>
      <c r="B1352" s="0" t="s">
        <v>73</v>
      </c>
      <c r="C1352" s="38" t="n">
        <f aca="false">Q!$D$39</f>
        <v>2.427</v>
      </c>
      <c r="D1352" s="38" t="n">
        <f aca="false">Q!$E$39</f>
        <v>19.61</v>
      </c>
      <c r="E1352" s="38" t="n">
        <f aca="false">Q!$P$39</f>
        <v>71.492</v>
      </c>
      <c r="F1352" s="41" t="n">
        <v>0</v>
      </c>
      <c r="G1352" s="38" t="n">
        <f aca="false">Sens!$E$1352+Sens!$F$1352</f>
        <v>71.492</v>
      </c>
      <c r="H1352" s="41" t="n">
        <v>0</v>
      </c>
      <c r="I1352" s="41" t="n">
        <v>0</v>
      </c>
      <c r="J1352" s="41" t="n">
        <v>0</v>
      </c>
      <c r="K1352" s="41" t="n">
        <v>0</v>
      </c>
      <c r="L1352" s="41" t="n">
        <v>0</v>
      </c>
      <c r="M1352" s="41" t="n">
        <v>0</v>
      </c>
      <c r="N1352" s="38" t="n">
        <f aca="false">Q!$N$39</f>
        <v>6.017</v>
      </c>
      <c r="O1352" s="38" t="n">
        <f aca="false">Q!$O$39</f>
        <v>13.593</v>
      </c>
      <c r="P1352" s="5" t="s">
        <v>704</v>
      </c>
    </row>
    <row r="1353" customFormat="false" ht="15" hidden="false" customHeight="false" outlineLevel="0" collapsed="false">
      <c r="A1353" s="5" t="s">
        <v>507</v>
      </c>
      <c r="B1353" s="0" t="s">
        <v>73</v>
      </c>
      <c r="C1353" s="38" t="n">
        <f aca="false">Q!$D$36</f>
        <v>68.614</v>
      </c>
      <c r="D1353" s="38" t="n">
        <f aca="false">Q!$E$36</f>
        <v>97.311</v>
      </c>
      <c r="E1353" s="38" t="n">
        <f aca="false">Q!$P$36</f>
        <v>120.691</v>
      </c>
      <c r="F1353" s="38" t="n">
        <f aca="false">Sens!$F$1331-Sens!$F$1350+Sens!$F$1351+Sens!$F$1352</f>
        <v>58.3146899814279</v>
      </c>
      <c r="G1353" s="38" t="n">
        <f aca="false">Sens!$E$1353+Sens!$F$1353</f>
        <v>179.005689981428</v>
      </c>
      <c r="H1353" s="38" t="n">
        <f aca="false">Sens!$H$1331-Sens!$H$1350+Sens!$H$1351+Sens!$H$1352</f>
        <v>126.432692598322</v>
      </c>
      <c r="I1353" s="38" t="n">
        <f aca="false">Sens!$I$1331-Sens!$I$1350+Sens!$I$1351+Sens!$I$1352</f>
        <v>150.505142138633</v>
      </c>
      <c r="J1353" s="38" t="n">
        <f aca="false">Sens!$J$1331-Sens!$J$1350+Sens!$J$1351+Sens!$J$1352</f>
        <v>173.619118754509</v>
      </c>
      <c r="K1353" s="38" t="n">
        <f aca="false">Sens!$K$1331-Sens!$K$1350+Sens!$K$1351+Sens!$K$1352</f>
        <v>193.987542156295</v>
      </c>
      <c r="L1353" s="38" t="n">
        <f aca="false">Sens!$L$1331-Sens!$L$1350+Sens!$L$1351+Sens!$L$1352</f>
        <v>217.606436832394</v>
      </c>
      <c r="M1353" s="38" t="n">
        <f aca="false">Sens!$M$1331-Sens!$M$1350+Sens!$M$1351+Sens!$M$1352</f>
        <v>242.126670913548</v>
      </c>
      <c r="N1353" s="38" t="n">
        <f aca="false">Q!$N$36</f>
        <v>42.536</v>
      </c>
      <c r="O1353" s="38" t="n">
        <f aca="false">Q!$O$36</f>
        <v>54.775</v>
      </c>
    </row>
    <row r="1354" customFormat="false" ht="15" hidden="false" customHeight="false" outlineLevel="0" collapsed="false">
      <c r="A1354" s="5" t="s">
        <v>508</v>
      </c>
      <c r="B1354" s="0" t="s">
        <v>73</v>
      </c>
      <c r="C1354" s="38" t="n">
        <f aca="false">Q!$D$37</f>
        <v>9.265</v>
      </c>
      <c r="D1354" s="38" t="n">
        <f aca="false">Q!$E$37</f>
        <v>19.087</v>
      </c>
      <c r="E1354" s="38" t="n">
        <f aca="false">Q!$P$37</f>
        <v>27.759</v>
      </c>
      <c r="F1354" s="38" t="n">
        <f aca="false">Sens!$F$1353*tax</f>
        <v>10.122527855478</v>
      </c>
      <c r="G1354" s="38" t="n">
        <f aca="false">Sens!$E$1354+Sens!$F$1354</f>
        <v>37.881527855478</v>
      </c>
      <c r="H1354" s="38" t="n">
        <f aca="false">Sens!$H$1353*tax</f>
        <v>21.9467590941014</v>
      </c>
      <c r="I1354" s="38" t="n">
        <f aca="false">Sens!$I$1353*tax</f>
        <v>26.1253638521649</v>
      </c>
      <c r="J1354" s="38" t="n">
        <f aca="false">Sens!$J$1353*tax</f>
        <v>30.1375925413612</v>
      </c>
      <c r="K1354" s="38" t="n">
        <f aca="false">Sens!$K$1353*tax</f>
        <v>33.6732356755768</v>
      </c>
      <c r="L1354" s="38" t="n">
        <f aca="false">Sens!$L$1353*tax</f>
        <v>37.7731103272393</v>
      </c>
      <c r="M1354" s="38" t="n">
        <f aca="false">Sens!$M$1353*tax</f>
        <v>42.0294435528531</v>
      </c>
      <c r="N1354" s="38" t="n">
        <f aca="false">Q!$N$37</f>
        <v>7.231</v>
      </c>
      <c r="O1354" s="38" t="n">
        <f aca="false">Q!$O$37</f>
        <v>11.856</v>
      </c>
    </row>
    <row r="1355" customFormat="false" ht="15" hidden="false" customHeight="false" outlineLevel="0" collapsed="false">
      <c r="A1355" s="3" t="s">
        <v>509</v>
      </c>
      <c r="B1355" s="8" t="s">
        <v>73</v>
      </c>
      <c r="C1355" s="38" t="n">
        <f aca="false">Q!$D$38</f>
        <v>59.248</v>
      </c>
      <c r="D1355" s="38" t="n">
        <f aca="false">Q!$E$38</f>
        <v>77.67</v>
      </c>
      <c r="E1355" s="38" t="n">
        <f aca="false">Q!$P$38</f>
        <v>92.902</v>
      </c>
      <c r="F1355" s="38" t="n">
        <f aca="false">Sens!$F$1353-Sens!$F$1354</f>
        <v>48.1921621259499</v>
      </c>
      <c r="G1355" s="38" t="n">
        <f aca="false">Sens!$E$1355+Sens!$F$1355</f>
        <v>141.09416212595</v>
      </c>
      <c r="H1355" s="38" t="n">
        <f aca="false">Sens!$H$1353-Sens!$H$1354</f>
        <v>104.48593350422</v>
      </c>
      <c r="I1355" s="38" t="n">
        <f aca="false">Sens!$I$1353-Sens!$I$1354</f>
        <v>124.379778286469</v>
      </c>
      <c r="J1355" s="38" t="n">
        <f aca="false">Sens!$J$1353-Sens!$J$1354</f>
        <v>143.481526213148</v>
      </c>
      <c r="K1355" s="38" t="n">
        <f aca="false">Sens!$K$1353-Sens!$K$1354</f>
        <v>160.314306480719</v>
      </c>
      <c r="L1355" s="38" t="n">
        <f aca="false">Sens!$L$1353-Sens!$L$1354</f>
        <v>179.833326505155</v>
      </c>
      <c r="M1355" s="38" t="n">
        <f aca="false">Sens!$M$1353-Sens!$M$1354</f>
        <v>200.097227360695</v>
      </c>
      <c r="N1355" s="38" t="n">
        <f aca="false">Q!$N$38</f>
        <v>35.291</v>
      </c>
      <c r="O1355" s="38" t="n">
        <f aca="false">Q!$O$38</f>
        <v>42.379</v>
      </c>
    </row>
    <row r="1356" customFormat="false" ht="17.15" hidden="false" customHeight="false" outlineLevel="0" collapsed="false">
      <c r="A1356" s="5" t="s">
        <v>512</v>
      </c>
      <c r="B1356" s="5" t="s">
        <v>33</v>
      </c>
      <c r="C1356" s="22" t="n">
        <f aca="false">Q!$D$41</f>
        <v>10.721</v>
      </c>
      <c r="D1356" s="22" t="n">
        <f aca="false">Q!$E$41</f>
        <v>10.827</v>
      </c>
      <c r="E1356" s="22" t="n">
        <f aca="false">(Q!$L$41+Q!$M$41)/2</f>
        <v>10.8885</v>
      </c>
      <c r="F1356" s="22" t="n">
        <f aca="false">Sens!$G$1356</f>
        <v>10.924806</v>
      </c>
      <c r="G1356" s="22" t="n">
        <f aca="false">Q!$M$41*(1+sh_g*0.25)</f>
        <v>10.924806</v>
      </c>
      <c r="H1356" s="22" t="n">
        <f aca="false">Sens!$G$1356*(1+sh_g)</f>
        <v>11.012204448</v>
      </c>
      <c r="I1356" s="22" t="n">
        <f aca="false">Sens!$H$1356*(1+sh_g)</f>
        <v>11.100302083584</v>
      </c>
      <c r="J1356" s="22" t="n">
        <f aca="false">Sens!$I$1356*(1+sh_g)</f>
        <v>11.1891045002527</v>
      </c>
      <c r="K1356" s="22" t="n">
        <f aca="false">Sens!$J$1356*(1+sh_g)</f>
        <v>11.2786173362547</v>
      </c>
      <c r="L1356" s="22" t="n">
        <f aca="false">Sens!$K$1356*(1+sh_g)</f>
        <v>11.3688462749447</v>
      </c>
      <c r="M1356" s="22" t="n">
        <f aca="false">Sens!$L$1356*(1+sh_g)</f>
        <v>11.4597970451443</v>
      </c>
      <c r="P1356" s="5" t="s">
        <v>705</v>
      </c>
    </row>
    <row r="1357" customFormat="false" ht="17.15" hidden="false" customHeight="false" outlineLevel="0" collapsed="false">
      <c r="A1357" s="42" t="s">
        <v>706</v>
      </c>
      <c r="B1357" s="13" t="s">
        <v>27</v>
      </c>
      <c r="C1357" s="43" t="n">
        <f aca="false">Sens!$C$1355/Sens!$C$1356</f>
        <v>5.52635015390355</v>
      </c>
      <c r="D1357" s="43" t="n">
        <f aca="false">Sens!$D$1355/Sens!$D$1356</f>
        <v>7.1737323358271</v>
      </c>
      <c r="E1357" s="43" t="n">
        <f aca="false">Sens!$E$1355/Sens!$E$1356</f>
        <v>8.53212104513937</v>
      </c>
      <c r="F1357" s="13"/>
      <c r="G1357" s="43" t="n">
        <f aca="false">Sens!$G$1355/Sens!$G$1356</f>
        <v>12.915026786375</v>
      </c>
      <c r="H1357" s="43" t="n">
        <f aca="false">Sens!$H$1355/Sens!$H$1356</f>
        <v>9.48819412113229</v>
      </c>
      <c r="I1357" s="43" t="n">
        <f aca="false">Sens!$I$1355/Sens!$I$1356</f>
        <v>11.2050804878915</v>
      </c>
      <c r="J1357" s="43" t="n">
        <f aca="false">Sens!$J$1355/Sens!$J$1356</f>
        <v>12.8233252455465</v>
      </c>
      <c r="K1357" s="43" t="n">
        <f aca="false">Sens!$K$1355/Sens!$K$1356</f>
        <v>14.2140035166717</v>
      </c>
      <c r="L1357" s="43" t="n">
        <f aca="false">Sens!$L$1355/Sens!$L$1356</f>
        <v>15.8180805823262</v>
      </c>
      <c r="M1357" s="43" t="n">
        <f aca="false">Sens!$M$1355/Sens!$M$1356</f>
        <v>17.4608002718058</v>
      </c>
      <c r="N1357" s="13"/>
      <c r="O1357" s="13"/>
    </row>
    <row r="1358" customFormat="false" ht="17.15" hidden="false" customHeight="false" outlineLevel="0" collapsed="false">
      <c r="A1358" s="0" t="s">
        <v>707</v>
      </c>
      <c r="B1358" s="0" t="s">
        <v>27</v>
      </c>
      <c r="C1358" s="30" t="n">
        <f aca="false">(Sens!$C$1355-Sens!$C$1352*(1-tax))/Sens!$C$1356</f>
        <v>5.33926775917445</v>
      </c>
      <c r="D1358" s="30" t="n">
        <f aca="false">(Sens!$D$1355-Sens!$D$1352*(1-tax))/Sens!$D$1356</f>
        <v>5.67691812755503</v>
      </c>
      <c r="E1358" s="30" t="n">
        <f aca="false">(Sens!$E$1355-Sens!$E$1352*(1-tax))/Sens!$E$1356</f>
        <v>3.10602057006846</v>
      </c>
      <c r="G1358" s="30" t="n">
        <f aca="false">(Sens!$G$1355-Sens!$G$1352*(1-tax))/Sens!$G$1356</f>
        <v>7.50695866847798</v>
      </c>
      <c r="H1358" s="30" t="n">
        <f aca="false">(Sens!$H$1355-Sens!$H$1352*(1-tax))/Sens!$H$1356</f>
        <v>9.48819412113229</v>
      </c>
      <c r="I1358" s="30" t="n">
        <f aca="false">(Sens!$I$1355-Sens!$I$1352*(1-tax))/Sens!$I$1356</f>
        <v>11.2050804878915</v>
      </c>
      <c r="J1358" s="30" t="n">
        <f aca="false">(Sens!$J$1355-Sens!$J$1352*(1-tax))/Sens!$J$1356</f>
        <v>12.8233252455465</v>
      </c>
      <c r="K1358" s="30" t="n">
        <f aca="false">(Sens!$K$1355-Sens!$K$1352*(1-tax))/Sens!$K$1356</f>
        <v>14.2140035166717</v>
      </c>
      <c r="L1358" s="30" t="n">
        <f aca="false">(Sens!$L$1355-Sens!$L$1352*(1-tax))/Sens!$L$1356</f>
        <v>15.8180805823262</v>
      </c>
      <c r="M1358" s="30" t="n">
        <f aca="false">(Sens!$M$1355-Sens!$M$1352*(1-tax))/Sens!$M$1356</f>
        <v>17.4608002718058</v>
      </c>
      <c r="P1358" s="5" t="s">
        <v>708</v>
      </c>
    </row>
    <row r="1359" customFormat="false" ht="17.15" hidden="false" customHeight="false" outlineLevel="0" collapsed="false">
      <c r="A1359" s="0" t="s">
        <v>709</v>
      </c>
      <c r="B1359" s="0" t="s">
        <v>52</v>
      </c>
      <c r="H1359" s="12" t="n">
        <f aca="false">Sens!$H$1357/Sens!$G$1357-1</f>
        <v>-0.265336860846305</v>
      </c>
      <c r="I1359" s="12" t="n">
        <f aca="false">Sens!$I$1357/Sens!$H$1357-1</f>
        <v>0.180949751326792</v>
      </c>
      <c r="J1359" s="12" t="n">
        <f aca="false">Sens!$J$1357/Sens!$I$1357-1</f>
        <v>0.144420627714698</v>
      </c>
      <c r="K1359" s="12" t="n">
        <f aca="false">Sens!$K$1357/Sens!$J$1357-1</f>
        <v>0.108449114757356</v>
      </c>
      <c r="L1359" s="12" t="n">
        <f aca="false">Sens!$L$1357/Sens!$K$1357-1</f>
        <v>0.112851883269417</v>
      </c>
      <c r="M1359" s="12" t="n">
        <f aca="false">Sens!$M$1357/Sens!$L$1357-1</f>
        <v>0.103850759953457</v>
      </c>
    </row>
    <row r="1362" customFormat="false" ht="19.4" hidden="false" customHeight="false" outlineLevel="0" collapsed="false">
      <c r="A1362" s="31" t="s">
        <v>1073</v>
      </c>
    </row>
    <row r="1363" customFormat="false" ht="17.15" hidden="false" customHeight="false" outlineLevel="0" collapsed="false">
      <c r="A1363" s="6" t="s">
        <v>16</v>
      </c>
      <c r="B1363" s="6" t="s">
        <v>17</v>
      </c>
      <c r="C1363" s="20" t="s">
        <v>457</v>
      </c>
      <c r="D1363" s="20" t="s">
        <v>458</v>
      </c>
      <c r="E1363" s="20" t="s">
        <v>540</v>
      </c>
      <c r="F1363" s="20" t="s">
        <v>541</v>
      </c>
      <c r="G1363" s="20" t="s">
        <v>542</v>
      </c>
      <c r="H1363" s="20" t="s">
        <v>543</v>
      </c>
      <c r="I1363" s="20" t="s">
        <v>544</v>
      </c>
      <c r="J1363" s="20" t="s">
        <v>545</v>
      </c>
      <c r="K1363" s="20" t="s">
        <v>546</v>
      </c>
      <c r="L1363" s="20" t="s">
        <v>547</v>
      </c>
      <c r="M1363" s="20" t="s">
        <v>548</v>
      </c>
      <c r="N1363" s="20" t="s">
        <v>549</v>
      </c>
      <c r="O1363" s="20" t="s">
        <v>550</v>
      </c>
      <c r="P1363" s="6" t="s">
        <v>23</v>
      </c>
      <c r="R1363" s="20" t="n">
        <v>2023</v>
      </c>
      <c r="S1363" s="20" t="n">
        <v>2024</v>
      </c>
      <c r="T1363" s="20" t="n">
        <v>2025</v>
      </c>
      <c r="U1363" s="20" t="n">
        <v>2026</v>
      </c>
      <c r="V1363" s="20" t="n">
        <v>2027</v>
      </c>
      <c r="W1363" s="20" t="n">
        <v>2028</v>
      </c>
      <c r="X1363" s="20" t="n">
        <v>2029</v>
      </c>
      <c r="Y1363" s="20" t="n">
        <v>2030</v>
      </c>
      <c r="Z1363" s="20" t="n">
        <v>2031</v>
      </c>
      <c r="AA1363" s="20" t="n">
        <v>2032</v>
      </c>
    </row>
    <row r="1364" customFormat="false" ht="15" hidden="false" customHeight="false" outlineLevel="0" collapsed="false">
      <c r="A1364" s="5" t="s">
        <v>509</v>
      </c>
      <c r="B1364" s="0" t="s">
        <v>73</v>
      </c>
      <c r="C1364" s="38" t="n">
        <f aca="false">Sens!$C$1355</f>
        <v>59.248</v>
      </c>
      <c r="D1364" s="38" t="n">
        <f aca="false">Sens!$D$1355</f>
        <v>77.67</v>
      </c>
      <c r="E1364" s="38" t="n">
        <f aca="false">Sens!$E$1355</f>
        <v>92.902</v>
      </c>
      <c r="F1364" s="38" t="n">
        <f aca="false">Sens!$F$1355</f>
        <v>48.1921621259499</v>
      </c>
      <c r="G1364" s="38" t="n">
        <f aca="false">Sens!$G$1355</f>
        <v>141.09416212595</v>
      </c>
      <c r="H1364" s="38" t="n">
        <f aca="false">Sens!$H$1355</f>
        <v>104.48593350422</v>
      </c>
      <c r="I1364" s="38" t="n">
        <f aca="false">Sens!$I$1355</f>
        <v>124.379778286469</v>
      </c>
      <c r="J1364" s="38" t="n">
        <f aca="false">Sens!$J$1355</f>
        <v>143.481526213148</v>
      </c>
      <c r="K1364" s="38" t="n">
        <f aca="false">Sens!$K$1355</f>
        <v>160.314306480719</v>
      </c>
      <c r="L1364" s="38" t="n">
        <f aca="false">Sens!$L$1355</f>
        <v>179.833326505155</v>
      </c>
      <c r="M1364" s="38" t="n">
        <f aca="false">Sens!$M$1355</f>
        <v>200.097227360695</v>
      </c>
    </row>
    <row r="1365" customFormat="false" ht="17.15" hidden="false" customHeight="false" outlineLevel="0" collapsed="false">
      <c r="A1365" s="5" t="s">
        <v>731</v>
      </c>
      <c r="B1365" s="0" t="s">
        <v>73</v>
      </c>
      <c r="C1365" s="38" t="n">
        <f aca="false">Sens!$C$1343</f>
        <v>32.067</v>
      </c>
      <c r="D1365" s="38" t="n">
        <f aca="false">Sens!$D$1343</f>
        <v>41.86</v>
      </c>
      <c r="E1365" s="38" t="n">
        <f aca="false">Sens!$E$1343</f>
        <v>26.703</v>
      </c>
      <c r="F1365" s="38" t="n">
        <f aca="false">Sens!$F$1343</f>
        <v>30.6103857251209</v>
      </c>
      <c r="G1365" s="38" t="n">
        <f aca="false">Sens!$G$1343</f>
        <v>57.3133857251209</v>
      </c>
      <c r="H1365" s="38" t="n">
        <f aca="false">Sens!$H$1343</f>
        <v>86.385361039311</v>
      </c>
      <c r="I1365" s="38" t="n">
        <f aca="false">Sens!$I$1343</f>
        <v>114.064827335034</v>
      </c>
      <c r="J1365" s="38" t="n">
        <f aca="false">Sens!$J$1343</f>
        <v>141.720109232513</v>
      </c>
      <c r="K1365" s="38" t="n">
        <f aca="false">Sens!$K$1343</f>
        <v>168.752869045787</v>
      </c>
      <c r="L1365" s="38" t="n">
        <f aca="false">Sens!$L$1343</f>
        <v>194.127563060438</v>
      </c>
      <c r="M1365" s="38" t="n">
        <f aca="false">Sens!$M$1343</f>
        <v>220.610733625255</v>
      </c>
    </row>
    <row r="1366" customFormat="false" ht="15" hidden="false" customHeight="false" outlineLevel="0" collapsed="false">
      <c r="A1366" s="5" t="s">
        <v>732</v>
      </c>
      <c r="B1366" s="0" t="s">
        <v>73</v>
      </c>
      <c r="C1366" s="38" t="n">
        <f aca="false">Q!$D$48</f>
        <v>22.011</v>
      </c>
      <c r="D1366" s="38" t="n">
        <f aca="false">Q!$E$48</f>
        <v>19.467</v>
      </c>
      <c r="E1366" s="38" t="n">
        <f aca="false">Q!$P$48</f>
        <v>10.07</v>
      </c>
      <c r="F1366" s="38" t="n">
        <f aca="false">sbc_r*Sens!$F$1287</f>
        <v>11.186533878152</v>
      </c>
      <c r="G1366" s="38" t="n">
        <f aca="false">Sens!$E$1366+Sens!$F$1366</f>
        <v>21.256533878152</v>
      </c>
      <c r="H1366" s="38" t="n">
        <f aca="false">sbc_r*Sens!$H$1287</f>
        <v>23.9279305779839</v>
      </c>
      <c r="I1366" s="38" t="n">
        <f aca="false">sbc_r*Sens!$I$1287</f>
        <v>27.1428974860374</v>
      </c>
      <c r="J1366" s="38" t="n">
        <f aca="false">sbc_r*Sens!$J$1287</f>
        <v>30.139123311047</v>
      </c>
      <c r="K1366" s="38" t="n">
        <f aca="false">sbc_r*Sens!$K$1287</f>
        <v>32.776468298444</v>
      </c>
      <c r="L1366" s="38" t="n">
        <f aca="false">sbc_r*Sens!$L$1287</f>
        <v>35.5492856421118</v>
      </c>
      <c r="M1366" s="38" t="n">
        <f aca="false">sbc_r*Sens!$M$1287</f>
        <v>38.4676793978621</v>
      </c>
    </row>
    <row r="1367" customFormat="false" ht="17.15" hidden="false" customHeight="false" outlineLevel="0" collapsed="false">
      <c r="A1367" s="5" t="s">
        <v>733</v>
      </c>
      <c r="B1367" s="0" t="s">
        <v>73</v>
      </c>
      <c r="C1367" s="38" t="n">
        <f aca="false">Q!$D$44-Sens!$C$1364-Sens!$C$1365-Sens!$C$1366</f>
        <v>2.551</v>
      </c>
      <c r="D1367" s="38" t="n">
        <f aca="false">Q!$E$44-Sens!$D$1364-Sens!$D$1365-Sens!$D$1366</f>
        <v>0.51700000000001</v>
      </c>
      <c r="E1367" s="38" t="n">
        <f aca="false">Q!$P$44-Sens!$E$1364-Sens!$E$1365-Sens!$E$1366</f>
        <v>-58.256</v>
      </c>
      <c r="F1367" s="38" t="n">
        <f aca="false">wc_2h26+oth_r*Sens!$F$1287</f>
        <v>7.33129409772903</v>
      </c>
      <c r="G1367" s="38" t="n">
        <f aca="false">Sens!$E$1367+Sens!$F$1367</f>
        <v>-50.924705902271</v>
      </c>
      <c r="H1367" s="38" t="n">
        <f aca="false">oth_r*Sens!$H$1287</f>
        <v>11.5169736028361</v>
      </c>
      <c r="I1367" s="38" t="n">
        <f aca="false">oth_r*Sens!$I$1287</f>
        <v>13.0643990641968</v>
      </c>
      <c r="J1367" s="38" t="n">
        <f aca="false">oth_r*Sens!$J$1287</f>
        <v>14.5065402314953</v>
      </c>
      <c r="K1367" s="38" t="n">
        <f aca="false">oth_r*Sens!$K$1287</f>
        <v>15.77594514315</v>
      </c>
      <c r="L1367" s="38" t="n">
        <f aca="false">oth_r*Sens!$L$1287</f>
        <v>17.1105555077375</v>
      </c>
      <c r="M1367" s="38" t="n">
        <f aca="false">oth_r*Sens!$M$1287</f>
        <v>18.5152346018244</v>
      </c>
      <c r="P1367" s="8" t="s">
        <v>734</v>
      </c>
    </row>
    <row r="1368" customFormat="false" ht="15" hidden="false" customHeight="false" outlineLevel="0" collapsed="false">
      <c r="A1368" s="3" t="s">
        <v>515</v>
      </c>
      <c r="B1368" s="8" t="s">
        <v>73</v>
      </c>
      <c r="C1368" s="38" t="n">
        <f aca="false">Q!$D$44</f>
        <v>115.877</v>
      </c>
      <c r="D1368" s="38" t="n">
        <f aca="false">Q!$E$44</f>
        <v>139.514</v>
      </c>
      <c r="E1368" s="38" t="n">
        <f aca="false">Q!$P$44</f>
        <v>71.419</v>
      </c>
      <c r="F1368" s="38" t="n">
        <f aca="false">Sens!$F$1364+Sens!$F$1365+Sens!$F$1366+Sens!$F$1367</f>
        <v>97.3203758269518</v>
      </c>
      <c r="G1368" s="38" t="n">
        <f aca="false">Sens!$E$1368+Sens!$F$1368</f>
        <v>168.739375826952</v>
      </c>
      <c r="H1368" s="38" t="n">
        <f aca="false">Sens!$H$1364+Sens!$H$1365+Sens!$H$1366+Sens!$H$1367</f>
        <v>226.316198724351</v>
      </c>
      <c r="I1368" s="38" t="n">
        <f aca="false">Sens!$I$1364+Sens!$I$1365+Sens!$I$1366+Sens!$I$1367</f>
        <v>278.651902171737</v>
      </c>
      <c r="J1368" s="38" t="n">
        <f aca="false">Sens!$J$1364+Sens!$J$1365+Sens!$J$1366+Sens!$J$1367</f>
        <v>329.847298988203</v>
      </c>
      <c r="K1368" s="38" t="n">
        <f aca="false">Sens!$K$1364+Sens!$K$1365+Sens!$K$1366+Sens!$K$1367</f>
        <v>377.619588968099</v>
      </c>
      <c r="L1368" s="38" t="n">
        <f aca="false">Sens!$L$1364+Sens!$L$1365+Sens!$L$1366+Sens!$L$1367</f>
        <v>426.620730715442</v>
      </c>
      <c r="M1368" s="38" t="n">
        <f aca="false">Sens!$M$1364+Sens!$M$1365+Sens!$M$1366+Sens!$M$1367</f>
        <v>477.690874985637</v>
      </c>
    </row>
    <row r="1369" customFormat="false" ht="17.15" hidden="false" customHeight="false" outlineLevel="0" collapsed="false">
      <c r="A1369" s="5" t="s">
        <v>735</v>
      </c>
      <c r="B1369" s="0" t="s">
        <v>73</v>
      </c>
      <c r="C1369" s="38" t="n">
        <f aca="false">Sens!$C$1256</f>
        <v>25.2781053077374</v>
      </c>
      <c r="D1369" s="38" t="n">
        <f aca="false">Sens!$D$1256</f>
        <v>69.5686316310026</v>
      </c>
      <c r="E1369" s="38" t="n">
        <f aca="false">Sens!$E$1256</f>
        <v>64.1899206485108</v>
      </c>
      <c r="F1369" s="38" t="n">
        <f aca="false">Sens!$F$1256</f>
        <v>86.8854234933474</v>
      </c>
      <c r="G1369" s="38" t="n">
        <f aca="false">Sens!$G$1256</f>
        <v>151.075344141858</v>
      </c>
      <c r="H1369" s="38" t="n">
        <f aca="false">Sens!$H$1256</f>
        <v>148.928523708563</v>
      </c>
      <c r="I1369" s="38" t="n">
        <f aca="false">Sens!$I$1256</f>
        <v>153.484852432875</v>
      </c>
      <c r="J1369" s="38" t="n">
        <f aca="false">Sens!$J$1256</f>
        <v>158.721620632875</v>
      </c>
      <c r="K1369" s="38" t="n">
        <f aca="false">Sens!$K$1256</f>
        <v>163.958388832875</v>
      </c>
      <c r="L1369" s="38" t="n">
        <f aca="false">Sens!$L$1256</f>
        <v>200.615766232875</v>
      </c>
      <c r="M1369" s="38" t="n">
        <f aca="false">Sens!$M$1256</f>
        <v>240.889241174312</v>
      </c>
    </row>
    <row r="1370" customFormat="false" ht="17.15" hidden="false" customHeight="false" outlineLevel="0" collapsed="false">
      <c r="A1370" s="5" t="s">
        <v>736</v>
      </c>
      <c r="B1370" s="0" t="s">
        <v>73</v>
      </c>
      <c r="C1370" s="38" t="n">
        <f aca="false">cx_awso*Sens!$C$1285</f>
        <v>21.0469989286053</v>
      </c>
      <c r="D1370" s="38" t="n">
        <f aca="false">cx_awso*Sens!$D$1285</f>
        <v>24.0042459822698</v>
      </c>
      <c r="E1370" s="38" t="n">
        <f aca="false">cx_awso*Sens!$E$1285</f>
        <v>14.261729404886</v>
      </c>
      <c r="F1370" s="38" t="n">
        <f aca="false">cx_awso*Sens!$F$1285</f>
        <v>15.7190020837331</v>
      </c>
      <c r="G1370" s="38" t="n">
        <f aca="false">Sens!$E$1370+Sens!$F$1370</f>
        <v>29.9807314886191</v>
      </c>
      <c r="H1370" s="38" t="n">
        <f aca="false">cx_awso*Sens!$H$1285</f>
        <v>36.1787121536283</v>
      </c>
      <c r="I1370" s="38" t="n">
        <f aca="false">cx_awso*Sens!$I$1285</f>
        <v>42.1296794430021</v>
      </c>
      <c r="J1370" s="38" t="n">
        <f aca="false">cx_awso*Sens!$J$1285</f>
        <v>47.279781889299</v>
      </c>
      <c r="K1370" s="38" t="n">
        <f aca="false">cx_awso*Sens!$K$1285</f>
        <v>51.0621644404429</v>
      </c>
      <c r="L1370" s="38" t="n">
        <f aca="false">cx_awso*Sens!$L$1285</f>
        <v>55.1471375956783</v>
      </c>
      <c r="M1370" s="38" t="n">
        <f aca="false">cx_awso*Sens!$M$1285</f>
        <v>59.5589086033326</v>
      </c>
    </row>
    <row r="1371" customFormat="false" ht="17.15" hidden="false" customHeight="false" outlineLevel="0" collapsed="false">
      <c r="A1371" s="5" t="s">
        <v>737</v>
      </c>
      <c r="B1371" s="0" t="s">
        <v>73</v>
      </c>
      <c r="C1371" s="38" t="n">
        <f aca="false">Q!$D$46-Sens!$C$1369-Sens!$C$1370</f>
        <v>31.3328957636573</v>
      </c>
      <c r="D1371" s="38" t="n">
        <f aca="false">Q!$E$46-Sens!$D$1369-Sens!$D$1370</f>
        <v>34.7471223867276</v>
      </c>
      <c r="E1371" s="38" t="n">
        <f aca="false">Q!$P$46-Sens!$E$1369-Sens!$E$1370</f>
        <v>17.8583499466032</v>
      </c>
      <c r="F1371" s="38" t="n">
        <f aca="false">cx_rt*Sens!$F$1220</f>
        <v>21.0855744229195</v>
      </c>
      <c r="G1371" s="38" t="n">
        <f aca="false">Sens!$E$1371+Sens!$F$1371</f>
        <v>38.9439243695228</v>
      </c>
      <c r="H1371" s="38" t="n">
        <f aca="false">cx_rt*Sens!$H$1220</f>
        <v>43.1200434029767</v>
      </c>
      <c r="I1371" s="38" t="n">
        <f aca="false">cx_rt*Sens!$I$1220</f>
        <v>47.1583152318763</v>
      </c>
      <c r="J1371" s="38" t="n">
        <f aca="false">cx_rt*Sens!$J$1220</f>
        <v>50.9060281137911</v>
      </c>
      <c r="K1371" s="38" t="n">
        <f aca="false">cx_rt*Sens!$K$1220</f>
        <v>54.2035645673053</v>
      </c>
      <c r="L1371" s="38" t="n">
        <f aca="false">cx_rt*Sens!$L$1220</f>
        <v>57.7318979121519</v>
      </c>
      <c r="M1371" s="38" t="n">
        <f aca="false">cx_rt*Sens!$M$1220</f>
        <v>61.5084196557756</v>
      </c>
    </row>
    <row r="1372" customFormat="false" ht="15" hidden="false" customHeight="false" outlineLevel="0" collapsed="false">
      <c r="A1372" s="3" t="s">
        <v>738</v>
      </c>
      <c r="B1372" s="8" t="s">
        <v>73</v>
      </c>
      <c r="C1372" s="38" t="n">
        <f aca="false">Q!$D$46</f>
        <v>77.658</v>
      </c>
      <c r="D1372" s="38" t="n">
        <f aca="false">Q!$E$46</f>
        <v>128.32</v>
      </c>
      <c r="E1372" s="38" t="n">
        <f aca="false">Q!$P$46</f>
        <v>96.31</v>
      </c>
      <c r="F1372" s="38" t="n">
        <f aca="false">Sens!$F$1369+Sens!$F$1370+Sens!$F$1371</f>
        <v>123.69</v>
      </c>
      <c r="G1372" s="38" t="n">
        <f aca="false">Sens!$E$1372+Sens!$F$1372</f>
        <v>220</v>
      </c>
      <c r="H1372" s="38" t="n">
        <f aca="false">Sens!$H$1369+Sens!$H$1370+Sens!$H$1371</f>
        <v>228.227279265168</v>
      </c>
      <c r="I1372" s="38" t="n">
        <f aca="false">Sens!$I$1369+Sens!$I$1370+Sens!$I$1371</f>
        <v>242.772847107753</v>
      </c>
      <c r="J1372" s="38" t="n">
        <f aca="false">Sens!$J$1369+Sens!$J$1370+Sens!$J$1371</f>
        <v>256.907430635965</v>
      </c>
      <c r="K1372" s="38" t="n">
        <f aca="false">Sens!$K$1369+Sens!$K$1370+Sens!$K$1371</f>
        <v>269.224117840623</v>
      </c>
      <c r="L1372" s="38" t="n">
        <f aca="false">Sens!$L$1369+Sens!$L$1370+Sens!$L$1371</f>
        <v>313.494801740705</v>
      </c>
      <c r="M1372" s="38" t="n">
        <f aca="false">Sens!$M$1369+Sens!$M$1370+Sens!$M$1371</f>
        <v>361.956569433421</v>
      </c>
    </row>
    <row r="1373" customFormat="false" ht="17.15" hidden="false" customHeight="false" outlineLevel="0" collapsed="false">
      <c r="A1373" s="5" t="s">
        <v>523</v>
      </c>
      <c r="B1373" s="0" t="s">
        <v>73</v>
      </c>
      <c r="C1373" s="38" t="n">
        <f aca="false">Q!$D$50</f>
        <v>2.043</v>
      </c>
      <c r="D1373" s="38" t="n">
        <f aca="false">Q!$E$50</f>
        <v>1.557</v>
      </c>
      <c r="E1373" s="38" t="n">
        <f aca="false">lease_pr/2</f>
        <v>0.8</v>
      </c>
      <c r="F1373" s="38" t="n">
        <f aca="false">lease_pr/2</f>
        <v>0.8</v>
      </c>
      <c r="G1373" s="38" t="n">
        <f aca="false">Sens!$E$1373+Sens!$F$1373</f>
        <v>1.6</v>
      </c>
      <c r="H1373" s="38" t="n">
        <f aca="false">lease_pr</f>
        <v>1.6</v>
      </c>
      <c r="I1373" s="38" t="n">
        <f aca="false">lease_pr</f>
        <v>1.6</v>
      </c>
      <c r="J1373" s="38" t="n">
        <f aca="false">lease_pr</f>
        <v>1.6</v>
      </c>
      <c r="K1373" s="38" t="n">
        <f aca="false">lease_pr</f>
        <v>1.6</v>
      </c>
      <c r="L1373" s="38" t="n">
        <f aca="false">lease_pr</f>
        <v>1.6</v>
      </c>
      <c r="M1373" s="38" t="n">
        <f aca="false">lease_pr</f>
        <v>1.6</v>
      </c>
      <c r="P1373" s="8" t="s">
        <v>739</v>
      </c>
    </row>
    <row r="1374" customFormat="false" ht="15" hidden="false" customHeight="false" outlineLevel="0" collapsed="false">
      <c r="A1374" s="46" t="s">
        <v>740</v>
      </c>
      <c r="B1374" s="13" t="s">
        <v>73</v>
      </c>
      <c r="C1374" s="47" t="n">
        <f aca="false">Sens!$C$1368-Sens!$C$1372-Sens!$C$1373</f>
        <v>36.176</v>
      </c>
      <c r="D1374" s="47" t="n">
        <f aca="false">Sens!$D$1368-Sens!$D$1372-Sens!$D$1373</f>
        <v>9.63700000000002</v>
      </c>
      <c r="E1374" s="47" t="n">
        <f aca="false">Sens!$E$1368-Sens!$E$1372-Sens!$E$1373</f>
        <v>-25.691</v>
      </c>
      <c r="F1374" s="47" t="n">
        <f aca="false">Sens!$F$1368-Sens!$F$1372-Sens!$F$1373</f>
        <v>-27.1696241730482</v>
      </c>
      <c r="G1374" s="47" t="n">
        <f aca="false">Sens!$G$1368-Sens!$G$1372-Sens!$G$1373</f>
        <v>-52.8606241730482</v>
      </c>
      <c r="H1374" s="47" t="n">
        <f aca="false">Sens!$H$1368-Sens!$H$1372-Sens!$H$1373</f>
        <v>-3.51108054081622</v>
      </c>
      <c r="I1374" s="47" t="n">
        <f aca="false">Sens!$I$1368-Sens!$I$1372-Sens!$I$1373</f>
        <v>34.2790550639832</v>
      </c>
      <c r="J1374" s="47" t="n">
        <f aca="false">Sens!$J$1368-Sens!$J$1372-Sens!$J$1373</f>
        <v>71.3398683522381</v>
      </c>
      <c r="K1374" s="47" t="n">
        <f aca="false">Sens!$K$1368-Sens!$K$1372-Sens!$K$1373</f>
        <v>106.795471127476</v>
      </c>
      <c r="L1374" s="47" t="n">
        <f aca="false">Sens!$L$1368-Sens!$L$1372-Sens!$L$1373</f>
        <v>111.525928974737</v>
      </c>
      <c r="M1374" s="47" t="n">
        <f aca="false">Sens!$M$1368-Sens!$M$1372-Sens!$M$1373</f>
        <v>114.134305552216</v>
      </c>
      <c r="N1374" s="13"/>
      <c r="O1374" s="13"/>
    </row>
    <row r="1375" customFormat="false" ht="17.15" hidden="false" customHeight="false" outlineLevel="0" collapsed="false">
      <c r="A1375" s="5" t="s">
        <v>741</v>
      </c>
      <c r="B1375" s="0" t="s">
        <v>73</v>
      </c>
      <c r="C1375" s="38" t="n">
        <f aca="false">dps*Sens!$C$1356</f>
        <v>0</v>
      </c>
      <c r="D1375" s="38" t="n">
        <f aca="false">dps*Sens!$D$1356</f>
        <v>0</v>
      </c>
      <c r="E1375" s="38" t="n">
        <f aca="false">dps*Sens!$E$1356</f>
        <v>0</v>
      </c>
      <c r="F1375" s="38" t="n">
        <f aca="false">0</f>
        <v>0</v>
      </c>
      <c r="G1375" s="38" t="n">
        <f aca="false">dps*Sens!$G$1356</f>
        <v>0</v>
      </c>
      <c r="H1375" s="38" t="n">
        <f aca="false">dps*Sens!$H$1356</f>
        <v>0</v>
      </c>
      <c r="I1375" s="38" t="n">
        <f aca="false">dps*Sens!$I$1356</f>
        <v>0</v>
      </c>
      <c r="J1375" s="38" t="n">
        <f aca="false">dps*Sens!$J$1356</f>
        <v>0</v>
      </c>
      <c r="K1375" s="38" t="n">
        <f aca="false">dps*Sens!$K$1356</f>
        <v>0</v>
      </c>
      <c r="L1375" s="38" t="n">
        <f aca="false">dps*Sens!$L$1356</f>
        <v>0</v>
      </c>
      <c r="M1375" s="38" t="n">
        <f aca="false">dps*Sens!$M$1356</f>
        <v>0</v>
      </c>
      <c r="P1375" s="8" t="s">
        <v>742</v>
      </c>
    </row>
    <row r="1376" customFormat="false" ht="17.15" hidden="false" customHeight="false" outlineLevel="0" collapsed="false">
      <c r="A1376" s="5" t="s">
        <v>743</v>
      </c>
      <c r="B1376" s="0" t="s">
        <v>73</v>
      </c>
      <c r="C1376" s="38" t="n">
        <f aca="false">0</f>
        <v>0</v>
      </c>
      <c r="D1376" s="38" t="n">
        <f aca="false">0</f>
        <v>0</v>
      </c>
      <c r="E1376" s="38" t="n">
        <f aca="false">0</f>
        <v>0</v>
      </c>
      <c r="F1376" s="38" t="n">
        <f aca="false">0</f>
        <v>0</v>
      </c>
      <c r="G1376" s="38" t="n">
        <f aca="false">0</f>
        <v>0</v>
      </c>
      <c r="H1376" s="38" t="n">
        <f aca="false">0</f>
        <v>0</v>
      </c>
      <c r="I1376" s="38" t="n">
        <f aca="false">0</f>
        <v>0</v>
      </c>
      <c r="J1376" s="38" t="n">
        <f aca="false">0</f>
        <v>0</v>
      </c>
      <c r="K1376" s="38" t="n">
        <f aca="false">0</f>
        <v>0</v>
      </c>
      <c r="L1376" s="38" t="n">
        <f aca="false">0</f>
        <v>0</v>
      </c>
      <c r="M1376" s="38" t="n">
        <f aca="false">0</f>
        <v>0</v>
      </c>
      <c r="P1376" s="8" t="s">
        <v>744</v>
      </c>
    </row>
    <row r="1377" customFormat="false" ht="15" hidden="false" customHeight="false" outlineLevel="0" collapsed="false">
      <c r="A1377" s="3" t="s">
        <v>745</v>
      </c>
      <c r="B1377" s="8" t="s">
        <v>73</v>
      </c>
      <c r="C1377" s="38" t="n">
        <f aca="false">Sens!$C$1374-Sens!$C$1375</f>
        <v>36.176</v>
      </c>
      <c r="D1377" s="38" t="n">
        <f aca="false">Sens!$D$1374-Sens!$D$1375</f>
        <v>9.63700000000002</v>
      </c>
      <c r="E1377" s="38" t="n">
        <f aca="false">Sens!$E$1374-Sens!$E$1375</f>
        <v>-25.691</v>
      </c>
      <c r="F1377" s="38" t="n">
        <f aca="false">Sens!$F$1374-Sens!$F$1375</f>
        <v>-27.1696241730482</v>
      </c>
      <c r="G1377" s="38" t="n">
        <f aca="false">Sens!$G$1374-Sens!$G$1375</f>
        <v>-52.8606241730482</v>
      </c>
      <c r="H1377" s="38" t="n">
        <f aca="false">Sens!$H$1374-Sens!$H$1375</f>
        <v>-3.51108054081622</v>
      </c>
      <c r="I1377" s="38" t="n">
        <f aca="false">Sens!$I$1374-Sens!$I$1375</f>
        <v>34.2790550639832</v>
      </c>
      <c r="J1377" s="38" t="n">
        <f aca="false">Sens!$J$1374-Sens!$J$1375</f>
        <v>71.3398683522381</v>
      </c>
      <c r="K1377" s="38" t="n">
        <f aca="false">Sens!$K$1374-Sens!$K$1375</f>
        <v>106.795471127476</v>
      </c>
      <c r="L1377" s="38" t="n">
        <f aca="false">Sens!$L$1374-Sens!$L$1375</f>
        <v>111.525928974737</v>
      </c>
      <c r="M1377" s="38" t="n">
        <f aca="false">Sens!$M$1374-Sens!$M$1375</f>
        <v>114.134305552216</v>
      </c>
    </row>
    <row r="1378" customFormat="false" ht="17.15" hidden="false" customHeight="false" outlineLevel="0" collapsed="false">
      <c r="A1378" s="5" t="s">
        <v>746</v>
      </c>
      <c r="B1378" s="0" t="s">
        <v>73</v>
      </c>
      <c r="E1378" s="38" t="n">
        <f aca="false">Q!$P$53</f>
        <v>39.767</v>
      </c>
      <c r="F1378" s="38" t="n">
        <f aca="false">inv_2h26</f>
        <v>21.3</v>
      </c>
      <c r="G1378" s="38" t="n">
        <f aca="false">Sens!$E$1378+Sens!$F$1378</f>
        <v>61.067</v>
      </c>
      <c r="H1378" s="41" t="n">
        <v>0</v>
      </c>
      <c r="I1378" s="41" t="n">
        <v>0</v>
      </c>
      <c r="J1378" s="41" t="n">
        <v>0</v>
      </c>
      <c r="K1378" s="41" t="n">
        <v>0</v>
      </c>
      <c r="L1378" s="41" t="n">
        <v>0</v>
      </c>
      <c r="M1378" s="41" t="n">
        <v>0</v>
      </c>
    </row>
    <row r="1379" customFormat="false" ht="17.15" hidden="false" customHeight="false" outlineLevel="0" collapsed="false">
      <c r="A1379" s="5" t="s">
        <v>747</v>
      </c>
      <c r="B1379" s="0" t="s">
        <v>73</v>
      </c>
      <c r="F1379" s="38" t="n">
        <f aca="false">iss_2h26</f>
        <v>29.25</v>
      </c>
      <c r="G1379" s="38" t="n">
        <f aca="false">Sens!$F$1379</f>
        <v>29.25</v>
      </c>
      <c r="H1379" s="41" t="n">
        <v>0</v>
      </c>
      <c r="I1379" s="41" t="n">
        <v>0</v>
      </c>
      <c r="J1379" s="41" t="n">
        <v>0</v>
      </c>
      <c r="K1379" s="41" t="n">
        <v>0</v>
      </c>
      <c r="L1379" s="41" t="n">
        <v>0</v>
      </c>
      <c r="M1379" s="41" t="n">
        <v>0</v>
      </c>
    </row>
    <row r="1380" customFormat="false" ht="17.15" hidden="false" customHeight="false" outlineLevel="0" collapsed="false">
      <c r="A1380" s="5" t="s">
        <v>748</v>
      </c>
      <c r="B1380" s="0" t="s">
        <v>73</v>
      </c>
      <c r="F1380" s="38" t="n">
        <f aca="false">cash_q2</f>
        <v>122.988</v>
      </c>
      <c r="G1380" s="38" t="n">
        <f aca="false">cash_q2</f>
        <v>122.988</v>
      </c>
      <c r="H1380" s="38" t="n">
        <f aca="false">Sens!$G$1383</f>
        <v>103.768375826952</v>
      </c>
      <c r="I1380" s="38" t="n">
        <f aca="false">Sens!$H$1383</f>
        <v>100.257295286136</v>
      </c>
      <c r="J1380" s="38" t="n">
        <f aca="false">Sens!$I$1383</f>
        <v>134.536350350119</v>
      </c>
      <c r="K1380" s="38" t="n">
        <f aca="false">Sens!$J$1383</f>
        <v>205.876218702357</v>
      </c>
      <c r="L1380" s="38" t="n">
        <f aca="false">Sens!$K$1383</f>
        <v>312.671689829833</v>
      </c>
      <c r="M1380" s="38" t="n">
        <f aca="false">Sens!$L$1383</f>
        <v>424.19761880457</v>
      </c>
    </row>
    <row r="1381" customFormat="false" ht="15" hidden="false" customHeight="false" outlineLevel="0" collapsed="false">
      <c r="A1381" s="5" t="s">
        <v>749</v>
      </c>
      <c r="B1381" s="0" t="s">
        <v>73</v>
      </c>
      <c r="F1381" s="38" t="n">
        <f aca="false">Sens!$F$1380+Sens!$F$1377-Sens!$F$1376-Sens!$F$1378+Sens!$F$1379</f>
        <v>103.768375826952</v>
      </c>
      <c r="H1381" s="38" t="n">
        <f aca="false">Sens!$H$1380+Sens!$H$1377-Sens!$H$1376-Sens!$H$1378+Sens!$H$1379</f>
        <v>100.257295286136</v>
      </c>
      <c r="I1381" s="38" t="n">
        <f aca="false">Sens!$I$1380+Sens!$I$1377-Sens!$I$1376-Sens!$I$1378+Sens!$I$1379</f>
        <v>134.536350350119</v>
      </c>
      <c r="J1381" s="38" t="n">
        <f aca="false">Sens!$J$1380+Sens!$J$1377-Sens!$J$1376-Sens!$J$1378+Sens!$J$1379</f>
        <v>205.876218702357</v>
      </c>
      <c r="K1381" s="38" t="n">
        <f aca="false">Sens!$K$1380+Sens!$K$1377-Sens!$K$1376-Sens!$K$1378+Sens!$K$1379</f>
        <v>312.671689829833</v>
      </c>
      <c r="L1381" s="38" t="n">
        <f aca="false">Sens!$L$1380+Sens!$L$1377-Sens!$L$1376-Sens!$L$1378+Sens!$L$1379</f>
        <v>424.19761880457</v>
      </c>
      <c r="M1381" s="38" t="n">
        <f aca="false">Sens!$M$1380+Sens!$M$1377-Sens!$M$1376-Sens!$M$1378+Sens!$M$1379</f>
        <v>538.331924356786</v>
      </c>
    </row>
    <row r="1382" customFormat="false" ht="17.15" hidden="false" customHeight="false" outlineLevel="0" collapsed="false">
      <c r="A1382" s="5" t="s">
        <v>750</v>
      </c>
      <c r="B1382" s="0" t="s">
        <v>73</v>
      </c>
      <c r="F1382" s="38" t="n">
        <f aca="false">MAX(0,min_cash-Sens!$F$1381)</f>
        <v>0</v>
      </c>
      <c r="G1382" s="38" t="n">
        <f aca="false">Sens!$F$1382</f>
        <v>0</v>
      </c>
      <c r="H1382" s="38" t="n">
        <f aca="false">MAX(0,min_cash-Sens!$H$1381)</f>
        <v>0</v>
      </c>
      <c r="I1382" s="38" t="n">
        <f aca="false">MAX(0,min_cash-Sens!$I$1381)</f>
        <v>0</v>
      </c>
      <c r="J1382" s="38" t="n">
        <f aca="false">MAX(0,min_cash-Sens!$J$1381)</f>
        <v>0</v>
      </c>
      <c r="K1382" s="38" t="n">
        <f aca="false">MAX(0,min_cash-Sens!$K$1381)</f>
        <v>0</v>
      </c>
      <c r="L1382" s="38" t="n">
        <f aca="false">MAX(0,min_cash-Sens!$L$1381)</f>
        <v>0</v>
      </c>
      <c r="M1382" s="38" t="n">
        <f aca="false">MAX(0,min_cash-Sens!$M$1381)</f>
        <v>0</v>
      </c>
      <c r="P1382" s="5" t="s">
        <v>751</v>
      </c>
    </row>
    <row r="1383" customFormat="false" ht="15" hidden="false" customHeight="false" outlineLevel="0" collapsed="false">
      <c r="A1383" s="5" t="s">
        <v>752</v>
      </c>
      <c r="B1383" s="0" t="s">
        <v>73</v>
      </c>
      <c r="D1383" s="38" t="n">
        <f aca="false">Q!$E$61</f>
        <v>123.029</v>
      </c>
      <c r="E1383" s="38" t="n">
        <f aca="false">Q!$M$61</f>
        <v>122.988</v>
      </c>
      <c r="F1383" s="38" t="n">
        <f aca="false">Sens!$F$1381+Sens!$F$1382</f>
        <v>103.768375826952</v>
      </c>
      <c r="G1383" s="38" t="n">
        <f aca="false">Sens!$F$1383</f>
        <v>103.768375826952</v>
      </c>
      <c r="H1383" s="38" t="n">
        <f aca="false">Sens!$H$1381+Sens!$H$1382</f>
        <v>100.257295286136</v>
      </c>
      <c r="I1383" s="38" t="n">
        <f aca="false">Sens!$I$1381+Sens!$I$1382</f>
        <v>134.536350350119</v>
      </c>
      <c r="J1383" s="38" t="n">
        <f aca="false">Sens!$J$1381+Sens!$J$1382</f>
        <v>205.876218702357</v>
      </c>
      <c r="K1383" s="38" t="n">
        <f aca="false">Sens!$K$1381+Sens!$K$1382</f>
        <v>312.671689829833</v>
      </c>
      <c r="L1383" s="38" t="n">
        <f aca="false">Sens!$L$1381+Sens!$L$1382</f>
        <v>424.19761880457</v>
      </c>
      <c r="M1383" s="38" t="n">
        <f aca="false">Sens!$M$1381+Sens!$M$1382</f>
        <v>538.331924356786</v>
      </c>
    </row>
    <row r="1384" customFormat="false" ht="15" hidden="false" customHeight="false" outlineLevel="0" collapsed="false">
      <c r="A1384" s="5" t="s">
        <v>753</v>
      </c>
      <c r="B1384" s="0" t="s">
        <v>73</v>
      </c>
      <c r="D1384" s="38" t="n">
        <f aca="false">Q!$E$62</f>
        <v>68.836</v>
      </c>
      <c r="E1384" s="38" t="n">
        <f aca="false">Q!$M$62</f>
        <v>132.995</v>
      </c>
      <c r="F1384" s="38" t="n">
        <f aca="false">debt_q2+Sens!$F$1379+Sens!$F$1382</f>
        <v>162.245</v>
      </c>
      <c r="G1384" s="38" t="n">
        <f aca="false">Sens!$F$1384</f>
        <v>162.245</v>
      </c>
      <c r="H1384" s="38" t="n">
        <f aca="false">Sens!$G$1384+Sens!$H$1382</f>
        <v>162.245</v>
      </c>
      <c r="I1384" s="38" t="n">
        <f aca="false">Sens!$H$1384+Sens!$I$1382</f>
        <v>162.245</v>
      </c>
      <c r="J1384" s="38" t="n">
        <f aca="false">Sens!$I$1384+Sens!$J$1382</f>
        <v>162.245</v>
      </c>
      <c r="K1384" s="38" t="n">
        <f aca="false">Sens!$J$1384+Sens!$K$1382</f>
        <v>162.245</v>
      </c>
      <c r="L1384" s="38" t="n">
        <f aca="false">Sens!$K$1384+Sens!$L$1382</f>
        <v>162.245</v>
      </c>
      <c r="M1384" s="38" t="n">
        <f aca="false">Sens!$L$1384+Sens!$M$1382</f>
        <v>162.245</v>
      </c>
    </row>
    <row r="1385" customFormat="false" ht="15" hidden="false" customHeight="false" outlineLevel="0" collapsed="false">
      <c r="A1385" s="5" t="s">
        <v>754</v>
      </c>
      <c r="B1385" s="0" t="s">
        <v>73</v>
      </c>
      <c r="D1385" s="38" t="n">
        <f aca="false">Sens!$D$1384-Sens!$D$1383</f>
        <v>-54.193</v>
      </c>
      <c r="E1385" s="38" t="n">
        <f aca="false">Sens!$E$1384-Sens!$E$1383</f>
        <v>10.007</v>
      </c>
      <c r="F1385" s="38" t="n">
        <f aca="false">Sens!$F$1384-Sens!$F$1383</f>
        <v>58.4766241730482</v>
      </c>
      <c r="G1385" s="38" t="n">
        <f aca="false">Sens!$G$1384-Sens!$G$1383</f>
        <v>58.4766241730482</v>
      </c>
      <c r="H1385" s="38" t="n">
        <f aca="false">Sens!$H$1384-Sens!$H$1383</f>
        <v>61.9877047138644</v>
      </c>
      <c r="I1385" s="38" t="n">
        <f aca="false">Sens!$I$1384-Sens!$I$1383</f>
        <v>27.7086496498812</v>
      </c>
      <c r="J1385" s="38" t="n">
        <f aca="false">Sens!$J$1384-Sens!$J$1383</f>
        <v>-43.6312187023569</v>
      </c>
      <c r="K1385" s="38" t="n">
        <f aca="false">Sens!$K$1384-Sens!$K$1383</f>
        <v>-150.426689829833</v>
      </c>
      <c r="L1385" s="38" t="n">
        <f aca="false">Sens!$L$1384-Sens!$L$1383</f>
        <v>-261.95261880457</v>
      </c>
      <c r="M1385" s="38" t="n">
        <f aca="false">Sens!$M$1384-Sens!$M$1383</f>
        <v>-376.086924356786</v>
      </c>
    </row>
    <row r="1386" customFormat="false" ht="17.15" hidden="false" customHeight="false" outlineLevel="0" collapsed="false">
      <c r="A1386" s="5" t="s">
        <v>755</v>
      </c>
      <c r="B1386" s="0" t="s">
        <v>73</v>
      </c>
      <c r="F1386" s="38" t="n">
        <f aca="false">debt_q2*kd_book*0.5+iss_2h26*kd_new*0.25</f>
        <v>3.24888964316061</v>
      </c>
      <c r="H1386" s="38" t="n">
        <f aca="false">debt_q2*kd_book+(Sens!$G$1384-debt_q2)*kd_new</f>
        <v>7.42354178632123</v>
      </c>
      <c r="I1386" s="38" t="n">
        <f aca="false">debt_q2*kd_book+(Sens!$H$1384-debt_q2)*kd_new</f>
        <v>7.42354178632123</v>
      </c>
      <c r="J1386" s="38" t="n">
        <f aca="false">debt_q2*kd_book+(Sens!$I$1384-debt_q2)*kd_new</f>
        <v>7.42354178632123</v>
      </c>
      <c r="K1386" s="38" t="n">
        <f aca="false">debt_q2*kd_book+(Sens!$J$1384-debt_q2)*kd_new</f>
        <v>7.42354178632123</v>
      </c>
      <c r="L1386" s="38" t="n">
        <f aca="false">debt_q2*kd_book+(Sens!$K$1384-debt_q2)*kd_new</f>
        <v>7.42354178632123</v>
      </c>
      <c r="M1386" s="38" t="n">
        <f aca="false">debt_q2*kd_book+(Sens!$L$1384-debt_q2)*kd_new</f>
        <v>7.42354178632123</v>
      </c>
    </row>
    <row r="1387" customFormat="false" ht="17.15" hidden="false" customHeight="false" outlineLevel="0" collapsed="false">
      <c r="A1387" s="5" t="s">
        <v>756</v>
      </c>
      <c r="B1387" s="0" t="s">
        <v>73</v>
      </c>
      <c r="F1387" s="38" t="n">
        <f aca="false">cash_q2*y_cash*0.5</f>
        <v>2.59</v>
      </c>
      <c r="H1387" s="38" t="n">
        <f aca="false">Sens!$G$1383*y_cash</f>
        <v>4.37050921052144</v>
      </c>
      <c r="I1387" s="38" t="n">
        <f aca="false">Sens!$H$1383*y_cash</f>
        <v>4.22262976536071</v>
      </c>
      <c r="J1387" s="38" t="n">
        <f aca="false">Sens!$I$1383*y_cash</f>
        <v>5.66639261402426</v>
      </c>
      <c r="K1387" s="38" t="n">
        <f aca="false">Sens!$J$1383*y_cash</f>
        <v>8.67108021008724</v>
      </c>
      <c r="L1387" s="38" t="n">
        <f aca="false">Sens!$K$1383*y_cash</f>
        <v>13.1690844091987</v>
      </c>
      <c r="M1387" s="38" t="n">
        <f aca="false">Sens!$L$1383*y_cash</f>
        <v>17.8663257017569</v>
      </c>
    </row>
    <row r="1388" customFormat="false" ht="17.15" hidden="false" customHeight="false" outlineLevel="0" collapsed="false">
      <c r="A1388" s="46" t="s">
        <v>757</v>
      </c>
      <c r="B1388" s="13" t="s">
        <v>73</v>
      </c>
      <c r="C1388" s="13"/>
      <c r="D1388" s="13"/>
      <c r="E1388" s="13"/>
      <c r="F1388" s="13"/>
      <c r="G1388" s="47" t="n">
        <f aca="false">SUM(Sens!$G$1377:$K$1377)</f>
        <v>156.042689829833</v>
      </c>
      <c r="H1388" s="13"/>
      <c r="I1388" s="13"/>
      <c r="J1388" s="13"/>
      <c r="K1388" s="13"/>
      <c r="L1388" s="13"/>
      <c r="M1388" s="13"/>
      <c r="N1388" s="13"/>
      <c r="O1388" s="13"/>
    </row>
    <row r="1389" customFormat="false" ht="17.15" hidden="false" customHeight="false" outlineLevel="0" collapsed="false">
      <c r="A1389" s="0" t="s">
        <v>724</v>
      </c>
      <c r="B1389" s="0" t="s">
        <v>73</v>
      </c>
      <c r="G1389" s="38" t="n">
        <f aca="false">SUM(Sens!$G$1382:$K$1382)</f>
        <v>0</v>
      </c>
    </row>
    <row r="1392" customFormat="false" ht="19.4" hidden="false" customHeight="false" outlineLevel="0" collapsed="false">
      <c r="A1392" s="31" t="s">
        <v>1074</v>
      </c>
    </row>
    <row r="1393" customFormat="false" ht="17.15" hidden="false" customHeight="false" outlineLevel="0" collapsed="false">
      <c r="A1393" s="6" t="s">
        <v>16</v>
      </c>
      <c r="B1393" s="6" t="s">
        <v>17</v>
      </c>
      <c r="C1393" s="20" t="s">
        <v>457</v>
      </c>
      <c r="D1393" s="20" t="s">
        <v>458</v>
      </c>
      <c r="E1393" s="20" t="s">
        <v>540</v>
      </c>
      <c r="F1393" s="20" t="s">
        <v>541</v>
      </c>
      <c r="G1393" s="20" t="s">
        <v>542</v>
      </c>
      <c r="H1393" s="20" t="s">
        <v>543</v>
      </c>
      <c r="I1393" s="20" t="s">
        <v>544</v>
      </c>
      <c r="J1393" s="20" t="s">
        <v>545</v>
      </c>
      <c r="K1393" s="20" t="s">
        <v>546</v>
      </c>
      <c r="L1393" s="20" t="s">
        <v>547</v>
      </c>
      <c r="M1393" s="20" t="s">
        <v>548</v>
      </c>
      <c r="N1393" s="20" t="s">
        <v>549</v>
      </c>
      <c r="O1393" s="20" t="s">
        <v>550</v>
      </c>
      <c r="P1393" s="6" t="s">
        <v>23</v>
      </c>
      <c r="R1393" s="20" t="n">
        <v>2023</v>
      </c>
      <c r="S1393" s="20" t="n">
        <v>2024</v>
      </c>
      <c r="T1393" s="20" t="n">
        <v>2025</v>
      </c>
      <c r="U1393" s="20" t="n">
        <v>2026</v>
      </c>
      <c r="V1393" s="20" t="n">
        <v>2027</v>
      </c>
      <c r="W1393" s="20" t="n">
        <v>2028</v>
      </c>
      <c r="X1393" s="20" t="n">
        <v>2029</v>
      </c>
      <c r="Y1393" s="20" t="n">
        <v>2030</v>
      </c>
      <c r="Z1393" s="20" t="n">
        <v>2031</v>
      </c>
      <c r="AA1393" s="20" t="n">
        <v>2032</v>
      </c>
    </row>
    <row r="1394" customFormat="false" ht="17.15" hidden="false" customHeight="false" outlineLevel="0" collapsed="false">
      <c r="A1394" s="1" t="s">
        <v>852</v>
      </c>
    </row>
    <row r="1395" customFormat="false" ht="17.15" hidden="false" customHeight="false" outlineLevel="0" collapsed="false">
      <c r="A1395" s="0" t="s">
        <v>853</v>
      </c>
      <c r="B1395" s="0" t="s">
        <v>73</v>
      </c>
      <c r="H1395" s="38" t="n">
        <f aca="false">Sens!$H$1331*(1-tax)</f>
        <v>107.009006865591</v>
      </c>
      <c r="I1395" s="38" t="n">
        <f aca="false">Sens!$I$1331*(1-tax)</f>
        <v>127.025061509515</v>
      </c>
      <c r="J1395" s="38" t="n">
        <f aca="false">Sens!$J$1331*(1-tax)</f>
        <v>144.933661478169</v>
      </c>
      <c r="K1395" s="38" t="n">
        <f aca="false">Sens!$K$1331*(1-tax)</f>
        <v>159.283321423683</v>
      </c>
      <c r="L1395" s="38" t="n">
        <f aca="false">Sens!$L$1331*(1-tax)</f>
        <v>175.085121178651</v>
      </c>
      <c r="M1395" s="38" t="n">
        <f aca="false">Sens!$M$1331*(1-tax)</f>
        <v>191.467149147826</v>
      </c>
    </row>
    <row r="1396" customFormat="false" ht="15" hidden="false" customHeight="false" outlineLevel="0" collapsed="false">
      <c r="A1396" s="5" t="s">
        <v>854</v>
      </c>
      <c r="B1396" s="0" t="s">
        <v>73</v>
      </c>
      <c r="H1396" s="38" t="n">
        <f aca="false">Sens!$H$1343</f>
        <v>86.385361039311</v>
      </c>
      <c r="I1396" s="38" t="n">
        <f aca="false">Sens!$I$1343</f>
        <v>114.064827335034</v>
      </c>
      <c r="J1396" s="38" t="n">
        <f aca="false">Sens!$J$1343</f>
        <v>141.720109232513</v>
      </c>
      <c r="K1396" s="38" t="n">
        <f aca="false">Sens!$K$1343</f>
        <v>168.752869045787</v>
      </c>
      <c r="L1396" s="38" t="n">
        <f aca="false">Sens!$L$1343</f>
        <v>194.127563060438</v>
      </c>
      <c r="M1396" s="38" t="n">
        <f aca="false">Sens!$M$1343</f>
        <v>220.610733625255</v>
      </c>
    </row>
    <row r="1397" customFormat="false" ht="15" hidden="false" customHeight="false" outlineLevel="0" collapsed="false">
      <c r="A1397" s="5" t="s">
        <v>855</v>
      </c>
      <c r="B1397" s="0" t="s">
        <v>73</v>
      </c>
      <c r="H1397" s="38" t="n">
        <f aca="false">Sens!$H$1372</f>
        <v>228.227279265168</v>
      </c>
      <c r="I1397" s="38" t="n">
        <f aca="false">Sens!$I$1372</f>
        <v>242.772847107753</v>
      </c>
      <c r="J1397" s="38" t="n">
        <f aca="false">Sens!$J$1372</f>
        <v>256.907430635965</v>
      </c>
      <c r="K1397" s="38" t="n">
        <f aca="false">Sens!$K$1372</f>
        <v>269.224117840623</v>
      </c>
      <c r="L1397" s="38" t="n">
        <f aca="false">Sens!$L$1372</f>
        <v>313.494801740705</v>
      </c>
      <c r="M1397" s="38" t="n">
        <f aca="false">Sens!$M$1372</f>
        <v>361.956569433421</v>
      </c>
    </row>
    <row r="1398" customFormat="false" ht="15" hidden="false" customHeight="false" outlineLevel="0" collapsed="false">
      <c r="A1398" s="5" t="s">
        <v>856</v>
      </c>
      <c r="B1398" s="0" t="s">
        <v>73</v>
      </c>
      <c r="H1398" s="38" t="n">
        <f aca="false">Sens!$H$1373</f>
        <v>1.6</v>
      </c>
      <c r="I1398" s="38" t="n">
        <f aca="false">Sens!$I$1373</f>
        <v>1.6</v>
      </c>
      <c r="J1398" s="38" t="n">
        <f aca="false">Sens!$J$1373</f>
        <v>1.6</v>
      </c>
      <c r="K1398" s="38" t="n">
        <f aca="false">Sens!$K$1373</f>
        <v>1.6</v>
      </c>
      <c r="L1398" s="38" t="n">
        <f aca="false">Sens!$L$1373</f>
        <v>1.6</v>
      </c>
      <c r="M1398" s="38" t="n">
        <f aca="false">Sens!$M$1373</f>
        <v>1.6</v>
      </c>
    </row>
    <row r="1399" customFormat="false" ht="15" hidden="false" customHeight="false" outlineLevel="0" collapsed="false">
      <c r="A1399" s="5" t="s">
        <v>857</v>
      </c>
      <c r="B1399" s="0" t="s">
        <v>73</v>
      </c>
      <c r="H1399" s="38" t="n">
        <f aca="false">Sens!$H$1367</f>
        <v>11.5169736028361</v>
      </c>
      <c r="I1399" s="38" t="n">
        <f aca="false">Sens!$I$1367</f>
        <v>13.0643990641968</v>
      </c>
      <c r="J1399" s="38" t="n">
        <f aca="false">Sens!$J$1367</f>
        <v>14.5065402314953</v>
      </c>
      <c r="K1399" s="38" t="n">
        <f aca="false">Sens!$K$1367</f>
        <v>15.77594514315</v>
      </c>
      <c r="L1399" s="38" t="n">
        <f aca="false">Sens!$L$1367</f>
        <v>17.1105555077375</v>
      </c>
      <c r="M1399" s="38" t="n">
        <f aca="false">Sens!$M$1367</f>
        <v>18.5152346018244</v>
      </c>
    </row>
    <row r="1400" customFormat="false" ht="17.15" hidden="false" customHeight="false" outlineLevel="0" collapsed="false">
      <c r="A1400" s="1" t="s">
        <v>858</v>
      </c>
      <c r="B1400" s="8" t="s">
        <v>73</v>
      </c>
      <c r="H1400" s="38" t="n">
        <f aca="false">Sens!$H$1395+Sens!$H$1396-Sens!$H$1397-Sens!$H$1398+Sens!$H$1399</f>
        <v>-24.9159377574291</v>
      </c>
      <c r="I1400" s="38" t="n">
        <f aca="false">Sens!$I$1395+Sens!$I$1396-Sens!$I$1397-Sens!$I$1398+Sens!$I$1399</f>
        <v>9.78144080099232</v>
      </c>
      <c r="J1400" s="38" t="n">
        <f aca="false">Sens!$J$1395+Sens!$J$1396-Sens!$J$1397-Sens!$J$1398+Sens!$J$1399</f>
        <v>42.6528803062124</v>
      </c>
      <c r="K1400" s="38" t="n">
        <f aca="false">Sens!$K$1395+Sens!$K$1396-Sens!$K$1397-Sens!$K$1398+Sens!$K$1399</f>
        <v>72.9880177719972</v>
      </c>
      <c r="L1400" s="38" t="n">
        <f aca="false">Sens!$L$1395+Sens!$L$1396-Sens!$L$1397-Sens!$L$1398+Sens!$L$1399</f>
        <v>71.2284380061206</v>
      </c>
      <c r="M1400" s="38" t="n">
        <f aca="false">Sens!$M$1395+Sens!$M$1396-Sens!$M$1397-Sens!$M$1398+Sens!$M$1399</f>
        <v>67.0365479414851</v>
      </c>
    </row>
    <row r="1401" customFormat="false" ht="15" hidden="false" customHeight="false" outlineLevel="0" collapsed="false">
      <c r="A1401" s="5" t="s">
        <v>859</v>
      </c>
      <c r="B1401" s="0" t="s">
        <v>57</v>
      </c>
      <c r="H1401" s="51" t="n">
        <f aca="false">1/(1+wacc)^(2027-2026-0.5)</f>
        <v>0.942858177653364</v>
      </c>
      <c r="I1401" s="51" t="n">
        <f aca="false">1/(1+wacc)^(2028-2026-0.5)</f>
        <v>0.838183517758688</v>
      </c>
      <c r="J1401" s="51" t="n">
        <f aca="false">1/(1+wacc)^(2029-2026-0.5)</f>
        <v>0.745129677074952</v>
      </c>
      <c r="K1401" s="51" t="n">
        <f aca="false">1/(1+wacc)^(2030-2026-0.5)</f>
        <v>0.662406530186232</v>
      </c>
      <c r="L1401" s="51" t="n">
        <f aca="false">1/(1+wacc)^(2031-2026-0.5)</f>
        <v>0.588867179409399</v>
      </c>
      <c r="M1401" s="51" t="n">
        <f aca="false">1/(1+wacc)^(2032-2026-0.5)</f>
        <v>0.52349205387225</v>
      </c>
    </row>
    <row r="1402" customFormat="false" ht="15" hidden="false" customHeight="false" outlineLevel="0" collapsed="false">
      <c r="A1402" s="5" t="s">
        <v>860</v>
      </c>
      <c r="B1402" s="0" t="s">
        <v>73</v>
      </c>
      <c r="H1402" s="38" t="n">
        <f aca="false">Sens!$H$1400*Sens!$H$1401</f>
        <v>-23.4921956684942</v>
      </c>
      <c r="I1402" s="38" t="n">
        <f aca="false">Sens!$I$1400*Sens!$I$1401</f>
        <v>8.1986424593241</v>
      </c>
      <c r="J1402" s="38" t="n">
        <f aca="false">Sens!$J$1400*Sens!$J$1401</f>
        <v>31.7819269288846</v>
      </c>
      <c r="K1402" s="38" t="n">
        <f aca="false">Sens!$K$1400*Sens!$K$1401</f>
        <v>48.3477395975197</v>
      </c>
      <c r="L1402" s="38" t="n">
        <f aca="false">Sens!$L$1400*Sens!$L$1401</f>
        <v>41.9440893824015</v>
      </c>
      <c r="M1402" s="38" t="n">
        <f aca="false">Sens!$M$1400*Sens!$M$1401</f>
        <v>35.0931001663936</v>
      </c>
    </row>
    <row r="1403" customFormat="false" ht="15" hidden="false" customHeight="false" outlineLevel="0" collapsed="false">
      <c r="A1403" s="5" t="s">
        <v>861</v>
      </c>
      <c r="B1403" s="0" t="s">
        <v>73</v>
      </c>
      <c r="C1403" s="38" t="n">
        <f aca="false">SUM(Sens!$H$1402:$M$1402)</f>
        <v>141.873302866029</v>
      </c>
    </row>
    <row r="1404" customFormat="false" ht="17.15" hidden="false" customHeight="false" outlineLevel="0" collapsed="false">
      <c r="A1404" s="5" t="s">
        <v>862</v>
      </c>
      <c r="B1404" s="0" t="s">
        <v>73</v>
      </c>
      <c r="C1404" s="38" t="n">
        <f aca="false">Sens!$M$1395*(1+tg)*(1-tg/ronic)/(wacc-tg)</f>
        <v>1579.17061333197</v>
      </c>
    </row>
    <row r="1405" customFormat="false" ht="15" hidden="false" customHeight="false" outlineLevel="0" collapsed="false">
      <c r="A1405" s="5" t="s">
        <v>863</v>
      </c>
      <c r="B1405" s="0" t="s">
        <v>73</v>
      </c>
      <c r="C1405" s="38" t="n">
        <f aca="false">Sens!$C$1404/(1+wacc)^6</f>
        <v>779.445079362984</v>
      </c>
    </row>
    <row r="1406" customFormat="false" ht="17.15" hidden="false" customHeight="false" outlineLevel="0" collapsed="false">
      <c r="A1406" s="5" t="s">
        <v>864</v>
      </c>
      <c r="B1406" s="0" t="s">
        <v>73</v>
      </c>
      <c r="C1406" s="38" t="n">
        <f aca="false">Sens!$C$1403+Sens!$C$1405</f>
        <v>921.318382229013</v>
      </c>
    </row>
    <row r="1407" customFormat="false" ht="17.15" hidden="false" customHeight="false" outlineLevel="0" collapsed="false">
      <c r="A1407" s="5" t="s">
        <v>865</v>
      </c>
      <c r="B1407" s="0" t="s">
        <v>52</v>
      </c>
      <c r="C1407" s="12" t="n">
        <f aca="false">Sens!$C$1405/Sens!$C$1406</f>
        <v>0.846010558779057</v>
      </c>
    </row>
    <row r="1408" customFormat="false" ht="17.15" hidden="false" customHeight="false" outlineLevel="0" collapsed="false">
      <c r="A1408" s="5" t="s">
        <v>866</v>
      </c>
      <c r="B1408" s="0" t="s">
        <v>73</v>
      </c>
      <c r="C1408" s="38" t="n">
        <f aca="false">Sens!$G$1385</f>
        <v>58.4766241730482</v>
      </c>
    </row>
    <row r="1409" customFormat="false" ht="17.15" hidden="false" customHeight="false" outlineLevel="0" collapsed="false">
      <c r="A1409" s="5" t="s">
        <v>867</v>
      </c>
      <c r="B1409" s="0" t="s">
        <v>73</v>
      </c>
      <c r="C1409" s="38" t="n">
        <f aca="false">(ant_val*ant_sh+oai_val*oai_sh)*(1-liq_disc)</f>
        <v>178.944</v>
      </c>
    </row>
    <row r="1410" customFormat="false" ht="15" hidden="false" customHeight="false" outlineLevel="0" collapsed="false">
      <c r="A1410" s="5" t="s">
        <v>868</v>
      </c>
      <c r="B1410" s="0" t="s">
        <v>73</v>
      </c>
      <c r="C1410" s="38" t="n">
        <f aca="false">Sens!$C$1406-Sens!$C$1408+Sens!$C$1409</f>
        <v>1041.78575805597</v>
      </c>
    </row>
    <row r="1411" customFormat="false" ht="17.15" hidden="false" customHeight="false" outlineLevel="0" collapsed="false">
      <c r="A1411" s="5" t="s">
        <v>869</v>
      </c>
      <c r="B1411" s="0" t="s">
        <v>27</v>
      </c>
      <c r="C1411" s="30" t="n">
        <f aca="false">Sens!$C$1410/sh_val</f>
        <v>94.4475160050716</v>
      </c>
    </row>
    <row r="1412" customFormat="false" ht="17.15" hidden="false" customHeight="false" outlineLevel="0" collapsed="false">
      <c r="A1412" s="1" t="s">
        <v>870</v>
      </c>
      <c r="B1412" s="8" t="s">
        <v>27</v>
      </c>
      <c r="C1412" s="30" t="n">
        <f aca="false">Sens!$C$1411*(1+ke)^tp_yf</f>
        <v>104.312079298301</v>
      </c>
    </row>
    <row r="1413" customFormat="false" ht="17.15" hidden="false" customHeight="false" outlineLevel="0" collapsed="false">
      <c r="A1413" s="3" t="s">
        <v>871</v>
      </c>
    </row>
    <row r="1414" customFormat="false" ht="17.15" hidden="false" customHeight="false" outlineLevel="0" collapsed="false">
      <c r="A1414" s="5" t="s">
        <v>872</v>
      </c>
      <c r="B1414" s="0" t="s">
        <v>73</v>
      </c>
      <c r="C1414" s="38" t="n">
        <f aca="false">0.25*Sens!$H$1344+0.75*Sens!$I$1344</f>
        <v>57.5541093268329</v>
      </c>
    </row>
    <row r="1415" customFormat="false" ht="15" hidden="false" customHeight="false" outlineLevel="0" collapsed="false">
      <c r="A1415" s="5" t="s">
        <v>873</v>
      </c>
      <c r="B1415" s="0" t="s">
        <v>57</v>
      </c>
      <c r="C1415" s="30" t="n">
        <f aca="false">m_ads*m_x</f>
        <v>9.11</v>
      </c>
    </row>
    <row r="1416" customFormat="false" ht="17.15" hidden="false" customHeight="false" outlineLevel="0" collapsed="false">
      <c r="A1416" s="5" t="s">
        <v>874</v>
      </c>
      <c r="B1416" s="0" t="s">
        <v>73</v>
      </c>
      <c r="C1416" s="38" t="n">
        <f aca="false">Sens!$C$1414*Sens!$C$1415</f>
        <v>524.317935967448</v>
      </c>
    </row>
    <row r="1417" customFormat="false" ht="17.15" hidden="false" customHeight="false" outlineLevel="0" collapsed="false">
      <c r="A1417" s="5" t="s">
        <v>875</v>
      </c>
      <c r="B1417" s="0" t="s">
        <v>73</v>
      </c>
      <c r="C1417" s="38" t="n">
        <f aca="false">0.25*Sens!$H$1345+0.75*Sens!$I$1345</f>
        <v>31.5302885025357</v>
      </c>
    </row>
    <row r="1418" customFormat="false" ht="15" hidden="false" customHeight="false" outlineLevel="0" collapsed="false">
      <c r="A1418" s="5" t="s">
        <v>876</v>
      </c>
      <c r="B1418" s="0" t="s">
        <v>57</v>
      </c>
      <c r="C1418" s="30" t="n">
        <f aca="false">m_retail*m_x</f>
        <v>17.72</v>
      </c>
    </row>
    <row r="1419" customFormat="false" ht="17.15" hidden="false" customHeight="false" outlineLevel="0" collapsed="false">
      <c r="A1419" s="5" t="s">
        <v>877</v>
      </c>
      <c r="B1419" s="0" t="s">
        <v>73</v>
      </c>
      <c r="C1419" s="38" t="n">
        <f aca="false">Sens!$C$1417*Sens!$C$1418</f>
        <v>558.716712264932</v>
      </c>
    </row>
    <row r="1420" customFormat="false" ht="17.15" hidden="false" customHeight="false" outlineLevel="0" collapsed="false">
      <c r="A1420" s="0" t="s">
        <v>878</v>
      </c>
      <c r="B1420" s="0" t="s">
        <v>73</v>
      </c>
      <c r="C1420" s="38" t="n">
        <f aca="false">0.25*Sens!$H$1346+0.75*Sens!$I$1346</f>
        <v>107.575398943098</v>
      </c>
    </row>
    <row r="1421" customFormat="false" ht="17.15" hidden="false" customHeight="false" outlineLevel="0" collapsed="false">
      <c r="A1421" s="0" t="s">
        <v>879</v>
      </c>
      <c r="B1421" s="0" t="s">
        <v>57</v>
      </c>
      <c r="C1421" s="30" t="n">
        <f aca="false">m_cloud*m_x</f>
        <v>13.82</v>
      </c>
    </row>
    <row r="1422" customFormat="false" ht="17.15" hidden="false" customHeight="false" outlineLevel="0" collapsed="false">
      <c r="A1422" s="0" t="s">
        <v>880</v>
      </c>
      <c r="B1422" s="0" t="s">
        <v>73</v>
      </c>
      <c r="C1422" s="38" t="n">
        <f aca="false">Sens!$C$1420*Sens!$C$1421</f>
        <v>1486.69201339361</v>
      </c>
    </row>
    <row r="1423" customFormat="false" ht="17.15" hidden="false" customHeight="false" outlineLevel="0" collapsed="false">
      <c r="A1423" s="0" t="s">
        <v>881</v>
      </c>
      <c r="B1423" s="0" t="s">
        <v>73</v>
      </c>
      <c r="C1423" s="38" t="n">
        <f aca="false">0.25*Sens!$H$1347+0.75*Sens!$I$1347</f>
        <v>58.1361359018626</v>
      </c>
    </row>
    <row r="1424" customFormat="false" ht="17.15" hidden="false" customHeight="false" outlineLevel="0" collapsed="false">
      <c r="A1424" s="0" t="s">
        <v>882</v>
      </c>
      <c r="B1424" s="0" t="s">
        <v>57</v>
      </c>
      <c r="C1424" s="30" t="n">
        <f aca="false">m_ai</f>
        <v>6</v>
      </c>
    </row>
    <row r="1425" customFormat="false" ht="17.15" hidden="false" customHeight="false" outlineLevel="0" collapsed="false">
      <c r="A1425" s="0" t="s">
        <v>883</v>
      </c>
      <c r="B1425" s="0" t="s">
        <v>73</v>
      </c>
      <c r="C1425" s="38" t="n">
        <f aca="false">Sens!$C$1423*Sens!$C$1424</f>
        <v>348.816815411176</v>
      </c>
    </row>
    <row r="1426" customFormat="false" ht="17.15" hidden="false" customHeight="false" outlineLevel="0" collapsed="false">
      <c r="A1426" s="5" t="s">
        <v>884</v>
      </c>
      <c r="B1426" s="0" t="s">
        <v>73</v>
      </c>
      <c r="C1426" s="38" t="n">
        <f aca="false">Sens!$C$1416+Sens!$C$1419+Sens!$C$1422+Sens!$C$1425</f>
        <v>2918.54347703717</v>
      </c>
    </row>
    <row r="1427" customFormat="false" ht="17.15" hidden="false" customHeight="false" outlineLevel="0" collapsed="false">
      <c r="A1427" s="5" t="s">
        <v>885</v>
      </c>
      <c r="B1427" s="0" t="s">
        <v>73</v>
      </c>
      <c r="C1427" s="38" t="n">
        <f aca="false">Sens!$H$1385</f>
        <v>61.9877047138644</v>
      </c>
    </row>
    <row r="1428" customFormat="false" ht="15" hidden="false" customHeight="false" outlineLevel="0" collapsed="false">
      <c r="A1428" s="5" t="s">
        <v>886</v>
      </c>
      <c r="B1428" s="0" t="s">
        <v>73</v>
      </c>
      <c r="C1428" s="38" t="n">
        <f aca="false">Sens!$C$1426-Sens!$C$1427+Sens!$C$1409</f>
        <v>3035.4997723233</v>
      </c>
    </row>
    <row r="1429" customFormat="false" ht="15" hidden="false" customHeight="false" outlineLevel="0" collapsed="false">
      <c r="A1429" s="3" t="s">
        <v>887</v>
      </c>
      <c r="B1429" s="8" t="s">
        <v>27</v>
      </c>
      <c r="C1429" s="30" t="n">
        <f aca="false">Sens!$C$1428/sh_val</f>
        <v>275.196134246342</v>
      </c>
    </row>
    <row r="1430" customFormat="false" ht="17.15" hidden="false" customHeight="false" outlineLevel="0" collapsed="false">
      <c r="A1430" s="46" t="s">
        <v>888</v>
      </c>
      <c r="B1430" s="13" t="s">
        <v>27</v>
      </c>
      <c r="C1430" s="43" t="n">
        <f aca="false">w_dcf*Sens!$C$1412+(1-w_dcf)*Sens!$C$1429</f>
        <v>189.754106772321</v>
      </c>
      <c r="D1430" s="13"/>
      <c r="E1430" s="13"/>
      <c r="F1430" s="13"/>
      <c r="G1430" s="13"/>
      <c r="H1430" s="13"/>
      <c r="I1430" s="13"/>
      <c r="J1430" s="13"/>
      <c r="K1430" s="13"/>
      <c r="L1430" s="13"/>
      <c r="M1430" s="13"/>
      <c r="N1430" s="13"/>
      <c r="O1430" s="13"/>
    </row>
    <row r="1431" customFormat="false" ht="17.15" hidden="false" customHeight="false" outlineLevel="0" collapsed="false">
      <c r="A1431" s="5" t="s">
        <v>889</v>
      </c>
      <c r="B1431" s="0" t="s">
        <v>27</v>
      </c>
      <c r="C1431" s="30" t="n">
        <f aca="false">0.45*Sens!$C$1412+0.55*Sens!$C$1429</f>
        <v>198.298309519723</v>
      </c>
    </row>
    <row r="1434" customFormat="false" ht="19.4" hidden="false" customHeight="false" outlineLevel="0" collapsed="false">
      <c r="A1434" s="31" t="s">
        <v>1075</v>
      </c>
    </row>
    <row r="1435" customFormat="false" ht="17.15" hidden="false" customHeight="false" outlineLevel="0" collapsed="false">
      <c r="A1435" s="6" t="s">
        <v>16</v>
      </c>
      <c r="B1435" s="6" t="s">
        <v>17</v>
      </c>
      <c r="C1435" s="20" t="s">
        <v>457</v>
      </c>
      <c r="D1435" s="20" t="s">
        <v>458</v>
      </c>
      <c r="E1435" s="20" t="s">
        <v>540</v>
      </c>
      <c r="F1435" s="20" t="s">
        <v>541</v>
      </c>
      <c r="G1435" s="20" t="s">
        <v>542</v>
      </c>
      <c r="H1435" s="20" t="s">
        <v>543</v>
      </c>
      <c r="I1435" s="20" t="s">
        <v>544</v>
      </c>
      <c r="J1435" s="20" t="s">
        <v>545</v>
      </c>
      <c r="K1435" s="20" t="s">
        <v>546</v>
      </c>
      <c r="L1435" s="20" t="s">
        <v>547</v>
      </c>
      <c r="M1435" s="20" t="s">
        <v>548</v>
      </c>
      <c r="N1435" s="20" t="s">
        <v>549</v>
      </c>
      <c r="O1435" s="20" t="s">
        <v>550</v>
      </c>
      <c r="P1435" s="6" t="s">
        <v>23</v>
      </c>
      <c r="R1435" s="20" t="n">
        <v>2023</v>
      </c>
      <c r="S1435" s="20" t="n">
        <v>2024</v>
      </c>
      <c r="T1435" s="20" t="n">
        <v>2025</v>
      </c>
      <c r="U1435" s="20" t="n">
        <v>2026</v>
      </c>
      <c r="V1435" s="20" t="n">
        <v>2027</v>
      </c>
      <c r="W1435" s="20" t="n">
        <v>2028</v>
      </c>
      <c r="X1435" s="20" t="n">
        <v>2029</v>
      </c>
      <c r="Y1435" s="20" t="n">
        <v>2030</v>
      </c>
      <c r="Z1435" s="20" t="n">
        <v>2031</v>
      </c>
      <c r="AA1435" s="20" t="n">
        <v>2032</v>
      </c>
    </row>
    <row r="1436" customFormat="false" ht="17.15" hidden="false" customHeight="false" outlineLevel="0" collapsed="false">
      <c r="A1436" s="1" t="s">
        <v>621</v>
      </c>
    </row>
    <row r="1437" customFormat="false" ht="17.15" hidden="false" customHeight="false" outlineLevel="0" collapsed="false">
      <c r="A1437" s="0" t="s">
        <v>479</v>
      </c>
      <c r="B1437" s="0" t="s">
        <v>73</v>
      </c>
      <c r="C1437" s="38" t="n">
        <f aca="false">Q!$D$10</f>
        <v>247.029</v>
      </c>
      <c r="D1437" s="38" t="n">
        <f aca="false">Q!$E$10</f>
        <v>269.287</v>
      </c>
      <c r="E1437" s="38" t="n">
        <f aca="false">Q!$P$10</f>
        <v>134.686</v>
      </c>
      <c r="F1437" s="38" t="n">
        <f aca="false">Sens!$O$1437*(1+Sens!$F$1438)-pd_amt*Q!$O$10/(Q!$O$10+Q!$O$12)</f>
        <v>160.728085930082</v>
      </c>
      <c r="G1437" s="38" t="n">
        <f aca="false">Sens!$E$1437+Sens!$F$1437</f>
        <v>295.414085930082</v>
      </c>
      <c r="H1437" s="38" t="n">
        <f aca="false">Sens!$G$1437*(1+Sens!$H$1438)</f>
        <v>320.828163943375</v>
      </c>
      <c r="I1437" s="38" t="n">
        <f aca="false">Sens!$H$1437*(1+Sens!$I$1438)</f>
        <v>344.575578072228</v>
      </c>
      <c r="J1437" s="38" t="n">
        <f aca="false">Sens!$I$1437*(1+Sens!$J$1438)</f>
        <v>365.942555779681</v>
      </c>
      <c r="K1437" s="38" t="n">
        <f aca="false">Sens!$J$1437*(1+Sens!$K$1438)</f>
        <v>384.239683568665</v>
      </c>
      <c r="L1437" s="38" t="n">
        <f aca="false">Sens!$K$1437*(1+Sens!$L$1438)</f>
        <v>403.451667747098</v>
      </c>
      <c r="M1437" s="38" t="n">
        <f aca="false">Sens!$L$1437*(1+Sens!$M$1438)</f>
        <v>423.624251134453</v>
      </c>
      <c r="N1437" s="38" t="n">
        <f aca="false">Q!$N$10</f>
        <v>118.892</v>
      </c>
      <c r="O1437" s="38" t="n">
        <f aca="false">Q!$O$10</f>
        <v>150.395</v>
      </c>
      <c r="P1437" s="8" t="s">
        <v>622</v>
      </c>
    </row>
    <row r="1438" customFormat="false" ht="17.15" hidden="false" customHeight="false" outlineLevel="0" collapsed="false">
      <c r="A1438" s="0" t="s">
        <v>623</v>
      </c>
      <c r="B1438" s="0" t="s">
        <v>52</v>
      </c>
      <c r="E1438" s="12" t="n">
        <f aca="false">Sens!$E$1437/Sens!$N$1437-1</f>
        <v>0.132843252699929</v>
      </c>
      <c r="F1438" s="12" t="n">
        <f aca="false">Sens!$O$1437/(Q!$F$10+Q!$G$10)-1</f>
        <v>0.0980382135842941</v>
      </c>
      <c r="G1438" s="12" t="n">
        <f aca="false">Sens!$G$1437/Sens!$D$1437-1</f>
        <v>0.0970231980380869</v>
      </c>
      <c r="H1438" s="12" t="n">
        <f aca="false">Sens!$F$1438+(g_os-Sens!$F$1438)*1/4</f>
        <v>0.0860286601882206</v>
      </c>
      <c r="I1438" s="12" t="n">
        <f aca="false">Sens!$F$1438+(g_os-Sens!$F$1438)*2/4</f>
        <v>0.074019106792147</v>
      </c>
      <c r="J1438" s="12" t="n">
        <f aca="false">Sens!$F$1438+(g_os-Sens!$F$1438)*3/4</f>
        <v>0.0620095533960735</v>
      </c>
      <c r="K1438" s="12" t="n">
        <f aca="false">Sens!$F$1438+(g_os-Sens!$F$1438)*4/4</f>
        <v>0.05</v>
      </c>
      <c r="L1438" s="12" t="n">
        <f aca="false">g_os</f>
        <v>0.05</v>
      </c>
      <c r="M1438" s="12" t="n">
        <f aca="false">g_os</f>
        <v>0.05</v>
      </c>
      <c r="P1438" s="8" t="s">
        <v>624</v>
      </c>
    </row>
    <row r="1439" customFormat="false" ht="17.15" hidden="false" customHeight="false" outlineLevel="0" collapsed="false">
      <c r="A1439" s="0" t="s">
        <v>480</v>
      </c>
      <c r="B1439" s="0" t="s">
        <v>73</v>
      </c>
      <c r="C1439" s="38" t="n">
        <f aca="false">Q!$D$11</f>
        <v>21.215</v>
      </c>
      <c r="D1439" s="38" t="n">
        <f aca="false">Q!$E$11</f>
        <v>22.561</v>
      </c>
      <c r="E1439" s="38" t="n">
        <f aca="false">Q!$P$11</f>
        <v>11.579</v>
      </c>
      <c r="F1439" s="38" t="n">
        <f aca="false">Sens!$O$1439*(1+Sens!$F$1440)</f>
        <v>12.0952613121125</v>
      </c>
      <c r="G1439" s="38" t="n">
        <f aca="false">Sens!$E$1439+Sens!$F$1439</f>
        <v>23.6742613121125</v>
      </c>
      <c r="H1439" s="38" t="n">
        <f aca="false">Sens!$G$1439*(1+Sens!$H$1440)</f>
        <v>24.8803243963206</v>
      </c>
      <c r="I1439" s="38" t="n">
        <f aca="false">Sens!$H$1439*(1+Sens!$I$1440)</f>
        <v>25.9741308664154</v>
      </c>
      <c r="J1439" s="38" t="n">
        <f aca="false">Sens!$I$1439*(1+Sens!$J$1440)</f>
        <v>26.9346894124267</v>
      </c>
      <c r="K1439" s="38" t="n">
        <f aca="false">Sens!$J$1439*(1+Sens!$K$1440)</f>
        <v>27.7427300947995</v>
      </c>
      <c r="L1439" s="38" t="n">
        <f aca="false">Sens!$K$1439*(1+Sens!$L$1440)</f>
        <v>28.5750119976435</v>
      </c>
      <c r="M1439" s="38" t="n">
        <f aca="false">Sens!$L$1439*(1+Sens!$M$1440)</f>
        <v>29.4322623575728</v>
      </c>
      <c r="N1439" s="38" t="n">
        <f aca="false">Q!$N$11</f>
        <v>11.128</v>
      </c>
      <c r="O1439" s="38" t="n">
        <f aca="false">Q!$O$11</f>
        <v>11.433</v>
      </c>
      <c r="P1439" s="8" t="s">
        <v>622</v>
      </c>
    </row>
    <row r="1440" customFormat="false" ht="17.15" hidden="false" customHeight="false" outlineLevel="0" collapsed="false">
      <c r="A1440" s="0" t="s">
        <v>625</v>
      </c>
      <c r="B1440" s="0" t="s">
        <v>52</v>
      </c>
      <c r="E1440" s="12" t="n">
        <f aca="false">Sens!$E$1439/Sens!$N$1439-1</f>
        <v>0.0405283968368082</v>
      </c>
      <c r="F1440" s="12" t="n">
        <f aca="false">Sens!$O$1439/(Q!$F$11+Q!$G$11)-1</f>
        <v>0.0579254187100955</v>
      </c>
      <c r="G1440" s="12" t="n">
        <f aca="false">Sens!$G$1439/Sens!$D$1439-1</f>
        <v>0.0493445021103904</v>
      </c>
      <c r="H1440" s="12" t="n">
        <f aca="false">Sens!$F$1440+(g_ps-Sens!$F$1440)*1/4</f>
        <v>0.0509440640325716</v>
      </c>
      <c r="I1440" s="12" t="n">
        <f aca="false">Sens!$F$1440+(g_ps-Sens!$F$1440)*2/4</f>
        <v>0.0439627093550477</v>
      </c>
      <c r="J1440" s="12" t="n">
        <f aca="false">Sens!$F$1440+(g_ps-Sens!$F$1440)*3/4</f>
        <v>0.0369813546775239</v>
      </c>
      <c r="K1440" s="12" t="n">
        <f aca="false">Sens!$F$1440+(g_ps-Sens!$F$1440)*4/4</f>
        <v>0.03</v>
      </c>
      <c r="L1440" s="12" t="n">
        <f aca="false">g_ps</f>
        <v>0.03</v>
      </c>
      <c r="M1440" s="12" t="n">
        <f aca="false">g_ps</f>
        <v>0.03</v>
      </c>
      <c r="P1440" s="8" t="s">
        <v>626</v>
      </c>
    </row>
    <row r="1441" customFormat="false" ht="17.15" hidden="false" customHeight="false" outlineLevel="0" collapsed="false">
      <c r="A1441" s="0" t="s">
        <v>481</v>
      </c>
      <c r="B1441" s="0" t="s">
        <v>73</v>
      </c>
      <c r="C1441" s="38" t="n">
        <f aca="false">Q!$D$12</f>
        <v>156.146</v>
      </c>
      <c r="D1441" s="38" t="n">
        <f aca="false">Q!$E$12</f>
        <v>172.162</v>
      </c>
      <c r="E1441" s="38" t="n">
        <f aca="false">Q!$P$12</f>
        <v>88.358</v>
      </c>
      <c r="F1441" s="38" t="n">
        <f aca="false">Sens!$O$1441*(1+Sens!$F$1442)-pd_amt*Q!$O$12/(Q!$O$10+Q!$O$12)</f>
        <v>103.62028337149</v>
      </c>
      <c r="G1441" s="38" t="n">
        <f aca="false">Sens!$E$1441+Sens!$F$1441</f>
        <v>191.97828337149</v>
      </c>
      <c r="H1441" s="38" t="n">
        <f aca="false">Sens!$G$1441*(1+Sens!$H$1442)</f>
        <v>212.128608444755</v>
      </c>
      <c r="I1441" s="38" t="n">
        <f aca="false">Sens!$H$1441*(1+Sens!$I$1442)</f>
        <v>231.92183134134</v>
      </c>
      <c r="J1441" s="38" t="n">
        <f aca="false">Sens!$I$1441*(1+Sens!$J$1442)</f>
        <v>250.859136487863</v>
      </c>
      <c r="K1441" s="38" t="n">
        <f aca="false">Sens!$J$1441*(1+Sens!$K$1442)</f>
        <v>268.419276042014</v>
      </c>
      <c r="L1441" s="38" t="n">
        <f aca="false">Sens!$K$1441*(1+Sens!$L$1442)</f>
        <v>287.208625364954</v>
      </c>
      <c r="M1441" s="38" t="n">
        <f aca="false">Sens!$L$1441*(1+Sens!$M$1442)</f>
        <v>307.313229140501</v>
      </c>
      <c r="N1441" s="38" t="n">
        <f aca="false">Q!$N$12</f>
        <v>76.86</v>
      </c>
      <c r="O1441" s="38" t="n">
        <f aca="false">Q!$O$12</f>
        <v>95.302</v>
      </c>
      <c r="P1441" s="8" t="s">
        <v>622</v>
      </c>
    </row>
    <row r="1442" customFormat="false" ht="17.15" hidden="false" customHeight="false" outlineLevel="0" collapsed="false">
      <c r="A1442" s="0" t="s">
        <v>627</v>
      </c>
      <c r="B1442" s="0" t="s">
        <v>52</v>
      </c>
      <c r="E1442" s="12" t="n">
        <f aca="false">Sens!$E$1441/Sens!$N$1441-1</f>
        <v>0.1495966692688</v>
      </c>
      <c r="F1442" s="12" t="n">
        <f aca="false">Sens!$O$1441/(Q!$F$12+Q!$G$12)-1</f>
        <v>0.11661530890813</v>
      </c>
      <c r="G1442" s="12" t="n">
        <f aca="false">Sens!$G$1441/Sens!$D$1441-1</f>
        <v>0.115102539303041</v>
      </c>
      <c r="H1442" s="12" t="n">
        <f aca="false">Sens!$F$1442+(g_sp-Sens!$F$1442)*1/4</f>
        <v>0.104961481681098</v>
      </c>
      <c r="I1442" s="12" t="n">
        <f aca="false">Sens!$F$1442+(g_sp-Sens!$F$1442)*2/4</f>
        <v>0.0933076544540651</v>
      </c>
      <c r="J1442" s="12" t="n">
        <f aca="false">Sens!$F$1442+(g_sp-Sens!$F$1442)*3/4</f>
        <v>0.0816538272270325</v>
      </c>
      <c r="K1442" s="12" t="n">
        <f aca="false">Sens!$F$1442+(g_sp-Sens!$F$1442)*4/4</f>
        <v>0.07</v>
      </c>
      <c r="L1442" s="12" t="n">
        <f aca="false">g_sp</f>
        <v>0.07</v>
      </c>
      <c r="M1442" s="12" t="n">
        <f aca="false">g_sp</f>
        <v>0.07</v>
      </c>
      <c r="P1442" s="8" t="s">
        <v>628</v>
      </c>
    </row>
    <row r="1443" customFormat="false" ht="17.15" hidden="false" customHeight="false" outlineLevel="0" collapsed="false">
      <c r="A1443" s="0" t="s">
        <v>482</v>
      </c>
      <c r="B1443" s="0" t="s">
        <v>73</v>
      </c>
      <c r="C1443" s="38" t="n">
        <f aca="false">Q!$D$13</f>
        <v>56.214</v>
      </c>
      <c r="D1443" s="38" t="n">
        <f aca="false">Q!$E$13</f>
        <v>68.635</v>
      </c>
      <c r="E1443" s="38" t="n">
        <f aca="false">Q!$P$13</f>
        <v>37.052</v>
      </c>
      <c r="F1443" s="38" t="n">
        <f aca="false">Sens!$O$1443*(1+Sens!$F$1444)</f>
        <v>48.1533381827382</v>
      </c>
      <c r="G1443" s="38" t="n">
        <f aca="false">Sens!$E$1443+Sens!$F$1443</f>
        <v>85.2053381827382</v>
      </c>
      <c r="H1443" s="38" t="n">
        <f aca="false">Sens!$G$1443*(1+Sens!$H$1444)</f>
        <v>102.29336185894</v>
      </c>
      <c r="I1443" s="38" t="n">
        <f aca="false">Sens!$H$1443*(1+Sens!$I$1444)</f>
        <v>119.379837585241</v>
      </c>
      <c r="J1443" s="38" t="n">
        <f aca="false">Sens!$I$1443*(1+Sens!$J$1444)</f>
        <v>135.319079048844</v>
      </c>
      <c r="K1443" s="38" t="n">
        <f aca="false">Sens!$J$1443*(1+Sens!$K$1444)</f>
        <v>148.850986953729</v>
      </c>
      <c r="L1443" s="38" t="n">
        <f aca="false">Sens!$K$1443*(1+Sens!$L$1444)</f>
        <v>163.736085649102</v>
      </c>
      <c r="M1443" s="38" t="n">
        <f aca="false">Sens!$L$1443*(1+Sens!$M$1444)</f>
        <v>180.109694214012</v>
      </c>
      <c r="N1443" s="38" t="n">
        <f aca="false">Q!$N$13</f>
        <v>29.615</v>
      </c>
      <c r="O1443" s="38" t="n">
        <f aca="false">Q!$O$13</f>
        <v>39.02</v>
      </c>
      <c r="P1443" s="8" t="s">
        <v>622</v>
      </c>
    </row>
    <row r="1444" customFormat="false" ht="17.15" hidden="false" customHeight="false" outlineLevel="0" collapsed="false">
      <c r="A1444" s="0" t="s">
        <v>629</v>
      </c>
      <c r="B1444" s="0" t="s">
        <v>52</v>
      </c>
      <c r="E1444" s="12" t="n">
        <f aca="false">Sens!$E$1443/Sens!$N$1443-1</f>
        <v>0.25112274185379</v>
      </c>
      <c r="F1444" s="12" t="n">
        <f aca="false">Sens!$O$1443/(Q!$F$13+Q!$G$13)-1</f>
        <v>0.234068123596572</v>
      </c>
      <c r="G1444" s="12" t="n">
        <f aca="false">Sens!$G$1443/Sens!$D$1443-1</f>
        <v>0.241426942270536</v>
      </c>
      <c r="H1444" s="12" t="n">
        <f aca="false">Sens!$F$1444+(g_ad-Sens!$F$1444)*1/4</f>
        <v>0.200551092697429</v>
      </c>
      <c r="I1444" s="12" t="n">
        <f aca="false">Sens!$F$1444+(g_ad-Sens!$F$1444)*2/4</f>
        <v>0.167034061798286</v>
      </c>
      <c r="J1444" s="12" t="n">
        <f aca="false">Sens!$F$1444+(g_ad-Sens!$F$1444)*3/4</f>
        <v>0.133517030899143</v>
      </c>
      <c r="K1444" s="12" t="n">
        <f aca="false">Sens!$F$1444+(g_ad-Sens!$F$1444)*4/4</f>
        <v>0.1</v>
      </c>
      <c r="L1444" s="12" t="n">
        <f aca="false">g_ad</f>
        <v>0.1</v>
      </c>
      <c r="M1444" s="12" t="n">
        <f aca="false">g_ad</f>
        <v>0.1</v>
      </c>
      <c r="P1444" s="8" t="s">
        <v>630</v>
      </c>
    </row>
    <row r="1445" customFormat="false" ht="17.15" hidden="false" customHeight="false" outlineLevel="0" collapsed="false">
      <c r="A1445" s="0" t="s">
        <v>483</v>
      </c>
      <c r="B1445" s="0" t="s">
        <v>73</v>
      </c>
      <c r="C1445" s="38" t="n">
        <f aca="false">Q!$D$14</f>
        <v>44.374</v>
      </c>
      <c r="D1445" s="38" t="n">
        <f aca="false">Q!$E$14</f>
        <v>49.619</v>
      </c>
      <c r="E1445" s="38" t="n">
        <f aca="false">Q!$P$14</f>
        <v>27.157</v>
      </c>
      <c r="F1445" s="38" t="n">
        <f aca="false">Sens!$O$1445*(1+Sens!$F$1446)</f>
        <v>28.9776360923374</v>
      </c>
      <c r="G1445" s="38" t="n">
        <f aca="false">Sens!$E$1445+Sens!$F$1445</f>
        <v>56.1346360923374</v>
      </c>
      <c r="H1445" s="38" t="n">
        <f aca="false">Sens!$G$1445*(1+Sens!$H$1446)</f>
        <v>62.4937078946075</v>
      </c>
      <c r="I1445" s="38" t="n">
        <f aca="false">Sens!$H$1445*(1+Sens!$I$1446)</f>
        <v>68.6715233062498</v>
      </c>
      <c r="J1445" s="38" t="n">
        <f aca="false">Sens!$I$1445*(1+Sens!$J$1446)</f>
        <v>74.4692882949818</v>
      </c>
      <c r="K1445" s="38" t="n">
        <f aca="false">Sens!$J$1445*(1+Sens!$K$1446)</f>
        <v>79.6821384756306</v>
      </c>
      <c r="L1445" s="38" t="n">
        <f aca="false">Sens!$K$1445*(1+Sens!$L$1446)</f>
        <v>85.2598881689247</v>
      </c>
      <c r="M1445" s="38" t="n">
        <f aca="false">Sens!$L$1445*(1+Sens!$M$1446)</f>
        <v>91.2280803407494</v>
      </c>
      <c r="N1445" s="38" t="n">
        <f aca="false">Q!$N$14</f>
        <v>23.923</v>
      </c>
      <c r="O1445" s="38" t="n">
        <f aca="false">Q!$O$14</f>
        <v>25.696</v>
      </c>
      <c r="P1445" s="8" t="s">
        <v>622</v>
      </c>
    </row>
    <row r="1446" customFormat="false" ht="17.15" hidden="false" customHeight="false" outlineLevel="0" collapsed="false">
      <c r="A1446" s="0" t="s">
        <v>631</v>
      </c>
      <c r="B1446" s="0" t="s">
        <v>52</v>
      </c>
      <c r="E1446" s="12" t="n">
        <f aca="false">Sens!$E$1445/Sens!$N$1445-1</f>
        <v>0.135183714417088</v>
      </c>
      <c r="F1446" s="12" t="n">
        <f aca="false">Sens!$O$1445/(Q!$F$14+Q!$G$14)-1</f>
        <v>0.127709997366804</v>
      </c>
      <c r="G1446" s="12" t="n">
        <f aca="false">Sens!$G$1445/Sens!$D$1445-1</f>
        <v>0.131313329416905</v>
      </c>
      <c r="H1446" s="12" t="n">
        <f aca="false">Sens!$F$1446+(g_sub-Sens!$F$1446)*1/4</f>
        <v>0.113282498025103</v>
      </c>
      <c r="I1446" s="12" t="n">
        <f aca="false">Sens!$F$1446+(g_sub-Sens!$F$1446)*2/4</f>
        <v>0.0988549986834021</v>
      </c>
      <c r="J1446" s="12" t="n">
        <f aca="false">Sens!$F$1446+(g_sub-Sens!$F$1446)*3/4</f>
        <v>0.084427499341701</v>
      </c>
      <c r="K1446" s="12" t="n">
        <f aca="false">Sens!$F$1446+(g_sub-Sens!$F$1446)*4/4</f>
        <v>0.07</v>
      </c>
      <c r="L1446" s="12" t="n">
        <f aca="false">g_sub</f>
        <v>0.07</v>
      </c>
      <c r="M1446" s="12" t="n">
        <f aca="false">g_sub</f>
        <v>0.07</v>
      </c>
      <c r="P1446" s="8" t="s">
        <v>632</v>
      </c>
    </row>
    <row r="1447" customFormat="false" ht="17.15" hidden="false" customHeight="false" outlineLevel="0" collapsed="false">
      <c r="A1447" s="0" t="s">
        <v>484</v>
      </c>
      <c r="B1447" s="0" t="s">
        <v>73</v>
      </c>
      <c r="C1447" s="38" t="n">
        <f aca="false">Q!$D$15</f>
        <v>5.425</v>
      </c>
      <c r="D1447" s="38" t="n">
        <f aca="false">Q!$E$15</f>
        <v>5.935</v>
      </c>
      <c r="E1447" s="38" t="n">
        <f aca="false">Q!$P$15</f>
        <v>3.474</v>
      </c>
      <c r="F1447" s="38" t="n">
        <f aca="false">Sens!$O$1447*(1+Sens!$F$1448)</f>
        <v>3.36182431966931</v>
      </c>
      <c r="G1447" s="38" t="n">
        <f aca="false">Sens!$E$1447+Sens!$F$1447</f>
        <v>6.83582431966931</v>
      </c>
      <c r="H1447" s="38" t="n">
        <f aca="false">Sens!$G$1447*(1+Sens!$H$1448)</f>
        <v>7.31157108370141</v>
      </c>
      <c r="I1447" s="38" t="n">
        <f aca="false">Sens!$H$1447*(1+Sens!$I$1448)</f>
        <v>7.77266852639815</v>
      </c>
      <c r="J1447" s="38" t="n">
        <f aca="false">Sens!$I$1447*(1+Sens!$J$1448)</f>
        <v>8.2120733019884</v>
      </c>
      <c r="K1447" s="38" t="n">
        <f aca="false">Sens!$J$1447*(1+Sens!$K$1448)</f>
        <v>8.62267696708783</v>
      </c>
      <c r="L1447" s="38" t="n">
        <f aca="false">Sens!$K$1447*(1+Sens!$L$1448)</f>
        <v>9.05381081544222</v>
      </c>
      <c r="M1447" s="38" t="n">
        <f aca="false">Sens!$L$1447*(1+Sens!$M$1448)</f>
        <v>9.50650135621433</v>
      </c>
      <c r="N1447" s="38" t="n">
        <f aca="false">Q!$N$15</f>
        <v>2.811</v>
      </c>
      <c r="O1447" s="38" t="n">
        <f aca="false">Q!$O$15</f>
        <v>3.124</v>
      </c>
      <c r="P1447" s="8" t="s">
        <v>622</v>
      </c>
    </row>
    <row r="1448" customFormat="false" ht="17.15" hidden="false" customHeight="false" outlineLevel="0" collapsed="false">
      <c r="A1448" s="0" t="s">
        <v>633</v>
      </c>
      <c r="B1448" s="0" t="s">
        <v>52</v>
      </c>
      <c r="E1448" s="12" t="n">
        <f aca="false">Sens!$E$1447/Sens!$N$1447-1</f>
        <v>0.235859124866596</v>
      </c>
      <c r="F1448" s="12" t="n">
        <f aca="false">Sens!$O$1447/(Q!$F$15+Q!$G$15)-1</f>
        <v>0.0761281433000345</v>
      </c>
      <c r="G1448" s="12" t="n">
        <f aca="false">Sens!$G$1447/Sens!$D$1447-1</f>
        <v>0.151781688234087</v>
      </c>
      <c r="H1448" s="12" t="n">
        <f aca="false">Sens!$F$1448+(g_ot-Sens!$F$1448)*1/4</f>
        <v>0.0695961074750259</v>
      </c>
      <c r="I1448" s="12" t="n">
        <f aca="false">Sens!$F$1448+(g_ot-Sens!$F$1448)*2/4</f>
        <v>0.0630640716500172</v>
      </c>
      <c r="J1448" s="12" t="n">
        <f aca="false">Sens!$F$1448+(g_ot-Sens!$F$1448)*3/4</f>
        <v>0.0565320358250086</v>
      </c>
      <c r="K1448" s="12" t="n">
        <f aca="false">Sens!$F$1448+(g_ot-Sens!$F$1448)*4/4</f>
        <v>0.05</v>
      </c>
      <c r="L1448" s="12" t="n">
        <f aca="false">g_ot</f>
        <v>0.05</v>
      </c>
      <c r="M1448" s="12" t="n">
        <f aca="false">g_ot</f>
        <v>0.05</v>
      </c>
      <c r="P1448" s="8" t="s">
        <v>634</v>
      </c>
    </row>
    <row r="1449" customFormat="false" ht="17.15" hidden="false" customHeight="false" outlineLevel="0" collapsed="false">
      <c r="A1449" s="3" t="s">
        <v>635</v>
      </c>
      <c r="B1449" s="8" t="s">
        <v>73</v>
      </c>
      <c r="C1449" s="38" t="n">
        <f aca="false">Sens!$C$1437+Sens!$C$1439+Sens!$C$1441+Sens!$C$1443+Sens!$C$1445+Sens!$C$1447</f>
        <v>530.403</v>
      </c>
      <c r="D1449" s="38" t="n">
        <f aca="false">Sens!$D$1437+Sens!$D$1439+Sens!$D$1441+Sens!$D$1443+Sens!$D$1445+Sens!$D$1447</f>
        <v>588.199</v>
      </c>
      <c r="E1449" s="38" t="n">
        <f aca="false">Sens!$E$1437+Sens!$E$1439+Sens!$E$1441+Sens!$E$1443+Sens!$E$1445+Sens!$E$1447</f>
        <v>302.306</v>
      </c>
      <c r="F1449" s="38" t="n">
        <f aca="false">Sens!$F$1437+Sens!$F$1439+Sens!$F$1441+Sens!$F$1443+Sens!$F$1445+Sens!$F$1447</f>
        <v>356.93642920843</v>
      </c>
      <c r="G1449" s="38" t="n">
        <f aca="false">Sens!$G$1437+Sens!$G$1439+Sens!$G$1441+Sens!$G$1443+Sens!$G$1445+Sens!$G$1447</f>
        <v>659.24242920843</v>
      </c>
      <c r="H1449" s="38" t="n">
        <f aca="false">Sens!$H$1437+Sens!$H$1439+Sens!$H$1441+Sens!$H$1443+Sens!$H$1445+Sens!$H$1447</f>
        <v>729.935737621701</v>
      </c>
      <c r="I1449" s="38" t="n">
        <f aca="false">Sens!$I$1437+Sens!$I$1439+Sens!$I$1441+Sens!$I$1443+Sens!$I$1445+Sens!$I$1447</f>
        <v>798.295569697873</v>
      </c>
      <c r="J1449" s="38" t="n">
        <f aca="false">Sens!$J$1437+Sens!$J$1439+Sens!$J$1441+Sens!$J$1443+Sens!$J$1445+Sens!$J$1447</f>
        <v>861.736822325785</v>
      </c>
      <c r="K1449" s="38" t="n">
        <f aca="false">Sens!$K$1437+Sens!$K$1439+Sens!$K$1441+Sens!$K$1443+Sens!$K$1445+Sens!$K$1447</f>
        <v>917.557492101925</v>
      </c>
      <c r="L1449" s="38" t="n">
        <f aca="false">Sens!$L$1437+Sens!$L$1439+Sens!$L$1441+Sens!$L$1443+Sens!$L$1445+Sens!$L$1447</f>
        <v>977.285089743165</v>
      </c>
      <c r="M1449" s="38" t="n">
        <f aca="false">Sens!$M$1437+Sens!$M$1439+Sens!$M$1441+Sens!$M$1443+Sens!$M$1445+Sens!$M$1447</f>
        <v>1041.2140185435</v>
      </c>
      <c r="N1449" s="38" t="n">
        <f aca="false">Sens!$N$1437+Sens!$N$1439+Sens!$N$1441+Sens!$N$1443+Sens!$N$1445+Sens!$N$1447</f>
        <v>263.229</v>
      </c>
      <c r="O1449" s="38" t="n">
        <f aca="false">Sens!$O$1437+Sens!$O$1439+Sens!$O$1441+Sens!$O$1443+Sens!$O$1445+Sens!$O$1447</f>
        <v>324.97</v>
      </c>
    </row>
    <row r="1450" customFormat="false" ht="17.15" hidden="false" customHeight="false" outlineLevel="0" collapsed="false">
      <c r="A1450" s="5" t="s">
        <v>636</v>
      </c>
      <c r="B1450" s="0" t="s">
        <v>52</v>
      </c>
      <c r="C1450" s="12" t="n">
        <f aca="false">Q!$D$5/(Q!$D$5+Q!$D$6)</f>
        <v>0.730570905519011</v>
      </c>
      <c r="D1450" s="12" t="n">
        <f aca="false">Q!$E$5/(Q!$E$5+Q!$E$6)</f>
        <v>0.724763217890544</v>
      </c>
      <c r="E1450" s="12" t="n">
        <f aca="false">Q!$P$5/(Q!$P$5+Q!$P$6)</f>
        <v>0.728797972914861</v>
      </c>
      <c r="F1450" s="12" t="n">
        <f aca="false">Sens!$O$1450</f>
        <v>0.718066283041511</v>
      </c>
      <c r="G1450" s="12" t="n">
        <f aca="false">Sens!$G$1451/Sens!$G$1449</f>
        <v>0.722987468473627</v>
      </c>
      <c r="H1450" s="12" t="n">
        <f aca="false">Sens!$G$1450</f>
        <v>0.722987468473627</v>
      </c>
      <c r="I1450" s="12" t="n">
        <f aca="false">Sens!$G$1450</f>
        <v>0.722987468473627</v>
      </c>
      <c r="J1450" s="12" t="n">
        <f aca="false">Sens!$G$1450</f>
        <v>0.722987468473627</v>
      </c>
      <c r="K1450" s="12" t="n">
        <f aca="false">Sens!$G$1450</f>
        <v>0.722987468473627</v>
      </c>
      <c r="L1450" s="12" t="n">
        <f aca="false">Sens!$G$1450</f>
        <v>0.722987468473627</v>
      </c>
      <c r="M1450" s="12" t="n">
        <f aca="false">Sens!$G$1450</f>
        <v>0.722987468473627</v>
      </c>
      <c r="N1450" s="12" t="n">
        <f aca="false">Q!$N$5/(Q!$N$5+Q!$N$6)</f>
        <v>0.733030935041352</v>
      </c>
      <c r="O1450" s="12" t="n">
        <f aca="false">Q!$O$5/(Q!$O$5+Q!$O$6)</f>
        <v>0.718066283041511</v>
      </c>
      <c r="P1450" s="8" t="s">
        <v>637</v>
      </c>
    </row>
    <row r="1451" customFormat="false" ht="17.15" hidden="false" customHeight="false" outlineLevel="0" collapsed="false">
      <c r="A1451" s="1" t="s">
        <v>472</v>
      </c>
      <c r="B1451" s="8" t="s">
        <v>73</v>
      </c>
      <c r="C1451" s="38" t="n">
        <f aca="false">Q!$D$5</f>
        <v>387.497</v>
      </c>
      <c r="D1451" s="38" t="n">
        <f aca="false">Q!$E$5</f>
        <v>426.305</v>
      </c>
      <c r="E1451" s="38" t="n">
        <f aca="false">Q!$P$5</f>
        <v>220.32</v>
      </c>
      <c r="F1451" s="38" t="n">
        <f aca="false">Sens!$F$1449*Sens!$F$1450</f>
        <v>256.304015003807</v>
      </c>
      <c r="G1451" s="38" t="n">
        <f aca="false">Sens!$E$1451+Sens!$F$1451</f>
        <v>476.624015003807</v>
      </c>
      <c r="H1451" s="38" t="n">
        <f aca="false">Sens!$H$1449*Sens!$H$1450</f>
        <v>527.734391091543</v>
      </c>
      <c r="I1451" s="38" t="n">
        <f aca="false">Sens!$I$1449*Sens!$I$1450</f>
        <v>577.157693029577</v>
      </c>
      <c r="J1451" s="38" t="n">
        <f aca="false">Sens!$J$1449*Sens!$J$1450</f>
        <v>623.024923663827</v>
      </c>
      <c r="K1451" s="38" t="n">
        <f aca="false">Sens!$K$1449*Sens!$K$1450</f>
        <v>663.382568393781</v>
      </c>
      <c r="L1451" s="38" t="n">
        <f aca="false">Sens!$L$1449*Sens!$L$1450</f>
        <v>706.564873010432</v>
      </c>
      <c r="M1451" s="38" t="n">
        <f aca="false">Sens!$M$1449*Sens!$M$1450</f>
        <v>752.784687406019</v>
      </c>
      <c r="N1451" s="38" t="n">
        <f aca="false">Q!$N$5</f>
        <v>192.955</v>
      </c>
      <c r="O1451" s="38" t="n">
        <f aca="false">Q!$O$5</f>
        <v>233.35</v>
      </c>
      <c r="P1451" s="5" t="s">
        <v>638</v>
      </c>
    </row>
    <row r="1452" customFormat="false" ht="17.15" hidden="false" customHeight="false" outlineLevel="0" collapsed="false">
      <c r="A1452" s="1" t="s">
        <v>475</v>
      </c>
      <c r="B1452" s="8" t="s">
        <v>73</v>
      </c>
      <c r="C1452" s="38" t="n">
        <f aca="false">Q!$D$6</f>
        <v>142.906</v>
      </c>
      <c r="D1452" s="38" t="n">
        <f aca="false">Q!$E$6</f>
        <v>161.894</v>
      </c>
      <c r="E1452" s="38" t="n">
        <f aca="false">Q!$P$6</f>
        <v>81.986</v>
      </c>
      <c r="F1452" s="38" t="n">
        <f aca="false">Sens!$F$1449*(1-Sens!$F$1450)</f>
        <v>100.632414204623</v>
      </c>
      <c r="G1452" s="38" t="n">
        <f aca="false">Sens!$E$1452+Sens!$F$1452</f>
        <v>182.618414204623</v>
      </c>
      <c r="H1452" s="38" t="n">
        <f aca="false">Sens!$H$1449*(1-Sens!$H$1450)</f>
        <v>202.201346530158</v>
      </c>
      <c r="I1452" s="38" t="n">
        <f aca="false">Sens!$I$1449*(1-Sens!$I$1450)</f>
        <v>221.137876668296</v>
      </c>
      <c r="J1452" s="38" t="n">
        <f aca="false">Sens!$J$1449*(1-Sens!$J$1450)</f>
        <v>238.711898661958</v>
      </c>
      <c r="K1452" s="38" t="n">
        <f aca="false">Sens!$K$1449*(1-Sens!$K$1450)</f>
        <v>254.174923708144</v>
      </c>
      <c r="L1452" s="38" t="n">
        <f aca="false">Sens!$L$1449*(1-Sens!$L$1450)</f>
        <v>270.720216732733</v>
      </c>
      <c r="M1452" s="38" t="n">
        <f aca="false">Sens!$M$1449*(1-Sens!$M$1450)</f>
        <v>288.429331137484</v>
      </c>
      <c r="N1452" s="38" t="n">
        <f aca="false">Q!$N$6</f>
        <v>70.274</v>
      </c>
      <c r="O1452" s="38" t="n">
        <f aca="false">Q!$O$6</f>
        <v>91.62</v>
      </c>
      <c r="P1452" s="5" t="s">
        <v>639</v>
      </c>
    </row>
    <row r="1453" customFormat="false" ht="17.15" hidden="false" customHeight="false" outlineLevel="0" collapsed="false">
      <c r="A1453" s="5" t="s">
        <v>640</v>
      </c>
      <c r="B1453" s="0" t="s">
        <v>73</v>
      </c>
      <c r="C1453" s="38" t="n">
        <f aca="false">Sens!$C$1443*Sens!$C$1450</f>
        <v>41.0683128828457</v>
      </c>
      <c r="D1453" s="38" t="n">
        <f aca="false">Sens!$D$1443*Sens!$D$1450</f>
        <v>49.7441234599175</v>
      </c>
      <c r="E1453" s="38" t="n">
        <f aca="false">Sens!$E$1443*Sens!$E$1450</f>
        <v>27.0034224924414</v>
      </c>
      <c r="F1453" s="38" t="n">
        <f aca="false">Sens!$F$1443*Sens!$F$1450</f>
        <v>34.5772885649197</v>
      </c>
      <c r="G1453" s="38" t="n">
        <f aca="false">Sens!$G$1443*Sens!$G$1450</f>
        <v>61.6023917531772</v>
      </c>
      <c r="H1453" s="38" t="n">
        <f aca="false">Sens!$H$1443*Sens!$H$1450</f>
        <v>73.9568187320519</v>
      </c>
      <c r="I1453" s="38" t="n">
        <f aca="false">Sens!$I$1443*Sens!$I$1450</f>
        <v>86.3101265625461</v>
      </c>
      <c r="J1453" s="38" t="n">
        <f aca="false">Sens!$J$1443*Sens!$J$1450</f>
        <v>97.8339983977065</v>
      </c>
      <c r="K1453" s="38" t="n">
        <f aca="false">Sens!$K$1443*Sens!$K$1450</f>
        <v>107.617398237477</v>
      </c>
      <c r="L1453" s="38" t="n">
        <f aca="false">Sens!$L$1443*Sens!$L$1450</f>
        <v>118.379138061225</v>
      </c>
      <c r="M1453" s="38" t="n">
        <f aca="false">Sens!$M$1443*Sens!$M$1450</f>
        <v>130.217051867347</v>
      </c>
      <c r="N1453" s="38" t="n">
        <f aca="false">Sens!$N$1443*Sens!$N$1450</f>
        <v>21.7087111412496</v>
      </c>
      <c r="O1453" s="38" t="n">
        <f aca="false">Sens!$O$1443*Sens!$O$1450</f>
        <v>28.0189463642798</v>
      </c>
      <c r="P1453" s="5" t="s">
        <v>641</v>
      </c>
    </row>
    <row r="1454" customFormat="false" ht="15" hidden="false" customHeight="false" outlineLevel="0" collapsed="false">
      <c r="A1454" s="5" t="s">
        <v>642</v>
      </c>
      <c r="B1454" s="0" t="s">
        <v>73</v>
      </c>
      <c r="C1454" s="38" t="n">
        <f aca="false">Sens!$C$1443-Sens!$C$1453</f>
        <v>15.1456871171543</v>
      </c>
      <c r="D1454" s="38" t="n">
        <f aca="false">Sens!$D$1443-Sens!$D$1453</f>
        <v>18.8908765400825</v>
      </c>
      <c r="E1454" s="38" t="n">
        <f aca="false">Sens!$E$1443-Sens!$E$1453</f>
        <v>10.0485775075586</v>
      </c>
      <c r="F1454" s="38" t="n">
        <f aca="false">Sens!$F$1443-Sens!$F$1453</f>
        <v>13.5760496178185</v>
      </c>
      <c r="G1454" s="38" t="n">
        <f aca="false">Sens!$G$1443-Sens!$G$1453</f>
        <v>23.6029464295611</v>
      </c>
      <c r="H1454" s="38" t="n">
        <f aca="false">Sens!$H$1443-Sens!$H$1453</f>
        <v>28.3365431268884</v>
      </c>
      <c r="I1454" s="38" t="n">
        <f aca="false">Sens!$I$1443-Sens!$I$1453</f>
        <v>33.0697110226949</v>
      </c>
      <c r="J1454" s="38" t="n">
        <f aca="false">Sens!$J$1443-Sens!$J$1453</f>
        <v>37.4850806511378</v>
      </c>
      <c r="K1454" s="38" t="n">
        <f aca="false">Sens!$K$1443-Sens!$K$1453</f>
        <v>41.2335887162515</v>
      </c>
      <c r="L1454" s="38" t="n">
        <f aca="false">Sens!$L$1443-Sens!$L$1453</f>
        <v>45.3569475878767</v>
      </c>
      <c r="M1454" s="38" t="n">
        <f aca="false">Sens!$M$1443-Sens!$M$1453</f>
        <v>49.8926423466644</v>
      </c>
      <c r="N1454" s="38" t="n">
        <f aca="false">Sens!$N$1443-Sens!$N$1453</f>
        <v>7.90628885875037</v>
      </c>
      <c r="O1454" s="38" t="n">
        <f aca="false">Sens!$O$1443-Sens!$O$1453</f>
        <v>11.0010536357202</v>
      </c>
    </row>
    <row r="1455" customFormat="false" ht="19.4" hidden="false" customHeight="false" outlineLevel="0" collapsed="false">
      <c r="A1455" s="31" t="s">
        <v>1076</v>
      </c>
    </row>
    <row r="1456" customFormat="false" ht="17.15" hidden="false" customHeight="false" outlineLevel="0" collapsed="false">
      <c r="A1456" s="6" t="s">
        <v>16</v>
      </c>
      <c r="B1456" s="6" t="s">
        <v>17</v>
      </c>
      <c r="C1456" s="20" t="s">
        <v>457</v>
      </c>
      <c r="D1456" s="20" t="s">
        <v>458</v>
      </c>
      <c r="E1456" s="20" t="s">
        <v>540</v>
      </c>
      <c r="F1456" s="20" t="s">
        <v>541</v>
      </c>
      <c r="G1456" s="20" t="s">
        <v>542</v>
      </c>
      <c r="H1456" s="20" t="s">
        <v>543</v>
      </c>
      <c r="I1456" s="20" t="s">
        <v>544</v>
      </c>
      <c r="J1456" s="20" t="s">
        <v>545</v>
      </c>
      <c r="K1456" s="20" t="s">
        <v>546</v>
      </c>
      <c r="L1456" s="20" t="s">
        <v>547</v>
      </c>
      <c r="M1456" s="20" t="s">
        <v>548</v>
      </c>
      <c r="N1456" s="20" t="s">
        <v>549</v>
      </c>
      <c r="O1456" s="20" t="s">
        <v>550</v>
      </c>
      <c r="P1456" s="6" t="s">
        <v>23</v>
      </c>
      <c r="R1456" s="20" t="n">
        <v>2023</v>
      </c>
      <c r="S1456" s="20" t="n">
        <v>2024</v>
      </c>
      <c r="T1456" s="20" t="n">
        <v>2025</v>
      </c>
      <c r="U1456" s="20" t="n">
        <v>2026</v>
      </c>
      <c r="V1456" s="20" t="n">
        <v>2027</v>
      </c>
      <c r="W1456" s="20" t="n">
        <v>2028</v>
      </c>
      <c r="X1456" s="20" t="n">
        <v>2029</v>
      </c>
      <c r="Y1456" s="20" t="n">
        <v>2030</v>
      </c>
      <c r="Z1456" s="20" t="n">
        <v>2031</v>
      </c>
      <c r="AA1456" s="20" t="n">
        <v>2032</v>
      </c>
    </row>
    <row r="1457" customFormat="false" ht="17.15" hidden="false" customHeight="false" outlineLevel="0" collapsed="false">
      <c r="A1457" s="1" t="s">
        <v>551</v>
      </c>
    </row>
    <row r="1458" customFormat="false" ht="17.15" hidden="false" customHeight="false" outlineLevel="0" collapsed="false">
      <c r="A1458" s="14" t="s">
        <v>552</v>
      </c>
      <c r="B1458" s="13" t="s">
        <v>108</v>
      </c>
      <c r="C1458" s="32" t="n">
        <f aca="false">mw_ye24</f>
        <v>360</v>
      </c>
      <c r="D1458" s="32" t="n">
        <f aca="false">mw_ye25</f>
        <v>1440</v>
      </c>
      <c r="E1458" s="32" t="n">
        <f aca="false">mw_open</f>
        <v>2080</v>
      </c>
      <c r="F1458" s="32" t="n">
        <f aca="false">Sens!$E$1458+(pace_B*1.25)*0.5</f>
        <v>4351.4375</v>
      </c>
      <c r="G1458" s="32" t="n">
        <f aca="false">Sens!$F$1458</f>
        <v>4351.4375</v>
      </c>
      <c r="H1458" s="32" t="n">
        <f aca="false">Sens!$G$1458+(pace_B*1.25)</f>
        <v>8894.3125</v>
      </c>
      <c r="I1458" s="32" t="n">
        <f aca="false">Sens!$H$1458+(pace_B*1.25)</f>
        <v>13437.1875</v>
      </c>
      <c r="J1458" s="32" t="n">
        <f aca="false">Sens!$I$1458+(pace_B*1.25)</f>
        <v>17980.0625</v>
      </c>
      <c r="K1458" s="32" t="n">
        <f aca="false">Sens!$J$1458+(pace_B*1.25)</f>
        <v>22522.9375</v>
      </c>
      <c r="L1458" s="32" t="n">
        <f aca="false">Sens!$K$1458+(pace_B*1.25)</f>
        <v>27065.8125</v>
      </c>
      <c r="M1458" s="32" t="n">
        <f aca="false">Sens!$L$1458+(pace_B*1.25)</f>
        <v>31608.6875</v>
      </c>
      <c r="N1458" s="32" t="n">
        <f aca="false">(mw_ye24+mw_ye25)/2</f>
        <v>900</v>
      </c>
      <c r="O1458" s="32" t="n">
        <f aca="false">mw_ye25</f>
        <v>1440</v>
      </c>
      <c r="P1458" s="5" t="s">
        <v>553</v>
      </c>
    </row>
    <row r="1459" customFormat="false" ht="17.15" hidden="false" customHeight="false" outlineLevel="0" collapsed="false">
      <c r="A1459" s="5" t="s">
        <v>554</v>
      </c>
      <c r="B1459" s="0" t="s">
        <v>108</v>
      </c>
      <c r="C1459" s="33" t="n">
        <f aca="false">(mw_ye23+mw_ye24)/2</f>
        <v>240</v>
      </c>
      <c r="D1459" s="33" t="n">
        <f aca="false">(Sens!$C$1458+Sens!$D$1458)/2</f>
        <v>900</v>
      </c>
      <c r="E1459" s="33" t="n">
        <f aca="false">(Sens!$D$1458+Sens!$E$1458)/2</f>
        <v>1760</v>
      </c>
      <c r="F1459" s="33" t="n">
        <f aca="false">(Sens!$E$1458+Sens!$F$1458)/2</f>
        <v>3215.71875</v>
      </c>
      <c r="G1459" s="33" t="n">
        <f aca="false">(Sens!$E$1459+Sens!$F$1459)/2</f>
        <v>2487.859375</v>
      </c>
      <c r="H1459" s="33" t="n">
        <f aca="false">(Sens!$G$1458+Sens!$H$1458)/2</f>
        <v>6622.875</v>
      </c>
      <c r="I1459" s="33" t="n">
        <f aca="false">(Sens!$H$1458+Sens!$I$1458)/2</f>
        <v>11165.75</v>
      </c>
      <c r="J1459" s="33" t="n">
        <f aca="false">(Sens!$I$1458+Sens!$J$1458)/2</f>
        <v>15708.625</v>
      </c>
      <c r="K1459" s="33" t="n">
        <f aca="false">(Sens!$J$1458+Sens!$K$1458)/2</f>
        <v>20251.5</v>
      </c>
      <c r="L1459" s="33" t="n">
        <f aca="false">(Sens!$K$1458+Sens!$L$1458)/2</f>
        <v>24794.375</v>
      </c>
      <c r="M1459" s="33" t="n">
        <f aca="false">(Sens!$L$1458+Sens!$M$1458)/2</f>
        <v>29337.25</v>
      </c>
      <c r="N1459" s="33" t="n">
        <f aca="false">(Sens!$C$1458+Sens!$N$1458)/2</f>
        <v>630</v>
      </c>
      <c r="O1459" s="33" t="n">
        <f aca="false">(Sens!$N$1458+Sens!$O$1458)/2</f>
        <v>1170</v>
      </c>
    </row>
    <row r="1460" customFormat="false" ht="15" hidden="false" customHeight="false" outlineLevel="0" collapsed="false">
      <c r="A1460" s="5" t="s">
        <v>555</v>
      </c>
      <c r="B1460" s="5" t="s">
        <v>102</v>
      </c>
      <c r="C1460" s="34" t="n">
        <v>1</v>
      </c>
      <c r="D1460" s="34" t="n">
        <v>1</v>
      </c>
      <c r="E1460" s="34" t="n">
        <v>0.5</v>
      </c>
      <c r="F1460" s="34" t="n">
        <v>0.5</v>
      </c>
      <c r="G1460" s="34" t="n">
        <v>1</v>
      </c>
      <c r="H1460" s="34" t="n">
        <v>1</v>
      </c>
      <c r="I1460" s="34" t="n">
        <v>1</v>
      </c>
      <c r="J1460" s="34" t="n">
        <v>1</v>
      </c>
      <c r="K1460" s="34" t="n">
        <v>1</v>
      </c>
      <c r="L1460" s="34" t="n">
        <v>1</v>
      </c>
      <c r="M1460" s="34" t="n">
        <v>1</v>
      </c>
      <c r="N1460" s="34" t="n">
        <v>0.5</v>
      </c>
      <c r="O1460" s="34" t="n">
        <v>0.5</v>
      </c>
    </row>
    <row r="1461" customFormat="false" ht="17.15" hidden="false" customHeight="false" outlineLevel="0" collapsed="false">
      <c r="A1461" s="5" t="s">
        <v>556</v>
      </c>
      <c r="B1461" s="0" t="s">
        <v>108</v>
      </c>
      <c r="C1461" s="33" t="n">
        <f aca="false">Sens!$C$1458-mw_ye23</f>
        <v>240</v>
      </c>
      <c r="D1461" s="33" t="n">
        <f aca="false">Sens!$D$1458-Sens!$C$1458</f>
        <v>1080</v>
      </c>
      <c r="E1461" s="33" t="n">
        <f aca="false">Sens!$E$1458-Sens!$D$1458</f>
        <v>640</v>
      </c>
      <c r="F1461" s="33" t="n">
        <f aca="false">Sens!$F$1458-Sens!$E$1458</f>
        <v>2271.4375</v>
      </c>
      <c r="G1461" s="33" t="n">
        <f aca="false">Sens!$E$1461+Sens!$F$1461</f>
        <v>2911.4375</v>
      </c>
      <c r="H1461" s="33" t="n">
        <f aca="false">Sens!$H$1458-Sens!$G$1458</f>
        <v>4542.875</v>
      </c>
      <c r="I1461" s="33" t="n">
        <f aca="false">Sens!$I$1458-Sens!$H$1458</f>
        <v>4542.875</v>
      </c>
      <c r="J1461" s="33" t="n">
        <f aca="false">Sens!$J$1458-Sens!$I$1458</f>
        <v>4542.875</v>
      </c>
      <c r="K1461" s="33" t="n">
        <f aca="false">Sens!$K$1458-Sens!$J$1458</f>
        <v>4542.875</v>
      </c>
      <c r="L1461" s="33" t="n">
        <f aca="false">Sens!$L$1458-Sens!$K$1458</f>
        <v>4542.875</v>
      </c>
      <c r="M1461" s="33" t="n">
        <f aca="false">Sens!$M$1458-Sens!$L$1458</f>
        <v>4542.875</v>
      </c>
      <c r="N1461" s="33" t="n">
        <f aca="false">Sens!$N$1458-Sens!$C$1458</f>
        <v>540</v>
      </c>
      <c r="O1461" s="33" t="n">
        <f aca="false">Sens!$O$1458-Sens!$N$1458</f>
        <v>540</v>
      </c>
    </row>
    <row r="1462" customFormat="false" ht="17.15" hidden="false" customHeight="false" outlineLevel="0" collapsed="false">
      <c r="A1462" s="5" t="s">
        <v>557</v>
      </c>
      <c r="B1462" s="0" t="s">
        <v>108</v>
      </c>
      <c r="C1462" s="33" t="n">
        <f aca="false">Sens!$C$1461/ext_sh</f>
        <v>300</v>
      </c>
      <c r="D1462" s="33" t="n">
        <f aca="false">Sens!$D$1461/ext_sh</f>
        <v>1350</v>
      </c>
      <c r="E1462" s="33" t="n">
        <f aca="false">Sens!$E$1461/ext_sh</f>
        <v>800</v>
      </c>
      <c r="F1462" s="33" t="n">
        <f aca="false">Sens!$F$1461/ext_sh</f>
        <v>2839.296875</v>
      </c>
      <c r="G1462" s="33" t="n">
        <f aca="false">Sens!$G$1461/ext_sh</f>
        <v>3639.296875</v>
      </c>
      <c r="H1462" s="33" t="n">
        <f aca="false">Sens!$H$1461/ext_sh</f>
        <v>5678.59375</v>
      </c>
      <c r="I1462" s="33" t="n">
        <f aca="false">Sens!$I$1461/ext_sh</f>
        <v>5678.59375</v>
      </c>
      <c r="J1462" s="33" t="n">
        <f aca="false">Sens!$J$1461/ext_sh</f>
        <v>5678.59375</v>
      </c>
      <c r="K1462" s="33" t="n">
        <f aca="false">Sens!$K$1461/ext_sh</f>
        <v>5678.59375</v>
      </c>
      <c r="L1462" s="33" t="n">
        <f aca="false">Sens!$L$1461/ext_sh</f>
        <v>5678.59375</v>
      </c>
      <c r="M1462" s="33" t="n">
        <f aca="false">Sens!$M$1461/ext_sh</f>
        <v>5678.59375</v>
      </c>
      <c r="N1462" s="33" t="n">
        <f aca="false">Sens!$N$1461/ext_sh</f>
        <v>675</v>
      </c>
      <c r="O1462" s="33" t="n">
        <f aca="false">Sens!$O$1461/ext_sh</f>
        <v>675</v>
      </c>
      <c r="P1462" s="8" t="s">
        <v>558</v>
      </c>
      <c r="R1462" s="33" t="n">
        <f aca="false">mw_ye23/ext_sh</f>
        <v>150</v>
      </c>
      <c r="S1462" s="33" t="n">
        <f aca="false">Sens!$C$1462</f>
        <v>300</v>
      </c>
      <c r="T1462" s="33" t="n">
        <f aca="false">Sens!$D$1462</f>
        <v>1350</v>
      </c>
      <c r="U1462" s="33" t="n">
        <f aca="false">Sens!$G$1462</f>
        <v>3639.296875</v>
      </c>
      <c r="V1462" s="33" t="n">
        <f aca="false">Sens!$H$1462</f>
        <v>5678.59375</v>
      </c>
      <c r="W1462" s="33" t="n">
        <f aca="false">Sens!$I$1462</f>
        <v>5678.59375</v>
      </c>
      <c r="X1462" s="33" t="n">
        <f aca="false">Sens!$J$1462</f>
        <v>5678.59375</v>
      </c>
      <c r="Y1462" s="33" t="n">
        <f aca="false">Sens!$K$1462</f>
        <v>5678.59375</v>
      </c>
      <c r="Z1462" s="33" t="n">
        <f aca="false">Sens!$L$1462</f>
        <v>5678.59375</v>
      </c>
      <c r="AA1462" s="33" t="n">
        <f aca="false">Sens!$M$1462</f>
        <v>5678.59375</v>
      </c>
    </row>
    <row r="1463" customFormat="false" ht="17.15" hidden="false" customHeight="false" outlineLevel="0" collapsed="false">
      <c r="A1463" s="1" t="s">
        <v>559</v>
      </c>
    </row>
    <row r="1464" customFormat="false" ht="17.15" hidden="false" customHeight="false" outlineLevel="0" collapsed="false">
      <c r="A1464" s="0" t="s">
        <v>560</v>
      </c>
      <c r="B1464" s="0" t="s">
        <v>52</v>
      </c>
      <c r="F1464" s="35" t="n">
        <f aca="false">na_vr26</f>
        <v>0</v>
      </c>
      <c r="G1464" s="35" t="n">
        <f aca="false">na_vr26</f>
        <v>0</v>
      </c>
      <c r="H1464" s="35" t="n">
        <f aca="false">na_vr27</f>
        <v>0.5</v>
      </c>
      <c r="I1464" s="35" t="n">
        <f aca="false">na_vr28</f>
        <v>1</v>
      </c>
      <c r="J1464" s="35" t="n">
        <f aca="false">na_vr28</f>
        <v>1</v>
      </c>
      <c r="K1464" s="35" t="n">
        <f aca="false">na_vr28</f>
        <v>1</v>
      </c>
      <c r="L1464" s="35" t="n">
        <f aca="false">na_vr28</f>
        <v>1</v>
      </c>
      <c r="M1464" s="35" t="n">
        <f aca="false">na_vr28</f>
        <v>1</v>
      </c>
    </row>
    <row r="1465" customFormat="false" ht="17.15" hidden="false" customHeight="false" outlineLevel="0" collapsed="false">
      <c r="A1465" s="5" t="s">
        <v>561</v>
      </c>
      <c r="B1465" s="0" t="s">
        <v>151</v>
      </c>
      <c r="F1465" s="36" t="n">
        <f aca="false">cust_sh*tk_he_gb300*cf_chip+(1-cust_sh)*((1-Sens!$F$1464)*tk_he_gb300+Sens!$F$1464*tk_he_vr200)</f>
        <v>10.8864110021101</v>
      </c>
      <c r="G1465" s="36" t="n">
        <f aca="false">cust_sh*tk_he_gb300*cf_chip+(1-cust_sh)*((1-Sens!$G$1464)*tk_he_gb300+Sens!$G$1464*tk_he_vr200)</f>
        <v>10.8864110021101</v>
      </c>
      <c r="H1465" s="36" t="n">
        <f aca="false">cust_sh*tk_he_gb300*cf_chip+(1-cust_sh)*((1-Sens!$H$1464)*tk_he_gb300+Sens!$H$1464*tk_he_vr200)</f>
        <v>11.2211760027286</v>
      </c>
      <c r="I1465" s="36" t="n">
        <f aca="false">cust_sh*tk_he_gb300*cf_chip+(1-cust_sh)*((1-Sens!$I$1464)*tk_he_gb300+Sens!$I$1464*tk_he_vr200)</f>
        <v>11.5559410033471</v>
      </c>
      <c r="J1465" s="36" t="n">
        <f aca="false">cust_sh*tk_he_gb300*cf_chip+(1-cust_sh)*((1-Sens!$J$1464)*tk_he_gb300+Sens!$J$1464*tk_he_vr200)</f>
        <v>11.5559410033471</v>
      </c>
      <c r="K1465" s="36" t="n">
        <f aca="false">cust_sh*tk_he_gb300*cf_chip+(1-cust_sh)*((1-Sens!$K$1464)*tk_he_gb300+Sens!$K$1464*tk_he_vr200)</f>
        <v>11.5559410033471</v>
      </c>
      <c r="L1465" s="36" t="n">
        <f aca="false">cust_sh*tk_he_gb300*cf_chip+(1-cust_sh)*((1-Sens!$L$1464)*tk_he_gb300+Sens!$L$1464*tk_he_vr200)</f>
        <v>11.5559410033471</v>
      </c>
      <c r="M1465" s="36" t="n">
        <f aca="false">cust_sh*tk_he_gb300*cf_chip+(1-cust_sh)*((1-Sens!$M$1464)*tk_he_gb300+Sens!$M$1464*tk_he_vr200)</f>
        <v>11.5559410033471</v>
      </c>
    </row>
    <row r="1466" customFormat="false" ht="17.15" hidden="false" customHeight="false" outlineLevel="0" collapsed="false">
      <c r="A1466" s="5" t="s">
        <v>562</v>
      </c>
      <c r="B1466" s="0" t="s">
        <v>151</v>
      </c>
      <c r="F1466" s="36" t="n">
        <f aca="false">cust_sh*tk_ox_gb300+(1-cust_sh)*((1-Sens!$F$1464)*tk_ox_gb300+Sens!$F$1464*tk_ox_vr200)</f>
        <v>1.98263481314457</v>
      </c>
      <c r="G1466" s="36" t="n">
        <f aca="false">cust_sh*tk_ox_gb300+(1-cust_sh)*((1-Sens!$G$1464)*tk_ox_gb300+Sens!$G$1464*tk_ox_vr200)</f>
        <v>1.98263481314457</v>
      </c>
      <c r="H1466" s="36" t="n">
        <f aca="false">cust_sh*tk_ox_gb300+(1-cust_sh)*((1-Sens!$H$1464)*tk_ox_gb300+Sens!$H$1464*tk_ox_vr200)</f>
        <v>2.01034999693694</v>
      </c>
      <c r="I1466" s="36" t="n">
        <f aca="false">cust_sh*tk_ox_gb300+(1-cust_sh)*((1-Sens!$I$1464)*tk_ox_gb300+Sens!$I$1464*tk_ox_vr200)</f>
        <v>2.0380651807293</v>
      </c>
      <c r="J1466" s="36" t="n">
        <f aca="false">cust_sh*tk_ox_gb300+(1-cust_sh)*((1-Sens!$J$1464)*tk_ox_gb300+Sens!$J$1464*tk_ox_vr200)</f>
        <v>2.0380651807293</v>
      </c>
      <c r="K1466" s="36" t="n">
        <f aca="false">cust_sh*tk_ox_gb300+(1-cust_sh)*((1-Sens!$K$1464)*tk_ox_gb300+Sens!$K$1464*tk_ox_vr200)</f>
        <v>2.0380651807293</v>
      </c>
      <c r="L1466" s="36" t="n">
        <f aca="false">cust_sh*tk_ox_gb300+(1-cust_sh)*((1-Sens!$L$1464)*tk_ox_gb300+Sens!$L$1464*tk_ox_vr200)</f>
        <v>2.0380651807293</v>
      </c>
      <c r="M1466" s="36" t="n">
        <f aca="false">cust_sh*tk_ox_gb300+(1-cust_sh)*((1-Sens!$M$1464)*tk_ox_gb300+Sens!$M$1464*tk_ox_vr200)</f>
        <v>2.0380651807293</v>
      </c>
    </row>
    <row r="1467" customFormat="false" ht="17.15" hidden="false" customHeight="false" outlineLevel="0" collapsed="false">
      <c r="A1467" s="5" t="s">
        <v>563</v>
      </c>
      <c r="B1467" s="0" t="s">
        <v>170</v>
      </c>
      <c r="F1467" s="36" t="n">
        <f aca="false">cust_sh*tk_cx_gb300*cf_cx+(1-cust_sh)*((1-Sens!$F$1464)*tk_cx_gb300+Sens!$F$1464*tk_cx_vr200)</f>
        <v>32.237224</v>
      </c>
      <c r="G1467" s="36" t="n">
        <f aca="false">cust_sh*tk_cx_gb300*cf_cx+(1-cust_sh)*((1-Sens!$G$1464)*tk_cx_gb300+Sens!$G$1464*tk_cx_vr200)</f>
        <v>32.237224</v>
      </c>
      <c r="H1467" s="36" t="n">
        <f aca="false">cust_sh*tk_cx_gb300*cf_cx+(1-cust_sh)*((1-Sens!$H$1464)*tk_cx_gb300+Sens!$H$1464*tk_cx_vr200)</f>
        <v>33.574506</v>
      </c>
      <c r="I1467" s="36" t="n">
        <f aca="false">cust_sh*tk_cx_gb300*cf_cx+(1-cust_sh)*((1-Sens!$I$1464)*tk_cx_gb300+Sens!$I$1464*tk_cx_vr200)</f>
        <v>34.911788</v>
      </c>
      <c r="J1467" s="36" t="n">
        <f aca="false">cust_sh*tk_cx_gb300*cf_cx+(1-cust_sh)*((1-Sens!$J$1464)*tk_cx_gb300+Sens!$J$1464*tk_cx_vr200)</f>
        <v>34.911788</v>
      </c>
      <c r="K1467" s="36" t="n">
        <f aca="false">cust_sh*tk_cx_gb300*cf_cx+(1-cust_sh)*((1-Sens!$K$1464)*tk_cx_gb300+Sens!$K$1464*tk_cx_vr200)</f>
        <v>34.911788</v>
      </c>
      <c r="L1467" s="36" t="n">
        <f aca="false">cust_sh*tk_cx_gb300*cf_cx+(1-cust_sh)*((1-Sens!$L$1464)*tk_cx_gb300+Sens!$L$1464*tk_cx_vr200)</f>
        <v>34.911788</v>
      </c>
      <c r="M1467" s="36" t="n">
        <f aca="false">cust_sh*tk_cx_gb300*cf_cx+(1-cust_sh)*((1-Sens!$M$1464)*tk_cx_gb300+Sens!$M$1464*tk_cx_vr200)</f>
        <v>34.911788</v>
      </c>
    </row>
    <row r="1468" customFormat="false" ht="17.15" hidden="false" customHeight="false" outlineLevel="0" collapsed="false">
      <c r="A1468" s="5" t="s">
        <v>564</v>
      </c>
      <c r="B1468" s="0" t="s">
        <v>108</v>
      </c>
      <c r="F1468" s="33" t="n">
        <f aca="false">Sens!$F$1458-mw_open</f>
        <v>2271.4375</v>
      </c>
      <c r="G1468" s="33" t="n">
        <f aca="false">Sens!$F$1468</f>
        <v>2271.4375</v>
      </c>
      <c r="H1468" s="33" t="n">
        <f aca="false">Sens!$H$1458-mw_open</f>
        <v>6814.3125</v>
      </c>
      <c r="I1468" s="33" t="n">
        <f aca="false">Sens!$I$1458-mw_open</f>
        <v>11357.1875</v>
      </c>
      <c r="J1468" s="33" t="n">
        <f aca="false">Sens!$J$1458-mw_open</f>
        <v>15900.0625</v>
      </c>
      <c r="K1468" s="33" t="n">
        <f aca="false">Sens!$K$1458-mw_open</f>
        <v>20442.9375</v>
      </c>
      <c r="L1468" s="33" t="n">
        <f aca="false">Sens!$L$1458-mw_open</f>
        <v>24985.8125</v>
      </c>
      <c r="M1468" s="33" t="n">
        <f aca="false">Sens!$M$1458-mw_open</f>
        <v>29528.6875</v>
      </c>
    </row>
    <row r="1469" customFormat="false" ht="17.15" hidden="false" customHeight="false" outlineLevel="0" collapsed="false">
      <c r="A1469" s="0" t="s">
        <v>565</v>
      </c>
      <c r="B1469" s="0" t="s">
        <v>566</v>
      </c>
      <c r="F1469" s="33" t="n">
        <f aca="false">Sens!$F$1461*Sens!$F$1465</f>
        <v>24727.8021906055</v>
      </c>
      <c r="G1469" s="33" t="n">
        <f aca="false">Sens!$F$1469</f>
        <v>24727.8021906055</v>
      </c>
      <c r="H1469" s="33" t="n">
        <f aca="false">Sens!$G$1469+Sens!$H$1461*Sens!$H$1465</f>
        <v>75704.2021240012</v>
      </c>
      <c r="I1469" s="33" t="n">
        <f aca="false">Sens!$H$1469+Sens!$I$1461*Sens!$I$1465</f>
        <v>128201.397609582</v>
      </c>
      <c r="J1469" s="33" t="n">
        <f aca="false">Sens!$I$1469+Sens!$J$1461*Sens!$J$1465</f>
        <v>180698.593095162</v>
      </c>
      <c r="K1469" s="33" t="n">
        <f aca="false">Sens!$J$1469+Sens!$K$1461*Sens!$K$1465</f>
        <v>233195.788580743</v>
      </c>
      <c r="L1469" s="33" t="n">
        <f aca="false">Sens!$K$1469+Sens!$L$1461*Sens!$L$1465</f>
        <v>285692.984066323</v>
      </c>
      <c r="M1469" s="33" t="n">
        <f aca="false">Sens!$L$1469+Sens!$M$1461*Sens!$M$1465</f>
        <v>338190.179551904</v>
      </c>
    </row>
    <row r="1470" customFormat="false" ht="17.15" hidden="false" customHeight="false" outlineLevel="0" collapsed="false">
      <c r="A1470" s="0" t="s">
        <v>567</v>
      </c>
      <c r="B1470" s="0" t="s">
        <v>566</v>
      </c>
      <c r="F1470" s="33" t="n">
        <f aca="false">Sens!$F$1461*Sens!$F$1466</f>
        <v>4503.43106338207</v>
      </c>
      <c r="G1470" s="33" t="n">
        <f aca="false">Sens!$F$1470</f>
        <v>4503.43106338207</v>
      </c>
      <c r="H1470" s="33" t="n">
        <f aca="false">Sens!$G$1470+Sens!$H$1461*Sens!$H$1466</f>
        <v>13636.1998057169</v>
      </c>
      <c r="I1470" s="33" t="n">
        <f aca="false">Sens!$H$1470+Sens!$I$1461*Sens!$I$1466</f>
        <v>22894.8751636226</v>
      </c>
      <c r="J1470" s="33" t="n">
        <f aca="false">Sens!$I$1470+Sens!$J$1461*Sens!$J$1466</f>
        <v>32153.5505215282</v>
      </c>
      <c r="K1470" s="33" t="n">
        <f aca="false">Sens!$J$1470+Sens!$K$1461*Sens!$K$1466</f>
        <v>41412.2258794338</v>
      </c>
      <c r="L1470" s="33" t="n">
        <f aca="false">Sens!$K$1470+Sens!$L$1461*Sens!$L$1466</f>
        <v>50670.9012373394</v>
      </c>
      <c r="M1470" s="33" t="n">
        <f aca="false">Sens!$L$1470+Sens!$M$1461*Sens!$M$1466</f>
        <v>59929.576595245</v>
      </c>
    </row>
    <row r="1471" customFormat="false" ht="17.15" hidden="false" customHeight="false" outlineLevel="0" collapsed="false">
      <c r="A1471" s="5" t="s">
        <v>568</v>
      </c>
      <c r="B1471" s="0" t="s">
        <v>151</v>
      </c>
      <c r="F1471" s="36" t="n">
        <f aca="false">IF(Sens!$F$1468&gt;0,Sens!$F$1469/Sens!$F$1468,Sens!$F$1465)</f>
        <v>10.8864110021101</v>
      </c>
      <c r="G1471" s="36" t="n">
        <f aca="false">IF(Sens!$G$1468&gt;0,Sens!$G$1469/Sens!$G$1468,Sens!$G$1465)</f>
        <v>10.8864110021101</v>
      </c>
      <c r="H1471" s="36" t="n">
        <f aca="false">IF(Sens!$H$1468&gt;0,Sens!$H$1469/Sens!$H$1468,Sens!$H$1465)</f>
        <v>11.1095876691891</v>
      </c>
      <c r="I1471" s="36" t="n">
        <f aca="false">IF(Sens!$I$1468&gt;0,Sens!$I$1469/Sens!$I$1468,Sens!$I$1465)</f>
        <v>11.2881290028523</v>
      </c>
      <c r="J1471" s="36" t="n">
        <f aca="false">IF(Sens!$J$1468&gt;0,Sens!$J$1469/Sens!$J$1468,Sens!$J$1465)</f>
        <v>11.3646467172794</v>
      </c>
      <c r="K1471" s="36" t="n">
        <f aca="false">IF(Sens!$K$1468&gt;0,Sens!$K$1469/Sens!$K$1468,Sens!$K$1465)</f>
        <v>11.4071565586278</v>
      </c>
      <c r="L1471" s="36" t="n">
        <f aca="false">IF(Sens!$L$1468&gt;0,Sens!$L$1469/Sens!$L$1468,Sens!$L$1465)</f>
        <v>11.4342082758495</v>
      </c>
      <c r="M1471" s="36" t="n">
        <f aca="false">IF(Sens!$M$1468&gt;0,Sens!$M$1469/Sens!$M$1468,Sens!$M$1465)</f>
        <v>11.4529363877722</v>
      </c>
    </row>
    <row r="1472" customFormat="false" ht="17.15" hidden="false" customHeight="false" outlineLevel="0" collapsed="false">
      <c r="A1472" s="5" t="s">
        <v>569</v>
      </c>
      <c r="B1472" s="0" t="s">
        <v>151</v>
      </c>
      <c r="F1472" s="36" t="n">
        <f aca="false">IF(Sens!$F$1468&gt;0,Sens!$F$1470/Sens!$F$1468,Sens!$F$1466)</f>
        <v>1.98263481314457</v>
      </c>
      <c r="G1472" s="36" t="n">
        <f aca="false">IF(Sens!$G$1468&gt;0,Sens!$G$1470/Sens!$G$1468,Sens!$G$1466)</f>
        <v>1.98263481314457</v>
      </c>
      <c r="H1472" s="36" t="n">
        <f aca="false">IF(Sens!$H$1468&gt;0,Sens!$H$1470/Sens!$H$1468,Sens!$H$1466)</f>
        <v>2.00111160233948</v>
      </c>
      <c r="I1472" s="36" t="n">
        <f aca="false">IF(Sens!$I$1468&gt;0,Sens!$I$1470/Sens!$I$1468,Sens!$I$1466)</f>
        <v>2.01589303369541</v>
      </c>
      <c r="J1472" s="36" t="n">
        <f aca="false">IF(Sens!$J$1468&gt;0,Sens!$J$1470/Sens!$J$1468,Sens!$J$1466)</f>
        <v>2.02222793284795</v>
      </c>
      <c r="K1472" s="36" t="n">
        <f aca="false">IF(Sens!$K$1468&gt;0,Sens!$K$1470/Sens!$K$1468,Sens!$K$1466)</f>
        <v>2.02574732126603</v>
      </c>
      <c r="L1472" s="36" t="n">
        <f aca="false">IF(Sens!$L$1468&gt;0,Sens!$L$1470/Sens!$L$1468,Sens!$L$1466)</f>
        <v>2.02798693207753</v>
      </c>
      <c r="M1472" s="36" t="n">
        <f aca="false">IF(Sens!$M$1468&gt;0,Sens!$M$1470/Sens!$M$1468,Sens!$M$1466)</f>
        <v>2.02953743187011</v>
      </c>
    </row>
    <row r="1473" customFormat="false" ht="17.15" hidden="false" customHeight="false" outlineLevel="0" collapsed="false">
      <c r="A1473" s="14" t="s">
        <v>570</v>
      </c>
      <c r="B1473" s="13" t="s">
        <v>151</v>
      </c>
      <c r="C1473" s="13"/>
      <c r="D1473" s="13"/>
      <c r="E1473" s="13"/>
      <c r="F1473" s="37" t="n">
        <f aca="false">Sens!$F$1471*k_B</f>
        <v>10.7987645808025</v>
      </c>
      <c r="G1473" s="37" t="n">
        <f aca="false">Sens!$G$1471*k_B</f>
        <v>10.7987645808025</v>
      </c>
      <c r="H1473" s="37" t="n">
        <f aca="false">Sens!$H$1471*k_B</f>
        <v>11.0201444540452</v>
      </c>
      <c r="I1473" s="37" t="n">
        <f aca="false">Sens!$I$1471*k_B</f>
        <v>11.1972483526393</v>
      </c>
      <c r="J1473" s="37" t="n">
        <f aca="false">Sens!$J$1471*k_B</f>
        <v>11.2731500234653</v>
      </c>
      <c r="K1473" s="37" t="n">
        <f aca="false">Sens!$K$1471*k_B</f>
        <v>11.3153176183687</v>
      </c>
      <c r="L1473" s="37" t="n">
        <f aca="false">Sens!$L$1471*k_B</f>
        <v>11.3421515423981</v>
      </c>
      <c r="M1473" s="37" t="n">
        <f aca="false">Sens!$M$1471*k_B</f>
        <v>11.3607288744184</v>
      </c>
      <c r="N1473" s="13"/>
      <c r="O1473" s="13"/>
      <c r="P1473" s="5" t="s">
        <v>571</v>
      </c>
    </row>
    <row r="1474" customFormat="false" ht="17.15" hidden="false" customHeight="false" outlineLevel="0" collapsed="false">
      <c r="A1474" s="5" t="s">
        <v>572</v>
      </c>
      <c r="B1474" s="0" t="s">
        <v>108</v>
      </c>
      <c r="F1474" s="33" t="n">
        <f aca="false">Sens!$F$1468/2</f>
        <v>1135.71875</v>
      </c>
      <c r="H1474" s="33" t="n">
        <f aca="false">(Sens!$G$1468+Sens!$H$1468)/2</f>
        <v>4542.875</v>
      </c>
      <c r="I1474" s="33" t="n">
        <f aca="false">(Sens!$H$1468+Sens!$I$1468)/2</f>
        <v>9085.75</v>
      </c>
      <c r="J1474" s="33" t="n">
        <f aca="false">(Sens!$I$1468+Sens!$J$1468)/2</f>
        <v>13628.625</v>
      </c>
      <c r="K1474" s="33" t="n">
        <f aca="false">(Sens!$J$1468+Sens!$K$1468)/2</f>
        <v>18171.5</v>
      </c>
      <c r="L1474" s="33" t="n">
        <f aca="false">(Sens!$K$1468+Sens!$L$1468)/2</f>
        <v>22714.375</v>
      </c>
      <c r="M1474" s="33" t="n">
        <f aca="false">(Sens!$L$1468+Sens!$M$1468)/2</f>
        <v>27257.25</v>
      </c>
    </row>
    <row r="1475" customFormat="false" ht="17.15" hidden="false" customHeight="false" outlineLevel="0" collapsed="false">
      <c r="A1475" s="1" t="s">
        <v>573</v>
      </c>
    </row>
    <row r="1476" customFormat="false" ht="17.15" hidden="false" customHeight="false" outlineLevel="0" collapsed="false">
      <c r="A1476" s="1" t="s">
        <v>574</v>
      </c>
      <c r="B1476" s="8" t="s">
        <v>73</v>
      </c>
      <c r="C1476" s="38" t="n">
        <f aca="false">Sens!$C$1459*rpm_open*Sens!$C$1460/1000</f>
        <v>2.32100535697364</v>
      </c>
      <c r="D1476" s="38" t="n">
        <f aca="false">Sens!$D$1459*rpm_open*Sens!$D$1460/1000</f>
        <v>8.70377008865116</v>
      </c>
      <c r="E1476" s="38" t="n">
        <f aca="false">Sens!$E$1459*rpm_open*Sens!$E$1460/1000</f>
        <v>8.51035297557002</v>
      </c>
      <c r="F1476" s="38" t="n">
        <f aca="false">(mw_open*rpm_open+Sens!$F$1474*Sens!$F$1473)*Sens!$F$1460/1000</f>
        <v>16.1898695858458</v>
      </c>
      <c r="G1476" s="38" t="n">
        <f aca="false">Sens!$E$1476+Sens!$F$1476</f>
        <v>24.7002225614158</v>
      </c>
      <c r="H1476" s="38" t="n">
        <f aca="false">(mw_open*rpm_open+Sens!$H$1474*Sens!$H$1473)/1000</f>
        <v>70.1785184971087</v>
      </c>
      <c r="I1476" s="38" t="n">
        <f aca="false">(mw_open*rpm_open+Sens!$I$1474*Sens!$I$1473)/1000</f>
        <v>121.85077898043</v>
      </c>
      <c r="J1476" s="38" t="n">
        <f aca="false">(mw_open*rpm_open+Sens!$J$1474*Sens!$J$1473)/1000</f>
        <v>173.752913998988</v>
      </c>
      <c r="K1476" s="38" t="n">
        <f aca="false">(mw_open*rpm_open+Sens!$K$1474*Sens!$K$1473)/1000</f>
        <v>225.731673862625</v>
      </c>
      <c r="L1476" s="38" t="n">
        <f aca="false">(mw_open*rpm_open+Sens!$L$1474*Sens!$L$1473)/1000</f>
        <v>277.745263201297</v>
      </c>
      <c r="M1476" s="38" t="n">
        <f aca="false">(mw_open*rpm_open+Sens!$M$1474*Sens!$M$1473)/1000</f>
        <v>329.77760687268</v>
      </c>
      <c r="N1476" s="38" t="n">
        <f aca="false">Sens!$N$1459*rpm_open*Sens!$N$1460/1000</f>
        <v>3.04631953102791</v>
      </c>
      <c r="O1476" s="38" t="n">
        <f aca="false">Sens!$O$1459*rpm_open*Sens!$O$1460/1000</f>
        <v>5.65745055762326</v>
      </c>
      <c r="P1476" s="5" t="s">
        <v>575</v>
      </c>
    </row>
    <row r="1477" customFormat="false" ht="17.15" hidden="false" customHeight="false" outlineLevel="0" collapsed="false">
      <c r="A1477" s="5" t="s">
        <v>576</v>
      </c>
      <c r="B1477" s="0" t="s">
        <v>151</v>
      </c>
      <c r="C1477" s="36" t="n">
        <f aca="false">Sens!$C$1476*1000/(Sens!$C$1459*Sens!$C$1460)</f>
        <v>9.67085565405685</v>
      </c>
      <c r="D1477" s="36" t="n">
        <f aca="false">Sens!$D$1476*1000/(Sens!$D$1459*Sens!$D$1460)</f>
        <v>9.67085565405685</v>
      </c>
      <c r="E1477" s="36" t="n">
        <f aca="false">Sens!$E$1476*1000/(Sens!$E$1459*Sens!$E$1460)</f>
        <v>9.67085565405685</v>
      </c>
      <c r="F1477" s="36" t="n">
        <f aca="false">Sens!$F$1476*1000/(Sens!$F$1459*Sens!$F$1460)</f>
        <v>10.0692074428747</v>
      </c>
      <c r="G1477" s="36" t="n">
        <f aca="false">Sens!$G$1476*1000/(Sens!$G$1459*Sens!$G$1460)</f>
        <v>9.92830334769859</v>
      </c>
      <c r="H1477" s="36" t="n">
        <f aca="false">Sens!$H$1476*1000/(Sens!$H$1459*Sens!$H$1460)</f>
        <v>10.5963827638463</v>
      </c>
      <c r="I1477" s="36" t="n">
        <f aca="false">Sens!$I$1476*1000/(Sens!$I$1459*Sens!$I$1460)</f>
        <v>10.9129058935074</v>
      </c>
      <c r="J1477" s="36" t="n">
        <f aca="false">Sens!$J$1476*1000/(Sens!$J$1459*Sens!$J$1460)</f>
        <v>11.0609880876899</v>
      </c>
      <c r="K1477" s="36" t="n">
        <f aca="false">Sens!$K$1476*1000/(Sens!$K$1459*Sens!$K$1460)</f>
        <v>11.1464174931548</v>
      </c>
      <c r="L1477" s="36" t="n">
        <f aca="false">Sens!$L$1476*1000/(Sens!$L$1459*Sens!$L$1460)</f>
        <v>11.2019465383296</v>
      </c>
      <c r="M1477" s="36" t="n">
        <f aca="false">Sens!$M$1476*1000/(Sens!$M$1459*Sens!$M$1460)</f>
        <v>11.2409174981527</v>
      </c>
      <c r="N1477" s="36" t="n">
        <f aca="false">Sens!$N$1476*1000/(Sens!$N$1459*Sens!$N$1460)</f>
        <v>9.67085565405685</v>
      </c>
      <c r="O1477" s="36" t="n">
        <f aca="false">Sens!$O$1476*1000/(Sens!$O$1459*Sens!$O$1460)</f>
        <v>9.67085565405685</v>
      </c>
    </row>
    <row r="1478" customFormat="false" ht="17.15" hidden="false" customHeight="false" outlineLevel="0" collapsed="false">
      <c r="A1478" s="0" t="s">
        <v>577</v>
      </c>
      <c r="B1478" s="0" t="s">
        <v>73</v>
      </c>
      <c r="C1478" s="38" t="n">
        <f aca="false">Sens!$C$1459/ext_sh*(ox_open+rent_mw)*Sens!$C$1460/1000</f>
        <v>0.642569210675032</v>
      </c>
      <c r="D1478" s="38" t="n">
        <f aca="false">Sens!$D$1459/ext_sh*(ox_open+rent_mw)*Sens!$D$1460/1000</f>
        <v>2.40963454003137</v>
      </c>
      <c r="E1478" s="38" t="n">
        <f aca="false">Sens!$E$1459/ext_sh*(ox_open+rent_mw)*Sens!$E$1460/1000</f>
        <v>2.35608710580845</v>
      </c>
      <c r="F1478" s="38" t="n">
        <f aca="false">((mw_open*ox_open+Sens!$F$1474*Sens!$F$1472)/ext_sh+Sens!$F$1459/ext_sh*rent_mw)*Sens!$F$1460/1000</f>
        <v>4.37165824392995</v>
      </c>
      <c r="G1478" s="38" t="n">
        <f aca="false">Sens!$E$1478+Sens!$F$1478</f>
        <v>6.7277453497384</v>
      </c>
      <c r="H1478" s="38" t="n">
        <f aca="false">((mw_open*ox_open+Sens!$H$1474*Sens!$H$1472)/ext_sh+Sens!$H$1459/ext_sh*rent_mw)*Sens!$H$1460/1000</f>
        <v>18.3713886535311</v>
      </c>
      <c r="I1478" s="38" t="n">
        <f aca="false">((mw_open*ox_open+Sens!$I$1474*Sens!$I$1472)/ext_sh+Sens!$I$1459/ext_sh*rent_mw)*Sens!$I$1460/1000</f>
        <v>31.3417196353062</v>
      </c>
      <c r="J1478" s="38" t="n">
        <f aca="false">((mw_open*ox_open+Sens!$J$1474*Sens!$J$1472)/ext_sh+Sens!$J$1459/ext_sh*rent_mw)*Sens!$J$1460/1000</f>
        <v>44.336032829571</v>
      </c>
      <c r="K1478" s="38" t="n">
        <f aca="false">((mw_open*ox_open+Sens!$K$1474*Sens!$K$1472)/ext_sh+Sens!$K$1459/ext_sh*rent_mw)*Sens!$K$1460/1000</f>
        <v>57.3383400946656</v>
      </c>
      <c r="L1478" s="38" t="n">
        <f aca="false">((mw_open*ox_open+Sens!$L$1474*Sens!$L$1472)/ext_sh+Sens!$L$1459/ext_sh*rent_mw)*Sens!$L$1460/1000</f>
        <v>70.3442810283193</v>
      </c>
      <c r="M1478" s="38" t="n">
        <f aca="false">((mw_open*ox_open+Sens!$M$1474*Sens!$M$1472)/ext_sh+Sens!$M$1459/ext_sh*rent_mw)*Sens!$M$1460/1000</f>
        <v>83.3521785527356</v>
      </c>
      <c r="N1478" s="38" t="n">
        <f aca="false">Sens!$N$1459/ext_sh*(ox_open+rent_mw)*Sens!$N$1460/1000</f>
        <v>0.84337208901098</v>
      </c>
      <c r="O1478" s="38" t="n">
        <f aca="false">Sens!$O$1459/ext_sh*(ox_open+rent_mw)*Sens!$O$1460/1000</f>
        <v>1.56626245102039</v>
      </c>
    </row>
    <row r="1479" customFormat="false" ht="17.15" hidden="false" customHeight="false" outlineLevel="0" collapsed="false">
      <c r="A1479" s="0" t="s">
        <v>578</v>
      </c>
      <c r="B1479" s="0" t="s">
        <v>73</v>
      </c>
      <c r="C1479" s="38" t="n">
        <f aca="false">Q!$D$7</f>
        <v>107.556</v>
      </c>
      <c r="D1479" s="38" t="n">
        <f aca="false">Q!$E$7</f>
        <v>128.725</v>
      </c>
      <c r="E1479" s="38" t="n">
        <f aca="false">Q!$P$7</f>
        <v>79.819</v>
      </c>
      <c r="N1479" s="38" t="n">
        <f aca="false">Q!$N$7</f>
        <v>60.14</v>
      </c>
      <c r="O1479" s="38" t="n">
        <f aca="false">Q!$O$7</f>
        <v>68.585</v>
      </c>
    </row>
    <row r="1480" customFormat="false" ht="17.15" hidden="false" customHeight="false" outlineLevel="0" collapsed="false">
      <c r="A1480" s="1" t="s">
        <v>579</v>
      </c>
      <c r="B1480" s="8" t="s">
        <v>73</v>
      </c>
      <c r="C1480" s="38" t="n">
        <f aca="false">Sens!$C$1479-Sens!$C$1476</f>
        <v>105.234994643026</v>
      </c>
      <c r="D1480" s="38" t="n">
        <f aca="false">Sens!$D$1479-Sens!$D$1476</f>
        <v>120.021229911349</v>
      </c>
      <c r="E1480" s="38" t="n">
        <f aca="false">Sens!$E$1479-Sens!$E$1476</f>
        <v>71.30864702443</v>
      </c>
      <c r="F1480" s="38" t="n">
        <f aca="false">Sens!$O$1480*(1+Sens!$F$1481)</f>
        <v>78.5950104186653</v>
      </c>
      <c r="G1480" s="38" t="n">
        <f aca="false">Sens!$E$1480+Sens!$F$1480</f>
        <v>149.903657443095</v>
      </c>
      <c r="H1480" s="38" t="n">
        <f aca="false">Sens!$G$1480*(1+Sens!$H$1481)</f>
        <v>180.893560768142</v>
      </c>
      <c r="I1480" s="38" t="n">
        <f aca="false">Sens!$H$1480*(1+Sens!$I$1481)</f>
        <v>210.64839721501</v>
      </c>
      <c r="J1480" s="38" t="n">
        <f aca="false">Sens!$I$1480*(1+Sens!$J$1481)</f>
        <v>236.398909446495</v>
      </c>
      <c r="K1480" s="38" t="n">
        <f aca="false">Sens!$J$1480*(1+Sens!$K$1481)</f>
        <v>255.310822202215</v>
      </c>
      <c r="L1480" s="38" t="n">
        <f aca="false">Sens!$K$1480*(1+Sens!$L$1481)</f>
        <v>275.735687978392</v>
      </c>
      <c r="M1480" s="38" t="n">
        <f aca="false">Sens!$L$1480*(1+Sens!$M$1481)</f>
        <v>297.794543016663</v>
      </c>
      <c r="N1480" s="38" t="n">
        <f aca="false">Sens!$N$1479-Sens!$N$1476</f>
        <v>57.0936804689721</v>
      </c>
      <c r="O1480" s="38" t="n">
        <f aca="false">Sens!$O$1479-Sens!$O$1476</f>
        <v>62.9275494423768</v>
      </c>
      <c r="P1480" s="5" t="s">
        <v>580</v>
      </c>
    </row>
    <row r="1481" customFormat="false" ht="17.15" hidden="false" customHeight="false" outlineLevel="0" collapsed="false">
      <c r="A1481" s="0" t="s">
        <v>581</v>
      </c>
      <c r="B1481" s="0" t="s">
        <v>52</v>
      </c>
      <c r="E1481" s="12" t="n">
        <f aca="false">Sens!$E$1480/Sens!$N$1480-1</f>
        <v>0.248976181579029</v>
      </c>
      <c r="F1481" s="12" t="n">
        <f aca="false">Sens!$E$1481</f>
        <v>0.248976181579029</v>
      </c>
      <c r="G1481" s="12" t="n">
        <f aca="false">Sens!$G$1480/Sens!$D$1480-1</f>
        <v>0.248976181579029</v>
      </c>
      <c r="H1481" s="12" t="n">
        <f aca="false">Sens!$E$1481+(g_awso_lt-Sens!$E$1481)*1/4</f>
        <v>0.206732136184272</v>
      </c>
      <c r="I1481" s="12" t="n">
        <f aca="false">Sens!$E$1481+(g_awso_lt-Sens!$E$1481)*2/4</f>
        <v>0.164488090789515</v>
      </c>
      <c r="J1481" s="12" t="n">
        <f aca="false">Sens!$E$1481+(g_awso_lt-Sens!$E$1481)*3/4</f>
        <v>0.122244045394757</v>
      </c>
      <c r="K1481" s="12" t="n">
        <f aca="false">Sens!$E$1481+(g_awso_lt-Sens!$E$1481)*4/4</f>
        <v>0.08</v>
      </c>
      <c r="L1481" s="12" t="n">
        <f aca="false">g_awso_lt</f>
        <v>0.08</v>
      </c>
      <c r="M1481" s="12" t="n">
        <f aca="false">g_awso_lt</f>
        <v>0.08</v>
      </c>
      <c r="P1481" s="8" t="s">
        <v>582</v>
      </c>
    </row>
    <row r="1482" customFormat="false" ht="17.15" hidden="false" customHeight="false" outlineLevel="0" collapsed="false">
      <c r="A1482" s="1" t="s">
        <v>583</v>
      </c>
    </row>
    <row r="1483" customFormat="false" ht="17.15" hidden="false" customHeight="false" outlineLevel="0" collapsed="false">
      <c r="A1483" s="0" t="s">
        <v>584</v>
      </c>
      <c r="B1483" s="0" t="s">
        <v>73</v>
      </c>
      <c r="F1483" s="38" t="n">
        <f aca="false">cx_rt*Sens!$F$1449+cx_awso*Sens!$F$1480</f>
        <v>36.8045765066526</v>
      </c>
    </row>
    <row r="1484" customFormat="false" ht="17.15" hidden="false" customHeight="false" outlineLevel="0" collapsed="false">
      <c r="A1484" s="0" t="s">
        <v>585</v>
      </c>
      <c r="B1484" s="0" t="s">
        <v>52</v>
      </c>
      <c r="C1484" s="12" t="n">
        <f aca="false">tk_cx_h100/(tk_cx_h100+tk_fac*(1-colo_sh))</f>
        <v>0.730756458006641</v>
      </c>
      <c r="D1484" s="12" t="n">
        <f aca="false">tk_cx_h100/(tk_cx_h100+tk_fac*(1-colo_sh))</f>
        <v>0.730756458006641</v>
      </c>
      <c r="E1484" s="12" t="n">
        <f aca="false">Sens!$F$1484</f>
        <v>0.760792334328868</v>
      </c>
      <c r="F1484" s="12" t="n">
        <f aca="false">Sens!$F$1467/(Sens!$F$1467+tk_fac*(1-colo_sh))</f>
        <v>0.760792334328868</v>
      </c>
      <c r="G1484" s="12" t="n">
        <f aca="false">Sens!$G$1467/(Sens!$G$1467+tk_fac*(1-colo_sh))</f>
        <v>0.760792334328868</v>
      </c>
      <c r="H1484" s="12" t="n">
        <f aca="false">Sens!$H$1467/(Sens!$H$1467+tk_fac*(1-colo_sh))</f>
        <v>0.768110668862996</v>
      </c>
      <c r="I1484" s="12" t="n">
        <f aca="false">Sens!$I$1467/(Sens!$I$1467+tk_fac*(1-colo_sh))</f>
        <v>0.77499450139483</v>
      </c>
      <c r="J1484" s="12" t="n">
        <f aca="false">Sens!$J$1467/(Sens!$J$1467+tk_fac*(1-colo_sh))</f>
        <v>0.77499450139483</v>
      </c>
      <c r="K1484" s="12" t="n">
        <f aca="false">Sens!$K$1467/(Sens!$K$1467+tk_fac*(1-colo_sh))</f>
        <v>0.77499450139483</v>
      </c>
      <c r="L1484" s="12" t="n">
        <f aca="false">Sens!$L$1467/(Sens!$L$1467+tk_fac*(1-colo_sh))</f>
        <v>0.77499450139483</v>
      </c>
      <c r="M1484" s="12" t="n">
        <f aca="false">Sens!$M$1467/(Sens!$M$1467+tk_fac*(1-colo_sh))</f>
        <v>0.77499450139483</v>
      </c>
    </row>
    <row r="1485" customFormat="false" ht="17.15" hidden="false" customHeight="false" outlineLevel="0" collapsed="false">
      <c r="A1485" s="1" t="s">
        <v>586</v>
      </c>
      <c r="B1485" s="8" t="s">
        <v>73</v>
      </c>
      <c r="C1485" s="38" t="n">
        <f aca="false">Q!$D$46-cx_rt*Q!$D$16-cx_awso*Sens!$C$1480</f>
        <v>25.2781053077374</v>
      </c>
      <c r="D1485" s="38" t="n">
        <f aca="false">Q!$E$46-cx_rt*Q!$E$16-cx_awso*Sens!$D$1480</f>
        <v>69.5686316310026</v>
      </c>
      <c r="E1485" s="38" t="n">
        <f aca="false">Q!$P$46-cx_rt*Q!$P$16-cx_awso*Sens!$E$1480</f>
        <v>64.1899206485108</v>
      </c>
      <c r="F1485" s="38" t="n">
        <f aca="false">MAX(Sens!$F$1462*(Sens!$F$1467+tk_fac*(1-colo_sh))/1000,capex_g26-Q!$P$46-Sens!$F$1483)</f>
        <v>120.310162486875</v>
      </c>
      <c r="G1485" s="38" t="n">
        <f aca="false">Sens!$E$1485+Sens!$F$1485</f>
        <v>184.500083135386</v>
      </c>
      <c r="H1485" s="38" t="n">
        <f aca="false">Sens!$H$1462*(Sens!$H$1467+tk_fac*(1-colo_sh))/1000+Sens!$H$1486</f>
        <v>248.214206180938</v>
      </c>
      <c r="I1485" s="38" t="n">
        <f aca="false">Sens!$I$1462*(Sens!$I$1467+tk_fac*(1-colo_sh))/1000+Sens!$I$1486</f>
        <v>255.808087388125</v>
      </c>
      <c r="J1485" s="38" t="n">
        <f aca="false">Sens!$J$1462*(Sens!$J$1467+tk_fac*(1-colo_sh))/1000+Sens!$J$1486</f>
        <v>261.044855588125</v>
      </c>
      <c r="K1485" s="38" t="n">
        <f aca="false">Sens!$K$1462*(Sens!$K$1467+tk_fac*(1-colo_sh))/1000+Sens!$K$1486</f>
        <v>266.281623788125</v>
      </c>
      <c r="L1485" s="38" t="n">
        <f aca="false">Sens!$L$1462*(Sens!$L$1467+tk_fac*(1-colo_sh))/1000+Sens!$L$1486</f>
        <v>302.939001188125</v>
      </c>
      <c r="M1485" s="38" t="n">
        <f aca="false">Sens!$M$1462*(Sens!$M$1467+tk_fac*(1-colo_sh))/1000+Sens!$M$1486</f>
        <v>382.862448357188</v>
      </c>
      <c r="P1485" s="5" t="s">
        <v>587</v>
      </c>
      <c r="R1485" s="38" t="n">
        <f aca="false">Q!$C$46-cx_rt*Q!$C$16-cx_awso*(Q!$C$7-mw_ye23/2*rpm_open/1000)</f>
        <v>1.50429979529945</v>
      </c>
      <c r="S1485" s="38" t="n">
        <f aca="false">Sens!$C$1485</f>
        <v>25.2781053077374</v>
      </c>
      <c r="T1485" s="38" t="n">
        <f aca="false">Sens!$D$1485</f>
        <v>69.5686316310026</v>
      </c>
      <c r="U1485" s="38" t="n">
        <f aca="false">Sens!$G$1485</f>
        <v>184.500083135386</v>
      </c>
      <c r="V1485" s="38" t="n">
        <f aca="false">Sens!$H$1485</f>
        <v>248.214206180938</v>
      </c>
      <c r="W1485" s="38" t="n">
        <f aca="false">Sens!$I$1485</f>
        <v>255.808087388125</v>
      </c>
      <c r="X1485" s="38" t="n">
        <f aca="false">Sens!$J$1485</f>
        <v>261.044855588125</v>
      </c>
      <c r="Y1485" s="38" t="n">
        <f aca="false">Sens!$K$1485</f>
        <v>266.281623788125</v>
      </c>
      <c r="Z1485" s="38" t="n">
        <f aca="false">Sens!$L$1485</f>
        <v>302.939001188125</v>
      </c>
      <c r="AA1485" s="38" t="n">
        <f aca="false">Sens!$M$1485</f>
        <v>382.862448357188</v>
      </c>
    </row>
    <row r="1486" customFormat="false" ht="17.15" hidden="false" customHeight="false" outlineLevel="0" collapsed="false">
      <c r="A1486" s="0" t="s">
        <v>588</v>
      </c>
      <c r="B1486" s="0" t="s">
        <v>73</v>
      </c>
      <c r="H1486" s="38" t="n">
        <f aca="false">SUMPRODUCT(--(Sens!$R$1456:$AA$1456=2027-tk_life),Sens!$R$1462:$AA$1462)*Sens!$H$1467/1000</f>
        <v>0</v>
      </c>
      <c r="I1486" s="38" t="n">
        <f aca="false">SUMPRODUCT(--(Sens!$R$1456:$AA$1456=2028-tk_life),Sens!$R$1462:$AA$1462)*Sens!$I$1467/1000</f>
        <v>0</v>
      </c>
      <c r="J1486" s="38" t="n">
        <f aca="false">SUMPRODUCT(--(Sens!$R$1456:$AA$1456=2029-tk_life),Sens!$R$1462:$AA$1462)*Sens!$J$1467/1000</f>
        <v>5.2367682</v>
      </c>
      <c r="K1486" s="38" t="n">
        <f aca="false">SUMPRODUCT(--(Sens!$R$1456:$AA$1456=2030-tk_life),Sens!$R$1462:$AA$1462)*Sens!$K$1467/1000</f>
        <v>10.4735364</v>
      </c>
      <c r="L1486" s="38" t="n">
        <f aca="false">SUMPRODUCT(--(Sens!$R$1456:$AA$1456=2031-tk_life),Sens!$R$1462:$AA$1462)*Sens!$L$1467/1000</f>
        <v>47.1309138</v>
      </c>
      <c r="M1486" s="38" t="n">
        <f aca="false">SUMPRODUCT(--(Sens!$R$1456:$AA$1456=2032-tk_life),Sens!$R$1462:$AA$1462)*Sens!$M$1467/1000</f>
        <v>127.054360969063</v>
      </c>
    </row>
    <row r="1487" customFormat="false" ht="17.15" hidden="false" customHeight="false" outlineLevel="0" collapsed="false">
      <c r="A1487" s="5" t="s">
        <v>589</v>
      </c>
      <c r="B1487" s="0" t="s">
        <v>73</v>
      </c>
      <c r="C1487" s="38" t="n">
        <f aca="false">Sens!$C$1485*Sens!$C$1484</f>
        <v>18.472138699801</v>
      </c>
      <c r="D1487" s="38" t="n">
        <f aca="false">Sens!$D$1485*Sens!$D$1484</f>
        <v>50.8377268390402</v>
      </c>
      <c r="E1487" s="38" t="n">
        <f aca="false">Sens!$E$1485*Sens!$E$1484</f>
        <v>48.8351995705653</v>
      </c>
      <c r="F1487" s="38" t="n">
        <f aca="false">Sens!$F$1485*Sens!$F$1484</f>
        <v>91.531049361875</v>
      </c>
      <c r="G1487" s="38" t="n">
        <f aca="false">Sens!$E$1487+Sens!$F$1487</f>
        <v>140.36624893244</v>
      </c>
      <c r="H1487" s="38" t="n">
        <f aca="false">(Sens!$H$1485-Sens!$H$1486)*Sens!$H$1484+Sens!$H$1486</f>
        <v>190.655979930938</v>
      </c>
      <c r="I1487" s="38" t="n">
        <f aca="false">(Sens!$I$1485-Sens!$I$1486)*Sens!$I$1484+Sens!$I$1486</f>
        <v>198.249861138125</v>
      </c>
      <c r="J1487" s="38" t="n">
        <f aca="false">(Sens!$J$1485-Sens!$J$1486)*Sens!$J$1484+Sens!$J$1486</f>
        <v>203.486629338125</v>
      </c>
      <c r="K1487" s="38" t="n">
        <f aca="false">(Sens!$K$1485-Sens!$K$1486)*Sens!$K$1484+Sens!$K$1486</f>
        <v>208.723397538125</v>
      </c>
      <c r="L1487" s="38" t="n">
        <f aca="false">(Sens!$L$1485-Sens!$L$1486)*Sens!$L$1484+Sens!$L$1486</f>
        <v>245.380774938125</v>
      </c>
      <c r="M1487" s="38" t="n">
        <f aca="false">(Sens!$M$1485-Sens!$M$1486)*Sens!$M$1484+Sens!$M$1486</f>
        <v>325.304222107188</v>
      </c>
      <c r="R1487" s="38" t="n">
        <f aca="false">Sens!$R$1485*Sens!$C$1484</f>
        <v>1.09927679019314</v>
      </c>
      <c r="S1487" s="38" t="n">
        <f aca="false">Sens!$C$1487</f>
        <v>18.472138699801</v>
      </c>
      <c r="T1487" s="38" t="n">
        <f aca="false">Sens!$D$1487</f>
        <v>50.8377268390402</v>
      </c>
      <c r="U1487" s="38" t="n">
        <f aca="false">Sens!$G$1487</f>
        <v>140.36624893244</v>
      </c>
      <c r="V1487" s="38" t="n">
        <f aca="false">Sens!$H$1487</f>
        <v>190.655979930938</v>
      </c>
      <c r="W1487" s="38" t="n">
        <f aca="false">Sens!$I$1487</f>
        <v>198.249861138125</v>
      </c>
      <c r="X1487" s="38" t="n">
        <f aca="false">Sens!$J$1487</f>
        <v>203.486629338125</v>
      </c>
      <c r="Y1487" s="38" t="n">
        <f aca="false">Sens!$K$1487</f>
        <v>208.723397538125</v>
      </c>
      <c r="Z1487" s="38" t="n">
        <f aca="false">Sens!$L$1487</f>
        <v>245.380774938125</v>
      </c>
      <c r="AA1487" s="38" t="n">
        <f aca="false">Sens!$M$1487</f>
        <v>325.304222107188</v>
      </c>
    </row>
    <row r="1488" customFormat="false" ht="15" hidden="false" customHeight="false" outlineLevel="0" collapsed="false">
      <c r="A1488" s="5" t="s">
        <v>590</v>
      </c>
      <c r="B1488" s="0" t="s">
        <v>73</v>
      </c>
      <c r="C1488" s="38" t="n">
        <f aca="false">Sens!$C$1485-Sens!$C$1487</f>
        <v>6.80596660793636</v>
      </c>
      <c r="D1488" s="38" t="n">
        <f aca="false">Sens!$D$1485-Sens!$D$1487</f>
        <v>18.7309047919624</v>
      </c>
      <c r="E1488" s="38" t="n">
        <f aca="false">Sens!$E$1485-Sens!$E$1487</f>
        <v>15.3547210779455</v>
      </c>
      <c r="F1488" s="38" t="n">
        <f aca="false">Sens!$F$1485-Sens!$F$1487</f>
        <v>28.779113125</v>
      </c>
      <c r="G1488" s="38" t="n">
        <f aca="false">Sens!$G$1485-Sens!$G$1487</f>
        <v>44.1338342029455</v>
      </c>
      <c r="H1488" s="38" t="n">
        <f aca="false">Sens!$H$1485-Sens!$H$1487</f>
        <v>57.55822625</v>
      </c>
      <c r="I1488" s="38" t="n">
        <f aca="false">Sens!$I$1485-Sens!$I$1487</f>
        <v>57.55822625</v>
      </c>
      <c r="J1488" s="38" t="n">
        <f aca="false">Sens!$J$1485-Sens!$J$1487</f>
        <v>57.55822625</v>
      </c>
      <c r="K1488" s="38" t="n">
        <f aca="false">Sens!$K$1485-Sens!$K$1487</f>
        <v>57.55822625</v>
      </c>
      <c r="L1488" s="38" t="n">
        <f aca="false">Sens!$L$1485-Sens!$L$1487</f>
        <v>57.55822625</v>
      </c>
      <c r="M1488" s="38" t="n">
        <f aca="false">Sens!$M$1485-Sens!$M$1487</f>
        <v>57.55822625</v>
      </c>
      <c r="R1488" s="38" t="n">
        <f aca="false">Sens!$R$1485-Sens!$R$1487</f>
        <v>0.405023005106309</v>
      </c>
      <c r="S1488" s="38" t="n">
        <f aca="false">Sens!$S$1485-Sens!$S$1487</f>
        <v>6.80596660793636</v>
      </c>
      <c r="T1488" s="38" t="n">
        <f aca="false">Sens!$T$1485-Sens!$T$1487</f>
        <v>18.7309047919624</v>
      </c>
      <c r="U1488" s="38" t="n">
        <f aca="false">Sens!$U$1485-Sens!$U$1487</f>
        <v>44.1338342029455</v>
      </c>
      <c r="V1488" s="38" t="n">
        <f aca="false">Sens!$V$1485-Sens!$V$1487</f>
        <v>57.55822625</v>
      </c>
      <c r="W1488" s="38" t="n">
        <f aca="false">Sens!$W$1485-Sens!$W$1487</f>
        <v>57.55822625</v>
      </c>
      <c r="X1488" s="38" t="n">
        <f aca="false">Sens!$X$1485-Sens!$X$1487</f>
        <v>57.55822625</v>
      </c>
      <c r="Y1488" s="38" t="n">
        <f aca="false">Sens!$Y$1485-Sens!$Y$1487</f>
        <v>57.55822625</v>
      </c>
      <c r="Z1488" s="38" t="n">
        <f aca="false">Sens!$Z$1485-Sens!$Z$1487</f>
        <v>57.55822625</v>
      </c>
      <c r="AA1488" s="38" t="n">
        <f aca="false">Sens!$AA$1485-Sens!$AA$1487</f>
        <v>57.55822625</v>
      </c>
    </row>
    <row r="1489" customFormat="false" ht="17.15" hidden="false" customHeight="false" outlineLevel="0" collapsed="false">
      <c r="A1489" s="0" t="s">
        <v>591</v>
      </c>
      <c r="B1489" s="0" t="s">
        <v>52</v>
      </c>
      <c r="C1489" s="12" t="n">
        <f aca="false">Sens!$C$1485/Sens!$C$1601</f>
        <v>0.325505489553393</v>
      </c>
      <c r="D1489" s="12" t="n">
        <f aca="false">Sens!$D$1485/Sens!$D$1601</f>
        <v>0.54214956071542</v>
      </c>
      <c r="E1489" s="12" t="n">
        <f aca="false">Sens!$E$1485/Sens!$E$1601</f>
        <v>0.666492790452817</v>
      </c>
      <c r="F1489" s="12" t="n">
        <f aca="false">Sens!$F$1485/Sens!$F$1601</f>
        <v>0.765747142868826</v>
      </c>
      <c r="G1489" s="12" t="n">
        <f aca="false">Sens!$G$1485/Sens!$G$1601</f>
        <v>0.728027121062154</v>
      </c>
      <c r="H1489" s="12" t="n">
        <f aca="false">Sens!$H$1485/Sens!$H$1601</f>
        <v>0.757875977989072</v>
      </c>
      <c r="I1489" s="12" t="n">
        <f aca="false">Sens!$I$1485/Sens!$I$1601</f>
        <v>0.741266275348275</v>
      </c>
      <c r="J1489" s="12" t="n">
        <f aca="false">Sens!$J$1485/Sens!$J$1601</f>
        <v>0.726677537839099</v>
      </c>
      <c r="K1489" s="12" t="n">
        <f aca="false">Sens!$K$1485/Sens!$K$1601</f>
        <v>0.716682871737265</v>
      </c>
      <c r="L1489" s="12" t="n">
        <f aca="false">Sens!$L$1485/Sens!$L$1601</f>
        <v>0.728537423713616</v>
      </c>
      <c r="M1489" s="12" t="n">
        <f aca="false">Sens!$M$1485/Sens!$M$1601</f>
        <v>0.759753573063233</v>
      </c>
    </row>
    <row r="1490" customFormat="false" ht="17.15" hidden="false" customHeight="false" outlineLevel="0" collapsed="false">
      <c r="A1490" s="0" t="s">
        <v>592</v>
      </c>
      <c r="B1490" s="0" t="s">
        <v>73</v>
      </c>
      <c r="C1490" s="38" t="n">
        <f aca="false">Sens!$S$1490</f>
        <v>0.183212798365523</v>
      </c>
      <c r="D1490" s="38" t="n">
        <f aca="false">Sens!$T$1490</f>
        <v>3.2619025816657</v>
      </c>
      <c r="E1490" s="38" t="n">
        <f aca="false">Sens!$G$1490/2</f>
        <v>5.86742852741953</v>
      </c>
      <c r="F1490" s="38" t="n">
        <f aca="false">Sens!$G$1490/2</f>
        <v>5.86742852741953</v>
      </c>
      <c r="G1490" s="38" t="n">
        <f aca="false">Sens!$U$1490</f>
        <v>11.7348570548391</v>
      </c>
      <c r="H1490" s="38" t="n">
        <f aca="false">Sens!$V$1490</f>
        <v>35.1292318769125</v>
      </c>
      <c r="I1490" s="38" t="n">
        <f aca="false">Sens!$W$1490</f>
        <v>66.9052285320687</v>
      </c>
      <c r="J1490" s="38" t="n">
        <f aca="false">Sens!$X$1490</f>
        <v>99.9468720550895</v>
      </c>
      <c r="K1490" s="38" t="n">
        <f aca="false">Sens!$Y$1490</f>
        <v>133.678097479745</v>
      </c>
      <c r="L1490" s="38" t="n">
        <f aca="false">Sens!$Z$1490</f>
        <v>165.386640619466</v>
      </c>
      <c r="M1490" s="38" t="n">
        <f aca="false">Sens!$AA$1490</f>
        <v>197.810481969313</v>
      </c>
      <c r="N1490" s="38" t="n">
        <f aca="false">Sens!$D$1490/2</f>
        <v>1.63095129083285</v>
      </c>
      <c r="O1490" s="38" t="n">
        <f aca="false">Sens!$D$1490/2</f>
        <v>1.63095129083285</v>
      </c>
      <c r="R1490" s="38" t="n">
        <f aca="false">SUMPRODUCT(--(Sens!$R$1456:$AA$1456&lt;Sens!R$1456),--(Sens!$R$1456:$AA$1456&gt;=Sens!R$1456-tk_life),Sens!$R$1487:$AA$1487)/tk_life</f>
        <v>0</v>
      </c>
      <c r="S1490" s="38" t="n">
        <f aca="false">SUMPRODUCT(--(Sens!$R$1456:$AA$1456&lt;Sens!S$1456),--(Sens!$R$1456:$AA$1456&gt;=Sens!S$1456-tk_life),Sens!$R$1487:$AA$1487)/tk_life</f>
        <v>0.183212798365523</v>
      </c>
      <c r="T1490" s="38" t="n">
        <f aca="false">SUMPRODUCT(--(Sens!$R$1456:$AA$1456&lt;Sens!T$1456),--(Sens!$R$1456:$AA$1456&gt;=Sens!T$1456-tk_life),Sens!$R$1487:$AA$1487)/tk_life</f>
        <v>3.2619025816657</v>
      </c>
      <c r="U1490" s="38" t="n">
        <f aca="false">SUMPRODUCT(--(Sens!$R$1456:$AA$1456&lt;Sens!U$1456),--(Sens!$R$1456:$AA$1456&gt;=Sens!U$1456-tk_life),Sens!$R$1487:$AA$1487)/tk_life</f>
        <v>11.7348570548391</v>
      </c>
      <c r="V1490" s="38" t="n">
        <f aca="false">SUMPRODUCT(--(Sens!$R$1456:$AA$1456&lt;Sens!V$1456),--(Sens!$R$1456:$AA$1456&gt;=Sens!V$1456-tk_life),Sens!$R$1487:$AA$1487)/tk_life</f>
        <v>35.1292318769125</v>
      </c>
      <c r="W1490" s="38" t="n">
        <f aca="false">SUMPRODUCT(--(Sens!$R$1456:$AA$1456&lt;Sens!W$1456),--(Sens!$R$1456:$AA$1456&gt;=Sens!W$1456-tk_life),Sens!$R$1487:$AA$1487)/tk_life</f>
        <v>66.9052285320687</v>
      </c>
      <c r="X1490" s="38" t="n">
        <f aca="false">SUMPRODUCT(--(Sens!$R$1456:$AA$1456&lt;Sens!X$1456),--(Sens!$R$1456:$AA$1456&gt;=Sens!X$1456-tk_life),Sens!$R$1487:$AA$1487)/tk_life</f>
        <v>99.9468720550895</v>
      </c>
      <c r="Y1490" s="38" t="n">
        <f aca="false">SUMPRODUCT(--(Sens!$R$1456:$AA$1456&lt;Sens!Y$1456),--(Sens!$R$1456:$AA$1456&gt;=Sens!Y$1456-tk_life),Sens!$R$1487:$AA$1487)/tk_life</f>
        <v>133.678097479745</v>
      </c>
      <c r="Z1490" s="38" t="n">
        <f aca="false">SUMPRODUCT(--(Sens!$R$1456:$AA$1456&lt;Sens!Z$1456),--(Sens!$R$1456:$AA$1456&gt;=Sens!Z$1456-tk_life),Sens!$R$1487:$AA$1487)/tk_life</f>
        <v>165.386640619466</v>
      </c>
      <c r="AA1490" s="38" t="n">
        <f aca="false">SUMPRODUCT(--(Sens!$R$1456:$AA$1456&lt;Sens!AA$1456),--(Sens!$R$1456:$AA$1456&gt;=Sens!AA$1456-tk_life),Sens!$R$1487:$AA$1487)/tk_life</f>
        <v>197.810481969313</v>
      </c>
    </row>
    <row r="1491" customFormat="false" ht="17.15" hidden="false" customHeight="false" outlineLevel="0" collapsed="false">
      <c r="A1491" s="0" t="s">
        <v>593</v>
      </c>
      <c r="B1491" s="0" t="s">
        <v>73</v>
      </c>
      <c r="C1491" s="38" t="n">
        <f aca="false">Sens!$S$1491</f>
        <v>0.0202511502553155</v>
      </c>
      <c r="D1491" s="38" t="n">
        <f aca="false">Sens!$T$1491</f>
        <v>0.360549480652134</v>
      </c>
      <c r="E1491" s="38" t="n">
        <f aca="false">Sens!$G$1491/2</f>
        <v>0.648547360125127</v>
      </c>
      <c r="F1491" s="38" t="n">
        <f aca="false">Sens!$G$1491/2</f>
        <v>0.648547360125127</v>
      </c>
      <c r="G1491" s="38" t="n">
        <f aca="false">Sens!$U$1491</f>
        <v>1.29709472025025</v>
      </c>
      <c r="H1491" s="38" t="n">
        <f aca="false">Sens!$V$1491</f>
        <v>3.50378643039753</v>
      </c>
      <c r="I1491" s="38" t="n">
        <f aca="false">Sens!$W$1491</f>
        <v>6.38169774289753</v>
      </c>
      <c r="J1491" s="38" t="n">
        <f aca="false">Sens!$X$1491</f>
        <v>9.25960905539753</v>
      </c>
      <c r="K1491" s="38" t="n">
        <f aca="false">Sens!$Y$1491</f>
        <v>12.1375203678975</v>
      </c>
      <c r="L1491" s="38" t="n">
        <f aca="false">Sens!$Z$1491</f>
        <v>15.0154316803975</v>
      </c>
      <c r="M1491" s="38" t="n">
        <f aca="false">Sens!$AA$1491</f>
        <v>17.8933429928975</v>
      </c>
      <c r="N1491" s="38" t="n">
        <f aca="false">Sens!$D$1491/2</f>
        <v>0.180274740326067</v>
      </c>
      <c r="O1491" s="38" t="n">
        <f aca="false">Sens!$D$1491/2</f>
        <v>0.180274740326067</v>
      </c>
      <c r="R1491" s="38" t="n">
        <f aca="false">SUMPRODUCT(--(Sens!$R$1456:$AA$1456&lt;Sens!R$1456),Sens!$R$1488:$AA$1488)/fac_life</f>
        <v>0</v>
      </c>
      <c r="S1491" s="38" t="n">
        <f aca="false">SUMPRODUCT(--(Sens!$R$1456:$AA$1456&lt;Sens!S$1456),Sens!$R$1488:$AA$1488)/fac_life</f>
        <v>0.0202511502553155</v>
      </c>
      <c r="T1491" s="38" t="n">
        <f aca="false">SUMPRODUCT(--(Sens!$R$1456:$AA$1456&lt;Sens!T$1456),Sens!$R$1488:$AA$1488)/fac_life</f>
        <v>0.360549480652134</v>
      </c>
      <c r="U1491" s="38" t="n">
        <f aca="false">SUMPRODUCT(--(Sens!$R$1456:$AA$1456&lt;Sens!U$1456),Sens!$R$1488:$AA$1488)/fac_life</f>
        <v>1.29709472025025</v>
      </c>
      <c r="V1491" s="38" t="n">
        <f aca="false">SUMPRODUCT(--(Sens!$R$1456:$AA$1456&lt;Sens!V$1456),Sens!$R$1488:$AA$1488)/fac_life</f>
        <v>3.50378643039753</v>
      </c>
      <c r="W1491" s="38" t="n">
        <f aca="false">SUMPRODUCT(--(Sens!$R$1456:$AA$1456&lt;Sens!W$1456),Sens!$R$1488:$AA$1488)/fac_life</f>
        <v>6.38169774289753</v>
      </c>
      <c r="X1491" s="38" t="n">
        <f aca="false">SUMPRODUCT(--(Sens!$R$1456:$AA$1456&lt;Sens!X$1456),Sens!$R$1488:$AA$1488)/fac_life</f>
        <v>9.25960905539753</v>
      </c>
      <c r="Y1491" s="38" t="n">
        <f aca="false">SUMPRODUCT(--(Sens!$R$1456:$AA$1456&lt;Sens!Y$1456),Sens!$R$1488:$AA$1488)/fac_life</f>
        <v>12.1375203678975</v>
      </c>
      <c r="Z1491" s="38" t="n">
        <f aca="false">SUMPRODUCT(--(Sens!$R$1456:$AA$1456&lt;Sens!Z$1456),Sens!$R$1488:$AA$1488)/fac_life</f>
        <v>15.0154316803975</v>
      </c>
      <c r="AA1491" s="38" t="n">
        <f aca="false">SUMPRODUCT(--(Sens!$R$1456:$AA$1456&lt;Sens!AA$1456),Sens!$R$1488:$AA$1488)/fac_life</f>
        <v>17.8933429928975</v>
      </c>
    </row>
    <row r="1492" customFormat="false" ht="17.15" hidden="false" customHeight="false" outlineLevel="0" collapsed="false">
      <c r="A1492" s="1" t="s">
        <v>594</v>
      </c>
      <c r="B1492" s="8" t="s">
        <v>73</v>
      </c>
      <c r="C1492" s="38" t="n">
        <f aca="false">Sens!$C$1490+Sens!$C$1491</f>
        <v>0.203463948620839</v>
      </c>
      <c r="D1492" s="38" t="n">
        <f aca="false">Sens!$D$1490+Sens!$D$1491</f>
        <v>3.62245206231783</v>
      </c>
      <c r="E1492" s="38" t="n">
        <f aca="false">Sens!$E$1490+Sens!$E$1491</f>
        <v>6.51597588754466</v>
      </c>
      <c r="F1492" s="38" t="n">
        <f aca="false">Sens!$F$1490+Sens!$F$1491</f>
        <v>6.51597588754466</v>
      </c>
      <c r="G1492" s="38" t="n">
        <f aca="false">Sens!$G$1490+Sens!$G$1491</f>
        <v>13.0319517750893</v>
      </c>
      <c r="H1492" s="38" t="n">
        <f aca="false">Sens!$H$1490+Sens!$H$1491</f>
        <v>38.63301830731</v>
      </c>
      <c r="I1492" s="38" t="n">
        <f aca="false">Sens!$I$1490+Sens!$I$1491</f>
        <v>73.2869262749662</v>
      </c>
      <c r="J1492" s="38" t="n">
        <f aca="false">Sens!$J$1490+Sens!$J$1491</f>
        <v>109.206481110487</v>
      </c>
      <c r="K1492" s="38" t="n">
        <f aca="false">Sens!$K$1490+Sens!$K$1491</f>
        <v>145.815617847642</v>
      </c>
      <c r="L1492" s="38" t="n">
        <f aca="false">Sens!$L$1490+Sens!$L$1491</f>
        <v>180.402072299863</v>
      </c>
      <c r="M1492" s="38" t="n">
        <f aca="false">Sens!$M$1490+Sens!$M$1491</f>
        <v>215.703824962211</v>
      </c>
      <c r="N1492" s="38" t="n">
        <f aca="false">Sens!$N$1490+Sens!$N$1491</f>
        <v>1.81122603115892</v>
      </c>
      <c r="O1492" s="38" t="n">
        <f aca="false">Sens!$O$1490+Sens!$O$1491</f>
        <v>1.81122603115892</v>
      </c>
      <c r="R1492" s="38" t="n">
        <f aca="false">Sens!$R$1490+Sens!$R$1491</f>
        <v>0</v>
      </c>
      <c r="S1492" s="38" t="n">
        <f aca="false">Sens!$S$1490+Sens!$S$1491</f>
        <v>0.203463948620839</v>
      </c>
      <c r="T1492" s="38" t="n">
        <f aca="false">Sens!$T$1490+Sens!$T$1491</f>
        <v>3.62245206231783</v>
      </c>
      <c r="U1492" s="38" t="n">
        <f aca="false">Sens!$U$1490+Sens!$U$1491</f>
        <v>13.0319517750893</v>
      </c>
      <c r="V1492" s="38" t="n">
        <f aca="false">Sens!$V$1490+Sens!$V$1491</f>
        <v>38.63301830731</v>
      </c>
      <c r="W1492" s="38" t="n">
        <f aca="false">Sens!$W$1490+Sens!$W$1491</f>
        <v>73.2869262749662</v>
      </c>
      <c r="X1492" s="38" t="n">
        <f aca="false">Sens!$X$1490+Sens!$X$1491</f>
        <v>109.206481110487</v>
      </c>
      <c r="Y1492" s="38" t="n">
        <f aca="false">Sens!$Y$1490+Sens!$Y$1491</f>
        <v>145.815617847642</v>
      </c>
      <c r="Z1492" s="38" t="n">
        <f aca="false">Sens!$Z$1490+Sens!$Z$1491</f>
        <v>180.402072299863</v>
      </c>
      <c r="AA1492" s="38" t="n">
        <f aca="false">Sens!$AA$1490+Sens!$AA$1491</f>
        <v>215.703824962211</v>
      </c>
    </row>
    <row r="1493" customFormat="false" ht="17.15" hidden="false" customHeight="false" outlineLevel="0" collapsed="false">
      <c r="A1493" s="0" t="s">
        <v>595</v>
      </c>
      <c r="B1493" s="0" t="s">
        <v>73</v>
      </c>
      <c r="C1493" s="38" t="n">
        <f aca="false">Sens!$S$1493</f>
        <v>26.578941154416</v>
      </c>
      <c r="D1493" s="38" t="n">
        <f aca="false">Sens!$T$1493</f>
        <v>92.5251207231008</v>
      </c>
      <c r="G1493" s="38" t="n">
        <f aca="false">Sens!$U$1493</f>
        <v>263.993252083397</v>
      </c>
      <c r="H1493" s="38" t="n">
        <f aca="false">Sens!$V$1493</f>
        <v>473.574439957025</v>
      </c>
      <c r="I1493" s="38" t="n">
        <f aca="false">Sens!$W$1493</f>
        <v>656.095601070184</v>
      </c>
      <c r="J1493" s="38" t="n">
        <f aca="false">Sens!$X$1493</f>
        <v>807.933975547822</v>
      </c>
      <c r="K1493" s="38" t="n">
        <f aca="false">Sens!$Y$1493</f>
        <v>928.399981488304</v>
      </c>
      <c r="L1493" s="38" t="n">
        <f aca="false">Sens!$Z$1493</f>
        <v>1050.93691037657</v>
      </c>
      <c r="M1493" s="38" t="n">
        <f aca="false">Sens!$AA$1493</f>
        <v>1218.09553377154</v>
      </c>
      <c r="R1493" s="38" t="n">
        <f aca="false">SUM(Sens!$R$1485:$R$1485)-SUM(Sens!$R$1492:$R$1492)</f>
        <v>1.50429979529945</v>
      </c>
      <c r="S1493" s="38" t="n">
        <f aca="false">SUM(Sens!$R$1485:$S$1485)-SUM(Sens!$R$1492:$S$1492)</f>
        <v>26.578941154416</v>
      </c>
      <c r="T1493" s="38" t="n">
        <f aca="false">SUM(Sens!$R$1485:$T$1485)-SUM(Sens!$R$1492:$T$1492)</f>
        <v>92.5251207231008</v>
      </c>
      <c r="U1493" s="38" t="n">
        <f aca="false">SUM(Sens!$R$1485:$U$1485)-SUM(Sens!$R$1492:$U$1492)</f>
        <v>263.993252083397</v>
      </c>
      <c r="V1493" s="38" t="n">
        <f aca="false">SUM(Sens!$R$1485:$V$1485)-SUM(Sens!$R$1492:$V$1492)</f>
        <v>473.574439957025</v>
      </c>
      <c r="W1493" s="38" t="n">
        <f aca="false">SUM(Sens!$R$1485:$W$1485)-SUM(Sens!$R$1492:$W$1492)</f>
        <v>656.095601070184</v>
      </c>
      <c r="X1493" s="38" t="n">
        <f aca="false">SUM(Sens!$R$1485:$X$1485)-SUM(Sens!$R$1492:$X$1492)</f>
        <v>807.933975547822</v>
      </c>
      <c r="Y1493" s="38" t="n">
        <f aca="false">SUM(Sens!$R$1485:$Y$1485)-SUM(Sens!$R$1492:$Y$1492)</f>
        <v>928.399981488304</v>
      </c>
      <c r="Z1493" s="38" t="n">
        <f aca="false">SUM(Sens!$R$1485:$Z$1485)-SUM(Sens!$R$1492:$Z$1492)</f>
        <v>1050.93691037657</v>
      </c>
      <c r="AA1493" s="38" t="n">
        <f aca="false">SUM(Sens!$R$1485:$AA$1485)-SUM(Sens!$R$1492:$AA$1492)</f>
        <v>1218.09553377154</v>
      </c>
    </row>
    <row r="1494" customFormat="false" ht="17.15" hidden="false" customHeight="false" outlineLevel="0" collapsed="false">
      <c r="A1494" s="1" t="s">
        <v>596</v>
      </c>
    </row>
    <row r="1495" customFormat="false" ht="17.15" hidden="false" customHeight="false" outlineLevel="0" collapsed="false">
      <c r="A1495" s="0" t="s">
        <v>597</v>
      </c>
      <c r="B1495" s="0" t="s">
        <v>73</v>
      </c>
      <c r="C1495" s="38" t="n">
        <f aca="false">Sens!$C$1476-ext_sh*Sens!$C$1478</f>
        <v>1.80694998843362</v>
      </c>
      <c r="D1495" s="38" t="n">
        <f aca="false">Sens!$D$1476-ext_sh*Sens!$D$1478</f>
        <v>6.77606245662607</v>
      </c>
      <c r="E1495" s="38" t="n">
        <f aca="false">Sens!$E$1476-ext_sh*Sens!$E$1478</f>
        <v>6.62548329092326</v>
      </c>
      <c r="F1495" s="38" t="n">
        <f aca="false">Sens!$F$1476-ext_sh*Sens!$F$1478</f>
        <v>12.6925429907018</v>
      </c>
      <c r="G1495" s="38" t="n">
        <f aca="false">Sens!$G$1476-ext_sh*Sens!$G$1478</f>
        <v>19.3180262816251</v>
      </c>
      <c r="H1495" s="38" t="n">
        <f aca="false">Sens!$H$1476-ext_sh*Sens!$H$1478</f>
        <v>55.4814075742838</v>
      </c>
      <c r="I1495" s="38" t="n">
        <f aca="false">Sens!$I$1476-ext_sh*Sens!$I$1478</f>
        <v>96.7774032721855</v>
      </c>
      <c r="J1495" s="38" t="n">
        <f aca="false">Sens!$J$1476-ext_sh*Sens!$J$1478</f>
        <v>138.284087735331</v>
      </c>
      <c r="K1495" s="38" t="n">
        <f aca="false">Sens!$K$1476-ext_sh*Sens!$K$1478</f>
        <v>179.861001786892</v>
      </c>
      <c r="L1495" s="38" t="n">
        <f aca="false">Sens!$L$1476-ext_sh*Sens!$L$1478</f>
        <v>221.469838378641</v>
      </c>
      <c r="M1495" s="38" t="n">
        <f aca="false">Sens!$M$1476-ext_sh*Sens!$M$1478</f>
        <v>263.095864030492</v>
      </c>
      <c r="N1495" s="38" t="n">
        <f aca="false">Sens!$N$1476-ext_sh*Sens!$N$1478</f>
        <v>2.37162185981912</v>
      </c>
      <c r="O1495" s="38" t="n">
        <f aca="false">Sens!$O$1476-ext_sh*Sens!$O$1478</f>
        <v>4.40444059680694</v>
      </c>
    </row>
    <row r="1496" customFormat="false" ht="17.15" hidden="false" customHeight="false" outlineLevel="0" collapsed="false">
      <c r="A1496" s="1" t="s">
        <v>598</v>
      </c>
      <c r="B1496" s="8" t="s">
        <v>73</v>
      </c>
      <c r="C1496" s="38" t="n">
        <f aca="false">Sens!$C$1495-ext_sh*Sens!$C$1492</f>
        <v>1.64417882953695</v>
      </c>
      <c r="D1496" s="38" t="n">
        <f aca="false">Sens!$D$1495-ext_sh*Sens!$D$1492</f>
        <v>3.8781008067718</v>
      </c>
      <c r="E1496" s="38" t="n">
        <f aca="false">Sens!$E$1495-ext_sh*Sens!$E$1492</f>
        <v>1.41270258088753</v>
      </c>
      <c r="F1496" s="38" t="n">
        <f aca="false">Sens!$F$1495-ext_sh*Sens!$F$1492</f>
        <v>7.4797622806661</v>
      </c>
      <c r="G1496" s="38" t="n">
        <f aca="false">Sens!$G$1495-ext_sh*Sens!$G$1492</f>
        <v>8.89246486155363</v>
      </c>
      <c r="H1496" s="38" t="n">
        <f aca="false">Sens!$H$1495-ext_sh*Sens!$H$1492</f>
        <v>24.5749929284358</v>
      </c>
      <c r="I1496" s="38" t="n">
        <f aca="false">Sens!$I$1495-ext_sh*Sens!$I$1492</f>
        <v>38.1478622522126</v>
      </c>
      <c r="J1496" s="38" t="n">
        <f aca="false">Sens!$J$1495-ext_sh*Sens!$J$1492</f>
        <v>50.9189028469417</v>
      </c>
      <c r="K1496" s="38" t="n">
        <f aca="false">Sens!$K$1495-ext_sh*Sens!$K$1492</f>
        <v>63.2085075087781</v>
      </c>
      <c r="L1496" s="38" t="n">
        <f aca="false">Sens!$L$1495-ext_sh*Sens!$L$1492</f>
        <v>77.1481805387507</v>
      </c>
      <c r="M1496" s="38" t="n">
        <f aca="false">Sens!$M$1495-ext_sh*Sens!$M$1492</f>
        <v>90.5328040607234</v>
      </c>
      <c r="N1496" s="38" t="n">
        <f aca="false">Sens!$N$1495-ext_sh*Sens!$N$1492</f>
        <v>0.92264103489199</v>
      </c>
      <c r="O1496" s="38" t="n">
        <f aca="false">Sens!$O$1495-ext_sh*Sens!$O$1492</f>
        <v>2.95545977187981</v>
      </c>
    </row>
    <row r="1497" customFormat="false" ht="17.15" hidden="false" customHeight="false" outlineLevel="0" collapsed="false">
      <c r="A1497" s="0" t="s">
        <v>599</v>
      </c>
      <c r="B1497" s="0" t="s">
        <v>52</v>
      </c>
      <c r="C1497" s="12" t="n">
        <f aca="false">Sens!$C$1496/Sens!$C$1476</f>
        <v>0.708390794789371</v>
      </c>
      <c r="D1497" s="12" t="n">
        <f aca="false">Sens!$D$1496/Sens!$D$1476</f>
        <v>0.445565630441968</v>
      </c>
      <c r="E1497" s="12" t="n">
        <f aca="false">Sens!$E$1496/Sens!$E$1476</f>
        <v>0.165998118402711</v>
      </c>
      <c r="F1497" s="12" t="n">
        <f aca="false">Sens!$F$1496/Sens!$F$1476</f>
        <v>0.462002627075229</v>
      </c>
      <c r="G1497" s="12" t="n">
        <f aca="false">Sens!$G$1496/Sens!$G$1476</f>
        <v>0.360015576355354</v>
      </c>
      <c r="H1497" s="12" t="n">
        <f aca="false">Sens!$H$1496/Sens!$H$1476</f>
        <v>0.350178280401407</v>
      </c>
      <c r="I1497" s="12" t="n">
        <f aca="false">Sens!$I$1496/Sens!$I$1476</f>
        <v>0.313070319052611</v>
      </c>
      <c r="J1497" s="12" t="n">
        <f aca="false">Sens!$J$1496/Sens!$J$1476</f>
        <v>0.293053518787249</v>
      </c>
      <c r="K1497" s="12" t="n">
        <f aca="false">Sens!$K$1496/Sens!$K$1476</f>
        <v>0.280016120144688</v>
      </c>
      <c r="L1497" s="12" t="n">
        <f aca="false">Sens!$L$1496/Sens!$L$1476</f>
        <v>0.27776596313305</v>
      </c>
      <c r="M1497" s="12" t="n">
        <f aca="false">Sens!$M$1496/Sens!$M$1476</f>
        <v>0.274526839221306</v>
      </c>
      <c r="N1497" s="12" t="n">
        <f aca="false">Sens!$N$1496/Sens!$N$1476</f>
        <v>0.302870734830849</v>
      </c>
      <c r="O1497" s="12" t="n">
        <f aca="false">Sens!$O$1496/Sens!$O$1476</f>
        <v>0.52240134346334</v>
      </c>
    </row>
    <row r="1498" customFormat="false" ht="17.15" hidden="false" customHeight="false" outlineLevel="0" collapsed="false">
      <c r="A1498" s="5" t="s">
        <v>600</v>
      </c>
      <c r="B1498" s="0" t="s">
        <v>73</v>
      </c>
      <c r="C1498" s="38" t="n">
        <f aca="false">rd2*(1-ext_sh)/ext_sh*Sens!$C$1459*he_open*Sens!$C$1460/1000</f>
        <v>0</v>
      </c>
      <c r="D1498" s="38" t="n">
        <f aca="false">rd2*(1-ext_sh)/ext_sh*Sens!$D$1459*he_open*Sens!$D$1460/1000</f>
        <v>0</v>
      </c>
      <c r="E1498" s="38" t="n">
        <f aca="false">rd2*(1-ext_sh)/ext_sh*Sens!$E$1459*he_open*Sens!$E$1460/1000</f>
        <v>0</v>
      </c>
      <c r="F1498" s="38" t="n">
        <f aca="false">rd2*(1-ext_sh)/ext_sh*(mw_open*he_open+Sens!$F$1474*Sens!$F$1471)*Sens!$F$1460/1000</f>
        <v>0</v>
      </c>
      <c r="G1498" s="38" t="n">
        <f aca="false">Sens!$E$1498+Sens!$F$1498</f>
        <v>0</v>
      </c>
      <c r="H1498" s="38" t="n">
        <f aca="false">rd2*(1-ext_sh)/ext_sh*(mw_open*he_open+Sens!$H$1474*Sens!$H$1471)*Sens!$H$1460/1000</f>
        <v>0</v>
      </c>
      <c r="I1498" s="38" t="n">
        <f aca="false">rd2*(1-ext_sh)/ext_sh*(mw_open*he_open+Sens!$I$1474*Sens!$I$1471)*Sens!$I$1460/1000</f>
        <v>0</v>
      </c>
      <c r="J1498" s="38" t="n">
        <f aca="false">rd2*(1-ext_sh)/ext_sh*(mw_open*he_open+Sens!$J$1474*Sens!$J$1471)*Sens!$J$1460/1000</f>
        <v>0</v>
      </c>
      <c r="K1498" s="38" t="n">
        <f aca="false">rd2*(1-ext_sh)/ext_sh*(mw_open*he_open+Sens!$K$1474*Sens!$K$1471)*Sens!$K$1460/1000</f>
        <v>0</v>
      </c>
      <c r="L1498" s="38" t="n">
        <f aca="false">rd2*(1-ext_sh)/ext_sh*(mw_open*he_open+Sens!$L$1474*Sens!$L$1471)*Sens!$L$1460/1000</f>
        <v>0</v>
      </c>
      <c r="M1498" s="38" t="n">
        <f aca="false">rd2*(1-ext_sh)/ext_sh*(mw_open*he_open+Sens!$M$1474*Sens!$M$1471)*Sens!$M$1460/1000</f>
        <v>0</v>
      </c>
      <c r="N1498" s="38" t="n">
        <f aca="false">rd2*(1-ext_sh)/ext_sh*Sens!$N$1459*he_open*Sens!$N$1460/1000</f>
        <v>0</v>
      </c>
      <c r="O1498" s="38" t="n">
        <f aca="false">rd2*(1-ext_sh)/ext_sh*Sens!$O$1459*he_open*Sens!$O$1460/1000</f>
        <v>0</v>
      </c>
      <c r="P1498" s="8" t="s">
        <v>601</v>
      </c>
    </row>
    <row r="1499" customFormat="false" ht="17.15" hidden="false" customHeight="false" outlineLevel="0" collapsed="false">
      <c r="A1499" s="5" t="s">
        <v>602</v>
      </c>
      <c r="B1499" s="0" t="s">
        <v>73</v>
      </c>
      <c r="C1499" s="38" t="n">
        <f aca="false">(1-ext_sh)*(Sens!$C$1478+Sens!$C$1492)-Sens!$C$1498</f>
        <v>0.169206631859174</v>
      </c>
      <c r="D1499" s="38" t="n">
        <f aca="false">(1-ext_sh)*(Sens!$D$1478+Sens!$D$1492)-Sens!$D$1498</f>
        <v>1.20641732046984</v>
      </c>
      <c r="E1499" s="38" t="n">
        <f aca="false">(1-ext_sh)*(Sens!$E$1478+Sens!$E$1492)-Sens!$E$1498</f>
        <v>1.77441259867062</v>
      </c>
      <c r="F1499" s="38" t="n">
        <f aca="false">(1-ext_sh)*(Sens!$F$1478+Sens!$F$1492)-Sens!$F$1498</f>
        <v>2.17752682629492</v>
      </c>
      <c r="G1499" s="38" t="n">
        <f aca="false">(1-ext_sh)*(Sens!$G$1478+Sens!$G$1492)-Sens!$G$1498</f>
        <v>3.95193942496554</v>
      </c>
      <c r="H1499" s="38" t="n">
        <f aca="false">(1-ext_sh)*(Sens!$H$1478+Sens!$H$1492)-Sens!$H$1498</f>
        <v>11.4008813921682</v>
      </c>
      <c r="I1499" s="38" t="n">
        <f aca="false">(1-ext_sh)*(Sens!$I$1478+Sens!$I$1492)-Sens!$I$1498</f>
        <v>20.9257291820545</v>
      </c>
      <c r="J1499" s="38" t="n">
        <f aca="false">(1-ext_sh)*(Sens!$J$1478+Sens!$J$1492)-Sens!$J$1498</f>
        <v>30.7085027880116</v>
      </c>
      <c r="K1499" s="38" t="n">
        <f aca="false">(1-ext_sh)*(Sens!$K$1478+Sens!$K$1492)-Sens!$K$1498</f>
        <v>40.6307915884616</v>
      </c>
      <c r="L1499" s="38" t="n">
        <f aca="false">(1-ext_sh)*(Sens!$L$1478+Sens!$L$1492)-Sens!$L$1498</f>
        <v>50.1492706656365</v>
      </c>
      <c r="M1499" s="38" t="n">
        <f aca="false">(1-ext_sh)*(Sens!$M$1478+Sens!$M$1492)-Sens!$M$1498</f>
        <v>59.8112007029892</v>
      </c>
      <c r="N1499" s="38" t="n">
        <f aca="false">(1-ext_sh)*(Sens!$N$1478+Sens!$N$1492)-Sens!$N$1498</f>
        <v>0.530919624033979</v>
      </c>
      <c r="O1499" s="38" t="n">
        <f aca="false">(1-ext_sh)*(Sens!$O$1478+Sens!$O$1492)-Sens!$O$1498</f>
        <v>0.675497696435861</v>
      </c>
    </row>
    <row r="1500" customFormat="false" ht="17.15" hidden="false" customHeight="false" outlineLevel="0" collapsed="false">
      <c r="A1500" s="0" t="s">
        <v>603</v>
      </c>
      <c r="B1500" s="0" t="s">
        <v>73</v>
      </c>
      <c r="C1500" s="38" t="n">
        <f aca="false">Q!$D$24</f>
        <v>39.834</v>
      </c>
      <c r="D1500" s="38" t="n">
        <f aca="false">Q!$E$24</f>
        <v>45.606</v>
      </c>
      <c r="E1500" s="38" t="n">
        <f aca="false">Q!$P$24</f>
        <v>30.782</v>
      </c>
      <c r="N1500" s="38" t="n">
        <f aca="false">Q!$N$24</f>
        <v>21.707</v>
      </c>
      <c r="O1500" s="38" t="n">
        <f aca="false">Q!$O$24</f>
        <v>23.899</v>
      </c>
    </row>
    <row r="1501" customFormat="false" ht="17.15" hidden="false" customHeight="false" outlineLevel="0" collapsed="false">
      <c r="A1501" s="0" t="s">
        <v>604</v>
      </c>
      <c r="B1501" s="0" t="s">
        <v>73</v>
      </c>
      <c r="C1501" s="38" t="n">
        <f aca="false">Sens!$C$1500-Sens!$C$1496</f>
        <v>38.1898211704631</v>
      </c>
      <c r="D1501" s="38" t="n">
        <f aca="false">Sens!$D$1500-Sens!$D$1496</f>
        <v>41.7278991932282</v>
      </c>
      <c r="E1501" s="38" t="n">
        <f aca="false">Sens!$E$1500-Sens!$E$1496</f>
        <v>29.3692974191125</v>
      </c>
      <c r="F1501" s="38" t="n">
        <f aca="false">Sens!$F$1480*Sens!$F$1502</f>
        <v>29.458060516894</v>
      </c>
      <c r="G1501" s="38" t="n">
        <f aca="false">Sens!$E$1501+Sens!$F$1501</f>
        <v>58.8273579360065</v>
      </c>
      <c r="H1501" s="38" t="n">
        <f aca="false">Sens!$H$1480*Sens!$H$1502</f>
        <v>67.8004040185081</v>
      </c>
      <c r="I1501" s="38" t="n">
        <f aca="false">Sens!$I$1480*Sens!$I$1502</f>
        <v>78.9527630302702</v>
      </c>
      <c r="J1501" s="38" t="n">
        <f aca="false">Sens!$J$1480*Sens!$J$1502</f>
        <v>88.6042681781841</v>
      </c>
      <c r="K1501" s="38" t="n">
        <f aca="false">Sens!$K$1480*Sens!$K$1502</f>
        <v>95.6926096324389</v>
      </c>
      <c r="L1501" s="38" t="n">
        <f aca="false">Sens!$L$1480*Sens!$L$1502</f>
        <v>103.348018403034</v>
      </c>
      <c r="M1501" s="38" t="n">
        <f aca="false">Sens!$M$1480*Sens!$M$1502</f>
        <v>111.615859875277</v>
      </c>
      <c r="N1501" s="38" t="n">
        <f aca="false">Sens!$N$1500-Sens!$N$1496</f>
        <v>20.784358965108</v>
      </c>
      <c r="O1501" s="38" t="n">
        <f aca="false">Sens!$O$1500-Sens!$O$1496</f>
        <v>20.9435402281202</v>
      </c>
      <c r="P1501" s="5" t="s">
        <v>605</v>
      </c>
    </row>
    <row r="1502" customFormat="false" ht="17.15" hidden="false" customHeight="false" outlineLevel="0" collapsed="false">
      <c r="A1502" s="0" t="s">
        <v>606</v>
      </c>
      <c r="B1502" s="0" t="s">
        <v>52</v>
      </c>
      <c r="C1502" s="12" t="n">
        <f aca="false">Sens!$C$1501/Sens!$C$1480</f>
        <v>0.362900395443635</v>
      </c>
      <c r="D1502" s="12" t="n">
        <f aca="false">Sens!$D$1501/Sens!$D$1480</f>
        <v>0.34767098474203</v>
      </c>
      <c r="E1502" s="12" t="n">
        <f aca="false">Sens!$E$1501/Sens!$E$1480</f>
        <v>0.411861655558416</v>
      </c>
      <c r="F1502" s="12" t="n">
        <f aca="false">(Sens!$O$1501+Sens!$E$1501)/(Sens!$O$1480+Sens!$E$1480)</f>
        <v>0.37480827803158</v>
      </c>
      <c r="G1502" s="12" t="n">
        <f aca="false">Sens!$G$1501/Sens!$G$1480</f>
        <v>0.392434440489471</v>
      </c>
      <c r="H1502" s="12" t="n">
        <f aca="false">Sens!$F$1502</f>
        <v>0.37480827803158</v>
      </c>
      <c r="I1502" s="12" t="n">
        <f aca="false">Sens!$F$1502</f>
        <v>0.37480827803158</v>
      </c>
      <c r="J1502" s="12" t="n">
        <f aca="false">Sens!$F$1502</f>
        <v>0.37480827803158</v>
      </c>
      <c r="K1502" s="12" t="n">
        <f aca="false">Sens!$F$1502</f>
        <v>0.37480827803158</v>
      </c>
      <c r="L1502" s="12" t="n">
        <f aca="false">Sens!$F$1502</f>
        <v>0.37480827803158</v>
      </c>
      <c r="M1502" s="12" t="n">
        <f aca="false">Sens!$F$1502</f>
        <v>0.37480827803158</v>
      </c>
      <c r="N1502" s="12" t="n">
        <f aca="false">Sens!$N$1501/Sens!$N$1480</f>
        <v>0.364039571356823</v>
      </c>
      <c r="O1502" s="12" t="n">
        <f aca="false">Sens!$O$1501/Sens!$O$1480</f>
        <v>0.332819892300086</v>
      </c>
      <c r="P1502" s="8" t="s">
        <v>607</v>
      </c>
    </row>
    <row r="1503" customFormat="false" ht="17.15" hidden="false" customHeight="false" outlineLevel="0" collapsed="false">
      <c r="A1503" s="0" t="s">
        <v>608</v>
      </c>
      <c r="B1503" s="0" t="s">
        <v>52</v>
      </c>
      <c r="D1503" s="12" t="n">
        <f aca="false">(Q!$E$31-ext_sh*Sens!$D$1492)/Sens!$D$1480</f>
        <v>0.154572973163571</v>
      </c>
    </row>
    <row r="1504" customFormat="false" ht="17.15" hidden="false" customHeight="false" outlineLevel="0" collapsed="false">
      <c r="A1504" s="0" t="s">
        <v>609</v>
      </c>
      <c r="B1504" s="0" t="s">
        <v>73</v>
      </c>
      <c r="C1504" s="38" t="n">
        <f aca="false">Q!$D$31</f>
        <v>13.32</v>
      </c>
      <c r="D1504" s="38" t="n">
        <f aca="false">Q!$E$31</f>
        <v>21.45</v>
      </c>
      <c r="E1504" s="38" t="n">
        <f aca="false">Q!$P$31</f>
        <v>15.353</v>
      </c>
      <c r="F1504" s="38" t="n">
        <f aca="false">ext_sh*Sens!$F$1492+Sens!$D$1503*Sens!$F$1480</f>
        <v>17.3614451462707</v>
      </c>
      <c r="G1504" s="38" t="n">
        <f aca="false">Sens!$E$1504+Sens!$F$1504</f>
        <v>32.7144451462707</v>
      </c>
      <c r="H1504" s="38" t="n">
        <f aca="false">ext_sh*Sens!$H$1492+Sens!$D$1503*Sens!$H$1480</f>
        <v>58.8676701599248</v>
      </c>
      <c r="I1504" s="38" t="n">
        <f aca="false">ext_sh*Sens!$I$1492+Sens!$D$1503*Sens!$I$1480</f>
        <v>91.1900900696381</v>
      </c>
      <c r="J1504" s="38" t="n">
        <f aca="false">ext_sh*Sens!$J$1492+Sens!$D$1503*Sens!$J$1480</f>
        <v>123.90606717416</v>
      </c>
      <c r="K1504" s="38" t="n">
        <f aca="false">ext_sh*Sens!$K$1492+Sens!$D$1503*Sens!$K$1480</f>
        <v>156.116647146746</v>
      </c>
      <c r="L1504" s="38" t="n">
        <f aca="false">ext_sh*Sens!$L$1492+Sens!$D$1503*Sens!$L$1480</f>
        <v>186.942942938013</v>
      </c>
      <c r="M1504" s="38" t="n">
        <f aca="false">ext_sh*Sens!$M$1492+Sens!$D$1503*Sens!$M$1480</f>
        <v>218.594047875741</v>
      </c>
      <c r="N1504" s="38" t="n">
        <f aca="false">Q!$N$31</f>
        <v>9.234</v>
      </c>
      <c r="O1504" s="38" t="n">
        <f aca="false">Q!$O$31</f>
        <v>12.216</v>
      </c>
    </row>
    <row r="1505" customFormat="false" ht="17.15" hidden="false" customHeight="false" outlineLevel="0" collapsed="false">
      <c r="A1505" s="1" t="s">
        <v>610</v>
      </c>
    </row>
    <row r="1506" customFormat="false" ht="17.15" hidden="false" customHeight="false" outlineLevel="0" collapsed="false">
      <c r="A1506" s="14" t="s">
        <v>611</v>
      </c>
      <c r="B1506" s="13" t="s">
        <v>52</v>
      </c>
      <c r="C1506" s="13"/>
      <c r="D1506" s="13"/>
      <c r="E1506" s="13"/>
      <c r="F1506" s="13"/>
      <c r="G1506" s="16" t="n">
        <f aca="false">Sens!$G$1496*(1-tax)/(ext_sh*(Sens!$D$1493+Sens!$G$1493)/2)</f>
        <v>0.051532200852769</v>
      </c>
      <c r="H1506" s="16" t="n">
        <f aca="false">Sens!$H$1496*(1-tax)/(ext_sh*(Sens!$G$1493+Sens!$H$1493)/2)</f>
        <v>0.0688382728575549</v>
      </c>
      <c r="I1506" s="16" t="n">
        <f aca="false">Sens!$I$1496*(1-tax)/(ext_sh*(Sens!$H$1493+Sens!$I$1493)/2)</f>
        <v>0.06976812364806</v>
      </c>
      <c r="J1506" s="16" t="n">
        <f aca="false">Sens!$J$1496*(1-tax)/(ext_sh*(Sens!$I$1493+Sens!$J$1493)/2)</f>
        <v>0.0718567607380601</v>
      </c>
      <c r="K1506" s="16" t="n">
        <f aca="false">Sens!$K$1496*(1-tax)/(ext_sh*(Sens!$J$1493+Sens!$K$1493)/2)</f>
        <v>0.0752108896488029</v>
      </c>
      <c r="L1506" s="16" t="n">
        <f aca="false">Sens!$L$1496*(1-tax)/(ext_sh*(Sens!$K$1493+Sens!$L$1493)/2)</f>
        <v>0.0805275372806658</v>
      </c>
      <c r="M1506" s="16" t="n">
        <f aca="false">Sens!$M$1496*(1-tax)/(ext_sh*(Sens!$L$1493+Sens!$M$1493)/2)</f>
        <v>0.082433495295677</v>
      </c>
      <c r="N1506" s="13"/>
      <c r="O1506" s="13"/>
      <c r="P1506" s="8" t="s">
        <v>612</v>
      </c>
    </row>
    <row r="1507" customFormat="false" ht="17.15" hidden="false" customHeight="false" outlineLevel="0" collapsed="false">
      <c r="A1507" s="5" t="s">
        <v>613</v>
      </c>
      <c r="B1507" s="0" t="s">
        <v>57</v>
      </c>
      <c r="H1507" s="36" t="n">
        <f aca="false">Sens!$H$1476*1000/(mw_open*he_open+Sens!$H$1474*Sens!$H$1471)</f>
        <v>0.991949006767192</v>
      </c>
      <c r="I1507" s="36" t="n">
        <f aca="false">Sens!$I$1476*1000/(mw_open*he_open+Sens!$I$1474*Sens!$I$1471)</f>
        <v>0.991949006767191</v>
      </c>
      <c r="J1507" s="36" t="n">
        <f aca="false">Sens!$J$1476*1000/(mw_open*he_open+Sens!$J$1474*Sens!$J$1471)</f>
        <v>0.991949006767191</v>
      </c>
      <c r="K1507" s="36" t="n">
        <f aca="false">Sens!$K$1476*1000/(mw_open*he_open+Sens!$K$1474*Sens!$K$1471)</f>
        <v>0.991949006767191</v>
      </c>
      <c r="L1507" s="36" t="n">
        <f aca="false">Sens!$L$1476*1000/(mw_open*he_open+Sens!$L$1474*Sens!$L$1471)</f>
        <v>0.991949006767191</v>
      </c>
      <c r="M1507" s="36" t="n">
        <f aca="false">Sens!$M$1476*1000/(mw_open*he_open+Sens!$M$1474*Sens!$M$1471)</f>
        <v>0.991949006767191</v>
      </c>
    </row>
    <row r="1508" customFormat="false" ht="17.15" hidden="false" customHeight="false" outlineLevel="0" collapsed="false">
      <c r="A1508" s="5" t="s">
        <v>614</v>
      </c>
      <c r="B1508" s="0" t="s">
        <v>57</v>
      </c>
      <c r="H1508" s="36" t="n">
        <f aca="false">Sens!$H$1507*(Sens!$H$1476+wacc*ext_sh*(Sens!$G$1493+Sens!$H$1493)/2/(1-tax)-Sens!$H$1496)/Sens!$H$1476</f>
        <v>1.27475029477629</v>
      </c>
      <c r="I1508" s="36" t="n">
        <f aca="false">Sens!$I$1507*(Sens!$I$1476+wacc*ext_sh*(Sens!$H$1493+Sens!$I$1493)/2/(1-tax)-Sens!$I$1496)/Sens!$I$1476</f>
        <v>1.2372735735797</v>
      </c>
      <c r="J1508" s="36" t="n">
        <f aca="false">Sens!$J$1507*(Sens!$J$1476+wacc*ext_sh*(Sens!$I$1493+Sens!$J$1493)/2/(1-tax)-Sens!$J$1496)/Sens!$J$1476</f>
        <v>1.20646387745514</v>
      </c>
      <c r="K1508" s="36" t="n">
        <f aca="false">Sens!$K$1507*(Sens!$K$1476+wacc*ext_sh*(Sens!$J$1493+Sens!$K$1493)/2/(1-tax)-Sens!$K$1496)/Sens!$K$1476</f>
        <v>1.1753923899807</v>
      </c>
      <c r="L1508" s="36" t="n">
        <f aca="false">Sens!$L$1507*(Sens!$L$1476+wacc*ext_sh*(Sens!$K$1493+Sens!$L$1493)/2/(1-tax)-Sens!$L$1496)/Sens!$L$1476</f>
        <v>1.14371294576543</v>
      </c>
      <c r="M1508" s="36" t="n">
        <f aca="false">Sens!$M$1507*(Sens!$M$1476+wacc*ext_sh*(Sens!$L$1493+Sens!$M$1493)/2/(1-tax)-Sens!$M$1496)/Sens!$M$1476</f>
        <v>1.13217885923515</v>
      </c>
    </row>
    <row r="1509" customFormat="false" ht="17.15" hidden="false" customHeight="false" outlineLevel="0" collapsed="false">
      <c r="A1509" s="5" t="s">
        <v>615</v>
      </c>
      <c r="B1509" s="0" t="s">
        <v>52</v>
      </c>
      <c r="C1509" s="12" t="n">
        <f aca="false">Sens!$C$1477/tk_pq</f>
        <v>0.195316432429398</v>
      </c>
      <c r="D1509" s="12" t="n">
        <f aca="false">Sens!$D$1477/tk_pq</f>
        <v>0.195316432429398</v>
      </c>
      <c r="E1509" s="12" t="n">
        <f aca="false">Sens!$E$1477/tk_pq</f>
        <v>0.195316432429398</v>
      </c>
      <c r="F1509" s="12" t="n">
        <f aca="false">Sens!$F$1477/tk_pq</f>
        <v>0.203361702985279</v>
      </c>
      <c r="G1509" s="12" t="n">
        <f aca="false">Sens!$G$1477/tk_pq</f>
        <v>0.200515948052215</v>
      </c>
      <c r="H1509" s="12" t="n">
        <f aca="false">Sens!$H$1477/tk_pq</f>
        <v>0.21400874463705</v>
      </c>
      <c r="I1509" s="12" t="n">
        <f aca="false">Sens!$I$1477/tk_pq</f>
        <v>0.22040137117169</v>
      </c>
      <c r="J1509" s="12" t="n">
        <f aca="false">Sens!$J$1477/tk_pq</f>
        <v>0.223392097836285</v>
      </c>
      <c r="K1509" s="12" t="n">
        <f aca="false">Sens!$K$1477/tk_pq</f>
        <v>0.2251174639566</v>
      </c>
      <c r="L1509" s="12" t="n">
        <f aca="false">Sens!$L$1477/tk_pq</f>
        <v>0.226238950553829</v>
      </c>
      <c r="M1509" s="12" t="n">
        <f aca="false">Sens!$M$1477/tk_pq</f>
        <v>0.2270260234989</v>
      </c>
      <c r="N1509" s="12" t="n">
        <f aca="false">Sens!$N$1477/tk_pq</f>
        <v>0.195316432429398</v>
      </c>
      <c r="O1509" s="12" t="n">
        <f aca="false">Sens!$O$1477/tk_pq</f>
        <v>0.195316432429398</v>
      </c>
      <c r="P1509" s="5" t="s">
        <v>616</v>
      </c>
    </row>
    <row r="1512" customFormat="false" ht="17.15" hidden="false" customHeight="false" outlineLevel="0" collapsed="false">
      <c r="A1512" s="1" t="s">
        <v>643</v>
      </c>
    </row>
    <row r="1513" customFormat="false" ht="17.15" hidden="false" customHeight="false" outlineLevel="0" collapsed="false">
      <c r="A1513" s="0" t="s">
        <v>644</v>
      </c>
      <c r="B1513" s="0" t="s">
        <v>73</v>
      </c>
      <c r="C1513" s="38" t="n">
        <f aca="false">Sens!$C$1476</f>
        <v>2.32100535697364</v>
      </c>
      <c r="D1513" s="38" t="n">
        <f aca="false">Sens!$D$1476</f>
        <v>8.70377008865116</v>
      </c>
      <c r="E1513" s="38" t="n">
        <f aca="false">Sens!$E$1476</f>
        <v>8.51035297557002</v>
      </c>
      <c r="F1513" s="38" t="n">
        <f aca="false">Sens!$F$1476</f>
        <v>16.1898695858458</v>
      </c>
      <c r="G1513" s="38" t="n">
        <f aca="false">Sens!$G$1476</f>
        <v>24.7002225614158</v>
      </c>
      <c r="H1513" s="38" t="n">
        <f aca="false">Sens!$H$1476</f>
        <v>70.1785184971087</v>
      </c>
      <c r="I1513" s="38" t="n">
        <f aca="false">Sens!$I$1476</f>
        <v>121.85077898043</v>
      </c>
      <c r="J1513" s="38" t="n">
        <f aca="false">Sens!$J$1476</f>
        <v>173.752913998988</v>
      </c>
      <c r="K1513" s="38" t="n">
        <f aca="false">Sens!$K$1476</f>
        <v>225.731673862625</v>
      </c>
      <c r="L1513" s="38" t="n">
        <f aca="false">Sens!$L$1476</f>
        <v>277.745263201297</v>
      </c>
      <c r="M1513" s="38" t="n">
        <f aca="false">Sens!$M$1476</f>
        <v>329.77760687268</v>
      </c>
      <c r="N1513" s="38" t="n">
        <f aca="false">Sens!$N$1476</f>
        <v>3.04631953102791</v>
      </c>
      <c r="O1513" s="38" t="n">
        <f aca="false">Sens!$O$1476</f>
        <v>5.65745055762326</v>
      </c>
      <c r="P1513" s="8" t="s">
        <v>645</v>
      </c>
    </row>
    <row r="1514" customFormat="false" ht="17.15" hidden="false" customHeight="false" outlineLevel="0" collapsed="false">
      <c r="A1514" s="0" t="s">
        <v>646</v>
      </c>
      <c r="B1514" s="0" t="s">
        <v>73</v>
      </c>
      <c r="C1514" s="38" t="n">
        <f aca="false">Sens!$C$1480</f>
        <v>105.234994643026</v>
      </c>
      <c r="D1514" s="38" t="n">
        <f aca="false">Sens!$D$1480</f>
        <v>120.021229911349</v>
      </c>
      <c r="E1514" s="38" t="n">
        <f aca="false">Sens!$E$1480</f>
        <v>71.30864702443</v>
      </c>
      <c r="F1514" s="38" t="n">
        <f aca="false">Sens!$F$1480</f>
        <v>78.5950104186653</v>
      </c>
      <c r="G1514" s="38" t="n">
        <f aca="false">Sens!$G$1480</f>
        <v>149.903657443095</v>
      </c>
      <c r="H1514" s="38" t="n">
        <f aca="false">Sens!$H$1480</f>
        <v>180.893560768142</v>
      </c>
      <c r="I1514" s="38" t="n">
        <f aca="false">Sens!$I$1480</f>
        <v>210.64839721501</v>
      </c>
      <c r="J1514" s="38" t="n">
        <f aca="false">Sens!$J$1480</f>
        <v>236.398909446495</v>
      </c>
      <c r="K1514" s="38" t="n">
        <f aca="false">Sens!$K$1480</f>
        <v>255.310822202215</v>
      </c>
      <c r="L1514" s="38" t="n">
        <f aca="false">Sens!$L$1480</f>
        <v>275.735687978392</v>
      </c>
      <c r="M1514" s="38" t="n">
        <f aca="false">Sens!$M$1480</f>
        <v>297.794543016663</v>
      </c>
      <c r="N1514" s="38" t="n">
        <f aca="false">Sens!$N$1480</f>
        <v>57.0936804689721</v>
      </c>
      <c r="O1514" s="38" t="n">
        <f aca="false">Sens!$O$1480</f>
        <v>62.9275494423768</v>
      </c>
      <c r="P1514" s="8" t="s">
        <v>645</v>
      </c>
    </row>
    <row r="1515" customFormat="false" ht="17.15" hidden="false" customHeight="false" outlineLevel="0" collapsed="false">
      <c r="A1515" s="1" t="s">
        <v>476</v>
      </c>
      <c r="B1515" s="8" t="s">
        <v>73</v>
      </c>
      <c r="C1515" s="38" t="n">
        <f aca="false">Q!$D$7</f>
        <v>107.556</v>
      </c>
      <c r="D1515" s="38" t="n">
        <f aca="false">Q!$E$7</f>
        <v>128.725</v>
      </c>
      <c r="E1515" s="38" t="n">
        <f aca="false">Q!$P$7</f>
        <v>79.819</v>
      </c>
      <c r="F1515" s="38" t="n">
        <f aca="false">Sens!$F$1513+Sens!$F$1514</f>
        <v>94.7848800045111</v>
      </c>
      <c r="G1515" s="38" t="n">
        <f aca="false">Sens!$G$1513+Sens!$G$1514</f>
        <v>174.603880004511</v>
      </c>
      <c r="H1515" s="38" t="n">
        <f aca="false">Sens!$H$1513+Sens!$H$1514</f>
        <v>251.07207926525</v>
      </c>
      <c r="I1515" s="38" t="n">
        <f aca="false">Sens!$I$1513+Sens!$I$1514</f>
        <v>332.499176195441</v>
      </c>
      <c r="J1515" s="38" t="n">
        <f aca="false">Sens!$J$1513+Sens!$J$1514</f>
        <v>410.151823445483</v>
      </c>
      <c r="K1515" s="38" t="n">
        <f aca="false">Sens!$K$1513+Sens!$K$1514</f>
        <v>481.042496064839</v>
      </c>
      <c r="L1515" s="38" t="n">
        <f aca="false">Sens!$L$1513+Sens!$L$1514</f>
        <v>553.480951179688</v>
      </c>
      <c r="M1515" s="38" t="n">
        <f aca="false">Sens!$M$1513+Sens!$M$1514</f>
        <v>627.572149889343</v>
      </c>
      <c r="N1515" s="38" t="n">
        <f aca="false">Q!$N$7</f>
        <v>60.14</v>
      </c>
      <c r="O1515" s="38" t="n">
        <f aca="false">Q!$O$7</f>
        <v>68.585</v>
      </c>
      <c r="P1515" s="5" t="s">
        <v>647</v>
      </c>
    </row>
    <row r="1516" customFormat="false" ht="15" hidden="false" customHeight="false" outlineLevel="0" collapsed="false">
      <c r="A1516" s="3" t="s">
        <v>648</v>
      </c>
      <c r="B1516" s="8" t="s">
        <v>73</v>
      </c>
      <c r="C1516" s="38" t="n">
        <f aca="false">Q!$D$8</f>
        <v>637.959</v>
      </c>
      <c r="D1516" s="38" t="n">
        <f aca="false">Q!$E$8</f>
        <v>716.924</v>
      </c>
      <c r="E1516" s="38" t="n">
        <f aca="false">Q!$P$8</f>
        <v>382.125</v>
      </c>
      <c r="F1516" s="38" t="n">
        <f aca="false">Sens!$F$1449+Sens!$F$1515</f>
        <v>451.721309212941</v>
      </c>
      <c r="G1516" s="38" t="n">
        <f aca="false">Sens!$G$1449+Sens!$G$1515</f>
        <v>833.846309212941</v>
      </c>
      <c r="H1516" s="38" t="n">
        <f aca="false">Sens!$H$1449+Sens!$H$1515</f>
        <v>981.007816886951</v>
      </c>
      <c r="I1516" s="38" t="n">
        <f aca="false">Sens!$I$1449+Sens!$I$1515</f>
        <v>1130.79474589331</v>
      </c>
      <c r="J1516" s="38" t="n">
        <f aca="false">Sens!$J$1449+Sens!$J$1515</f>
        <v>1271.88864577127</v>
      </c>
      <c r="K1516" s="38" t="n">
        <f aca="false">Sens!$K$1449+Sens!$K$1515</f>
        <v>1398.59998816676</v>
      </c>
      <c r="L1516" s="38" t="n">
        <f aca="false">Sens!$L$1449+Sens!$L$1515</f>
        <v>1530.76604092285</v>
      </c>
      <c r="M1516" s="38" t="n">
        <f aca="false">Sens!$M$1449+Sens!$M$1515</f>
        <v>1668.78616843285</v>
      </c>
      <c r="N1516" s="38" t="n">
        <f aca="false">Q!$N$8</f>
        <v>323.369</v>
      </c>
      <c r="O1516" s="38" t="n">
        <f aca="false">Q!$O$8</f>
        <v>393.555</v>
      </c>
    </row>
    <row r="1517" customFormat="false" ht="17.15" hidden="false" customHeight="false" outlineLevel="0" collapsed="false">
      <c r="A1517" s="24" t="s">
        <v>656</v>
      </c>
      <c r="B1517" s="25" t="s">
        <v>73</v>
      </c>
      <c r="C1517" s="39" t="n">
        <f aca="false">Sens!$C$1449-(Sens!$C$1451+Sens!$C$1452)</f>
        <v>0</v>
      </c>
      <c r="D1517" s="39" t="n">
        <f aca="false">Sens!$D$1449-(Sens!$D$1451+Sens!$D$1452)</f>
        <v>0</v>
      </c>
      <c r="E1517" s="39" t="n">
        <f aca="false">Sens!$E$1449-(Sens!$E$1451+Sens!$E$1452)</f>
        <v>0</v>
      </c>
      <c r="F1517" s="39" t="n">
        <f aca="false">Sens!$F$1449-(Sens!$F$1451+Sens!$F$1452)</f>
        <v>0</v>
      </c>
      <c r="G1517" s="39" t="n">
        <f aca="false">Sens!$G$1449-(Sens!$G$1451+Sens!$G$1452)</f>
        <v>0</v>
      </c>
      <c r="H1517" s="39" t="n">
        <f aca="false">Sens!$H$1449-(Sens!$H$1451+Sens!$H$1452)</f>
        <v>0</v>
      </c>
      <c r="I1517" s="39" t="n">
        <f aca="false">Sens!$I$1449-(Sens!$I$1451+Sens!$I$1452)</f>
        <v>0</v>
      </c>
      <c r="J1517" s="39" t="n">
        <f aca="false">Sens!$J$1449-(Sens!$J$1451+Sens!$J$1452)</f>
        <v>0</v>
      </c>
      <c r="K1517" s="39" t="n">
        <f aca="false">Sens!$K$1449-(Sens!$K$1451+Sens!$K$1452)</f>
        <v>0</v>
      </c>
      <c r="L1517" s="39" t="n">
        <f aca="false">Sens!$L$1449-(Sens!$L$1451+Sens!$L$1452)</f>
        <v>0</v>
      </c>
      <c r="M1517" s="39" t="n">
        <f aca="false">Sens!$M$1449-(Sens!$M$1451+Sens!$M$1452)</f>
        <v>0</v>
      </c>
      <c r="N1517" s="39" t="n">
        <f aca="false">Sens!$N$1449-(Sens!$N$1451+Sens!$N$1452)</f>
        <v>0</v>
      </c>
      <c r="O1517" s="39" t="n">
        <f aca="false">Sens!$O$1449-(Sens!$O$1451+Sens!$O$1452)</f>
        <v>0</v>
      </c>
    </row>
    <row r="1518" customFormat="false" ht="17.15" hidden="false" customHeight="false" outlineLevel="0" collapsed="false">
      <c r="A1518" s="24" t="s">
        <v>657</v>
      </c>
      <c r="B1518" s="25" t="s">
        <v>73</v>
      </c>
      <c r="C1518" s="39" t="n">
        <f aca="false">Sens!$C$1513+Sens!$C$1514-Sens!$C$1515</f>
        <v>0</v>
      </c>
      <c r="D1518" s="39" t="n">
        <f aca="false">Sens!$D$1513+Sens!$D$1514-Sens!$D$1515</f>
        <v>0</v>
      </c>
      <c r="E1518" s="39" t="n">
        <f aca="false">Sens!$E$1513+Sens!$E$1514-Sens!$E$1515</f>
        <v>0</v>
      </c>
      <c r="F1518" s="39" t="n">
        <f aca="false">Sens!$F$1513+Sens!$F$1514-Sens!$F$1515</f>
        <v>0</v>
      </c>
      <c r="G1518" s="39" t="n">
        <f aca="false">Sens!$G$1513+Sens!$G$1514-Sens!$G$1515</f>
        <v>0</v>
      </c>
      <c r="H1518" s="39" t="n">
        <f aca="false">Sens!$H$1513+Sens!$H$1514-Sens!$H$1515</f>
        <v>0</v>
      </c>
      <c r="I1518" s="39" t="n">
        <f aca="false">Sens!$I$1513+Sens!$I$1514-Sens!$I$1515</f>
        <v>0</v>
      </c>
      <c r="J1518" s="39" t="n">
        <f aca="false">Sens!$J$1513+Sens!$J$1514-Sens!$J$1515</f>
        <v>0</v>
      </c>
      <c r="K1518" s="39" t="n">
        <f aca="false">Sens!$K$1513+Sens!$K$1514-Sens!$K$1515</f>
        <v>0</v>
      </c>
      <c r="L1518" s="39" t="n">
        <f aca="false">Sens!$L$1513+Sens!$L$1514-Sens!$L$1515</f>
        <v>0</v>
      </c>
      <c r="M1518" s="39" t="n">
        <f aca="false">Sens!$M$1513+Sens!$M$1514-Sens!$M$1515</f>
        <v>0</v>
      </c>
      <c r="N1518" s="39" t="n">
        <f aca="false">Sens!$N$1513+Sens!$N$1514-Sens!$N$1515</f>
        <v>0</v>
      </c>
      <c r="O1518" s="39" t="n">
        <f aca="false">Sens!$O$1513+Sens!$O$1514-Sens!$O$1515</f>
        <v>0</v>
      </c>
    </row>
    <row r="1519" customFormat="false" ht="17.15" hidden="false" customHeight="false" outlineLevel="0" collapsed="false">
      <c r="A1519" s="24" t="s">
        <v>658</v>
      </c>
      <c r="B1519" s="25" t="s">
        <v>73</v>
      </c>
      <c r="C1519" s="39" t="n">
        <f aca="false">Sens!$C$1451+Sens!$C$1452+Sens!$C$1515-Sens!$C$1516</f>
        <v>0</v>
      </c>
      <c r="D1519" s="39" t="n">
        <f aca="false">Sens!$D$1451+Sens!$D$1452+Sens!$D$1515-Sens!$D$1516</f>
        <v>0</v>
      </c>
      <c r="E1519" s="39" t="n">
        <f aca="false">Sens!$E$1451+Sens!$E$1452+Sens!$E$1515-Sens!$E$1516</f>
        <v>0</v>
      </c>
      <c r="F1519" s="39" t="n">
        <f aca="false">Sens!$F$1451+Sens!$F$1452+Sens!$F$1515-Sens!$F$1516</f>
        <v>0</v>
      </c>
      <c r="G1519" s="39" t="n">
        <f aca="false">Sens!$G$1451+Sens!$G$1452+Sens!$G$1515-Sens!$G$1516</f>
        <v>0</v>
      </c>
      <c r="H1519" s="39" t="n">
        <f aca="false">Sens!$H$1451+Sens!$H$1452+Sens!$H$1515-Sens!$H$1516</f>
        <v>0</v>
      </c>
      <c r="I1519" s="39" t="n">
        <f aca="false">Sens!$I$1451+Sens!$I$1452+Sens!$I$1515-Sens!$I$1516</f>
        <v>0</v>
      </c>
      <c r="J1519" s="39" t="n">
        <f aca="false">Sens!$J$1451+Sens!$J$1452+Sens!$J$1515-Sens!$J$1516</f>
        <v>0</v>
      </c>
      <c r="K1519" s="39" t="n">
        <f aca="false">Sens!$K$1451+Sens!$K$1452+Sens!$K$1515-Sens!$K$1516</f>
        <v>0</v>
      </c>
      <c r="L1519" s="39" t="n">
        <f aca="false">Sens!$L$1451+Sens!$L$1452+Sens!$L$1515-Sens!$L$1516</f>
        <v>0</v>
      </c>
      <c r="M1519" s="39" t="n">
        <f aca="false">Sens!$M$1451+Sens!$M$1452+Sens!$M$1515-Sens!$M$1516</f>
        <v>0</v>
      </c>
      <c r="N1519" s="39" t="n">
        <f aca="false">Sens!$N$1451+Sens!$N$1452+Sens!$N$1515-Sens!$N$1516</f>
        <v>0</v>
      </c>
      <c r="O1519" s="39" t="n">
        <f aca="false">Sens!$O$1451+Sens!$O$1452+Sens!$O$1515-Sens!$O$1516</f>
        <v>0</v>
      </c>
    </row>
    <row r="1520" customFormat="false" ht="15" hidden="false" customHeight="false" outlineLevel="0" collapsed="false">
      <c r="A1520" s="5" t="s">
        <v>652</v>
      </c>
      <c r="B1520" s="0" t="s">
        <v>52</v>
      </c>
      <c r="G1520" s="12" t="n">
        <f aca="false">Sens!$G$1516/Sens!$D$1516-1</f>
        <v>0.163088847929405</v>
      </c>
      <c r="H1520" s="12" t="n">
        <f aca="false">Sens!$H$1516/Sens!$G$1516-1</f>
        <v>0.176485170046401</v>
      </c>
      <c r="I1520" s="12" t="n">
        <f aca="false">Sens!$I$1516/Sens!$H$1516-1</f>
        <v>0.152686784374139</v>
      </c>
      <c r="J1520" s="12" t="n">
        <f aca="false">Sens!$J$1516/Sens!$I$1516-1</f>
        <v>0.124774102807218</v>
      </c>
      <c r="K1520" s="12" t="n">
        <f aca="false">Sens!$K$1516/Sens!$J$1516-1</f>
        <v>0.0996245566125471</v>
      </c>
      <c r="L1520" s="12" t="n">
        <f aca="false">Sens!$L$1516/Sens!$K$1516-1</f>
        <v>0.094498823018959</v>
      </c>
      <c r="M1520" s="12" t="n">
        <f aca="false">Sens!$M$1516/Sens!$L$1516-1</f>
        <v>0.090164090279129</v>
      </c>
    </row>
    <row r="1521" customFormat="false" ht="17.15" hidden="false" customHeight="false" outlineLevel="0" collapsed="false">
      <c r="A1521" s="0" t="s">
        <v>653</v>
      </c>
      <c r="B1521" s="0" t="s">
        <v>52</v>
      </c>
      <c r="C1521" s="12" t="n">
        <f aca="false">Sens!$C$1515/Sens!$C$1516</f>
        <v>0.168593906504964</v>
      </c>
      <c r="D1521" s="12" t="n">
        <f aca="false">Sens!$D$1515/Sens!$D$1516</f>
        <v>0.179551807444025</v>
      </c>
      <c r="E1521" s="12" t="n">
        <f aca="false">Sens!$E$1515/Sens!$E$1516</f>
        <v>0.208881910369643</v>
      </c>
      <c r="F1521" s="12" t="n">
        <f aca="false">Sens!$F$1515/Sens!$F$1516</f>
        <v>0.209830437642315</v>
      </c>
      <c r="G1521" s="12" t="n">
        <f aca="false">Sens!$G$1515/Sens!$G$1516</f>
        <v>0.209395758037615</v>
      </c>
      <c r="H1521" s="12" t="n">
        <f aca="false">Sens!$H$1515/Sens!$H$1516</f>
        <v>0.25593280190364</v>
      </c>
      <c r="I1521" s="12" t="n">
        <f aca="false">Sens!$I$1515/Sens!$I$1516</f>
        <v>0.294040255672368</v>
      </c>
      <c r="J1521" s="12" t="n">
        <f aca="false">Sens!$J$1515/Sens!$J$1516</f>
        <v>0.322474632358062</v>
      </c>
      <c r="K1521" s="12" t="n">
        <f aca="false">Sens!$K$1515/Sens!$K$1516</f>
        <v>0.343945731542135</v>
      </c>
      <c r="L1521" s="12" t="n">
        <f aca="false">Sens!$L$1515/Sens!$L$1516</f>
        <v>0.361571224068971</v>
      </c>
      <c r="M1521" s="12" t="n">
        <f aca="false">Sens!$M$1515/Sens!$M$1516</f>
        <v>0.376065047614036</v>
      </c>
      <c r="N1521" s="12" t="n">
        <f aca="false">Sens!$N$1515/Sens!$N$1516</f>
        <v>0.185979484737251</v>
      </c>
      <c r="O1521" s="12" t="n">
        <f aca="false">Sens!$O$1515/Sens!$O$1516</f>
        <v>0.174270432341096</v>
      </c>
    </row>
    <row r="1522" customFormat="false" ht="17.15" hidden="false" customHeight="false" outlineLevel="0" collapsed="false">
      <c r="A1522" s="0" t="s">
        <v>654</v>
      </c>
      <c r="B1522" s="0" t="s">
        <v>52</v>
      </c>
      <c r="C1522" s="12" t="n">
        <f aca="false">Sens!$C$1513/Sens!$C$1515</f>
        <v>0.0215795060896058</v>
      </c>
      <c r="D1522" s="12" t="n">
        <f aca="false">Sens!$D$1513/Sens!$D$1515</f>
        <v>0.0676152269462122</v>
      </c>
      <c r="E1522" s="12" t="n">
        <f aca="false">Sens!$E$1513/Sens!$E$1515</f>
        <v>0.106620641395783</v>
      </c>
      <c r="F1522" s="12" t="n">
        <f aca="false">Sens!$F$1513/Sens!$F$1515</f>
        <v>0.17080645758137</v>
      </c>
      <c r="G1522" s="12" t="n">
        <f aca="false">Sens!$G$1513/Sens!$G$1515</f>
        <v>0.141464339513977</v>
      </c>
      <c r="H1522" s="12" t="n">
        <f aca="false">Sens!$H$1513/Sens!$H$1515</f>
        <v>0.279515423230184</v>
      </c>
      <c r="I1522" s="12" t="n">
        <f aca="false">Sens!$I$1513/Sens!$I$1515</f>
        <v>0.366469416179267</v>
      </c>
      <c r="J1522" s="12" t="n">
        <f aca="false">Sens!$J$1513/Sens!$J$1515</f>
        <v>0.423630724202018</v>
      </c>
      <c r="K1522" s="12" t="n">
        <f aca="false">Sens!$K$1513/Sens!$K$1515</f>
        <v>0.469255160841753</v>
      </c>
      <c r="L1522" s="12" t="n">
        <f aca="false">Sens!$L$1513/Sens!$L$1515</f>
        <v>0.501815396915306</v>
      </c>
      <c r="M1522" s="12" t="n">
        <f aca="false">Sens!$M$1513/Sens!$M$1515</f>
        <v>0.525481583162714</v>
      </c>
      <c r="N1522" s="12" t="n">
        <f aca="false">Sens!$N$1513/Sens!$N$1515</f>
        <v>0.0506537999838362</v>
      </c>
      <c r="O1522" s="12" t="n">
        <f aca="false">Sens!$O$1513/Sens!$O$1515</f>
        <v>0.0824881615167056</v>
      </c>
    </row>
    <row r="1525" customFormat="false" ht="19.4" hidden="false" customHeight="false" outlineLevel="0" collapsed="false">
      <c r="A1525" s="31" t="s">
        <v>1077</v>
      </c>
    </row>
    <row r="1526" customFormat="false" ht="17.15" hidden="false" customHeight="false" outlineLevel="0" collapsed="false">
      <c r="A1526" s="6" t="s">
        <v>16</v>
      </c>
      <c r="B1526" s="6" t="s">
        <v>17</v>
      </c>
      <c r="C1526" s="20" t="s">
        <v>457</v>
      </c>
      <c r="D1526" s="20" t="s">
        <v>458</v>
      </c>
      <c r="E1526" s="20" t="s">
        <v>540</v>
      </c>
      <c r="F1526" s="20" t="s">
        <v>541</v>
      </c>
      <c r="G1526" s="20" t="s">
        <v>542</v>
      </c>
      <c r="H1526" s="20" t="s">
        <v>543</v>
      </c>
      <c r="I1526" s="20" t="s">
        <v>544</v>
      </c>
      <c r="J1526" s="20" t="s">
        <v>545</v>
      </c>
      <c r="K1526" s="20" t="s">
        <v>546</v>
      </c>
      <c r="L1526" s="20" t="s">
        <v>547</v>
      </c>
      <c r="M1526" s="20" t="s">
        <v>548</v>
      </c>
      <c r="N1526" s="20" t="s">
        <v>549</v>
      </c>
      <c r="O1526" s="20" t="s">
        <v>550</v>
      </c>
      <c r="P1526" s="6" t="s">
        <v>23</v>
      </c>
      <c r="R1526" s="20" t="n">
        <v>2023</v>
      </c>
      <c r="S1526" s="20" t="n">
        <v>2024</v>
      </c>
      <c r="T1526" s="20" t="n">
        <v>2025</v>
      </c>
      <c r="U1526" s="20" t="n">
        <v>2026</v>
      </c>
      <c r="V1526" s="20" t="n">
        <v>2027</v>
      </c>
      <c r="W1526" s="20" t="n">
        <v>2028</v>
      </c>
      <c r="X1526" s="20" t="n">
        <v>2029</v>
      </c>
      <c r="Y1526" s="20" t="n">
        <v>2030</v>
      </c>
      <c r="Z1526" s="20" t="n">
        <v>2031</v>
      </c>
      <c r="AA1526" s="20" t="n">
        <v>2032</v>
      </c>
    </row>
    <row r="1527" customFormat="false" ht="17.15" hidden="false" customHeight="false" outlineLevel="0" collapsed="false">
      <c r="A1527" s="1" t="s">
        <v>669</v>
      </c>
    </row>
    <row r="1528" customFormat="false" ht="15" hidden="false" customHeight="false" outlineLevel="0" collapsed="false">
      <c r="A1528" s="0" t="s">
        <v>479</v>
      </c>
      <c r="B1528" s="0" t="s">
        <v>73</v>
      </c>
      <c r="C1528" s="38" t="n">
        <f aca="false">Sens!$C$1437</f>
        <v>247.029</v>
      </c>
      <c r="D1528" s="38" t="n">
        <f aca="false">Sens!$D$1437</f>
        <v>269.287</v>
      </c>
      <c r="E1528" s="38" t="n">
        <f aca="false">Sens!$E$1437</f>
        <v>134.686</v>
      </c>
      <c r="F1528" s="38" t="n">
        <f aca="false">Sens!$F$1437</f>
        <v>160.728085930082</v>
      </c>
      <c r="G1528" s="38" t="n">
        <f aca="false">Sens!$G$1437</f>
        <v>295.414085930082</v>
      </c>
      <c r="H1528" s="38" t="n">
        <f aca="false">Sens!$H$1437</f>
        <v>320.828163943375</v>
      </c>
      <c r="I1528" s="38" t="n">
        <f aca="false">Sens!$I$1437</f>
        <v>344.575578072228</v>
      </c>
      <c r="J1528" s="38" t="n">
        <f aca="false">Sens!$J$1437</f>
        <v>365.942555779681</v>
      </c>
      <c r="K1528" s="38" t="n">
        <f aca="false">Sens!$K$1437</f>
        <v>384.239683568665</v>
      </c>
      <c r="L1528" s="38" t="n">
        <f aca="false">Sens!$L$1437</f>
        <v>403.451667747098</v>
      </c>
      <c r="M1528" s="38" t="n">
        <f aca="false">Sens!$M$1437</f>
        <v>423.624251134453</v>
      </c>
      <c r="N1528" s="38" t="n">
        <f aca="false">Sens!$N$1437</f>
        <v>118.892</v>
      </c>
      <c r="O1528" s="38" t="n">
        <f aca="false">Sens!$O$1437</f>
        <v>150.395</v>
      </c>
    </row>
    <row r="1529" customFormat="false" ht="15" hidden="false" customHeight="false" outlineLevel="0" collapsed="false">
      <c r="A1529" s="0" t="s">
        <v>480</v>
      </c>
      <c r="B1529" s="0" t="s">
        <v>73</v>
      </c>
      <c r="C1529" s="38" t="n">
        <f aca="false">Sens!$C$1439</f>
        <v>21.215</v>
      </c>
      <c r="D1529" s="38" t="n">
        <f aca="false">Sens!$D$1439</f>
        <v>22.561</v>
      </c>
      <c r="E1529" s="38" t="n">
        <f aca="false">Sens!$E$1439</f>
        <v>11.579</v>
      </c>
      <c r="F1529" s="38" t="n">
        <f aca="false">Sens!$F$1439</f>
        <v>12.0952613121125</v>
      </c>
      <c r="G1529" s="38" t="n">
        <f aca="false">Sens!$G$1439</f>
        <v>23.6742613121125</v>
      </c>
      <c r="H1529" s="38" t="n">
        <f aca="false">Sens!$H$1439</f>
        <v>24.8803243963206</v>
      </c>
      <c r="I1529" s="38" t="n">
        <f aca="false">Sens!$I$1439</f>
        <v>25.9741308664154</v>
      </c>
      <c r="J1529" s="38" t="n">
        <f aca="false">Sens!$J$1439</f>
        <v>26.9346894124267</v>
      </c>
      <c r="K1529" s="38" t="n">
        <f aca="false">Sens!$K$1439</f>
        <v>27.7427300947995</v>
      </c>
      <c r="L1529" s="38" t="n">
        <f aca="false">Sens!$L$1439</f>
        <v>28.5750119976435</v>
      </c>
      <c r="M1529" s="38" t="n">
        <f aca="false">Sens!$M$1439</f>
        <v>29.4322623575728</v>
      </c>
      <c r="N1529" s="38" t="n">
        <f aca="false">Sens!$N$1439</f>
        <v>11.128</v>
      </c>
      <c r="O1529" s="38" t="n">
        <f aca="false">Sens!$O$1439</f>
        <v>11.433</v>
      </c>
    </row>
    <row r="1530" customFormat="false" ht="15" hidden="false" customHeight="false" outlineLevel="0" collapsed="false">
      <c r="A1530" s="0" t="s">
        <v>481</v>
      </c>
      <c r="B1530" s="0" t="s">
        <v>73</v>
      </c>
      <c r="C1530" s="38" t="n">
        <f aca="false">Sens!$C$1441</f>
        <v>156.146</v>
      </c>
      <c r="D1530" s="38" t="n">
        <f aca="false">Sens!$D$1441</f>
        <v>172.162</v>
      </c>
      <c r="E1530" s="38" t="n">
        <f aca="false">Sens!$E$1441</f>
        <v>88.358</v>
      </c>
      <c r="F1530" s="38" t="n">
        <f aca="false">Sens!$F$1441</f>
        <v>103.62028337149</v>
      </c>
      <c r="G1530" s="38" t="n">
        <f aca="false">Sens!$G$1441</f>
        <v>191.97828337149</v>
      </c>
      <c r="H1530" s="38" t="n">
        <f aca="false">Sens!$H$1441</f>
        <v>212.128608444755</v>
      </c>
      <c r="I1530" s="38" t="n">
        <f aca="false">Sens!$I$1441</f>
        <v>231.92183134134</v>
      </c>
      <c r="J1530" s="38" t="n">
        <f aca="false">Sens!$J$1441</f>
        <v>250.859136487863</v>
      </c>
      <c r="K1530" s="38" t="n">
        <f aca="false">Sens!$K$1441</f>
        <v>268.419276042014</v>
      </c>
      <c r="L1530" s="38" t="n">
        <f aca="false">Sens!$L$1441</f>
        <v>287.208625364954</v>
      </c>
      <c r="M1530" s="38" t="n">
        <f aca="false">Sens!$M$1441</f>
        <v>307.313229140501</v>
      </c>
      <c r="N1530" s="38" t="n">
        <f aca="false">Sens!$N$1441</f>
        <v>76.86</v>
      </c>
      <c r="O1530" s="38" t="n">
        <f aca="false">Sens!$O$1441</f>
        <v>95.302</v>
      </c>
    </row>
    <row r="1531" customFormat="false" ht="15" hidden="false" customHeight="false" outlineLevel="0" collapsed="false">
      <c r="A1531" s="0" t="s">
        <v>482</v>
      </c>
      <c r="B1531" s="0" t="s">
        <v>73</v>
      </c>
      <c r="C1531" s="38" t="n">
        <f aca="false">Sens!$C$1443</f>
        <v>56.214</v>
      </c>
      <c r="D1531" s="38" t="n">
        <f aca="false">Sens!$D$1443</f>
        <v>68.635</v>
      </c>
      <c r="E1531" s="38" t="n">
        <f aca="false">Sens!$E$1443</f>
        <v>37.052</v>
      </c>
      <c r="F1531" s="38" t="n">
        <f aca="false">Sens!$F$1443</f>
        <v>48.1533381827382</v>
      </c>
      <c r="G1531" s="38" t="n">
        <f aca="false">Sens!$G$1443</f>
        <v>85.2053381827382</v>
      </c>
      <c r="H1531" s="38" t="n">
        <f aca="false">Sens!$H$1443</f>
        <v>102.29336185894</v>
      </c>
      <c r="I1531" s="38" t="n">
        <f aca="false">Sens!$I$1443</f>
        <v>119.379837585241</v>
      </c>
      <c r="J1531" s="38" t="n">
        <f aca="false">Sens!$J$1443</f>
        <v>135.319079048844</v>
      </c>
      <c r="K1531" s="38" t="n">
        <f aca="false">Sens!$K$1443</f>
        <v>148.850986953729</v>
      </c>
      <c r="L1531" s="38" t="n">
        <f aca="false">Sens!$L$1443</f>
        <v>163.736085649102</v>
      </c>
      <c r="M1531" s="38" t="n">
        <f aca="false">Sens!$M$1443</f>
        <v>180.109694214012</v>
      </c>
      <c r="N1531" s="38" t="n">
        <f aca="false">Sens!$N$1443</f>
        <v>29.615</v>
      </c>
      <c r="O1531" s="38" t="n">
        <f aca="false">Sens!$O$1443</f>
        <v>39.02</v>
      </c>
    </row>
    <row r="1532" customFormat="false" ht="15" hidden="false" customHeight="false" outlineLevel="0" collapsed="false">
      <c r="A1532" s="0" t="s">
        <v>483</v>
      </c>
      <c r="B1532" s="0" t="s">
        <v>73</v>
      </c>
      <c r="C1532" s="38" t="n">
        <f aca="false">Sens!$C$1445</f>
        <v>44.374</v>
      </c>
      <c r="D1532" s="38" t="n">
        <f aca="false">Sens!$D$1445</f>
        <v>49.619</v>
      </c>
      <c r="E1532" s="38" t="n">
        <f aca="false">Sens!$E$1445</f>
        <v>27.157</v>
      </c>
      <c r="F1532" s="38" t="n">
        <f aca="false">Sens!$F$1445</f>
        <v>28.9776360923374</v>
      </c>
      <c r="G1532" s="38" t="n">
        <f aca="false">Sens!$G$1445</f>
        <v>56.1346360923374</v>
      </c>
      <c r="H1532" s="38" t="n">
        <f aca="false">Sens!$H$1445</f>
        <v>62.4937078946075</v>
      </c>
      <c r="I1532" s="38" t="n">
        <f aca="false">Sens!$I$1445</f>
        <v>68.6715233062498</v>
      </c>
      <c r="J1532" s="38" t="n">
        <f aca="false">Sens!$J$1445</f>
        <v>74.4692882949818</v>
      </c>
      <c r="K1532" s="38" t="n">
        <f aca="false">Sens!$K$1445</f>
        <v>79.6821384756306</v>
      </c>
      <c r="L1532" s="38" t="n">
        <f aca="false">Sens!$L$1445</f>
        <v>85.2598881689247</v>
      </c>
      <c r="M1532" s="38" t="n">
        <f aca="false">Sens!$M$1445</f>
        <v>91.2280803407494</v>
      </c>
      <c r="N1532" s="38" t="n">
        <f aca="false">Sens!$N$1445</f>
        <v>23.923</v>
      </c>
      <c r="O1532" s="38" t="n">
        <f aca="false">Sens!$O$1445</f>
        <v>25.696</v>
      </c>
    </row>
    <row r="1533" customFormat="false" ht="15" hidden="false" customHeight="false" outlineLevel="0" collapsed="false">
      <c r="A1533" s="0" t="s">
        <v>484</v>
      </c>
      <c r="B1533" s="0" t="s">
        <v>73</v>
      </c>
      <c r="C1533" s="38" t="n">
        <f aca="false">Sens!$C$1447</f>
        <v>5.425</v>
      </c>
      <c r="D1533" s="38" t="n">
        <f aca="false">Sens!$D$1447</f>
        <v>5.935</v>
      </c>
      <c r="E1533" s="38" t="n">
        <f aca="false">Sens!$E$1447</f>
        <v>3.474</v>
      </c>
      <c r="F1533" s="38" t="n">
        <f aca="false">Sens!$F$1447</f>
        <v>3.36182431966931</v>
      </c>
      <c r="G1533" s="38" t="n">
        <f aca="false">Sens!$G$1447</f>
        <v>6.83582431966931</v>
      </c>
      <c r="H1533" s="38" t="n">
        <f aca="false">Sens!$H$1447</f>
        <v>7.31157108370141</v>
      </c>
      <c r="I1533" s="38" t="n">
        <f aca="false">Sens!$I$1447</f>
        <v>7.77266852639815</v>
      </c>
      <c r="J1533" s="38" t="n">
        <f aca="false">Sens!$J$1447</f>
        <v>8.2120733019884</v>
      </c>
      <c r="K1533" s="38" t="n">
        <f aca="false">Sens!$K$1447</f>
        <v>8.62267696708783</v>
      </c>
      <c r="L1533" s="38" t="n">
        <f aca="false">Sens!$L$1447</f>
        <v>9.05381081544222</v>
      </c>
      <c r="M1533" s="38" t="n">
        <f aca="false">Sens!$M$1447</f>
        <v>9.50650135621433</v>
      </c>
      <c r="N1533" s="38" t="n">
        <f aca="false">Sens!$N$1447</f>
        <v>2.811</v>
      </c>
      <c r="O1533" s="38" t="n">
        <f aca="false">Sens!$O$1447</f>
        <v>3.124</v>
      </c>
    </row>
    <row r="1534" customFormat="false" ht="17.15" hidden="false" customHeight="false" outlineLevel="0" collapsed="false">
      <c r="A1534" s="0" t="s">
        <v>670</v>
      </c>
      <c r="B1534" s="0" t="s">
        <v>73</v>
      </c>
      <c r="C1534" s="38" t="n">
        <f aca="false">Sens!$C$1515</f>
        <v>107.556</v>
      </c>
      <c r="D1534" s="38" t="n">
        <f aca="false">Sens!$D$1515</f>
        <v>128.725</v>
      </c>
      <c r="E1534" s="38" t="n">
        <f aca="false">Sens!$E$1515</f>
        <v>79.819</v>
      </c>
      <c r="F1534" s="38" t="n">
        <f aca="false">Sens!$F$1515</f>
        <v>94.7848800045111</v>
      </c>
      <c r="G1534" s="38" t="n">
        <f aca="false">Sens!$G$1515</f>
        <v>174.603880004511</v>
      </c>
      <c r="H1534" s="38" t="n">
        <f aca="false">Sens!$H$1515</f>
        <v>251.07207926525</v>
      </c>
      <c r="I1534" s="38" t="n">
        <f aca="false">Sens!$I$1515</f>
        <v>332.499176195441</v>
      </c>
      <c r="J1534" s="38" t="n">
        <f aca="false">Sens!$J$1515</f>
        <v>410.151823445483</v>
      </c>
      <c r="K1534" s="38" t="n">
        <f aca="false">Sens!$K$1515</f>
        <v>481.042496064839</v>
      </c>
      <c r="L1534" s="38" t="n">
        <f aca="false">Sens!$L$1515</f>
        <v>553.480951179688</v>
      </c>
      <c r="M1534" s="38" t="n">
        <f aca="false">Sens!$M$1515</f>
        <v>627.572149889343</v>
      </c>
      <c r="N1534" s="38" t="n">
        <f aca="false">Sens!$N$1515</f>
        <v>60.14</v>
      </c>
      <c r="O1534" s="38" t="n">
        <f aca="false">Sens!$O$1515</f>
        <v>68.585</v>
      </c>
    </row>
    <row r="1535" customFormat="false" ht="15" hidden="false" customHeight="false" outlineLevel="0" collapsed="false">
      <c r="A1535" s="1" t="s">
        <v>472</v>
      </c>
      <c r="B1535" s="8" t="s">
        <v>73</v>
      </c>
      <c r="C1535" s="38" t="n">
        <f aca="false">Sens!$C$1451</f>
        <v>387.497</v>
      </c>
      <c r="D1535" s="38" t="n">
        <f aca="false">Sens!$D$1451</f>
        <v>426.305</v>
      </c>
      <c r="E1535" s="38" t="n">
        <f aca="false">Sens!$E$1451</f>
        <v>220.32</v>
      </c>
      <c r="F1535" s="38" t="n">
        <f aca="false">Sens!$F$1451</f>
        <v>256.304015003807</v>
      </c>
      <c r="G1535" s="38" t="n">
        <f aca="false">Sens!$G$1451</f>
        <v>476.624015003807</v>
      </c>
      <c r="H1535" s="38" t="n">
        <f aca="false">Sens!$H$1451</f>
        <v>527.734391091543</v>
      </c>
      <c r="I1535" s="38" t="n">
        <f aca="false">Sens!$I$1451</f>
        <v>577.157693029577</v>
      </c>
      <c r="J1535" s="38" t="n">
        <f aca="false">Sens!$J$1451</f>
        <v>623.024923663827</v>
      </c>
      <c r="K1535" s="38" t="n">
        <f aca="false">Sens!$K$1451</f>
        <v>663.382568393781</v>
      </c>
      <c r="L1535" s="38" t="n">
        <f aca="false">Sens!$L$1451</f>
        <v>706.564873010432</v>
      </c>
      <c r="M1535" s="38" t="n">
        <f aca="false">Sens!$M$1451</f>
        <v>752.784687406019</v>
      </c>
      <c r="N1535" s="38" t="n">
        <f aca="false">Sens!$N$1451</f>
        <v>192.955</v>
      </c>
      <c r="O1535" s="38" t="n">
        <f aca="false">Sens!$O$1451</f>
        <v>233.35</v>
      </c>
    </row>
    <row r="1536" customFormat="false" ht="15" hidden="false" customHeight="false" outlineLevel="0" collapsed="false">
      <c r="A1536" s="1" t="s">
        <v>475</v>
      </c>
      <c r="B1536" s="8" t="s">
        <v>73</v>
      </c>
      <c r="C1536" s="38" t="n">
        <f aca="false">Sens!$C$1452</f>
        <v>142.906</v>
      </c>
      <c r="D1536" s="38" t="n">
        <f aca="false">Sens!$D$1452</f>
        <v>161.894</v>
      </c>
      <c r="E1536" s="38" t="n">
        <f aca="false">Sens!$E$1452</f>
        <v>81.986</v>
      </c>
      <c r="F1536" s="38" t="n">
        <f aca="false">Sens!$F$1452</f>
        <v>100.632414204623</v>
      </c>
      <c r="G1536" s="38" t="n">
        <f aca="false">Sens!$G$1452</f>
        <v>182.618414204623</v>
      </c>
      <c r="H1536" s="38" t="n">
        <f aca="false">Sens!$H$1452</f>
        <v>202.201346530158</v>
      </c>
      <c r="I1536" s="38" t="n">
        <f aca="false">Sens!$I$1452</f>
        <v>221.137876668296</v>
      </c>
      <c r="J1536" s="38" t="n">
        <f aca="false">Sens!$J$1452</f>
        <v>238.711898661958</v>
      </c>
      <c r="K1536" s="38" t="n">
        <f aca="false">Sens!$K$1452</f>
        <v>254.174923708144</v>
      </c>
      <c r="L1536" s="38" t="n">
        <f aca="false">Sens!$L$1452</f>
        <v>270.720216732733</v>
      </c>
      <c r="M1536" s="38" t="n">
        <f aca="false">Sens!$M$1452</f>
        <v>288.429331137484</v>
      </c>
      <c r="N1536" s="38" t="n">
        <f aca="false">Sens!$N$1452</f>
        <v>70.274</v>
      </c>
      <c r="O1536" s="38" t="n">
        <f aca="false">Sens!$O$1452</f>
        <v>91.62</v>
      </c>
    </row>
    <row r="1537" customFormat="false" ht="15" hidden="false" customHeight="false" outlineLevel="0" collapsed="false">
      <c r="A1537" s="1" t="s">
        <v>476</v>
      </c>
      <c r="B1537" s="8" t="s">
        <v>73</v>
      </c>
      <c r="C1537" s="38" t="n">
        <f aca="false">Sens!$C$1515</f>
        <v>107.556</v>
      </c>
      <c r="D1537" s="38" t="n">
        <f aca="false">Sens!$D$1515</f>
        <v>128.725</v>
      </c>
      <c r="E1537" s="38" t="n">
        <f aca="false">Sens!$E$1515</f>
        <v>79.819</v>
      </c>
      <c r="F1537" s="38" t="n">
        <f aca="false">Sens!$F$1515</f>
        <v>94.7848800045111</v>
      </c>
      <c r="G1537" s="38" t="n">
        <f aca="false">Sens!$G$1515</f>
        <v>174.603880004511</v>
      </c>
      <c r="H1537" s="38" t="n">
        <f aca="false">Sens!$H$1515</f>
        <v>251.07207926525</v>
      </c>
      <c r="I1537" s="38" t="n">
        <f aca="false">Sens!$I$1515</f>
        <v>332.499176195441</v>
      </c>
      <c r="J1537" s="38" t="n">
        <f aca="false">Sens!$J$1515</f>
        <v>410.151823445483</v>
      </c>
      <c r="K1537" s="38" t="n">
        <f aca="false">Sens!$K$1515</f>
        <v>481.042496064839</v>
      </c>
      <c r="L1537" s="38" t="n">
        <f aca="false">Sens!$L$1515</f>
        <v>553.480951179688</v>
      </c>
      <c r="M1537" s="38" t="n">
        <f aca="false">Sens!$M$1515</f>
        <v>627.572149889343</v>
      </c>
      <c r="N1537" s="38" t="n">
        <f aca="false">Sens!$N$1515</f>
        <v>60.14</v>
      </c>
      <c r="O1537" s="38" t="n">
        <f aca="false">Sens!$O$1515</f>
        <v>68.585</v>
      </c>
    </row>
    <row r="1538" customFormat="false" ht="17.15" hidden="false" customHeight="false" outlineLevel="0" collapsed="false">
      <c r="A1538" s="0" t="s">
        <v>644</v>
      </c>
      <c r="B1538" s="0" t="s">
        <v>73</v>
      </c>
      <c r="C1538" s="38" t="n">
        <f aca="false">Sens!$C$1513</f>
        <v>2.32100535697364</v>
      </c>
      <c r="D1538" s="38" t="n">
        <f aca="false">Sens!$D$1513</f>
        <v>8.70377008865116</v>
      </c>
      <c r="E1538" s="38" t="n">
        <f aca="false">Sens!$E$1513</f>
        <v>8.51035297557002</v>
      </c>
      <c r="F1538" s="38" t="n">
        <f aca="false">Sens!$F$1513</f>
        <v>16.1898695858458</v>
      </c>
      <c r="G1538" s="38" t="n">
        <f aca="false">Sens!$G$1513</f>
        <v>24.7002225614158</v>
      </c>
      <c r="H1538" s="38" t="n">
        <f aca="false">Sens!$H$1513</f>
        <v>70.1785184971087</v>
      </c>
      <c r="I1538" s="38" t="n">
        <f aca="false">Sens!$I$1513</f>
        <v>121.85077898043</v>
      </c>
      <c r="J1538" s="38" t="n">
        <f aca="false">Sens!$J$1513</f>
        <v>173.752913998988</v>
      </c>
      <c r="K1538" s="38" t="n">
        <f aca="false">Sens!$K$1513</f>
        <v>225.731673862625</v>
      </c>
      <c r="L1538" s="38" t="n">
        <f aca="false">Sens!$L$1513</f>
        <v>277.745263201297</v>
      </c>
      <c r="M1538" s="38" t="n">
        <f aca="false">Sens!$M$1513</f>
        <v>329.77760687268</v>
      </c>
      <c r="N1538" s="38" t="n">
        <f aca="false">Sens!$N$1513</f>
        <v>3.04631953102791</v>
      </c>
      <c r="O1538" s="38" t="n">
        <f aca="false">Sens!$O$1513</f>
        <v>5.65745055762326</v>
      </c>
    </row>
    <row r="1539" customFormat="false" ht="17.15" hidden="false" customHeight="false" outlineLevel="0" collapsed="false">
      <c r="A1539" s="0" t="s">
        <v>646</v>
      </c>
      <c r="B1539" s="0" t="s">
        <v>73</v>
      </c>
      <c r="C1539" s="38" t="n">
        <f aca="false">Sens!$C$1514</f>
        <v>105.234994643026</v>
      </c>
      <c r="D1539" s="38" t="n">
        <f aca="false">Sens!$D$1514</f>
        <v>120.021229911349</v>
      </c>
      <c r="E1539" s="38" t="n">
        <f aca="false">Sens!$E$1514</f>
        <v>71.30864702443</v>
      </c>
      <c r="F1539" s="38" t="n">
        <f aca="false">Sens!$F$1514</f>
        <v>78.5950104186653</v>
      </c>
      <c r="G1539" s="38" t="n">
        <f aca="false">Sens!$G$1514</f>
        <v>149.903657443095</v>
      </c>
      <c r="H1539" s="38" t="n">
        <f aca="false">Sens!$H$1514</f>
        <v>180.893560768142</v>
      </c>
      <c r="I1539" s="38" t="n">
        <f aca="false">Sens!$I$1514</f>
        <v>210.64839721501</v>
      </c>
      <c r="J1539" s="38" t="n">
        <f aca="false">Sens!$J$1514</f>
        <v>236.398909446495</v>
      </c>
      <c r="K1539" s="38" t="n">
        <f aca="false">Sens!$K$1514</f>
        <v>255.310822202215</v>
      </c>
      <c r="L1539" s="38" t="n">
        <f aca="false">Sens!$L$1514</f>
        <v>275.735687978392</v>
      </c>
      <c r="M1539" s="38" t="n">
        <f aca="false">Sens!$M$1514</f>
        <v>297.794543016663</v>
      </c>
      <c r="N1539" s="38" t="n">
        <f aca="false">Sens!$N$1514</f>
        <v>57.0936804689721</v>
      </c>
      <c r="O1539" s="38" t="n">
        <f aca="false">Sens!$O$1514</f>
        <v>62.9275494423768</v>
      </c>
    </row>
    <row r="1540" customFormat="false" ht="15" hidden="false" customHeight="false" outlineLevel="0" collapsed="false">
      <c r="A1540" s="3" t="s">
        <v>477</v>
      </c>
      <c r="B1540" s="8" t="s">
        <v>73</v>
      </c>
      <c r="C1540" s="38" t="n">
        <f aca="false">Sens!$C$1516</f>
        <v>637.959</v>
      </c>
      <c r="D1540" s="38" t="n">
        <f aca="false">Sens!$D$1516</f>
        <v>716.924</v>
      </c>
      <c r="E1540" s="38" t="n">
        <f aca="false">Sens!$E$1516</f>
        <v>382.125</v>
      </c>
      <c r="F1540" s="38" t="n">
        <f aca="false">Sens!$F$1516</f>
        <v>451.721309212941</v>
      </c>
      <c r="G1540" s="38" t="n">
        <f aca="false">Sens!$G$1516</f>
        <v>833.846309212941</v>
      </c>
      <c r="H1540" s="38" t="n">
        <f aca="false">Sens!$H$1516</f>
        <v>981.007816886951</v>
      </c>
      <c r="I1540" s="38" t="n">
        <f aca="false">Sens!$I$1516</f>
        <v>1130.79474589331</v>
      </c>
      <c r="J1540" s="38" t="n">
        <f aca="false">Sens!$J$1516</f>
        <v>1271.88864577127</v>
      </c>
      <c r="K1540" s="38" t="n">
        <f aca="false">Sens!$K$1516</f>
        <v>1398.59998816676</v>
      </c>
      <c r="L1540" s="38" t="n">
        <f aca="false">Sens!$L$1516</f>
        <v>1530.76604092285</v>
      </c>
      <c r="M1540" s="38" t="n">
        <f aca="false">Sens!$M$1516</f>
        <v>1668.78616843285</v>
      </c>
      <c r="N1540" s="38" t="n">
        <f aca="false">Sens!$N$1516</f>
        <v>323.369</v>
      </c>
      <c r="O1540" s="38" t="n">
        <f aca="false">Sens!$O$1516</f>
        <v>393.555</v>
      </c>
    </row>
    <row r="1541" customFormat="false" ht="17.15" hidden="false" customHeight="false" outlineLevel="0" collapsed="false">
      <c r="A1541" s="24" t="s">
        <v>656</v>
      </c>
      <c r="B1541" s="25" t="s">
        <v>73</v>
      </c>
      <c r="C1541" s="39" t="n">
        <f aca="false">Sens!$C$1528+Sens!$C$1529+Sens!$C$1530+Sens!$C$1531+Sens!$C$1532+Sens!$C$1533-(Sens!$C$1535+Sens!$C$1536)</f>
        <v>0</v>
      </c>
      <c r="D1541" s="39" t="n">
        <f aca="false">Sens!$D$1528+Sens!$D$1529+Sens!$D$1530+Sens!$D$1531+Sens!$D$1532+Sens!$D$1533-(Sens!$D$1535+Sens!$D$1536)</f>
        <v>0</v>
      </c>
      <c r="E1541" s="39" t="n">
        <f aca="false">Sens!$E$1528+Sens!$E$1529+Sens!$E$1530+Sens!$E$1531+Sens!$E$1532+Sens!$E$1533-(Sens!$E$1535+Sens!$E$1536)</f>
        <v>0</v>
      </c>
      <c r="F1541" s="39" t="n">
        <f aca="false">Sens!$F$1528+Sens!$F$1529+Sens!$F$1530+Sens!$F$1531+Sens!$F$1532+Sens!$F$1533-(Sens!$F$1535+Sens!$F$1536)</f>
        <v>0</v>
      </c>
      <c r="G1541" s="39" t="n">
        <f aca="false">Sens!$G$1528+Sens!$G$1529+Sens!$G$1530+Sens!$G$1531+Sens!$G$1532+Sens!$G$1533-(Sens!$G$1535+Sens!$G$1536)</f>
        <v>0</v>
      </c>
      <c r="H1541" s="39" t="n">
        <f aca="false">Sens!$H$1528+Sens!$H$1529+Sens!$H$1530+Sens!$H$1531+Sens!$H$1532+Sens!$H$1533-(Sens!$H$1535+Sens!$H$1536)</f>
        <v>0</v>
      </c>
      <c r="I1541" s="39" t="n">
        <f aca="false">Sens!$I$1528+Sens!$I$1529+Sens!$I$1530+Sens!$I$1531+Sens!$I$1532+Sens!$I$1533-(Sens!$I$1535+Sens!$I$1536)</f>
        <v>0</v>
      </c>
      <c r="J1541" s="39" t="n">
        <f aca="false">Sens!$J$1528+Sens!$J$1529+Sens!$J$1530+Sens!$J$1531+Sens!$J$1532+Sens!$J$1533-(Sens!$J$1535+Sens!$J$1536)</f>
        <v>0</v>
      </c>
      <c r="K1541" s="39" t="n">
        <f aca="false">Sens!$K$1528+Sens!$K$1529+Sens!$K$1530+Sens!$K$1531+Sens!$K$1532+Sens!$K$1533-(Sens!$K$1535+Sens!$K$1536)</f>
        <v>0</v>
      </c>
      <c r="L1541" s="39" t="n">
        <f aca="false">Sens!$L$1528+Sens!$L$1529+Sens!$L$1530+Sens!$L$1531+Sens!$L$1532+Sens!$L$1533-(Sens!$L$1535+Sens!$L$1536)</f>
        <v>0</v>
      </c>
      <c r="M1541" s="39" t="n">
        <f aca="false">Sens!$M$1528+Sens!$M$1529+Sens!$M$1530+Sens!$M$1531+Sens!$M$1532+Sens!$M$1533-(Sens!$M$1535+Sens!$M$1536)</f>
        <v>0</v>
      </c>
      <c r="N1541" s="39" t="n">
        <f aca="false">Sens!$N$1528+Sens!$N$1529+Sens!$N$1530+Sens!$N$1531+Sens!$N$1532+Sens!$N$1533-(Sens!$N$1535+Sens!$N$1536)</f>
        <v>0</v>
      </c>
      <c r="O1541" s="39" t="n">
        <f aca="false">Sens!$O$1528+Sens!$O$1529+Sens!$O$1530+Sens!$O$1531+Sens!$O$1532+Sens!$O$1533-(Sens!$O$1535+Sens!$O$1536)</f>
        <v>0</v>
      </c>
    </row>
    <row r="1542" customFormat="false" ht="17.15" hidden="false" customHeight="false" outlineLevel="0" collapsed="false">
      <c r="A1542" s="24" t="s">
        <v>657</v>
      </c>
      <c r="B1542" s="25" t="s">
        <v>73</v>
      </c>
      <c r="C1542" s="39" t="n">
        <f aca="false">Sens!$C$1538+Sens!$C$1539-Sens!$C$1537</f>
        <v>0</v>
      </c>
      <c r="D1542" s="39" t="n">
        <f aca="false">Sens!$D$1538+Sens!$D$1539-Sens!$D$1537</f>
        <v>0</v>
      </c>
      <c r="E1542" s="39" t="n">
        <f aca="false">Sens!$E$1538+Sens!$E$1539-Sens!$E$1537</f>
        <v>0</v>
      </c>
      <c r="F1542" s="39" t="n">
        <f aca="false">Sens!$F$1538+Sens!$F$1539-Sens!$F$1537</f>
        <v>0</v>
      </c>
      <c r="G1542" s="39" t="n">
        <f aca="false">Sens!$G$1538+Sens!$G$1539-Sens!$G$1537</f>
        <v>0</v>
      </c>
      <c r="H1542" s="39" t="n">
        <f aca="false">Sens!$H$1538+Sens!$H$1539-Sens!$H$1537</f>
        <v>0</v>
      </c>
      <c r="I1542" s="39" t="n">
        <f aca="false">Sens!$I$1538+Sens!$I$1539-Sens!$I$1537</f>
        <v>0</v>
      </c>
      <c r="J1542" s="39" t="n">
        <f aca="false">Sens!$J$1538+Sens!$J$1539-Sens!$J$1537</f>
        <v>0</v>
      </c>
      <c r="K1542" s="39" t="n">
        <f aca="false">Sens!$K$1538+Sens!$K$1539-Sens!$K$1537</f>
        <v>0</v>
      </c>
      <c r="L1542" s="39" t="n">
        <f aca="false">Sens!$L$1538+Sens!$L$1539-Sens!$L$1537</f>
        <v>0</v>
      </c>
      <c r="M1542" s="39" t="n">
        <f aca="false">Sens!$M$1538+Sens!$M$1539-Sens!$M$1537</f>
        <v>0</v>
      </c>
      <c r="N1542" s="39" t="n">
        <f aca="false">Sens!$N$1538+Sens!$N$1539-Sens!$N$1537</f>
        <v>0</v>
      </c>
      <c r="O1542" s="39" t="n">
        <f aca="false">Sens!$O$1538+Sens!$O$1539-Sens!$O$1537</f>
        <v>0</v>
      </c>
    </row>
    <row r="1543" customFormat="false" ht="17.15" hidden="false" customHeight="false" outlineLevel="0" collapsed="false">
      <c r="A1543" s="24" t="s">
        <v>711</v>
      </c>
      <c r="B1543" s="25" t="s">
        <v>73</v>
      </c>
      <c r="C1543" s="39" t="n">
        <f aca="false">Sens!$C$1528+Sens!$C$1529+Sens!$C$1530+Sens!$C$1531+Sens!$C$1532+Sens!$C$1533+Sens!$C$1534-Sens!$C$1540</f>
        <v>0</v>
      </c>
      <c r="D1543" s="39" t="n">
        <f aca="false">Sens!$D$1528+Sens!$D$1529+Sens!$D$1530+Sens!$D$1531+Sens!$D$1532+Sens!$D$1533+Sens!$D$1534-Sens!$D$1540</f>
        <v>0</v>
      </c>
      <c r="E1543" s="39" t="n">
        <f aca="false">Sens!$E$1528+Sens!$E$1529+Sens!$E$1530+Sens!$E$1531+Sens!$E$1532+Sens!$E$1533+Sens!$E$1534-Sens!$E$1540</f>
        <v>0</v>
      </c>
      <c r="F1543" s="39" t="n">
        <f aca="false">Sens!$F$1528+Sens!$F$1529+Sens!$F$1530+Sens!$F$1531+Sens!$F$1532+Sens!$F$1533+Sens!$F$1534-Sens!$F$1540</f>
        <v>0</v>
      </c>
      <c r="G1543" s="39" t="n">
        <f aca="false">Sens!$G$1528+Sens!$G$1529+Sens!$G$1530+Sens!$G$1531+Sens!$G$1532+Sens!$G$1533+Sens!$G$1534-Sens!$G$1540</f>
        <v>0</v>
      </c>
      <c r="H1543" s="39" t="n">
        <f aca="false">Sens!$H$1528+Sens!$H$1529+Sens!$H$1530+Sens!$H$1531+Sens!$H$1532+Sens!$H$1533+Sens!$H$1534-Sens!$H$1540</f>
        <v>0</v>
      </c>
      <c r="I1543" s="39" t="n">
        <f aca="false">Sens!$I$1528+Sens!$I$1529+Sens!$I$1530+Sens!$I$1531+Sens!$I$1532+Sens!$I$1533+Sens!$I$1534-Sens!$I$1540</f>
        <v>0</v>
      </c>
      <c r="J1543" s="39" t="n">
        <f aca="false">Sens!$J$1528+Sens!$J$1529+Sens!$J$1530+Sens!$J$1531+Sens!$J$1532+Sens!$J$1533+Sens!$J$1534-Sens!$J$1540</f>
        <v>0</v>
      </c>
      <c r="K1543" s="39" t="n">
        <f aca="false">Sens!$K$1528+Sens!$K$1529+Sens!$K$1530+Sens!$K$1531+Sens!$K$1532+Sens!$K$1533+Sens!$K$1534-Sens!$K$1540</f>
        <v>0</v>
      </c>
      <c r="L1543" s="39" t="n">
        <f aca="false">Sens!$L$1528+Sens!$L$1529+Sens!$L$1530+Sens!$L$1531+Sens!$L$1532+Sens!$L$1533+Sens!$L$1534-Sens!$L$1540</f>
        <v>0</v>
      </c>
      <c r="M1543" s="39" t="n">
        <f aca="false">Sens!$M$1528+Sens!$M$1529+Sens!$M$1530+Sens!$M$1531+Sens!$M$1532+Sens!$M$1533+Sens!$M$1534-Sens!$M$1540</f>
        <v>0</v>
      </c>
      <c r="N1543" s="39" t="n">
        <f aca="false">Sens!$N$1528+Sens!$N$1529+Sens!$N$1530+Sens!$N$1531+Sens!$N$1532+Sens!$N$1533+Sens!$N$1534-Sens!$N$1540</f>
        <v>0</v>
      </c>
      <c r="O1543" s="39" t="n">
        <f aca="false">Sens!$O$1528+Sens!$O$1529+Sens!$O$1530+Sens!$O$1531+Sens!$O$1532+Sens!$O$1533+Sens!$O$1534-Sens!$O$1540</f>
        <v>0</v>
      </c>
    </row>
    <row r="1544" customFormat="false" ht="17.15" hidden="false" customHeight="false" outlineLevel="0" collapsed="false">
      <c r="A1544" s="24" t="s">
        <v>658</v>
      </c>
      <c r="B1544" s="25" t="s">
        <v>73</v>
      </c>
      <c r="C1544" s="39" t="n">
        <f aca="false">Sens!$C$1535+Sens!$C$1536+Sens!$C$1537-Sens!$C$1540</f>
        <v>0</v>
      </c>
      <c r="D1544" s="39" t="n">
        <f aca="false">Sens!$D$1535+Sens!$D$1536+Sens!$D$1537-Sens!$D$1540</f>
        <v>0</v>
      </c>
      <c r="E1544" s="39" t="n">
        <f aca="false">Sens!$E$1535+Sens!$E$1536+Sens!$E$1537-Sens!$E$1540</f>
        <v>0</v>
      </c>
      <c r="F1544" s="39" t="n">
        <f aca="false">Sens!$F$1535+Sens!$F$1536+Sens!$F$1537-Sens!$F$1540</f>
        <v>0</v>
      </c>
      <c r="G1544" s="39" t="n">
        <f aca="false">Sens!$G$1535+Sens!$G$1536+Sens!$G$1537-Sens!$G$1540</f>
        <v>0</v>
      </c>
      <c r="H1544" s="39" t="n">
        <f aca="false">Sens!$H$1535+Sens!$H$1536+Sens!$H$1537-Sens!$H$1540</f>
        <v>0</v>
      </c>
      <c r="I1544" s="39" t="n">
        <f aca="false">Sens!$I$1535+Sens!$I$1536+Sens!$I$1537-Sens!$I$1540</f>
        <v>0</v>
      </c>
      <c r="J1544" s="39" t="n">
        <f aca="false">Sens!$J$1535+Sens!$J$1536+Sens!$J$1537-Sens!$J$1540</f>
        <v>0</v>
      </c>
      <c r="K1544" s="39" t="n">
        <f aca="false">Sens!$K$1535+Sens!$K$1536+Sens!$K$1537-Sens!$K$1540</f>
        <v>0</v>
      </c>
      <c r="L1544" s="39" t="n">
        <f aca="false">Sens!$L$1535+Sens!$L$1536+Sens!$L$1537-Sens!$L$1540</f>
        <v>0</v>
      </c>
      <c r="M1544" s="39" t="n">
        <f aca="false">Sens!$M$1535+Sens!$M$1536+Sens!$M$1537-Sens!$M$1540</f>
        <v>0</v>
      </c>
      <c r="N1544" s="39" t="n">
        <f aca="false">Sens!$N$1535+Sens!$N$1536+Sens!$N$1537-Sens!$N$1540</f>
        <v>0</v>
      </c>
      <c r="O1544" s="39" t="n">
        <f aca="false">Sens!$O$1535+Sens!$O$1536+Sens!$O$1537-Sens!$O$1540</f>
        <v>0</v>
      </c>
    </row>
    <row r="1545" customFormat="false" ht="17.15" hidden="false" customHeight="false" outlineLevel="0" collapsed="false">
      <c r="A1545" s="1" t="s">
        <v>672</v>
      </c>
    </row>
    <row r="1546" customFormat="false" ht="17.15" hidden="false" customHeight="false" outlineLevel="0" collapsed="false">
      <c r="A1546" s="0" t="s">
        <v>673</v>
      </c>
      <c r="B1546" s="0" t="s">
        <v>73</v>
      </c>
      <c r="C1546" s="38" t="n">
        <f aca="false">Sens!$C$1453*m_ad</f>
        <v>20.5341564414228</v>
      </c>
      <c r="D1546" s="38" t="n">
        <f aca="false">Sens!$D$1453*m_ad</f>
        <v>24.8720617299587</v>
      </c>
      <c r="E1546" s="38" t="n">
        <f aca="false">Sens!$E$1453*m_ad</f>
        <v>13.5017112462207</v>
      </c>
      <c r="F1546" s="38" t="n">
        <f aca="false">Sens!$F$1453*m_ad</f>
        <v>17.2886442824599</v>
      </c>
      <c r="G1546" s="38" t="n">
        <f aca="false">Sens!$G$1453*m_ad</f>
        <v>30.8011958765886</v>
      </c>
      <c r="H1546" s="38" t="n">
        <f aca="false">Sens!$H$1453*m_ad</f>
        <v>36.978409366026</v>
      </c>
      <c r="I1546" s="38" t="n">
        <f aca="false">Sens!$I$1453*m_ad</f>
        <v>43.155063281273</v>
      </c>
      <c r="J1546" s="38" t="n">
        <f aca="false">Sens!$J$1453*m_ad</f>
        <v>48.9169991988532</v>
      </c>
      <c r="K1546" s="38" t="n">
        <f aca="false">Sens!$K$1453*m_ad</f>
        <v>53.8086991187386</v>
      </c>
      <c r="L1546" s="38" t="n">
        <f aca="false">Sens!$L$1453*m_ad</f>
        <v>59.1895690306124</v>
      </c>
      <c r="M1546" s="38" t="n">
        <f aca="false">Sens!$M$1453*m_ad</f>
        <v>65.1085259336737</v>
      </c>
      <c r="N1546" s="38" t="n">
        <f aca="false">Sens!$N$1453*m_ad</f>
        <v>10.8543555706248</v>
      </c>
      <c r="O1546" s="38" t="n">
        <f aca="false">Sens!$O$1453*m_ad</f>
        <v>14.0094731821399</v>
      </c>
    </row>
    <row r="1547" customFormat="false" ht="17.15" hidden="false" customHeight="false" outlineLevel="0" collapsed="false">
      <c r="A1547" s="0" t="s">
        <v>674</v>
      </c>
      <c r="B1547" s="0" t="s">
        <v>73</v>
      </c>
      <c r="C1547" s="38" t="n">
        <f aca="false">Sens!$C$1451-Sens!$C$1453</f>
        <v>346.428687117154</v>
      </c>
      <c r="D1547" s="38" t="n">
        <f aca="false">Sens!$D$1451-Sens!$D$1453</f>
        <v>376.560876540083</v>
      </c>
      <c r="E1547" s="38" t="n">
        <f aca="false">Sens!$E$1451-Sens!$E$1453</f>
        <v>193.316577507559</v>
      </c>
      <c r="F1547" s="38" t="n">
        <f aca="false">Sens!$F$1451-Sens!$F$1453</f>
        <v>221.726726438887</v>
      </c>
      <c r="G1547" s="38" t="n">
        <f aca="false">Sens!$G$1451-Sens!$G$1453</f>
        <v>415.02162325063</v>
      </c>
      <c r="H1547" s="38" t="n">
        <f aca="false">Sens!$H$1451-Sens!$H$1453</f>
        <v>453.777572359491</v>
      </c>
      <c r="I1547" s="38" t="n">
        <f aca="false">Sens!$I$1451-Sens!$I$1453</f>
        <v>490.847566467031</v>
      </c>
      <c r="J1547" s="38" t="n">
        <f aca="false">Sens!$J$1451-Sens!$J$1453</f>
        <v>525.190925266121</v>
      </c>
      <c r="K1547" s="38" t="n">
        <f aca="false">Sens!$K$1451-Sens!$K$1453</f>
        <v>555.765170156304</v>
      </c>
      <c r="L1547" s="38" t="n">
        <f aca="false">Sens!$L$1451-Sens!$L$1453</f>
        <v>588.185734949207</v>
      </c>
      <c r="M1547" s="38" t="n">
        <f aca="false">Sens!$M$1451-Sens!$M$1453</f>
        <v>622.567635538672</v>
      </c>
      <c r="N1547" s="38" t="n">
        <f aca="false">Sens!$N$1451-Sens!$N$1453</f>
        <v>171.24628885875</v>
      </c>
      <c r="O1547" s="38" t="n">
        <f aca="false">Sens!$O$1451-Sens!$O$1453</f>
        <v>205.33105363572</v>
      </c>
    </row>
    <row r="1548" customFormat="false" ht="17.15" hidden="false" customHeight="false" outlineLevel="0" collapsed="false">
      <c r="A1548" s="0" t="s">
        <v>675</v>
      </c>
      <c r="B1548" s="0" t="s">
        <v>73</v>
      </c>
      <c r="C1548" s="38" t="n">
        <f aca="false">Sens!$C$1499*Sens!$C$1450</f>
        <v>0.123617442257179</v>
      </c>
      <c r="D1548" s="38" t="n">
        <f aca="false">Sens!$D$1499*Sens!$D$1450</f>
        <v>0.874366899302609</v>
      </c>
      <c r="E1548" s="38" t="n">
        <f aca="false">Sens!$E$1499*Sens!$E$1450</f>
        <v>1.29318830502574</v>
      </c>
      <c r="F1548" s="38" t="n">
        <f aca="false">Sens!$F$1499*Sens!$F$1450</f>
        <v>1.56360859438077</v>
      </c>
      <c r="G1548" s="38" t="n">
        <f aca="false">Sens!$G$1499*Sens!$G$1450</f>
        <v>2.85720268041696</v>
      </c>
      <c r="H1548" s="38" t="n">
        <f aca="false">Sens!$H$1499*Sens!$H$1450</f>
        <v>8.24269437609177</v>
      </c>
      <c r="I1548" s="38" t="n">
        <f aca="false">Sens!$I$1499*Sens!$I$1450</f>
        <v>15.1290399672983</v>
      </c>
      <c r="J1548" s="38" t="n">
        <f aca="false">Sens!$J$1499*Sens!$J$1450</f>
        <v>22.2018626913198</v>
      </c>
      <c r="K1548" s="38" t="n">
        <f aca="false">Sens!$K$1499*Sens!$K$1450</f>
        <v>29.3755531526214</v>
      </c>
      <c r="L1548" s="38" t="n">
        <f aca="false">Sens!$L$1499*Sens!$L$1450</f>
        <v>36.2572942443472</v>
      </c>
      <c r="M1548" s="38" t="n">
        <f aca="false">Sens!$M$1499*Sens!$M$1450</f>
        <v>43.2427485826222</v>
      </c>
      <c r="N1548" s="38" t="n">
        <f aca="false">Sens!$N$1499*Sens!$N$1450</f>
        <v>0.389180508437431</v>
      </c>
      <c r="O1548" s="38" t="n">
        <f aca="false">Sens!$O$1499*Sens!$O$1450</f>
        <v>0.485052120082802</v>
      </c>
    </row>
    <row r="1549" customFormat="false" ht="17.15" hidden="false" customHeight="false" outlineLevel="0" collapsed="false">
      <c r="A1549" s="0" t="s">
        <v>676</v>
      </c>
      <c r="B1549" s="0" t="s">
        <v>52</v>
      </c>
      <c r="C1549" s="28" t="n">
        <f aca="false">(Sens!$C$1550-Sens!$C$1546+Sens!$C$1548)/Sens!$C$1547</f>
        <v>0.0131526665379575</v>
      </c>
      <c r="D1549" s="28" t="n">
        <f aca="false">(Sens!$D$1550-Sens!$D$1546+Sens!$D$1548)/Sens!$D$1547</f>
        <v>0.0149280116962589</v>
      </c>
      <c r="E1549" s="28" t="n">
        <f aca="false">(Sens!$E$1550-Sens!$E$1546+Sens!$E$1548)/Sens!$E$1547</f>
        <v>0.0268030663774938</v>
      </c>
      <c r="F1549" s="28" t="n">
        <f aca="false">Sens!$O$1549+(Sens!$E$1549-Sens!$N$1549)</f>
        <v>0.0232379346966962</v>
      </c>
      <c r="G1549" s="28" t="n">
        <f aca="false">(Sens!$G$1550-Sens!$G$1546+Sens!$G$1548)/Sens!$G$1547</f>
        <v>0.0248746405080013</v>
      </c>
      <c r="H1549" s="28" t="n">
        <f aca="false">Sens!$G$1549+step_na</f>
        <v>0.0278746405080013</v>
      </c>
      <c r="I1549" s="28" t="n">
        <f aca="false">Sens!$H$1549+step_na</f>
        <v>0.0308746405080013</v>
      </c>
      <c r="J1549" s="28" t="n">
        <f aca="false">Sens!$I$1549+step_na</f>
        <v>0.0338746405080013</v>
      </c>
      <c r="K1549" s="28" t="n">
        <f aca="false">Sens!$J$1549+step_na</f>
        <v>0.0368746405080013</v>
      </c>
      <c r="L1549" s="28" t="n">
        <f aca="false">Sens!$K$1549</f>
        <v>0.0368746405080013</v>
      </c>
      <c r="M1549" s="28" t="n">
        <f aca="false">Sens!$L$1549</f>
        <v>0.0368746405080013</v>
      </c>
      <c r="N1549" s="28" t="n">
        <f aca="false">(Sens!$N$1550-Sens!$N$1546+Sens!$N$1548)/Sens!$N$1547</f>
        <v>0.0168927744775755</v>
      </c>
      <c r="O1549" s="28" t="n">
        <f aca="false">(Sens!$O$1550-Sens!$O$1546+Sens!$O$1548)/Sens!$O$1547</f>
        <v>0.0133276427967779</v>
      </c>
      <c r="P1549" s="8" t="s">
        <v>677</v>
      </c>
    </row>
    <row r="1550" customFormat="false" ht="17.15" hidden="false" customHeight="false" outlineLevel="0" collapsed="false">
      <c r="A1550" s="1" t="s">
        <v>678</v>
      </c>
      <c r="B1550" s="8" t="s">
        <v>73</v>
      </c>
      <c r="C1550" s="38" t="n">
        <f aca="false">Q!$D$22</f>
        <v>24.967</v>
      </c>
      <c r="D1550" s="38" t="n">
        <f aca="false">Q!$E$22</f>
        <v>29.619</v>
      </c>
      <c r="E1550" s="38" t="n">
        <f aca="false">Q!$P$22</f>
        <v>17.39</v>
      </c>
      <c r="F1550" s="38" t="n">
        <f aca="false">Sens!$F$1546+Sens!$F$1547*Sens!$F$1549-Sens!$F$1548</f>
        <v>20.8775068775782</v>
      </c>
      <c r="G1550" s="38" t="n">
        <f aca="false">Sens!$E$1550+Sens!$F$1550</f>
        <v>38.2675068775782</v>
      </c>
      <c r="H1550" s="38" t="n">
        <f aca="false">Sens!$H$1546+Sens!$H$1547*Sens!$H$1549-Sens!$H$1548</f>
        <v>41.3846016900485</v>
      </c>
      <c r="I1550" s="38" t="n">
        <f aca="false">Sens!$I$1546+Sens!$I$1547*Sens!$I$1549-Sens!$I$1548</f>
        <v>43.1807654728716</v>
      </c>
      <c r="J1550" s="38" t="n">
        <f aca="false">Sens!$J$1546+Sens!$J$1547*Sens!$J$1549-Sens!$J$1548</f>
        <v>44.5057902989878</v>
      </c>
      <c r="K1550" s="38" t="n">
        <f aca="false">Sens!$K$1546+Sens!$K$1547*Sens!$K$1549-Sens!$K$1548</f>
        <v>44.9267868224991</v>
      </c>
      <c r="L1550" s="38" t="n">
        <f aca="false">Sens!$L$1546+Sens!$L$1547*Sens!$L$1549-Sens!$L$1548</f>
        <v>44.6214123144518</v>
      </c>
      <c r="M1550" s="38" t="n">
        <f aca="false">Sens!$M$1546+Sens!$M$1547*Sens!$M$1549-Sens!$M$1548</f>
        <v>44.8227351034564</v>
      </c>
      <c r="N1550" s="38" t="n">
        <f aca="false">Q!$N$22</f>
        <v>13.358</v>
      </c>
      <c r="O1550" s="38" t="n">
        <f aca="false">Q!$O$22</f>
        <v>16.261</v>
      </c>
    </row>
    <row r="1551" customFormat="false" ht="17.15" hidden="false" customHeight="false" outlineLevel="0" collapsed="false">
      <c r="A1551" s="0" t="s">
        <v>679</v>
      </c>
      <c r="B1551" s="0" t="s">
        <v>73</v>
      </c>
      <c r="C1551" s="38" t="n">
        <f aca="false">Sens!$C$1454*m_ad</f>
        <v>7.57284355857716</v>
      </c>
      <c r="D1551" s="38" t="n">
        <f aca="false">Sens!$D$1454*m_ad</f>
        <v>9.44543827004127</v>
      </c>
      <c r="E1551" s="38" t="n">
        <f aca="false">Sens!$E$1454*m_ad</f>
        <v>5.02428875377928</v>
      </c>
      <c r="F1551" s="38" t="n">
        <f aca="false">Sens!$F$1454*m_ad</f>
        <v>6.78802480890925</v>
      </c>
      <c r="G1551" s="38" t="n">
        <f aca="false">Sens!$G$1454*m_ad</f>
        <v>11.8014732147805</v>
      </c>
      <c r="H1551" s="38" t="n">
        <f aca="false">Sens!$H$1454*m_ad</f>
        <v>14.1682715634442</v>
      </c>
      <c r="I1551" s="38" t="n">
        <f aca="false">Sens!$I$1454*m_ad</f>
        <v>16.5348555113474</v>
      </c>
      <c r="J1551" s="38" t="n">
        <f aca="false">Sens!$J$1454*m_ad</f>
        <v>18.7425403255689</v>
      </c>
      <c r="K1551" s="38" t="n">
        <f aca="false">Sens!$K$1454*m_ad</f>
        <v>20.6167943581258</v>
      </c>
      <c r="L1551" s="38" t="n">
        <f aca="false">Sens!$L$1454*m_ad</f>
        <v>22.6784737939383</v>
      </c>
      <c r="M1551" s="38" t="n">
        <f aca="false">Sens!$M$1454*m_ad</f>
        <v>24.9463211733322</v>
      </c>
      <c r="N1551" s="38" t="n">
        <f aca="false">Sens!$N$1454*m_ad</f>
        <v>3.95314442937518</v>
      </c>
      <c r="O1551" s="38" t="n">
        <f aca="false">Sens!$O$1454*m_ad</f>
        <v>5.50052681786011</v>
      </c>
    </row>
    <row r="1552" customFormat="false" ht="17.15" hidden="false" customHeight="false" outlineLevel="0" collapsed="false">
      <c r="A1552" s="0" t="s">
        <v>680</v>
      </c>
      <c r="B1552" s="0" t="s">
        <v>73</v>
      </c>
      <c r="C1552" s="38" t="n">
        <f aca="false">Sens!$C$1452-Sens!$C$1454</f>
        <v>127.760312882846</v>
      </c>
      <c r="D1552" s="38" t="n">
        <f aca="false">Sens!$D$1452-Sens!$D$1454</f>
        <v>143.003123459917</v>
      </c>
      <c r="E1552" s="38" t="n">
        <f aca="false">Sens!$E$1452-Sens!$E$1454</f>
        <v>71.9374224924414</v>
      </c>
      <c r="F1552" s="38" t="n">
        <f aca="false">Sens!$F$1452-Sens!$F$1454</f>
        <v>87.0563645868046</v>
      </c>
      <c r="G1552" s="38" t="n">
        <f aca="false">Sens!$G$1452-Sens!$G$1454</f>
        <v>159.015467775062</v>
      </c>
      <c r="H1552" s="38" t="n">
        <f aca="false">Sens!$H$1452-Sens!$H$1454</f>
        <v>173.864803403269</v>
      </c>
      <c r="I1552" s="38" t="n">
        <f aca="false">Sens!$I$1452-Sens!$I$1454</f>
        <v>188.068165645601</v>
      </c>
      <c r="J1552" s="38" t="n">
        <f aca="false">Sens!$J$1452-Sens!$J$1454</f>
        <v>201.22681801082</v>
      </c>
      <c r="K1552" s="38" t="n">
        <f aca="false">Sens!$K$1452-Sens!$K$1454</f>
        <v>212.941334991893</v>
      </c>
      <c r="L1552" s="38" t="n">
        <f aca="false">Sens!$L$1452-Sens!$L$1454</f>
        <v>225.363269144856</v>
      </c>
      <c r="M1552" s="38" t="n">
        <f aca="false">Sens!$M$1452-Sens!$M$1454</f>
        <v>238.536688790819</v>
      </c>
      <c r="N1552" s="38" t="n">
        <f aca="false">Sens!$N$1452-Sens!$N$1454</f>
        <v>62.3677111412496</v>
      </c>
      <c r="O1552" s="38" t="n">
        <f aca="false">Sens!$O$1452-Sens!$O$1454</f>
        <v>80.6189463642798</v>
      </c>
    </row>
    <row r="1553" customFormat="false" ht="17.15" hidden="false" customHeight="false" outlineLevel="0" collapsed="false">
      <c r="A1553" s="0" t="s">
        <v>681</v>
      </c>
      <c r="B1553" s="0" t="s">
        <v>73</v>
      </c>
      <c r="C1553" s="38" t="n">
        <f aca="false">Sens!$C$1499*(1-Sens!$C$1450)</f>
        <v>0.0455891896019953</v>
      </c>
      <c r="D1553" s="38" t="n">
        <f aca="false">Sens!$D$1499*(1-Sens!$D$1450)</f>
        <v>0.332050421167231</v>
      </c>
      <c r="E1553" s="38" t="n">
        <f aca="false">Sens!$E$1499*(1-Sens!$E$1450)</f>
        <v>0.481224293644882</v>
      </c>
      <c r="F1553" s="38" t="n">
        <f aca="false">Sens!$F$1499*(1-Sens!$F$1450)</f>
        <v>0.613918231914149</v>
      </c>
      <c r="G1553" s="38" t="n">
        <f aca="false">Sens!$G$1499*(1-Sens!$G$1450)</f>
        <v>1.09473674454858</v>
      </c>
      <c r="H1553" s="38" t="n">
        <f aca="false">Sens!$H$1499*(1-Sens!$H$1450)</f>
        <v>3.15818701607644</v>
      </c>
      <c r="I1553" s="38" t="n">
        <f aca="false">Sens!$I$1499*(1-Sens!$I$1450)</f>
        <v>5.79668921475621</v>
      </c>
      <c r="J1553" s="38" t="n">
        <f aca="false">Sens!$J$1499*(1-Sens!$J$1450)</f>
        <v>8.50664009669178</v>
      </c>
      <c r="K1553" s="38" t="n">
        <f aca="false">Sens!$K$1499*(1-Sens!$K$1450)</f>
        <v>11.2552384358402</v>
      </c>
      <c r="L1553" s="38" t="n">
        <f aca="false">Sens!$L$1499*(1-Sens!$L$1450)</f>
        <v>13.8919764212892</v>
      </c>
      <c r="M1553" s="38" t="n">
        <f aca="false">Sens!$M$1499*(1-Sens!$M$1450)</f>
        <v>16.568452120367</v>
      </c>
      <c r="N1553" s="38" t="n">
        <f aca="false">Sens!$N$1499*(1-Sens!$N$1450)</f>
        <v>0.141739115596548</v>
      </c>
      <c r="O1553" s="38" t="n">
        <f aca="false">Sens!$O$1499*(1-Sens!$O$1450)</f>
        <v>0.190445576353059</v>
      </c>
    </row>
    <row r="1554" customFormat="false" ht="17.15" hidden="false" customHeight="false" outlineLevel="0" collapsed="false">
      <c r="A1554" s="0" t="s">
        <v>682</v>
      </c>
      <c r="B1554" s="0" t="s">
        <v>52</v>
      </c>
      <c r="C1554" s="28" t="n">
        <f aca="false">(Sens!$C$1555-Sens!$C$1551+Sens!$C$1553)/Sens!$C$1552</f>
        <v>-0.0292364215826579</v>
      </c>
      <c r="D1554" s="28" t="n">
        <f aca="false">(Sens!$D$1555-Sens!$D$1551+Sens!$D$1553)/Sens!$D$1552</f>
        <v>-0.0305125352740778</v>
      </c>
      <c r="E1554" s="28" t="n">
        <f aca="false">(Sens!$E$1555-Sens!$E$1551+Sens!$E$1553)/Sens!$E$1552</f>
        <v>-0.019490056934994</v>
      </c>
      <c r="F1554" s="28" t="n">
        <f aca="false">Sens!$O$1554+(Sens!$E$1554-Sens!$N$1554)</f>
        <v>-0.0367332293992226</v>
      </c>
      <c r="G1554" s="28" t="n">
        <f aca="false">(Sens!$G$1555-Sens!$G$1551+Sens!$G$1553)/Sens!$G$1552</f>
        <v>-0.0288619174504359</v>
      </c>
      <c r="H1554" s="28" t="n">
        <f aca="false">Sens!$G$1554+step_in</f>
        <v>-0.0288619174504359</v>
      </c>
      <c r="I1554" s="28" t="n">
        <f aca="false">Sens!$H$1554+step_in</f>
        <v>-0.0288619174504359</v>
      </c>
      <c r="J1554" s="28" t="n">
        <f aca="false">Sens!$I$1554+step_in</f>
        <v>-0.0288619174504359</v>
      </c>
      <c r="K1554" s="28" t="n">
        <f aca="false">Sens!$J$1554+step_in</f>
        <v>-0.0288619174504359</v>
      </c>
      <c r="L1554" s="28" t="n">
        <f aca="false">Sens!$K$1554</f>
        <v>-0.0288619174504359</v>
      </c>
      <c r="M1554" s="28" t="n">
        <f aca="false">Sens!$L$1554</f>
        <v>-0.0288619174504359</v>
      </c>
      <c r="N1554" s="28" t="n">
        <f aca="false">(Sens!$N$1555-Sens!$N$1551+Sens!$N$1553)/Sens!$N$1552</f>
        <v>-0.02085061789158</v>
      </c>
      <c r="O1554" s="28" t="n">
        <f aca="false">(Sens!$O$1555-Sens!$O$1551+Sens!$O$1553)/Sens!$O$1552</f>
        <v>-0.0380937903558086</v>
      </c>
      <c r="P1554" s="8" t="s">
        <v>677</v>
      </c>
    </row>
    <row r="1555" customFormat="false" ht="17.15" hidden="false" customHeight="false" outlineLevel="0" collapsed="false">
      <c r="A1555" s="1" t="s">
        <v>683</v>
      </c>
      <c r="B1555" s="8" t="s">
        <v>73</v>
      </c>
      <c r="C1555" s="38" t="n">
        <f aca="false">Q!$D$23</f>
        <v>3.792</v>
      </c>
      <c r="D1555" s="38" t="n">
        <f aca="false">Q!$E$23</f>
        <v>4.75</v>
      </c>
      <c r="E1555" s="38" t="n">
        <f aca="false">Q!$P$23</f>
        <v>3.141</v>
      </c>
      <c r="F1555" s="38" t="n">
        <f aca="false">Sens!$F$1551+Sens!$F$1552*Sens!$F$1554-Sens!$F$1553</f>
        <v>2.97624516596565</v>
      </c>
      <c r="G1555" s="38" t="n">
        <f aca="false">Sens!$E$1555+Sens!$F$1555</f>
        <v>6.11724516596565</v>
      </c>
      <c r="H1555" s="38" t="n">
        <f aca="false">Sens!$H$1551+Sens!$H$1552*Sens!$H$1554-Sens!$H$1553</f>
        <v>5.99201294400633</v>
      </c>
      <c r="I1555" s="38" t="n">
        <f aca="false">Sens!$I$1551+Sens!$I$1552*Sens!$I$1554-Sens!$I$1553</f>
        <v>5.31015842467297</v>
      </c>
      <c r="J1555" s="38" t="n">
        <f aca="false">Sens!$J$1551+Sens!$J$1552*Sens!$J$1554-Sens!$J$1553</f>
        <v>4.4281084186349</v>
      </c>
      <c r="K1555" s="38" t="n">
        <f aca="false">Sens!$K$1551+Sens!$K$1552*Sens!$K$1554-Sens!$K$1553</f>
        <v>3.21566068996391</v>
      </c>
      <c r="L1555" s="38" t="n">
        <f aca="false">Sens!$L$1551+Sens!$L$1552*Sens!$L$1554-Sens!$L$1553</f>
        <v>2.28208130222988</v>
      </c>
      <c r="M1555" s="38" t="n">
        <f aca="false">Sens!$M$1551+Sens!$M$1552*Sens!$M$1554-Sens!$M$1553</f>
        <v>1.4932428321842</v>
      </c>
      <c r="N1555" s="38" t="n">
        <f aca="false">Q!$N$23</f>
        <v>2.511</v>
      </c>
      <c r="O1555" s="38" t="n">
        <f aca="false">Q!$O$23</f>
        <v>2.239</v>
      </c>
    </row>
    <row r="1556" customFormat="false" ht="17.15" hidden="false" customHeight="false" outlineLevel="0" collapsed="false">
      <c r="A1556" s="0" t="s">
        <v>684</v>
      </c>
      <c r="B1556" s="0" t="s">
        <v>73</v>
      </c>
      <c r="C1556" s="38" t="n">
        <f aca="false">Sens!$C$1496</f>
        <v>1.64417882953695</v>
      </c>
      <c r="D1556" s="38" t="n">
        <f aca="false">Sens!$D$1496</f>
        <v>3.8781008067718</v>
      </c>
      <c r="E1556" s="38" t="n">
        <f aca="false">Sens!$E$1496</f>
        <v>1.41270258088753</v>
      </c>
      <c r="F1556" s="38" t="n">
        <f aca="false">Sens!$F$1496</f>
        <v>7.4797622806661</v>
      </c>
      <c r="G1556" s="38" t="n">
        <f aca="false">Sens!$G$1496</f>
        <v>8.89246486155363</v>
      </c>
      <c r="H1556" s="38" t="n">
        <f aca="false">Sens!$H$1496</f>
        <v>24.5749929284358</v>
      </c>
      <c r="I1556" s="38" t="n">
        <f aca="false">Sens!$I$1496</f>
        <v>38.1478622522126</v>
      </c>
      <c r="J1556" s="38" t="n">
        <f aca="false">Sens!$J$1496</f>
        <v>50.9189028469417</v>
      </c>
      <c r="K1556" s="38" t="n">
        <f aca="false">Sens!$K$1496</f>
        <v>63.2085075087781</v>
      </c>
      <c r="L1556" s="38" t="n">
        <f aca="false">Sens!$L$1496</f>
        <v>77.1481805387507</v>
      </c>
      <c r="M1556" s="38" t="n">
        <f aca="false">Sens!$M$1496</f>
        <v>90.5328040607234</v>
      </c>
      <c r="N1556" s="38" t="n">
        <f aca="false">Sens!$N$1496</f>
        <v>0.92264103489199</v>
      </c>
      <c r="O1556" s="38" t="n">
        <f aca="false">Sens!$O$1496</f>
        <v>2.95545977187981</v>
      </c>
    </row>
    <row r="1557" customFormat="false" ht="17.15" hidden="false" customHeight="false" outlineLevel="0" collapsed="false">
      <c r="A1557" s="0" t="s">
        <v>604</v>
      </c>
      <c r="B1557" s="0" t="s">
        <v>73</v>
      </c>
      <c r="C1557" s="38" t="n">
        <f aca="false">Sens!$C$1501</f>
        <v>38.1898211704631</v>
      </c>
      <c r="D1557" s="38" t="n">
        <f aca="false">Sens!$D$1501</f>
        <v>41.7278991932282</v>
      </c>
      <c r="E1557" s="38" t="n">
        <f aca="false">Sens!$E$1501</f>
        <v>29.3692974191125</v>
      </c>
      <c r="F1557" s="38" t="n">
        <f aca="false">Sens!$F$1501</f>
        <v>29.458060516894</v>
      </c>
      <c r="G1557" s="38" t="n">
        <f aca="false">Sens!$G$1501</f>
        <v>58.8273579360065</v>
      </c>
      <c r="H1557" s="38" t="n">
        <f aca="false">Sens!$H$1501</f>
        <v>67.8004040185081</v>
      </c>
      <c r="I1557" s="38" t="n">
        <f aca="false">Sens!$I$1501</f>
        <v>78.9527630302702</v>
      </c>
      <c r="J1557" s="38" t="n">
        <f aca="false">Sens!$J$1501</f>
        <v>88.6042681781841</v>
      </c>
      <c r="K1557" s="38" t="n">
        <f aca="false">Sens!$K$1501</f>
        <v>95.6926096324389</v>
      </c>
      <c r="L1557" s="38" t="n">
        <f aca="false">Sens!$L$1501</f>
        <v>103.348018403034</v>
      </c>
      <c r="M1557" s="38" t="n">
        <f aca="false">Sens!$M$1501</f>
        <v>111.615859875277</v>
      </c>
      <c r="N1557" s="38" t="n">
        <f aca="false">Sens!$N$1501</f>
        <v>20.784358965108</v>
      </c>
      <c r="O1557" s="38" t="n">
        <f aca="false">Sens!$O$1501</f>
        <v>20.9435402281202</v>
      </c>
    </row>
    <row r="1558" customFormat="false" ht="17.15" hidden="false" customHeight="false" outlineLevel="0" collapsed="false">
      <c r="A1558" s="1" t="s">
        <v>685</v>
      </c>
      <c r="B1558" s="8" t="s">
        <v>73</v>
      </c>
      <c r="C1558" s="38" t="n">
        <f aca="false">Q!$D$24</f>
        <v>39.834</v>
      </c>
      <c r="D1558" s="38" t="n">
        <f aca="false">Q!$E$24</f>
        <v>45.606</v>
      </c>
      <c r="E1558" s="38" t="n">
        <f aca="false">Q!$P$24</f>
        <v>30.782</v>
      </c>
      <c r="F1558" s="38" t="n">
        <f aca="false">Sens!$F$1556+Sens!$F$1557</f>
        <v>36.9378227975601</v>
      </c>
      <c r="G1558" s="38" t="n">
        <f aca="false">Sens!$G$1556+Sens!$G$1557</f>
        <v>67.7198227975601</v>
      </c>
      <c r="H1558" s="38" t="n">
        <f aca="false">Sens!$H$1556+Sens!$H$1557</f>
        <v>92.3753969469439</v>
      </c>
      <c r="I1558" s="38" t="n">
        <f aca="false">Sens!$I$1556+Sens!$I$1557</f>
        <v>117.100625282483</v>
      </c>
      <c r="J1558" s="38" t="n">
        <f aca="false">Sens!$J$1556+Sens!$J$1557</f>
        <v>139.523171025126</v>
      </c>
      <c r="K1558" s="38" t="n">
        <f aca="false">Sens!$K$1556+Sens!$K$1557</f>
        <v>158.901117141217</v>
      </c>
      <c r="L1558" s="38" t="n">
        <f aca="false">Sens!$L$1556+Sens!$L$1557</f>
        <v>180.496198941785</v>
      </c>
      <c r="M1558" s="38" t="n">
        <f aca="false">Sens!$M$1556+Sens!$M$1557</f>
        <v>202.148663936</v>
      </c>
      <c r="N1558" s="38" t="n">
        <f aca="false">Q!$N$24</f>
        <v>21.707</v>
      </c>
      <c r="O1558" s="38" t="n">
        <f aca="false">Q!$O$24</f>
        <v>23.899</v>
      </c>
    </row>
    <row r="1559" customFormat="false" ht="17.15" hidden="false" customHeight="false" outlineLevel="0" collapsed="false">
      <c r="A1559" s="5" t="s">
        <v>686</v>
      </c>
      <c r="B1559" s="0" t="s">
        <v>73</v>
      </c>
      <c r="C1559" s="38" t="n">
        <f aca="false">Q!$D$26</f>
        <v>0</v>
      </c>
      <c r="D1559" s="38" t="n">
        <f aca="false">Q!$E$26</f>
        <v>0</v>
      </c>
      <c r="E1559" s="38" t="n">
        <f aca="false">Q!$P$26</f>
        <v>0</v>
      </c>
      <c r="F1559" s="41" t="n">
        <v>0</v>
      </c>
      <c r="G1559" s="38" t="n">
        <f aca="false">Sens!$E$1559+Sens!$F$1559</f>
        <v>0</v>
      </c>
      <c r="H1559" s="41" t="n">
        <v>0</v>
      </c>
      <c r="I1559" s="41" t="n">
        <v>0</v>
      </c>
      <c r="J1559" s="41" t="n">
        <v>0</v>
      </c>
      <c r="K1559" s="41" t="n">
        <v>0</v>
      </c>
      <c r="L1559" s="41" t="n">
        <v>0</v>
      </c>
      <c r="M1559" s="41" t="n">
        <v>0</v>
      </c>
      <c r="N1559" s="38" t="n">
        <f aca="false">Q!$N$26</f>
        <v>0</v>
      </c>
      <c r="O1559" s="38" t="n">
        <f aca="false">Q!$O$26</f>
        <v>0</v>
      </c>
    </row>
    <row r="1560" customFormat="false" ht="15" hidden="false" customHeight="false" outlineLevel="0" collapsed="false">
      <c r="A1560" s="3" t="s">
        <v>494</v>
      </c>
      <c r="B1560" s="8" t="s">
        <v>73</v>
      </c>
      <c r="C1560" s="38" t="n">
        <f aca="false">Q!$D$25</f>
        <v>68.593</v>
      </c>
      <c r="D1560" s="38" t="n">
        <f aca="false">Q!$E$25</f>
        <v>79.975</v>
      </c>
      <c r="E1560" s="38" t="n">
        <f aca="false">Q!$P$25</f>
        <v>51.313</v>
      </c>
      <c r="F1560" s="38" t="n">
        <f aca="false">Sens!$F$1550+Sens!$F$1555+Sens!$F$1558+Sens!$F$1559</f>
        <v>60.7915748411039</v>
      </c>
      <c r="G1560" s="38" t="n">
        <f aca="false">Sens!$G$1550+Sens!$G$1555+Sens!$G$1558+Sens!$G$1559</f>
        <v>112.104574841104</v>
      </c>
      <c r="H1560" s="38" t="n">
        <f aca="false">Sens!$H$1550+Sens!$H$1555+Sens!$H$1558+Sens!$H$1559</f>
        <v>139.752011580999</v>
      </c>
      <c r="I1560" s="38" t="n">
        <f aca="false">Sens!$I$1550+Sens!$I$1555+Sens!$I$1558+Sens!$I$1559</f>
        <v>165.591549180027</v>
      </c>
      <c r="J1560" s="38" t="n">
        <f aca="false">Sens!$J$1550+Sens!$J$1555+Sens!$J$1558+Sens!$J$1559</f>
        <v>188.457069742749</v>
      </c>
      <c r="K1560" s="38" t="n">
        <f aca="false">Sens!$K$1550+Sens!$K$1555+Sens!$K$1558+Sens!$K$1559</f>
        <v>207.04356465368</v>
      </c>
      <c r="L1560" s="38" t="n">
        <f aca="false">Sens!$L$1550+Sens!$L$1555+Sens!$L$1558+Sens!$L$1559</f>
        <v>227.399692558466</v>
      </c>
      <c r="M1560" s="38" t="n">
        <f aca="false">Sens!$M$1550+Sens!$M$1555+Sens!$M$1558+Sens!$M$1559</f>
        <v>248.464641871641</v>
      </c>
      <c r="N1560" s="38" t="n">
        <f aca="false">Q!$N$25</f>
        <v>37.576</v>
      </c>
      <c r="O1560" s="38" t="n">
        <f aca="false">Q!$O$25</f>
        <v>42.399</v>
      </c>
    </row>
    <row r="1561" customFormat="false" ht="17.15" hidden="false" customHeight="false" outlineLevel="0" collapsed="false">
      <c r="A1561" s="24" t="s">
        <v>712</v>
      </c>
      <c r="B1561" s="25" t="s">
        <v>73</v>
      </c>
      <c r="C1561" s="39" t="n">
        <f aca="false">Sens!$C$1550+Sens!$C$1555+Sens!$C$1558+Sens!$C$1559-Sens!$C$1560</f>
        <v>0</v>
      </c>
      <c r="D1561" s="39" t="n">
        <f aca="false">Sens!$D$1550+Sens!$D$1555+Sens!$D$1558+Sens!$D$1559-Sens!$D$1560</f>
        <v>0</v>
      </c>
      <c r="E1561" s="39" t="n">
        <f aca="false">Sens!$E$1550+Sens!$E$1555+Sens!$E$1558+Sens!$E$1559-Sens!$E$1560</f>
        <v>0</v>
      </c>
      <c r="F1561" s="39" t="n">
        <f aca="false">Sens!$F$1550+Sens!$F$1555+Sens!$F$1558+Sens!$F$1559-Sens!$F$1560</f>
        <v>0</v>
      </c>
      <c r="G1561" s="39" t="n">
        <f aca="false">Sens!$G$1550+Sens!$G$1555+Sens!$G$1558+Sens!$G$1559-Sens!$G$1560</f>
        <v>0</v>
      </c>
      <c r="H1561" s="39" t="n">
        <f aca="false">Sens!$H$1550+Sens!$H$1555+Sens!$H$1558+Sens!$H$1559-Sens!$H$1560</f>
        <v>0</v>
      </c>
      <c r="I1561" s="39" t="n">
        <f aca="false">Sens!$I$1550+Sens!$I$1555+Sens!$I$1558+Sens!$I$1559-Sens!$I$1560</f>
        <v>0</v>
      </c>
      <c r="J1561" s="39" t="n">
        <f aca="false">Sens!$J$1550+Sens!$J$1555+Sens!$J$1558+Sens!$J$1559-Sens!$J$1560</f>
        <v>0</v>
      </c>
      <c r="K1561" s="39" t="n">
        <f aca="false">Sens!$K$1550+Sens!$K$1555+Sens!$K$1558+Sens!$K$1559-Sens!$K$1560</f>
        <v>0</v>
      </c>
      <c r="L1561" s="39" t="n">
        <f aca="false">Sens!$L$1550+Sens!$L$1555+Sens!$L$1558+Sens!$L$1559-Sens!$L$1560</f>
        <v>0</v>
      </c>
      <c r="M1561" s="39" t="n">
        <f aca="false">Sens!$M$1550+Sens!$M$1555+Sens!$M$1558+Sens!$M$1559-Sens!$M$1560</f>
        <v>0</v>
      </c>
      <c r="N1561" s="39" t="n">
        <f aca="false">Sens!$N$1550+Sens!$N$1555+Sens!$N$1558+Sens!$N$1559-Sens!$N$1560</f>
        <v>0</v>
      </c>
      <c r="O1561" s="39" t="n">
        <f aca="false">Sens!$O$1550+Sens!$O$1555+Sens!$O$1558+Sens!$O$1559-Sens!$O$1560</f>
        <v>0</v>
      </c>
    </row>
    <row r="1562" customFormat="false" ht="17.15" hidden="false" customHeight="false" outlineLevel="0" collapsed="false">
      <c r="A1562" s="0" t="s">
        <v>688</v>
      </c>
      <c r="B1562" s="0" t="s">
        <v>52</v>
      </c>
      <c r="C1562" s="12" t="n">
        <f aca="false">Sens!$C$1550/Sens!$C$1535</f>
        <v>0.0644314665661928</v>
      </c>
      <c r="D1562" s="12" t="n">
        <f aca="false">Sens!$D$1550/Sens!$D$1535</f>
        <v>0.0694784250712518</v>
      </c>
      <c r="E1562" s="12" t="n">
        <f aca="false">Sens!$E$1550/Sens!$E$1535</f>
        <v>0.0789306463326071</v>
      </c>
      <c r="F1562" s="12" t="n">
        <f aca="false">Sens!$F$1550/Sens!$F$1535</f>
        <v>0.0814560274339366</v>
      </c>
      <c r="G1562" s="12" t="n">
        <f aca="false">Sens!$G$1550/Sens!$G$1535</f>
        <v>0.0802886671106418</v>
      </c>
      <c r="H1562" s="12" t="n">
        <f aca="false">Sens!$H$1550/Sens!$H$1535</f>
        <v>0.078419376088889</v>
      </c>
      <c r="I1562" s="12" t="n">
        <f aca="false">Sens!$I$1550/Sens!$I$1535</f>
        <v>0.0748162347905476</v>
      </c>
      <c r="J1562" s="12" t="n">
        <f aca="false">Sens!$J$1550/Sens!$J$1535</f>
        <v>0.0714350078280373</v>
      </c>
      <c r="K1562" s="12" t="n">
        <f aca="false">Sens!$K$1550/Sens!$K$1535</f>
        <v>0.0677237976440628</v>
      </c>
      <c r="L1562" s="12" t="n">
        <f aca="false">Sens!$L$1550/Sens!$L$1535</f>
        <v>0.0631526049750183</v>
      </c>
      <c r="M1562" s="12" t="n">
        <f aca="false">Sens!$M$1550/Sens!$M$1535</f>
        <v>0.059542570210758</v>
      </c>
      <c r="N1562" s="12" t="n">
        <f aca="false">Sens!$N$1550/Sens!$N$1535</f>
        <v>0.069228576611127</v>
      </c>
      <c r="O1562" s="12" t="n">
        <f aca="false">Sens!$O$1550/Sens!$O$1535</f>
        <v>0.069685022498393</v>
      </c>
    </row>
    <row r="1563" customFormat="false" ht="17.15" hidden="false" customHeight="false" outlineLevel="0" collapsed="false">
      <c r="A1563" s="0" t="s">
        <v>689</v>
      </c>
      <c r="B1563" s="0" t="s">
        <v>52</v>
      </c>
      <c r="C1563" s="12" t="n">
        <f aca="false">Sens!$C$1555/Sens!$C$1536</f>
        <v>0.026534925055631</v>
      </c>
      <c r="D1563" s="12" t="n">
        <f aca="false">Sens!$D$1555/Sens!$D$1536</f>
        <v>0.0293401855535103</v>
      </c>
      <c r="E1563" s="12" t="n">
        <f aca="false">Sens!$E$1555/Sens!$E$1536</f>
        <v>0.03831141902276</v>
      </c>
      <c r="F1563" s="12" t="n">
        <f aca="false">Sens!$F$1555/Sens!$F$1536</f>
        <v>0.0295754125496169</v>
      </c>
      <c r="G1563" s="12" t="n">
        <f aca="false">Sens!$G$1555/Sens!$G$1536</f>
        <v>0.0334974169642679</v>
      </c>
      <c r="H1563" s="12" t="n">
        <f aca="false">Sens!$H$1555/Sens!$H$1536</f>
        <v>0.0296338923891026</v>
      </c>
      <c r="I1563" s="12" t="n">
        <f aca="false">Sens!$I$1555/Sens!$I$1536</f>
        <v>0.024012885104428</v>
      </c>
      <c r="J1563" s="12" t="n">
        <f aca="false">Sens!$J$1555/Sens!$J$1536</f>
        <v>0.0185500113042357</v>
      </c>
      <c r="K1563" s="12" t="n">
        <f aca="false">Sens!$K$1555/Sens!$K$1536</f>
        <v>0.0126513687623107</v>
      </c>
      <c r="L1563" s="12" t="n">
        <f aca="false">Sens!$L$1555/Sens!$L$1536</f>
        <v>0.00842966709236516</v>
      </c>
      <c r="M1563" s="12" t="n">
        <f aca="false">Sens!$M$1555/Sens!$M$1536</f>
        <v>0.00517715319137368</v>
      </c>
      <c r="N1563" s="12" t="n">
        <f aca="false">Sens!$N$1555/Sens!$N$1536</f>
        <v>0.0357315650169337</v>
      </c>
      <c r="O1563" s="12" t="n">
        <f aca="false">Sens!$O$1555/Sens!$O$1536</f>
        <v>0.0244378956559703</v>
      </c>
    </row>
    <row r="1564" customFormat="false" ht="17.15" hidden="false" customHeight="false" outlineLevel="0" collapsed="false">
      <c r="A1564" s="13" t="s">
        <v>690</v>
      </c>
      <c r="B1564" s="13" t="s">
        <v>52</v>
      </c>
      <c r="C1564" s="16" t="n">
        <f aca="false">Sens!$C$1558/Sens!$C$1537</f>
        <v>0.370355907620217</v>
      </c>
      <c r="D1564" s="16" t="n">
        <f aca="false">Sens!$D$1558/Sens!$D$1537</f>
        <v>0.35429015342785</v>
      </c>
      <c r="E1564" s="16" t="n">
        <f aca="false">Sens!$E$1558/Sens!$E$1537</f>
        <v>0.385647527531039</v>
      </c>
      <c r="F1564" s="16" t="n">
        <f aca="false">Sens!$F$1558/Sens!$F$1537</f>
        <v>0.389701635912839</v>
      </c>
      <c r="G1564" s="16" t="n">
        <f aca="false">Sens!$G$1558/Sens!$G$1537</f>
        <v>0.387848327286945</v>
      </c>
      <c r="H1564" s="16" t="n">
        <f aca="false">Sens!$H$1558/Sens!$H$1537</f>
        <v>0.367923813819824</v>
      </c>
      <c r="I1564" s="16" t="n">
        <f aca="false">Sens!$I$1558/Sens!$I$1537</f>
        <v>0.352183204248458</v>
      </c>
      <c r="J1564" s="16" t="n">
        <f aca="false">Sens!$J$1558/Sens!$J$1537</f>
        <v>0.340174450165942</v>
      </c>
      <c r="K1564" s="16" t="n">
        <f aca="false">Sens!$K$1558/Sens!$K$1537</f>
        <v>0.330326568735829</v>
      </c>
      <c r="L1564" s="16" t="n">
        <f aca="false">Sens!$L$1558/Sens!$L$1537</f>
        <v>0.326110950263194</v>
      </c>
      <c r="M1564" s="16" t="n">
        <f aca="false">Sens!$M$1558/Sens!$M$1537</f>
        <v>0.322112228803722</v>
      </c>
      <c r="N1564" s="16" t="n">
        <f aca="false">Sens!$N$1558/Sens!$N$1537</f>
        <v>0.360941137346192</v>
      </c>
      <c r="O1564" s="16" t="n">
        <f aca="false">Sens!$O$1558/Sens!$O$1537</f>
        <v>0.348458117664212</v>
      </c>
    </row>
    <row r="1565" customFormat="false" ht="17.15" hidden="false" customHeight="false" outlineLevel="0" collapsed="false">
      <c r="A1565" s="0" t="s">
        <v>691</v>
      </c>
      <c r="B1565" s="0" t="s">
        <v>52</v>
      </c>
      <c r="C1565" s="12" t="n">
        <f aca="false">Sens!$C$1556/Sens!$C$1538</f>
        <v>0.708390794789371</v>
      </c>
      <c r="D1565" s="12" t="n">
        <f aca="false">Sens!$D$1556/Sens!$D$1538</f>
        <v>0.445565630441968</v>
      </c>
      <c r="E1565" s="12" t="n">
        <f aca="false">Sens!$E$1556/Sens!$E$1538</f>
        <v>0.165998118402711</v>
      </c>
      <c r="F1565" s="12" t="n">
        <f aca="false">Sens!$F$1556/Sens!$F$1538</f>
        <v>0.462002627075229</v>
      </c>
      <c r="G1565" s="12" t="n">
        <f aca="false">Sens!$G$1556/Sens!$G$1538</f>
        <v>0.360015576355354</v>
      </c>
      <c r="H1565" s="12" t="n">
        <f aca="false">Sens!$H$1556/Sens!$H$1538</f>
        <v>0.350178280401407</v>
      </c>
      <c r="I1565" s="12" t="n">
        <f aca="false">Sens!$I$1556/Sens!$I$1538</f>
        <v>0.313070319052611</v>
      </c>
      <c r="J1565" s="12" t="n">
        <f aca="false">Sens!$J$1556/Sens!$J$1538</f>
        <v>0.293053518787249</v>
      </c>
      <c r="K1565" s="12" t="n">
        <f aca="false">Sens!$K$1556/Sens!$K$1538</f>
        <v>0.280016120144688</v>
      </c>
      <c r="L1565" s="12" t="n">
        <f aca="false">Sens!$L$1556/Sens!$L$1538</f>
        <v>0.27776596313305</v>
      </c>
      <c r="M1565" s="12" t="n">
        <f aca="false">Sens!$M$1556/Sens!$M$1538</f>
        <v>0.274526839221306</v>
      </c>
      <c r="N1565" s="12" t="n">
        <f aca="false">Sens!$N$1556/Sens!$N$1538</f>
        <v>0.302870734830849</v>
      </c>
      <c r="O1565" s="12" t="n">
        <f aca="false">Sens!$O$1556/Sens!$O$1538</f>
        <v>0.52240134346334</v>
      </c>
    </row>
    <row r="1566" customFormat="false" ht="15" hidden="false" customHeight="false" outlineLevel="0" collapsed="false">
      <c r="A1566" s="5" t="s">
        <v>692</v>
      </c>
      <c r="B1566" s="0" t="s">
        <v>52</v>
      </c>
      <c r="C1566" s="12" t="n">
        <f aca="false">Sens!$C$1560/Sens!$C$1540</f>
        <v>0.107519448742004</v>
      </c>
      <c r="D1566" s="12" t="n">
        <f aca="false">Sens!$D$1560/Sens!$D$1540</f>
        <v>0.111552967957552</v>
      </c>
      <c r="E1566" s="12" t="n">
        <f aca="false">Sens!$E$1560/Sens!$E$1540</f>
        <v>0.13428328426562</v>
      </c>
      <c r="F1566" s="12" t="n">
        <f aca="false">Sens!$F$1560/Sens!$F$1540</f>
        <v>0.134577611463636</v>
      </c>
      <c r="G1566" s="12" t="n">
        <f aca="false">Sens!$G$1560/Sens!$G$1540</f>
        <v>0.134442730755645</v>
      </c>
      <c r="H1566" s="12" t="n">
        <f aca="false">Sens!$H$1560/Sens!$H$1540</f>
        <v>0.142457592259026</v>
      </c>
      <c r="I1566" s="12" t="n">
        <f aca="false">Sens!$I$1560/Sens!$I$1540</f>
        <v>0.146438201788081</v>
      </c>
      <c r="J1566" s="12" t="n">
        <f aca="false">Sens!$J$1560/Sens!$J$1540</f>
        <v>0.14817104498049</v>
      </c>
      <c r="K1566" s="12" t="n">
        <f aca="false">Sens!$K$1560/Sens!$K$1540</f>
        <v>0.148036298016179</v>
      </c>
      <c r="L1566" s="12" t="n">
        <f aca="false">Sens!$L$1560/Sens!$L$1540</f>
        <v>0.148552872535227</v>
      </c>
      <c r="M1566" s="12" t="n">
        <f aca="false">Sens!$M$1560/Sens!$M$1540</f>
        <v>0.148889442261481</v>
      </c>
      <c r="N1566" s="12" t="n">
        <f aca="false">Sens!$N$1560/Sens!$N$1540</f>
        <v>0.116201614873411</v>
      </c>
      <c r="O1566" s="12" t="n">
        <f aca="false">Sens!$O$1560/Sens!$O$1540</f>
        <v>0.107733353660861</v>
      </c>
    </row>
    <row r="1567" customFormat="false" ht="17.15" hidden="false" customHeight="false" outlineLevel="0" collapsed="false">
      <c r="A1567" s="1" t="s">
        <v>693</v>
      </c>
    </row>
    <row r="1568" customFormat="false" ht="17.15" hidden="false" customHeight="false" outlineLevel="0" collapsed="false">
      <c r="A1568" s="5" t="s">
        <v>694</v>
      </c>
      <c r="B1568" s="0" t="s">
        <v>52</v>
      </c>
      <c r="D1568" s="28" t="n">
        <f aca="false">(Q!$E$29+Q!$E$30-(1-ext_sh)*Sens!$D$1492)/Sens!$D$1449</f>
        <v>0.0334674312393194</v>
      </c>
    </row>
    <row r="1569" customFormat="false" ht="17.15" hidden="false" customHeight="false" outlineLevel="0" collapsed="false">
      <c r="A1569" s="0" t="s">
        <v>498</v>
      </c>
      <c r="B1569" s="0" t="s">
        <v>73</v>
      </c>
      <c r="C1569" s="38" t="n">
        <f aca="false">Q!$D$29</f>
        <v>14.285</v>
      </c>
      <c r="D1569" s="38" t="n">
        <f aca="false">Q!$E$29</f>
        <v>15.503</v>
      </c>
      <c r="E1569" s="38" t="n">
        <f aca="false">Q!$P$29</f>
        <v>8.78</v>
      </c>
      <c r="F1569" s="38" t="n">
        <f aca="false">(Sens!$D$1568*Sens!$F$1449+(1-ext_sh)*Sens!$F$1492)*Sens!$F$1450</f>
        <v>9.51361751569285</v>
      </c>
      <c r="G1569" s="38" t="n">
        <f aca="false">Sens!$E$1569+Sens!$F$1569</f>
        <v>18.2936175156929</v>
      </c>
      <c r="H1569" s="38" t="n">
        <f aca="false">(Sens!$D$1568*Sens!$H$1449+(1-ext_sh)*Sens!$H$1492)*Sens!$H$1450</f>
        <v>23.2481520675798</v>
      </c>
      <c r="I1569" s="38" t="n">
        <f aca="false">(Sens!$D$1568*Sens!$I$1449+(1-ext_sh)*Sens!$I$1492)*Sens!$I$1450</f>
        <v>29.9130912656618</v>
      </c>
      <c r="J1569" s="38" t="n">
        <f aca="false">(Sens!$D$1568*Sens!$J$1449+(1-ext_sh)*Sens!$J$1492)*Sens!$J$1450</f>
        <v>36.6420272568981</v>
      </c>
      <c r="K1569" s="38" t="n">
        <f aca="false">(Sens!$D$1568*Sens!$K$1449+(1-ext_sh)*Sens!$K$1492)*Sens!$K$1450</f>
        <v>43.2862833753989</v>
      </c>
      <c r="L1569" s="38" t="n">
        <f aca="false">(Sens!$D$1568*Sens!$L$1449+(1-ext_sh)*Sens!$L$1492)*Sens!$L$1450</f>
        <v>49.7325988154899</v>
      </c>
      <c r="M1569" s="38" t="n">
        <f aca="false">(Sens!$D$1568*Sens!$M$1449+(1-ext_sh)*Sens!$M$1492)*Sens!$M$1450</f>
        <v>56.3840022336749</v>
      </c>
      <c r="N1569" s="38" t="n">
        <f aca="false">Q!$N$29</f>
        <v>7.272</v>
      </c>
      <c r="O1569" s="38" t="n">
        <f aca="false">Q!$O$29</f>
        <v>8.231</v>
      </c>
    </row>
    <row r="1570" customFormat="false" ht="17.15" hidden="false" customHeight="false" outlineLevel="0" collapsed="false">
      <c r="A1570" s="0" t="s">
        <v>500</v>
      </c>
      <c r="B1570" s="0" t="s">
        <v>73</v>
      </c>
      <c r="C1570" s="38" t="n">
        <f aca="false">Q!$D$30</f>
        <v>4.462</v>
      </c>
      <c r="D1570" s="38" t="n">
        <f aca="false">Q!$E$30</f>
        <v>4.907</v>
      </c>
      <c r="E1570" s="38" t="n">
        <f aca="false">Q!$P$30</f>
        <v>2.57</v>
      </c>
      <c r="F1570" s="38" t="n">
        <f aca="false">(Sens!$D$1568*Sens!$F$1449+(1-ext_sh)*Sens!$F$1492)*(1-Sens!$F$1450)</f>
        <v>3.7353230631574</v>
      </c>
      <c r="G1570" s="38" t="n">
        <f aca="false">Sens!$E$1570+Sens!$F$1570</f>
        <v>6.3053230631574</v>
      </c>
      <c r="H1570" s="38" t="n">
        <f aca="false">(Sens!$D$1568*Sens!$H$1449+(1-ext_sh)*Sens!$H$1492)*(1-Sens!$H$1450)</f>
        <v>8.90752570185838</v>
      </c>
      <c r="I1570" s="38" t="n">
        <f aca="false">(Sens!$D$1568*Sens!$I$1449+(1-ext_sh)*Sens!$I$1492)*(1-Sens!$I$1450)</f>
        <v>11.4611960768483</v>
      </c>
      <c r="J1570" s="38" t="n">
        <f aca="false">(Sens!$D$1568*Sens!$J$1449+(1-ext_sh)*Sens!$J$1492)*(1-Sens!$J$1450)</f>
        <v>14.0393868127771</v>
      </c>
      <c r="K1570" s="38" t="n">
        <f aca="false">(Sens!$D$1568*Sens!$K$1449+(1-ext_sh)*Sens!$K$1492)*(1-Sens!$K$1450)</f>
        <v>16.5851324691731</v>
      </c>
      <c r="L1570" s="38" t="n">
        <f aca="false">(Sens!$D$1568*Sens!$L$1449+(1-ext_sh)*Sens!$L$1492)*(1-Sens!$L$1450)</f>
        <v>19.0550371866742</v>
      </c>
      <c r="M1570" s="38" t="n">
        <f aca="false">(Sens!$D$1568*Sens!$M$1449+(1-ext_sh)*Sens!$M$1492)*(1-Sens!$M$1450)</f>
        <v>21.6035213297873</v>
      </c>
      <c r="N1570" s="38" t="n">
        <f aca="false">Q!$N$30</f>
        <v>2.316</v>
      </c>
      <c r="O1570" s="38" t="n">
        <f aca="false">Q!$O$30</f>
        <v>2.591</v>
      </c>
    </row>
    <row r="1571" customFormat="false" ht="17.15" hidden="false" customHeight="false" outlineLevel="0" collapsed="false">
      <c r="A1571" s="0" t="s">
        <v>501</v>
      </c>
      <c r="B1571" s="0" t="s">
        <v>73</v>
      </c>
      <c r="C1571" s="38" t="n">
        <f aca="false">Sens!$C$1504</f>
        <v>13.32</v>
      </c>
      <c r="D1571" s="38" t="n">
        <f aca="false">Sens!$D$1504</f>
        <v>21.45</v>
      </c>
      <c r="E1571" s="38" t="n">
        <f aca="false">Sens!$E$1504</f>
        <v>15.353</v>
      </c>
      <c r="F1571" s="38" t="n">
        <f aca="false">Sens!$F$1504</f>
        <v>17.3614451462707</v>
      </c>
      <c r="G1571" s="38" t="n">
        <f aca="false">Sens!$G$1504</f>
        <v>32.7144451462707</v>
      </c>
      <c r="H1571" s="38" t="n">
        <f aca="false">Sens!$H$1504</f>
        <v>58.8676701599248</v>
      </c>
      <c r="I1571" s="38" t="n">
        <f aca="false">Sens!$I$1504</f>
        <v>91.1900900696381</v>
      </c>
      <c r="J1571" s="38" t="n">
        <f aca="false">Sens!$J$1504</f>
        <v>123.90606717416</v>
      </c>
      <c r="K1571" s="38" t="n">
        <f aca="false">Sens!$K$1504</f>
        <v>156.116647146746</v>
      </c>
      <c r="L1571" s="38" t="n">
        <f aca="false">Sens!$L$1504</f>
        <v>186.942942938013</v>
      </c>
      <c r="M1571" s="38" t="n">
        <f aca="false">Sens!$M$1504</f>
        <v>218.594047875741</v>
      </c>
      <c r="N1571" s="38" t="n">
        <f aca="false">Sens!$N$1504</f>
        <v>9.234</v>
      </c>
      <c r="O1571" s="38" t="n">
        <f aca="false">Sens!$O$1504</f>
        <v>12.216</v>
      </c>
    </row>
    <row r="1572" customFormat="false" ht="17.15" hidden="false" customHeight="false" outlineLevel="0" collapsed="false">
      <c r="A1572" s="5" t="s">
        <v>695</v>
      </c>
      <c r="B1572" s="0" t="s">
        <v>73</v>
      </c>
      <c r="C1572" s="38" t="n">
        <f aca="false">Sens!$C$1569+Sens!$C$1570+Sens!$C$1571</f>
        <v>32.067</v>
      </c>
      <c r="D1572" s="38" t="n">
        <f aca="false">Sens!$D$1569+Sens!$D$1570+Sens!$D$1571</f>
        <v>41.86</v>
      </c>
      <c r="E1572" s="38" t="n">
        <f aca="false">Sens!$E$1569+Sens!$E$1570+Sens!$E$1571</f>
        <v>26.703</v>
      </c>
      <c r="F1572" s="38" t="n">
        <f aca="false">Sens!$F$1569+Sens!$F$1570+Sens!$F$1571</f>
        <v>30.6103857251209</v>
      </c>
      <c r="G1572" s="38" t="n">
        <f aca="false">Sens!$G$1569+Sens!$G$1570+Sens!$G$1571</f>
        <v>57.3133857251209</v>
      </c>
      <c r="H1572" s="38" t="n">
        <f aca="false">Sens!$H$1569+Sens!$H$1570+Sens!$H$1571</f>
        <v>91.0233479293629</v>
      </c>
      <c r="I1572" s="38" t="n">
        <f aca="false">Sens!$I$1569+Sens!$I$1570+Sens!$I$1571</f>
        <v>132.564377412148</v>
      </c>
      <c r="J1572" s="38" t="n">
        <f aca="false">Sens!$J$1569+Sens!$J$1570+Sens!$J$1571</f>
        <v>174.587481243835</v>
      </c>
      <c r="K1572" s="38" t="n">
        <f aca="false">Sens!$K$1569+Sens!$K$1570+Sens!$K$1571</f>
        <v>215.988062991318</v>
      </c>
      <c r="L1572" s="38" t="n">
        <f aca="false">Sens!$L$1569+Sens!$L$1570+Sens!$L$1571</f>
        <v>255.730578940177</v>
      </c>
      <c r="M1572" s="38" t="n">
        <f aca="false">Sens!$M$1569+Sens!$M$1570+Sens!$M$1571</f>
        <v>296.581571439203</v>
      </c>
      <c r="N1572" s="38" t="n">
        <f aca="false">Sens!$N$1569+Sens!$N$1570+Sens!$N$1571</f>
        <v>18.822</v>
      </c>
      <c r="O1572" s="38" t="n">
        <f aca="false">Sens!$O$1569+Sens!$O$1570+Sens!$O$1571</f>
        <v>23.038</v>
      </c>
    </row>
    <row r="1573" customFormat="false" ht="17.15" hidden="false" customHeight="false" outlineLevel="0" collapsed="false">
      <c r="A1573" s="0" t="s">
        <v>696</v>
      </c>
      <c r="B1573" s="0" t="s">
        <v>73</v>
      </c>
      <c r="C1573" s="38" t="n">
        <f aca="false">Sens!$C$1546+Sens!$C$1551</f>
        <v>28.107</v>
      </c>
      <c r="D1573" s="38" t="n">
        <f aca="false">Sens!$D$1546+Sens!$D$1551</f>
        <v>34.3175</v>
      </c>
      <c r="E1573" s="38" t="n">
        <f aca="false">Sens!$E$1546+Sens!$E$1551</f>
        <v>18.526</v>
      </c>
      <c r="F1573" s="38" t="n">
        <f aca="false">Sens!$F$1546+Sens!$F$1551</f>
        <v>24.0766690913691</v>
      </c>
      <c r="G1573" s="38" t="n">
        <f aca="false">Sens!$G$1546+Sens!$G$1551</f>
        <v>42.6026690913691</v>
      </c>
      <c r="H1573" s="38" t="n">
        <f aca="false">Sens!$H$1546+Sens!$H$1551</f>
        <v>51.1466809294702</v>
      </c>
      <c r="I1573" s="38" t="n">
        <f aca="false">Sens!$I$1546+Sens!$I$1551</f>
        <v>59.6899187926205</v>
      </c>
      <c r="J1573" s="38" t="n">
        <f aca="false">Sens!$J$1546+Sens!$J$1551</f>
        <v>67.6595395244221</v>
      </c>
      <c r="K1573" s="38" t="n">
        <f aca="false">Sens!$K$1546+Sens!$K$1551</f>
        <v>74.4254934768643</v>
      </c>
      <c r="L1573" s="38" t="n">
        <f aca="false">Sens!$L$1546+Sens!$L$1551</f>
        <v>81.8680428245508</v>
      </c>
      <c r="M1573" s="38" t="n">
        <f aca="false">Sens!$M$1546+Sens!$M$1551</f>
        <v>90.0548471070059</v>
      </c>
      <c r="N1573" s="38" t="n">
        <f aca="false">Sens!$N$1546+Sens!$N$1551</f>
        <v>14.8075</v>
      </c>
      <c r="O1573" s="38" t="n">
        <f aca="false">Sens!$O$1546+Sens!$O$1551</f>
        <v>19.51</v>
      </c>
    </row>
    <row r="1574" customFormat="false" ht="17.15" hidden="false" customHeight="false" outlineLevel="0" collapsed="false">
      <c r="A1574" s="0" t="s">
        <v>697</v>
      </c>
      <c r="B1574" s="0" t="s">
        <v>73</v>
      </c>
      <c r="C1574" s="38" t="n">
        <f aca="false">Sens!$C$1550+Sens!$C$1555+Sens!$C$1569+Sens!$C$1570-Sens!$C$1573</f>
        <v>19.399</v>
      </c>
      <c r="D1574" s="38" t="n">
        <f aca="false">Sens!$D$1550+Sens!$D$1555+Sens!$D$1569+Sens!$D$1570-Sens!$D$1573</f>
        <v>20.4615</v>
      </c>
      <c r="E1574" s="38" t="n">
        <f aca="false">Sens!$E$1550+Sens!$E$1555+Sens!$E$1569+Sens!$E$1570-Sens!$E$1573</f>
        <v>13.355</v>
      </c>
      <c r="F1574" s="38" t="n">
        <f aca="false">Sens!$F$1550+Sens!$F$1555+Sens!$F$1569+Sens!$F$1570-Sens!$F$1573</f>
        <v>13.026023531025</v>
      </c>
      <c r="G1574" s="38" t="n">
        <f aca="false">Sens!$G$1550+Sens!$G$1555+Sens!$G$1569+Sens!$G$1570-Sens!$G$1573</f>
        <v>26.381023531025</v>
      </c>
      <c r="H1574" s="38" t="n">
        <f aca="false">Sens!$H$1550+Sens!$H$1555+Sens!$H$1569+Sens!$H$1570-Sens!$H$1573</f>
        <v>28.3856114740228</v>
      </c>
      <c r="I1574" s="38" t="n">
        <f aca="false">Sens!$I$1550+Sens!$I$1555+Sens!$I$1569+Sens!$I$1570-Sens!$I$1573</f>
        <v>30.1752924474342</v>
      </c>
      <c r="J1574" s="38" t="n">
        <f aca="false">Sens!$J$1550+Sens!$J$1555+Sens!$J$1569+Sens!$J$1570-Sens!$J$1573</f>
        <v>31.9557732628758</v>
      </c>
      <c r="K1574" s="38" t="n">
        <f aca="false">Sens!$K$1550+Sens!$K$1555+Sens!$K$1569+Sens!$K$1570-Sens!$K$1573</f>
        <v>33.5883698801706</v>
      </c>
      <c r="L1574" s="38" t="n">
        <f aca="false">Sens!$L$1550+Sens!$L$1555+Sens!$L$1569+Sens!$L$1570-Sens!$L$1573</f>
        <v>33.8230867942949</v>
      </c>
      <c r="M1574" s="38" t="n">
        <f aca="false">Sens!$M$1550+Sens!$M$1555+Sens!$M$1569+Sens!$M$1570-Sens!$M$1573</f>
        <v>34.2486543920969</v>
      </c>
      <c r="N1574" s="38" t="n">
        <f aca="false">Sens!$N$1550+Sens!$N$1555+Sens!$N$1569+Sens!$N$1570-Sens!$N$1573</f>
        <v>10.6495</v>
      </c>
      <c r="O1574" s="38" t="n">
        <f aca="false">Sens!$O$1550+Sens!$O$1555+Sens!$O$1569+Sens!$O$1570-Sens!$O$1573</f>
        <v>9.81200000000001</v>
      </c>
    </row>
    <row r="1575" customFormat="false" ht="17.15" hidden="false" customHeight="false" outlineLevel="0" collapsed="false">
      <c r="A1575" s="0" t="s">
        <v>698</v>
      </c>
      <c r="B1575" s="0" t="s">
        <v>73</v>
      </c>
      <c r="C1575" s="38" t="n">
        <f aca="false">Sens!$C$1557+Sens!$C$1571-ext_sh*Sens!$C$1492</f>
        <v>51.3470500115664</v>
      </c>
      <c r="D1575" s="38" t="n">
        <f aca="false">Sens!$D$1557+Sens!$D$1571-ext_sh*Sens!$D$1492</f>
        <v>60.2799375433739</v>
      </c>
      <c r="E1575" s="38" t="n">
        <f aca="false">Sens!$E$1557+Sens!$E$1571-ext_sh*Sens!$E$1492</f>
        <v>39.5095167090767</v>
      </c>
      <c r="F1575" s="38" t="n">
        <f aca="false">Sens!$F$1557+Sens!$F$1571-ext_sh*Sens!$F$1492</f>
        <v>41.606724953129</v>
      </c>
      <c r="G1575" s="38" t="n">
        <f aca="false">Sens!$G$1557+Sens!$G$1571-ext_sh*Sens!$G$1492</f>
        <v>81.1162416622057</v>
      </c>
      <c r="H1575" s="38" t="n">
        <f aca="false">Sens!$H$1557+Sens!$H$1571-ext_sh*Sens!$H$1492</f>
        <v>95.7616595325849</v>
      </c>
      <c r="I1575" s="38" t="n">
        <f aca="false">Sens!$I$1557+Sens!$I$1571-ext_sh*Sens!$I$1492</f>
        <v>111.513312079935</v>
      </c>
      <c r="J1575" s="38" t="n">
        <f aca="false">Sens!$J$1557+Sens!$J$1571-ext_sh*Sens!$J$1492</f>
        <v>125.145150463955</v>
      </c>
      <c r="K1575" s="38" t="n">
        <f aca="false">Sens!$K$1557+Sens!$K$1571-ext_sh*Sens!$K$1492</f>
        <v>135.156762501071</v>
      </c>
      <c r="L1575" s="38" t="n">
        <f aca="false">Sens!$L$1557+Sens!$L$1571-ext_sh*Sens!$L$1492</f>
        <v>145.969303501157</v>
      </c>
      <c r="M1575" s="38" t="n">
        <f aca="false">Sens!$M$1557+Sens!$M$1571-ext_sh*Sens!$M$1492</f>
        <v>157.646847781249</v>
      </c>
      <c r="N1575" s="38" t="n">
        <f aca="false">Sens!$N$1557+Sens!$N$1571-ext_sh*Sens!$N$1492</f>
        <v>28.5693781401809</v>
      </c>
      <c r="O1575" s="38" t="n">
        <f aca="false">Sens!$O$1557+Sens!$O$1571-ext_sh*Sens!$O$1492</f>
        <v>31.7105594031931</v>
      </c>
    </row>
    <row r="1576" customFormat="false" ht="17.15" hidden="false" customHeight="false" outlineLevel="0" collapsed="false">
      <c r="A1576" s="0" t="s">
        <v>699</v>
      </c>
      <c r="B1576" s="0" t="s">
        <v>73</v>
      </c>
      <c r="C1576" s="38" t="n">
        <f aca="false">Sens!$C$1495</f>
        <v>1.80694998843362</v>
      </c>
      <c r="D1576" s="38" t="n">
        <f aca="false">Sens!$D$1495</f>
        <v>6.77606245662607</v>
      </c>
      <c r="E1576" s="38" t="n">
        <f aca="false">Sens!$E$1495</f>
        <v>6.62548329092326</v>
      </c>
      <c r="F1576" s="38" t="n">
        <f aca="false">Sens!$F$1495</f>
        <v>12.6925429907018</v>
      </c>
      <c r="G1576" s="38" t="n">
        <f aca="false">Sens!$G$1495</f>
        <v>19.3180262816251</v>
      </c>
      <c r="H1576" s="38" t="n">
        <f aca="false">Sens!$H$1495</f>
        <v>55.4814075742838</v>
      </c>
      <c r="I1576" s="38" t="n">
        <f aca="false">Sens!$I$1495</f>
        <v>96.7774032721855</v>
      </c>
      <c r="J1576" s="38" t="n">
        <f aca="false">Sens!$J$1495</f>
        <v>138.284087735331</v>
      </c>
      <c r="K1576" s="38" t="n">
        <f aca="false">Sens!$K$1495</f>
        <v>179.861001786892</v>
      </c>
      <c r="L1576" s="38" t="n">
        <f aca="false">Sens!$L$1495</f>
        <v>221.469838378641</v>
      </c>
      <c r="M1576" s="38" t="n">
        <f aca="false">Sens!$M$1495</f>
        <v>263.095864030492</v>
      </c>
      <c r="N1576" s="38" t="n">
        <f aca="false">Sens!$N$1495</f>
        <v>2.37162185981912</v>
      </c>
      <c r="O1576" s="38" t="n">
        <f aca="false">Sens!$O$1495</f>
        <v>4.40444059680694</v>
      </c>
    </row>
    <row r="1577" customFormat="false" ht="17.15" hidden="false" customHeight="false" outlineLevel="0" collapsed="false">
      <c r="A1577" s="0" t="s">
        <v>700</v>
      </c>
      <c r="B1577" s="0" t="s">
        <v>73</v>
      </c>
      <c r="C1577" s="38" t="n">
        <f aca="false">Sens!$C$1560+Sens!$C$1572</f>
        <v>100.66</v>
      </c>
      <c r="D1577" s="38" t="n">
        <f aca="false">Sens!$D$1560+Sens!$D$1572</f>
        <v>121.835</v>
      </c>
      <c r="E1577" s="38" t="n">
        <f aca="false">Sens!$E$1560+Sens!$E$1572</f>
        <v>78.016</v>
      </c>
      <c r="F1577" s="38" t="n">
        <f aca="false">Sens!$F$1560+Sens!$F$1572</f>
        <v>91.4019605662249</v>
      </c>
      <c r="G1577" s="38" t="n">
        <f aca="false">Sens!$G$1560+Sens!$G$1572</f>
        <v>169.417960566225</v>
      </c>
      <c r="H1577" s="38" t="n">
        <f aca="false">Sens!$H$1560+Sens!$H$1572</f>
        <v>230.775359510362</v>
      </c>
      <c r="I1577" s="38" t="n">
        <f aca="false">Sens!$I$1560+Sens!$I$1572</f>
        <v>298.155926592176</v>
      </c>
      <c r="J1577" s="38" t="n">
        <f aca="false">Sens!$J$1560+Sens!$J$1572</f>
        <v>363.044550986584</v>
      </c>
      <c r="K1577" s="38" t="n">
        <f aca="false">Sens!$K$1560+Sens!$K$1572</f>
        <v>423.031627644998</v>
      </c>
      <c r="L1577" s="38" t="n">
        <f aca="false">Sens!$L$1560+Sens!$L$1572</f>
        <v>483.130271498644</v>
      </c>
      <c r="M1577" s="38" t="n">
        <f aca="false">Sens!$M$1560+Sens!$M$1572</f>
        <v>545.046213310844</v>
      </c>
      <c r="N1577" s="38" t="n">
        <f aca="false">Sens!$N$1560+Sens!$N$1572</f>
        <v>56.398</v>
      </c>
      <c r="O1577" s="38" t="n">
        <f aca="false">Sens!$O$1560+Sens!$O$1572</f>
        <v>65.437</v>
      </c>
    </row>
    <row r="1578" customFormat="false" ht="17.15" hidden="false" customHeight="false" outlineLevel="0" collapsed="false">
      <c r="A1578" s="1" t="s">
        <v>701</v>
      </c>
    </row>
    <row r="1579" customFormat="false" ht="15" hidden="false" customHeight="false" outlineLevel="0" collapsed="false">
      <c r="A1579" s="5" t="s">
        <v>504</v>
      </c>
      <c r="B1579" s="0" t="s">
        <v>73</v>
      </c>
      <c r="C1579" s="38" t="n">
        <f aca="false">Q!$D$34</f>
        <v>2.406</v>
      </c>
      <c r="D1579" s="38" t="n">
        <f aca="false">Q!$E$34</f>
        <v>2.274</v>
      </c>
      <c r="E1579" s="38" t="n">
        <f aca="false">Q!$P$34</f>
        <v>2.114</v>
      </c>
      <c r="F1579" s="38" t="n">
        <f aca="false">Sens!$F$1615</f>
        <v>3.24888964316061</v>
      </c>
      <c r="G1579" s="38" t="n">
        <f aca="false">Sens!$E$1579+Sens!$F$1579</f>
        <v>5.36288964316061</v>
      </c>
      <c r="H1579" s="38" t="n">
        <f aca="false">Sens!$H$1615</f>
        <v>7.42354178632123</v>
      </c>
      <c r="I1579" s="38" t="n">
        <f aca="false">Sens!$I$1615</f>
        <v>11.7347393462162</v>
      </c>
      <c r="J1579" s="38" t="n">
        <f aca="false">Sens!$J$1615</f>
        <v>14.4904067268854</v>
      </c>
      <c r="K1579" s="38" t="n">
        <f aca="false">Sens!$K$1615</f>
        <v>14.4904067268854</v>
      </c>
      <c r="L1579" s="38" t="n">
        <f aca="false">Sens!$L$1615</f>
        <v>14.4904067268854</v>
      </c>
      <c r="M1579" s="38" t="n">
        <f aca="false">Sens!$M$1615</f>
        <v>14.4904067268854</v>
      </c>
      <c r="N1579" s="38" t="n">
        <f aca="false">Q!$N$34</f>
        <v>1.057</v>
      </c>
      <c r="O1579" s="38" t="n">
        <f aca="false">Q!$O$34</f>
        <v>1.217</v>
      </c>
    </row>
    <row r="1580" customFormat="false" ht="15" hidden="false" customHeight="false" outlineLevel="0" collapsed="false">
      <c r="A1580" s="5" t="s">
        <v>702</v>
      </c>
      <c r="B1580" s="0" t="s">
        <v>73</v>
      </c>
      <c r="F1580" s="38" t="n">
        <f aca="false">Sens!$F$1616</f>
        <v>2.59</v>
      </c>
      <c r="H1580" s="38" t="n">
        <f aca="false">Sens!$H$1616</f>
        <v>3.02981766534029</v>
      </c>
      <c r="I1580" s="38" t="n">
        <f aca="false">Sens!$I$1616</f>
        <v>2.10589651022864</v>
      </c>
      <c r="J1580" s="38" t="n">
        <f aca="false">Sens!$J$1616</f>
        <v>2.10589651022864</v>
      </c>
      <c r="K1580" s="38" t="n">
        <f aca="false">Sens!$K$1616</f>
        <v>2.36611266738698</v>
      </c>
      <c r="L1580" s="38" t="n">
        <f aca="false">Sens!$L$1616</f>
        <v>4.70412140576357</v>
      </c>
      <c r="M1580" s="38" t="n">
        <f aca="false">Sens!$M$1616</f>
        <v>7.84664299265608</v>
      </c>
    </row>
    <row r="1581" customFormat="false" ht="17.15" hidden="false" customHeight="false" outlineLevel="0" collapsed="false">
      <c r="A1581" s="5" t="s">
        <v>703</v>
      </c>
      <c r="B1581" s="0" t="s">
        <v>73</v>
      </c>
      <c r="C1581" s="38" t="n">
        <f aca="false">Q!$D$39</f>
        <v>2.427</v>
      </c>
      <c r="D1581" s="38" t="n">
        <f aca="false">Q!$E$39</f>
        <v>19.61</v>
      </c>
      <c r="E1581" s="38" t="n">
        <f aca="false">Q!$P$39</f>
        <v>71.492</v>
      </c>
      <c r="F1581" s="41" t="n">
        <v>0</v>
      </c>
      <c r="G1581" s="38" t="n">
        <f aca="false">Sens!$E$1581+Sens!$F$1581</f>
        <v>71.492</v>
      </c>
      <c r="H1581" s="41" t="n">
        <v>0</v>
      </c>
      <c r="I1581" s="41" t="n">
        <v>0</v>
      </c>
      <c r="J1581" s="41" t="n">
        <v>0</v>
      </c>
      <c r="K1581" s="41" t="n">
        <v>0</v>
      </c>
      <c r="L1581" s="41" t="n">
        <v>0</v>
      </c>
      <c r="M1581" s="41" t="n">
        <v>0</v>
      </c>
      <c r="N1581" s="38" t="n">
        <f aca="false">Q!$N$39</f>
        <v>6.017</v>
      </c>
      <c r="O1581" s="38" t="n">
        <f aca="false">Q!$O$39</f>
        <v>13.593</v>
      </c>
      <c r="P1581" s="5" t="s">
        <v>704</v>
      </c>
    </row>
    <row r="1582" customFormat="false" ht="15" hidden="false" customHeight="false" outlineLevel="0" collapsed="false">
      <c r="A1582" s="5" t="s">
        <v>507</v>
      </c>
      <c r="B1582" s="0" t="s">
        <v>73</v>
      </c>
      <c r="C1582" s="38" t="n">
        <f aca="false">Q!$D$36</f>
        <v>68.614</v>
      </c>
      <c r="D1582" s="38" t="n">
        <f aca="false">Q!$E$36</f>
        <v>97.311</v>
      </c>
      <c r="E1582" s="38" t="n">
        <f aca="false">Q!$P$36</f>
        <v>120.691</v>
      </c>
      <c r="F1582" s="38" t="n">
        <f aca="false">Sens!$F$1560-Sens!$F$1579+Sens!$F$1580+Sens!$F$1581</f>
        <v>60.1326851979433</v>
      </c>
      <c r="G1582" s="38" t="n">
        <f aca="false">Sens!$E$1582+Sens!$F$1582</f>
        <v>180.823685197943</v>
      </c>
      <c r="H1582" s="38" t="n">
        <f aca="false">Sens!$H$1560-Sens!$H$1579+Sens!$H$1580+Sens!$H$1581</f>
        <v>135.358287460018</v>
      </c>
      <c r="I1582" s="38" t="n">
        <f aca="false">Sens!$I$1560-Sens!$I$1579+Sens!$I$1580+Sens!$I$1581</f>
        <v>155.96270634404</v>
      </c>
      <c r="J1582" s="38" t="n">
        <f aca="false">Sens!$J$1560-Sens!$J$1579+Sens!$J$1580+Sens!$J$1581</f>
        <v>176.072559526092</v>
      </c>
      <c r="K1582" s="38" t="n">
        <f aca="false">Sens!$K$1560-Sens!$K$1579+Sens!$K$1580+Sens!$K$1581</f>
        <v>194.919270594182</v>
      </c>
      <c r="L1582" s="38" t="n">
        <f aca="false">Sens!$L$1560-Sens!$L$1579+Sens!$L$1580+Sens!$L$1581</f>
        <v>217.613407237344</v>
      </c>
      <c r="M1582" s="38" t="n">
        <f aca="false">Sens!$M$1560-Sens!$M$1579+Sens!$M$1580+Sens!$M$1581</f>
        <v>241.820878137411</v>
      </c>
      <c r="N1582" s="38" t="n">
        <f aca="false">Q!$N$36</f>
        <v>42.536</v>
      </c>
      <c r="O1582" s="38" t="n">
        <f aca="false">Q!$O$36</f>
        <v>54.775</v>
      </c>
    </row>
    <row r="1583" customFormat="false" ht="15" hidden="false" customHeight="false" outlineLevel="0" collapsed="false">
      <c r="A1583" s="5" t="s">
        <v>508</v>
      </c>
      <c r="B1583" s="0" t="s">
        <v>73</v>
      </c>
      <c r="C1583" s="38" t="n">
        <f aca="false">Q!$D$37</f>
        <v>9.265</v>
      </c>
      <c r="D1583" s="38" t="n">
        <f aca="false">Q!$E$37</f>
        <v>19.087</v>
      </c>
      <c r="E1583" s="38" t="n">
        <f aca="false">Q!$P$37</f>
        <v>27.759</v>
      </c>
      <c r="F1583" s="38" t="n">
        <f aca="false">Sens!$F$1582*tax</f>
        <v>10.4381036945362</v>
      </c>
      <c r="G1583" s="38" t="n">
        <f aca="false">Sens!$E$1583+Sens!$F$1583</f>
        <v>38.1971036945362</v>
      </c>
      <c r="H1583" s="38" t="n">
        <f aca="false">Sens!$H$1582*tax</f>
        <v>23.4961042529799</v>
      </c>
      <c r="I1583" s="38" t="n">
        <f aca="false">Sens!$I$1582*tax</f>
        <v>27.0727125512642</v>
      </c>
      <c r="J1583" s="38" t="n">
        <f aca="false">Sens!$J$1582*tax</f>
        <v>30.563471896289</v>
      </c>
      <c r="K1583" s="38" t="n">
        <f aca="false">Sens!$K$1582*tax</f>
        <v>33.8349693154066</v>
      </c>
      <c r="L1583" s="38" t="n">
        <f aca="false">Sens!$L$1582*tax</f>
        <v>37.774320281683</v>
      </c>
      <c r="M1583" s="38" t="n">
        <f aca="false">Sens!$M$1582*tax</f>
        <v>41.9763626585633</v>
      </c>
      <c r="N1583" s="38" t="n">
        <f aca="false">Q!$N$37</f>
        <v>7.231</v>
      </c>
      <c r="O1583" s="38" t="n">
        <f aca="false">Q!$O$37</f>
        <v>11.856</v>
      </c>
    </row>
    <row r="1584" customFormat="false" ht="15" hidden="false" customHeight="false" outlineLevel="0" collapsed="false">
      <c r="A1584" s="3" t="s">
        <v>509</v>
      </c>
      <c r="B1584" s="8" t="s">
        <v>73</v>
      </c>
      <c r="C1584" s="38" t="n">
        <f aca="false">Q!$D$38</f>
        <v>59.248</v>
      </c>
      <c r="D1584" s="38" t="n">
        <f aca="false">Q!$E$38</f>
        <v>77.67</v>
      </c>
      <c r="E1584" s="38" t="n">
        <f aca="false">Q!$P$38</f>
        <v>92.902</v>
      </c>
      <c r="F1584" s="38" t="n">
        <f aca="false">Sens!$F$1582-Sens!$F$1583</f>
        <v>49.6945815034072</v>
      </c>
      <c r="G1584" s="38" t="n">
        <f aca="false">Sens!$E$1584+Sens!$F$1584</f>
        <v>142.596581503407</v>
      </c>
      <c r="H1584" s="38" t="n">
        <f aca="false">Sens!$H$1582-Sens!$H$1583</f>
        <v>111.862183207038</v>
      </c>
      <c r="I1584" s="38" t="n">
        <f aca="false">Sens!$I$1582-Sens!$I$1583</f>
        <v>128.889993792776</v>
      </c>
      <c r="J1584" s="38" t="n">
        <f aca="false">Sens!$J$1582-Sens!$J$1583</f>
        <v>145.509087629803</v>
      </c>
      <c r="K1584" s="38" t="n">
        <f aca="false">Sens!$K$1582-Sens!$K$1583</f>
        <v>161.084301278775</v>
      </c>
      <c r="L1584" s="38" t="n">
        <f aca="false">Sens!$L$1582-Sens!$L$1583</f>
        <v>179.839086955662</v>
      </c>
      <c r="M1584" s="38" t="n">
        <f aca="false">Sens!$M$1582-Sens!$M$1583</f>
        <v>199.844515478848</v>
      </c>
      <c r="N1584" s="38" t="n">
        <f aca="false">Q!$N$38</f>
        <v>35.291</v>
      </c>
      <c r="O1584" s="38" t="n">
        <f aca="false">Q!$O$38</f>
        <v>42.379</v>
      </c>
    </row>
    <row r="1585" customFormat="false" ht="17.15" hidden="false" customHeight="false" outlineLevel="0" collapsed="false">
      <c r="A1585" s="5" t="s">
        <v>512</v>
      </c>
      <c r="B1585" s="5" t="s">
        <v>33</v>
      </c>
      <c r="C1585" s="22" t="n">
        <f aca="false">Q!$D$41</f>
        <v>10.721</v>
      </c>
      <c r="D1585" s="22" t="n">
        <f aca="false">Q!$E$41</f>
        <v>10.827</v>
      </c>
      <c r="E1585" s="22" t="n">
        <f aca="false">(Q!$L$41+Q!$M$41)/2</f>
        <v>10.8885</v>
      </c>
      <c r="F1585" s="22" t="n">
        <f aca="false">Sens!$G$1585</f>
        <v>10.924806</v>
      </c>
      <c r="G1585" s="22" t="n">
        <f aca="false">Q!$M$41*(1+sh_g*0.25)</f>
        <v>10.924806</v>
      </c>
      <c r="H1585" s="22" t="n">
        <f aca="false">Sens!$G$1585*(1+sh_g)</f>
        <v>11.012204448</v>
      </c>
      <c r="I1585" s="22" t="n">
        <f aca="false">Sens!$H$1585*(1+sh_g)</f>
        <v>11.100302083584</v>
      </c>
      <c r="J1585" s="22" t="n">
        <f aca="false">Sens!$I$1585*(1+sh_g)</f>
        <v>11.1891045002527</v>
      </c>
      <c r="K1585" s="22" t="n">
        <f aca="false">Sens!$J$1585*(1+sh_g)</f>
        <v>11.2786173362547</v>
      </c>
      <c r="L1585" s="22" t="n">
        <f aca="false">Sens!$K$1585*(1+sh_g)</f>
        <v>11.3688462749447</v>
      </c>
      <c r="M1585" s="22" t="n">
        <f aca="false">Sens!$L$1585*(1+sh_g)</f>
        <v>11.4597970451443</v>
      </c>
      <c r="P1585" s="5" t="s">
        <v>705</v>
      </c>
    </row>
    <row r="1586" customFormat="false" ht="17.15" hidden="false" customHeight="false" outlineLevel="0" collapsed="false">
      <c r="A1586" s="42" t="s">
        <v>706</v>
      </c>
      <c r="B1586" s="13" t="s">
        <v>27</v>
      </c>
      <c r="C1586" s="43" t="n">
        <f aca="false">Sens!$C$1584/Sens!$C$1585</f>
        <v>5.52635015390355</v>
      </c>
      <c r="D1586" s="43" t="n">
        <f aca="false">Sens!$D$1584/Sens!$D$1585</f>
        <v>7.1737323358271</v>
      </c>
      <c r="E1586" s="43" t="n">
        <f aca="false">Sens!$E$1584/Sens!$E$1585</f>
        <v>8.53212104513937</v>
      </c>
      <c r="F1586" s="13"/>
      <c r="G1586" s="43" t="n">
        <f aca="false">Sens!$G$1584/Sens!$G$1585</f>
        <v>13.052550452924</v>
      </c>
      <c r="H1586" s="43" t="n">
        <f aca="false">Sens!$H$1584/Sens!$H$1585</f>
        <v>10.1580191082771</v>
      </c>
      <c r="I1586" s="43" t="n">
        <f aca="false">Sens!$I$1584/Sens!$I$1585</f>
        <v>11.6113951514336</v>
      </c>
      <c r="J1586" s="43" t="n">
        <f aca="false">Sens!$J$1584/Sens!$J$1585</f>
        <v>13.0045337968304</v>
      </c>
      <c r="K1586" s="43" t="n">
        <f aca="false">Sens!$K$1584/Sens!$K$1585</f>
        <v>14.2822738351957</v>
      </c>
      <c r="L1586" s="43" t="n">
        <f aca="false">Sens!$L$1584/Sens!$L$1585</f>
        <v>15.8185872696687</v>
      </c>
      <c r="M1586" s="43" t="n">
        <f aca="false">Sens!$M$1584/Sens!$M$1585</f>
        <v>17.438748233637</v>
      </c>
      <c r="N1586" s="13"/>
      <c r="O1586" s="13"/>
    </row>
    <row r="1587" customFormat="false" ht="17.15" hidden="false" customHeight="false" outlineLevel="0" collapsed="false">
      <c r="A1587" s="0" t="s">
        <v>707</v>
      </c>
      <c r="B1587" s="0" t="s">
        <v>27</v>
      </c>
      <c r="C1587" s="30" t="n">
        <f aca="false">(Sens!$C$1584-Sens!$C$1581*(1-tax))/Sens!$C$1585</f>
        <v>5.33926775917445</v>
      </c>
      <c r="D1587" s="30" t="n">
        <f aca="false">(Sens!$D$1584-Sens!$D$1581*(1-tax))/Sens!$D$1585</f>
        <v>5.67691812755503</v>
      </c>
      <c r="E1587" s="30" t="n">
        <f aca="false">(Sens!$E$1584-Sens!$E$1581*(1-tax))/Sens!$E$1585</f>
        <v>3.10602057006846</v>
      </c>
      <c r="G1587" s="30" t="n">
        <f aca="false">(Sens!$G$1584-Sens!$G$1581*(1-tax))/Sens!$G$1585</f>
        <v>7.64448233502705</v>
      </c>
      <c r="H1587" s="30" t="n">
        <f aca="false">(Sens!$H$1584-Sens!$H$1581*(1-tax))/Sens!$H$1585</f>
        <v>10.1580191082771</v>
      </c>
      <c r="I1587" s="30" t="n">
        <f aca="false">(Sens!$I$1584-Sens!$I$1581*(1-tax))/Sens!$I$1585</f>
        <v>11.6113951514336</v>
      </c>
      <c r="J1587" s="30" t="n">
        <f aca="false">(Sens!$J$1584-Sens!$J$1581*(1-tax))/Sens!$J$1585</f>
        <v>13.0045337968304</v>
      </c>
      <c r="K1587" s="30" t="n">
        <f aca="false">(Sens!$K$1584-Sens!$K$1581*(1-tax))/Sens!$K$1585</f>
        <v>14.2822738351957</v>
      </c>
      <c r="L1587" s="30" t="n">
        <f aca="false">(Sens!$L$1584-Sens!$L$1581*(1-tax))/Sens!$L$1585</f>
        <v>15.8185872696687</v>
      </c>
      <c r="M1587" s="30" t="n">
        <f aca="false">(Sens!$M$1584-Sens!$M$1581*(1-tax))/Sens!$M$1585</f>
        <v>17.438748233637</v>
      </c>
      <c r="P1587" s="5" t="s">
        <v>708</v>
      </c>
    </row>
    <row r="1588" customFormat="false" ht="17.15" hidden="false" customHeight="false" outlineLevel="0" collapsed="false">
      <c r="A1588" s="0" t="s">
        <v>709</v>
      </c>
      <c r="B1588" s="0" t="s">
        <v>52</v>
      </c>
      <c r="H1588" s="12" t="n">
        <f aca="false">Sens!$H$1586/Sens!$G$1586-1</f>
        <v>-0.221759828095398</v>
      </c>
      <c r="I1588" s="12" t="n">
        <f aca="false">Sens!$I$1586/Sens!$H$1586-1</f>
        <v>0.143076718764218</v>
      </c>
      <c r="J1588" s="12" t="n">
        <f aca="false">Sens!$J$1586/Sens!$I$1586-1</f>
        <v>0.119980297563534</v>
      </c>
      <c r="K1588" s="12" t="n">
        <f aca="false">Sens!$K$1586/Sens!$J$1586-1</f>
        <v>0.0982534290215564</v>
      </c>
      <c r="L1588" s="12" t="n">
        <f aca="false">Sens!$L$1586/Sens!$K$1586-1</f>
        <v>0.107567846142756</v>
      </c>
      <c r="M1588" s="12" t="n">
        <f aca="false">Sens!$M$1586/Sens!$L$1586-1</f>
        <v>0.102421343723583</v>
      </c>
    </row>
    <row r="1591" customFormat="false" ht="19.4" hidden="false" customHeight="false" outlineLevel="0" collapsed="false">
      <c r="A1591" s="31" t="s">
        <v>1078</v>
      </c>
    </row>
    <row r="1592" customFormat="false" ht="17.15" hidden="false" customHeight="false" outlineLevel="0" collapsed="false">
      <c r="A1592" s="6" t="s">
        <v>16</v>
      </c>
      <c r="B1592" s="6" t="s">
        <v>17</v>
      </c>
      <c r="C1592" s="20" t="s">
        <v>457</v>
      </c>
      <c r="D1592" s="20" t="s">
        <v>458</v>
      </c>
      <c r="E1592" s="20" t="s">
        <v>540</v>
      </c>
      <c r="F1592" s="20" t="s">
        <v>541</v>
      </c>
      <c r="G1592" s="20" t="s">
        <v>542</v>
      </c>
      <c r="H1592" s="20" t="s">
        <v>543</v>
      </c>
      <c r="I1592" s="20" t="s">
        <v>544</v>
      </c>
      <c r="J1592" s="20" t="s">
        <v>545</v>
      </c>
      <c r="K1592" s="20" t="s">
        <v>546</v>
      </c>
      <c r="L1592" s="20" t="s">
        <v>547</v>
      </c>
      <c r="M1592" s="20" t="s">
        <v>548</v>
      </c>
      <c r="N1592" s="20" t="s">
        <v>549</v>
      </c>
      <c r="O1592" s="20" t="s">
        <v>550</v>
      </c>
      <c r="P1592" s="6" t="s">
        <v>23</v>
      </c>
      <c r="R1592" s="20" t="n">
        <v>2023</v>
      </c>
      <c r="S1592" s="20" t="n">
        <v>2024</v>
      </c>
      <c r="T1592" s="20" t="n">
        <v>2025</v>
      </c>
      <c r="U1592" s="20" t="n">
        <v>2026</v>
      </c>
      <c r="V1592" s="20" t="n">
        <v>2027</v>
      </c>
      <c r="W1592" s="20" t="n">
        <v>2028</v>
      </c>
      <c r="X1592" s="20" t="n">
        <v>2029</v>
      </c>
      <c r="Y1592" s="20" t="n">
        <v>2030</v>
      </c>
      <c r="Z1592" s="20" t="n">
        <v>2031</v>
      </c>
      <c r="AA1592" s="20" t="n">
        <v>2032</v>
      </c>
    </row>
    <row r="1593" customFormat="false" ht="15" hidden="false" customHeight="false" outlineLevel="0" collapsed="false">
      <c r="A1593" s="5" t="s">
        <v>509</v>
      </c>
      <c r="B1593" s="0" t="s">
        <v>73</v>
      </c>
      <c r="C1593" s="38" t="n">
        <f aca="false">Sens!$C$1584</f>
        <v>59.248</v>
      </c>
      <c r="D1593" s="38" t="n">
        <f aca="false">Sens!$D$1584</f>
        <v>77.67</v>
      </c>
      <c r="E1593" s="38" t="n">
        <f aca="false">Sens!$E$1584</f>
        <v>92.902</v>
      </c>
      <c r="F1593" s="38" t="n">
        <f aca="false">Sens!$F$1584</f>
        <v>49.6945815034072</v>
      </c>
      <c r="G1593" s="38" t="n">
        <f aca="false">Sens!$G$1584</f>
        <v>142.596581503407</v>
      </c>
      <c r="H1593" s="38" t="n">
        <f aca="false">Sens!$H$1584</f>
        <v>111.862183207038</v>
      </c>
      <c r="I1593" s="38" t="n">
        <f aca="false">Sens!$I$1584</f>
        <v>128.889993792776</v>
      </c>
      <c r="J1593" s="38" t="n">
        <f aca="false">Sens!$J$1584</f>
        <v>145.509087629803</v>
      </c>
      <c r="K1593" s="38" t="n">
        <f aca="false">Sens!$K$1584</f>
        <v>161.084301278775</v>
      </c>
      <c r="L1593" s="38" t="n">
        <f aca="false">Sens!$L$1584</f>
        <v>179.839086955662</v>
      </c>
      <c r="M1593" s="38" t="n">
        <f aca="false">Sens!$M$1584</f>
        <v>199.844515478848</v>
      </c>
    </row>
    <row r="1594" customFormat="false" ht="17.15" hidden="false" customHeight="false" outlineLevel="0" collapsed="false">
      <c r="A1594" s="5" t="s">
        <v>731</v>
      </c>
      <c r="B1594" s="0" t="s">
        <v>73</v>
      </c>
      <c r="C1594" s="38" t="n">
        <f aca="false">Sens!$C$1572</f>
        <v>32.067</v>
      </c>
      <c r="D1594" s="38" t="n">
        <f aca="false">Sens!$D$1572</f>
        <v>41.86</v>
      </c>
      <c r="E1594" s="38" t="n">
        <f aca="false">Sens!$E$1572</f>
        <v>26.703</v>
      </c>
      <c r="F1594" s="38" t="n">
        <f aca="false">Sens!$F$1572</f>
        <v>30.6103857251209</v>
      </c>
      <c r="G1594" s="38" t="n">
        <f aca="false">Sens!$G$1572</f>
        <v>57.3133857251209</v>
      </c>
      <c r="H1594" s="38" t="n">
        <f aca="false">Sens!$H$1572</f>
        <v>91.0233479293629</v>
      </c>
      <c r="I1594" s="38" t="n">
        <f aca="false">Sens!$I$1572</f>
        <v>132.564377412148</v>
      </c>
      <c r="J1594" s="38" t="n">
        <f aca="false">Sens!$J$1572</f>
        <v>174.587481243835</v>
      </c>
      <c r="K1594" s="38" t="n">
        <f aca="false">Sens!$K$1572</f>
        <v>215.988062991318</v>
      </c>
      <c r="L1594" s="38" t="n">
        <f aca="false">Sens!$L$1572</f>
        <v>255.730578940177</v>
      </c>
      <c r="M1594" s="38" t="n">
        <f aca="false">Sens!$M$1572</f>
        <v>296.581571439203</v>
      </c>
    </row>
    <row r="1595" customFormat="false" ht="15" hidden="false" customHeight="false" outlineLevel="0" collapsed="false">
      <c r="A1595" s="5" t="s">
        <v>732</v>
      </c>
      <c r="B1595" s="0" t="s">
        <v>73</v>
      </c>
      <c r="C1595" s="38" t="n">
        <f aca="false">Q!$D$48</f>
        <v>22.011</v>
      </c>
      <c r="D1595" s="38" t="n">
        <f aca="false">Q!$E$48</f>
        <v>19.467</v>
      </c>
      <c r="E1595" s="38" t="n">
        <f aca="false">Q!$P$48</f>
        <v>10.07</v>
      </c>
      <c r="F1595" s="38" t="n">
        <f aca="false">sbc_r*Sens!$F$1516</f>
        <v>11.2476090219404</v>
      </c>
      <c r="G1595" s="38" t="n">
        <f aca="false">Sens!$E$1595+Sens!$F$1595</f>
        <v>21.3176090219404</v>
      </c>
      <c r="H1595" s="38" t="n">
        <f aca="false">sbc_r*Sens!$H$1516</f>
        <v>24.4265482871217</v>
      </c>
      <c r="I1595" s="38" t="n">
        <f aca="false">sbc_r*Sens!$I$1516</f>
        <v>28.156159398442</v>
      </c>
      <c r="J1595" s="38" t="n">
        <f aca="false">sbc_r*Sens!$J$1516</f>
        <v>31.6693189258796</v>
      </c>
      <c r="K1595" s="38" t="n">
        <f aca="false">sbc_r*Sens!$K$1516</f>
        <v>34.8243607820917</v>
      </c>
      <c r="L1595" s="38" t="n">
        <f aca="false">sbc_r*Sens!$L$1516</f>
        <v>38.1152218883869</v>
      </c>
      <c r="M1595" s="38" t="n">
        <f aca="false">sbc_r*Sens!$M$1516</f>
        <v>41.5518461957405</v>
      </c>
    </row>
    <row r="1596" customFormat="false" ht="17.15" hidden="false" customHeight="false" outlineLevel="0" collapsed="false">
      <c r="A1596" s="5" t="s">
        <v>733</v>
      </c>
      <c r="B1596" s="0" t="s">
        <v>73</v>
      </c>
      <c r="C1596" s="38" t="n">
        <f aca="false">Q!$D$44-Sens!$C$1593-Sens!$C$1594-Sens!$C$1595</f>
        <v>2.551</v>
      </c>
      <c r="D1596" s="38" t="n">
        <f aca="false">Q!$E$44-Sens!$D$1593-Sens!$D$1594-Sens!$D$1595</f>
        <v>0.51700000000001</v>
      </c>
      <c r="E1596" s="38" t="n">
        <f aca="false">Q!$P$44-Sens!$E$1593-Sens!$E$1594-Sens!$E$1595</f>
        <v>-58.256</v>
      </c>
      <c r="F1596" s="38" t="n">
        <f aca="false">wc_2h26+oth_r*Sens!$F$1516</f>
        <v>7.36069074013854</v>
      </c>
      <c r="G1596" s="38" t="n">
        <f aca="false">Sens!$E$1596+Sens!$F$1596</f>
        <v>-50.8953092598615</v>
      </c>
      <c r="H1596" s="38" t="n">
        <f aca="false">oth_r*Sens!$H$1516</f>
        <v>11.7569679046973</v>
      </c>
      <c r="I1596" s="38" t="n">
        <f aca="false">oth_r*Sens!$I$1516</f>
        <v>13.5521015280555</v>
      </c>
      <c r="J1596" s="38" t="n">
        <f aca="false">oth_r*Sens!$J$1516</f>
        <v>15.243052837371</v>
      </c>
      <c r="K1596" s="38" t="n">
        <f aca="false">oth_r*Sens!$K$1516</f>
        <v>16.7616352177157</v>
      </c>
      <c r="L1596" s="38" t="n">
        <f aca="false">oth_r*Sens!$L$1516</f>
        <v>18.345590017663</v>
      </c>
      <c r="M1596" s="38" t="n">
        <f aca="false">oth_r*Sens!$M$1516</f>
        <v>19.9997034522394</v>
      </c>
      <c r="P1596" s="8" t="s">
        <v>734</v>
      </c>
    </row>
    <row r="1597" customFormat="false" ht="15" hidden="false" customHeight="false" outlineLevel="0" collapsed="false">
      <c r="A1597" s="3" t="s">
        <v>515</v>
      </c>
      <c r="B1597" s="8" t="s">
        <v>73</v>
      </c>
      <c r="C1597" s="38" t="n">
        <f aca="false">Q!$D$44</f>
        <v>115.877</v>
      </c>
      <c r="D1597" s="38" t="n">
        <f aca="false">Q!$E$44</f>
        <v>139.514</v>
      </c>
      <c r="E1597" s="38" t="n">
        <f aca="false">Q!$P$44</f>
        <v>71.419</v>
      </c>
      <c r="F1597" s="38" t="n">
        <f aca="false">Sens!$F$1593+Sens!$F$1594+Sens!$F$1595+Sens!$F$1596</f>
        <v>98.913266990607</v>
      </c>
      <c r="G1597" s="38" t="n">
        <f aca="false">Sens!$E$1597+Sens!$F$1597</f>
        <v>170.332266990607</v>
      </c>
      <c r="H1597" s="38" t="n">
        <f aca="false">Sens!$H$1593+Sens!$H$1594+Sens!$H$1595+Sens!$H$1596</f>
        <v>239.06904732822</v>
      </c>
      <c r="I1597" s="38" t="n">
        <f aca="false">Sens!$I$1593+Sens!$I$1594+Sens!$I$1595+Sens!$I$1596</f>
        <v>303.162632131421</v>
      </c>
      <c r="J1597" s="38" t="n">
        <f aca="false">Sens!$J$1593+Sens!$J$1594+Sens!$J$1595+Sens!$J$1596</f>
        <v>367.008940636889</v>
      </c>
      <c r="K1597" s="38" t="n">
        <f aca="false">Sens!$K$1593+Sens!$K$1594+Sens!$K$1595+Sens!$K$1596</f>
        <v>428.6583602699</v>
      </c>
      <c r="L1597" s="38" t="n">
        <f aca="false">Sens!$L$1593+Sens!$L$1594+Sens!$L$1595+Sens!$L$1596</f>
        <v>492.030477801889</v>
      </c>
      <c r="M1597" s="38" t="n">
        <f aca="false">Sens!$M$1593+Sens!$M$1594+Sens!$M$1595+Sens!$M$1596</f>
        <v>557.977636566031</v>
      </c>
    </row>
    <row r="1598" customFormat="false" ht="17.15" hidden="false" customHeight="false" outlineLevel="0" collapsed="false">
      <c r="A1598" s="5" t="s">
        <v>735</v>
      </c>
      <c r="B1598" s="0" t="s">
        <v>73</v>
      </c>
      <c r="C1598" s="38" t="n">
        <f aca="false">Sens!$C$1485</f>
        <v>25.2781053077374</v>
      </c>
      <c r="D1598" s="38" t="n">
        <f aca="false">Sens!$D$1485</f>
        <v>69.5686316310026</v>
      </c>
      <c r="E1598" s="38" t="n">
        <f aca="false">Sens!$E$1485</f>
        <v>64.1899206485108</v>
      </c>
      <c r="F1598" s="38" t="n">
        <f aca="false">Sens!$F$1485</f>
        <v>120.310162486875</v>
      </c>
      <c r="G1598" s="38" t="n">
        <f aca="false">Sens!$G$1485</f>
        <v>184.500083135386</v>
      </c>
      <c r="H1598" s="38" t="n">
        <f aca="false">Sens!$H$1485</f>
        <v>248.214206180938</v>
      </c>
      <c r="I1598" s="38" t="n">
        <f aca="false">Sens!$I$1485</f>
        <v>255.808087388125</v>
      </c>
      <c r="J1598" s="38" t="n">
        <f aca="false">Sens!$J$1485</f>
        <v>261.044855588125</v>
      </c>
      <c r="K1598" s="38" t="n">
        <f aca="false">Sens!$K$1485</f>
        <v>266.281623788125</v>
      </c>
      <c r="L1598" s="38" t="n">
        <f aca="false">Sens!$L$1485</f>
        <v>302.939001188125</v>
      </c>
      <c r="M1598" s="38" t="n">
        <f aca="false">Sens!$M$1485</f>
        <v>382.862448357188</v>
      </c>
    </row>
    <row r="1599" customFormat="false" ht="17.15" hidden="false" customHeight="false" outlineLevel="0" collapsed="false">
      <c r="A1599" s="5" t="s">
        <v>736</v>
      </c>
      <c r="B1599" s="0" t="s">
        <v>73</v>
      </c>
      <c r="C1599" s="38" t="n">
        <f aca="false">cx_awso*Sens!$C$1514</f>
        <v>21.0469989286053</v>
      </c>
      <c r="D1599" s="38" t="n">
        <f aca="false">cx_awso*Sens!$D$1514</f>
        <v>24.0042459822698</v>
      </c>
      <c r="E1599" s="38" t="n">
        <f aca="false">cx_awso*Sens!$E$1514</f>
        <v>14.261729404886</v>
      </c>
      <c r="F1599" s="38" t="n">
        <f aca="false">cx_awso*Sens!$F$1514</f>
        <v>15.7190020837331</v>
      </c>
      <c r="G1599" s="38" t="n">
        <f aca="false">Sens!$E$1599+Sens!$F$1599</f>
        <v>29.9807314886191</v>
      </c>
      <c r="H1599" s="38" t="n">
        <f aca="false">cx_awso*Sens!$H$1514</f>
        <v>36.1787121536283</v>
      </c>
      <c r="I1599" s="38" t="n">
        <f aca="false">cx_awso*Sens!$I$1514</f>
        <v>42.1296794430021</v>
      </c>
      <c r="J1599" s="38" t="n">
        <f aca="false">cx_awso*Sens!$J$1514</f>
        <v>47.279781889299</v>
      </c>
      <c r="K1599" s="38" t="n">
        <f aca="false">cx_awso*Sens!$K$1514</f>
        <v>51.0621644404429</v>
      </c>
      <c r="L1599" s="38" t="n">
        <f aca="false">cx_awso*Sens!$L$1514</f>
        <v>55.1471375956783</v>
      </c>
      <c r="M1599" s="38" t="n">
        <f aca="false">cx_awso*Sens!$M$1514</f>
        <v>59.5589086033326</v>
      </c>
    </row>
    <row r="1600" customFormat="false" ht="17.15" hidden="false" customHeight="false" outlineLevel="0" collapsed="false">
      <c r="A1600" s="5" t="s">
        <v>737</v>
      </c>
      <c r="B1600" s="0" t="s">
        <v>73</v>
      </c>
      <c r="C1600" s="38" t="n">
        <f aca="false">Q!$D$46-Sens!$C$1598-Sens!$C$1599</f>
        <v>31.3328957636573</v>
      </c>
      <c r="D1600" s="38" t="n">
        <f aca="false">Q!$E$46-Sens!$D$1598-Sens!$D$1599</f>
        <v>34.7471223867276</v>
      </c>
      <c r="E1600" s="38" t="n">
        <f aca="false">Q!$P$46-Sens!$E$1598-Sens!$E$1599</f>
        <v>17.8583499466032</v>
      </c>
      <c r="F1600" s="38" t="n">
        <f aca="false">cx_rt*Sens!$F$1449</f>
        <v>21.0855744229195</v>
      </c>
      <c r="G1600" s="38" t="n">
        <f aca="false">Sens!$E$1600+Sens!$F$1600</f>
        <v>38.9439243695228</v>
      </c>
      <c r="H1600" s="38" t="n">
        <f aca="false">cx_rt*Sens!$H$1449</f>
        <v>43.1200434029767</v>
      </c>
      <c r="I1600" s="38" t="n">
        <f aca="false">cx_rt*Sens!$I$1449</f>
        <v>47.1583152318763</v>
      </c>
      <c r="J1600" s="38" t="n">
        <f aca="false">cx_rt*Sens!$J$1449</f>
        <v>50.9060281137911</v>
      </c>
      <c r="K1600" s="38" t="n">
        <f aca="false">cx_rt*Sens!$K$1449</f>
        <v>54.2035645673053</v>
      </c>
      <c r="L1600" s="38" t="n">
        <f aca="false">cx_rt*Sens!$L$1449</f>
        <v>57.7318979121519</v>
      </c>
      <c r="M1600" s="38" t="n">
        <f aca="false">cx_rt*Sens!$M$1449</f>
        <v>61.5084196557756</v>
      </c>
    </row>
    <row r="1601" customFormat="false" ht="15" hidden="false" customHeight="false" outlineLevel="0" collapsed="false">
      <c r="A1601" s="3" t="s">
        <v>738</v>
      </c>
      <c r="B1601" s="8" t="s">
        <v>73</v>
      </c>
      <c r="C1601" s="38" t="n">
        <f aca="false">Q!$D$46</f>
        <v>77.658</v>
      </c>
      <c r="D1601" s="38" t="n">
        <f aca="false">Q!$E$46</f>
        <v>128.32</v>
      </c>
      <c r="E1601" s="38" t="n">
        <f aca="false">Q!$P$46</f>
        <v>96.31</v>
      </c>
      <c r="F1601" s="38" t="n">
        <f aca="false">Sens!$F$1598+Sens!$F$1599+Sens!$F$1600</f>
        <v>157.114738993528</v>
      </c>
      <c r="G1601" s="38" t="n">
        <f aca="false">Sens!$E$1601+Sens!$F$1601</f>
        <v>253.424738993528</v>
      </c>
      <c r="H1601" s="38" t="n">
        <f aca="false">Sens!$H$1598+Sens!$H$1599+Sens!$H$1600</f>
        <v>327.512961737543</v>
      </c>
      <c r="I1601" s="38" t="n">
        <f aca="false">Sens!$I$1598+Sens!$I$1599+Sens!$I$1600</f>
        <v>345.096082063003</v>
      </c>
      <c r="J1601" s="38" t="n">
        <f aca="false">Sens!$J$1598+Sens!$J$1599+Sens!$J$1600</f>
        <v>359.230665591215</v>
      </c>
      <c r="K1601" s="38" t="n">
        <f aca="false">Sens!$K$1598+Sens!$K$1599+Sens!$K$1600</f>
        <v>371.547352795873</v>
      </c>
      <c r="L1601" s="38" t="n">
        <f aca="false">Sens!$L$1598+Sens!$L$1599+Sens!$L$1600</f>
        <v>415.818036695955</v>
      </c>
      <c r="M1601" s="38" t="n">
        <f aca="false">Sens!$M$1598+Sens!$M$1599+Sens!$M$1600</f>
        <v>503.929776616296</v>
      </c>
    </row>
    <row r="1602" customFormat="false" ht="17.15" hidden="false" customHeight="false" outlineLevel="0" collapsed="false">
      <c r="A1602" s="5" t="s">
        <v>523</v>
      </c>
      <c r="B1602" s="0" t="s">
        <v>73</v>
      </c>
      <c r="C1602" s="38" t="n">
        <f aca="false">Q!$D$50</f>
        <v>2.043</v>
      </c>
      <c r="D1602" s="38" t="n">
        <f aca="false">Q!$E$50</f>
        <v>1.557</v>
      </c>
      <c r="E1602" s="38" t="n">
        <f aca="false">lease_pr/2</f>
        <v>0.8</v>
      </c>
      <c r="F1602" s="38" t="n">
        <f aca="false">lease_pr/2</f>
        <v>0.8</v>
      </c>
      <c r="G1602" s="38" t="n">
        <f aca="false">Sens!$E$1602+Sens!$F$1602</f>
        <v>1.6</v>
      </c>
      <c r="H1602" s="38" t="n">
        <f aca="false">lease_pr</f>
        <v>1.6</v>
      </c>
      <c r="I1602" s="38" t="n">
        <f aca="false">lease_pr</f>
        <v>1.6</v>
      </c>
      <c r="J1602" s="38" t="n">
        <f aca="false">lease_pr</f>
        <v>1.6</v>
      </c>
      <c r="K1602" s="38" t="n">
        <f aca="false">lease_pr</f>
        <v>1.6</v>
      </c>
      <c r="L1602" s="38" t="n">
        <f aca="false">lease_pr</f>
        <v>1.6</v>
      </c>
      <c r="M1602" s="38" t="n">
        <f aca="false">lease_pr</f>
        <v>1.6</v>
      </c>
      <c r="P1602" s="8" t="s">
        <v>739</v>
      </c>
    </row>
    <row r="1603" customFormat="false" ht="15" hidden="false" customHeight="false" outlineLevel="0" collapsed="false">
      <c r="A1603" s="46" t="s">
        <v>740</v>
      </c>
      <c r="B1603" s="13" t="s">
        <v>73</v>
      </c>
      <c r="C1603" s="47" t="n">
        <f aca="false">Sens!$C$1597-Sens!$C$1601-Sens!$C$1602</f>
        <v>36.176</v>
      </c>
      <c r="D1603" s="47" t="n">
        <f aca="false">Sens!$D$1597-Sens!$D$1601-Sens!$D$1602</f>
        <v>9.63700000000002</v>
      </c>
      <c r="E1603" s="47" t="n">
        <f aca="false">Sens!$E$1597-Sens!$E$1601-Sens!$E$1602</f>
        <v>-25.691</v>
      </c>
      <c r="F1603" s="47" t="n">
        <f aca="false">Sens!$F$1597-Sens!$F$1601-Sens!$F$1602</f>
        <v>-59.0014720029206</v>
      </c>
      <c r="G1603" s="47" t="n">
        <f aca="false">Sens!$G$1597-Sens!$G$1601-Sens!$G$1602</f>
        <v>-84.6924720029206</v>
      </c>
      <c r="H1603" s="47" t="n">
        <f aca="false">Sens!$H$1597-Sens!$H$1601-Sens!$H$1602</f>
        <v>-90.0439144093226</v>
      </c>
      <c r="I1603" s="47" t="n">
        <f aca="false">Sens!$I$1597-Sens!$I$1601-Sens!$I$1602</f>
        <v>-43.5334499315822</v>
      </c>
      <c r="J1603" s="47" t="n">
        <f aca="false">Sens!$J$1597-Sens!$J$1601-Sens!$J$1602</f>
        <v>6.17827504567375</v>
      </c>
      <c r="K1603" s="47" t="n">
        <f aca="false">Sens!$K$1597-Sens!$K$1601-Sens!$K$1602</f>
        <v>55.5110074740271</v>
      </c>
      <c r="L1603" s="47" t="n">
        <f aca="false">Sens!$L$1597-Sens!$L$1601-Sens!$L$1602</f>
        <v>74.6124411059335</v>
      </c>
      <c r="M1603" s="47" t="n">
        <f aca="false">Sens!$M$1597-Sens!$M$1601-Sens!$M$1602</f>
        <v>52.4478599497354</v>
      </c>
      <c r="N1603" s="13"/>
      <c r="O1603" s="13"/>
    </row>
    <row r="1604" customFormat="false" ht="17.15" hidden="false" customHeight="false" outlineLevel="0" collapsed="false">
      <c r="A1604" s="5" t="s">
        <v>741</v>
      </c>
      <c r="B1604" s="0" t="s">
        <v>73</v>
      </c>
      <c r="C1604" s="38" t="n">
        <f aca="false">dps*Sens!$C$1585</f>
        <v>0</v>
      </c>
      <c r="D1604" s="38" t="n">
        <f aca="false">dps*Sens!$D$1585</f>
        <v>0</v>
      </c>
      <c r="E1604" s="38" t="n">
        <f aca="false">dps*Sens!$E$1585</f>
        <v>0</v>
      </c>
      <c r="F1604" s="38" t="n">
        <f aca="false">0</f>
        <v>0</v>
      </c>
      <c r="G1604" s="38" t="n">
        <f aca="false">dps*Sens!$G$1585</f>
        <v>0</v>
      </c>
      <c r="H1604" s="38" t="n">
        <f aca="false">dps*Sens!$H$1585</f>
        <v>0</v>
      </c>
      <c r="I1604" s="38" t="n">
        <f aca="false">dps*Sens!$I$1585</f>
        <v>0</v>
      </c>
      <c r="J1604" s="38" t="n">
        <f aca="false">dps*Sens!$J$1585</f>
        <v>0</v>
      </c>
      <c r="K1604" s="38" t="n">
        <f aca="false">dps*Sens!$K$1585</f>
        <v>0</v>
      </c>
      <c r="L1604" s="38" t="n">
        <f aca="false">dps*Sens!$L$1585</f>
        <v>0</v>
      </c>
      <c r="M1604" s="38" t="n">
        <f aca="false">dps*Sens!$M$1585</f>
        <v>0</v>
      </c>
      <c r="P1604" s="8" t="s">
        <v>742</v>
      </c>
    </row>
    <row r="1605" customFormat="false" ht="17.15" hidden="false" customHeight="false" outlineLevel="0" collapsed="false">
      <c r="A1605" s="5" t="s">
        <v>743</v>
      </c>
      <c r="B1605" s="0" t="s">
        <v>73</v>
      </c>
      <c r="C1605" s="38" t="n">
        <f aca="false">0</f>
        <v>0</v>
      </c>
      <c r="D1605" s="38" t="n">
        <f aca="false">0</f>
        <v>0</v>
      </c>
      <c r="E1605" s="38" t="n">
        <f aca="false">0</f>
        <v>0</v>
      </c>
      <c r="F1605" s="38" t="n">
        <f aca="false">0</f>
        <v>0</v>
      </c>
      <c r="G1605" s="38" t="n">
        <f aca="false">0</f>
        <v>0</v>
      </c>
      <c r="H1605" s="38" t="n">
        <f aca="false">0</f>
        <v>0</v>
      </c>
      <c r="I1605" s="38" t="n">
        <f aca="false">0</f>
        <v>0</v>
      </c>
      <c r="J1605" s="38" t="n">
        <f aca="false">0</f>
        <v>0</v>
      </c>
      <c r="K1605" s="38" t="n">
        <f aca="false">0</f>
        <v>0</v>
      </c>
      <c r="L1605" s="38" t="n">
        <f aca="false">0</f>
        <v>0</v>
      </c>
      <c r="M1605" s="38" t="n">
        <f aca="false">0</f>
        <v>0</v>
      </c>
      <c r="P1605" s="8" t="s">
        <v>744</v>
      </c>
    </row>
    <row r="1606" customFormat="false" ht="15" hidden="false" customHeight="false" outlineLevel="0" collapsed="false">
      <c r="A1606" s="3" t="s">
        <v>745</v>
      </c>
      <c r="B1606" s="8" t="s">
        <v>73</v>
      </c>
      <c r="C1606" s="38" t="n">
        <f aca="false">Sens!$C$1603-Sens!$C$1604</f>
        <v>36.176</v>
      </c>
      <c r="D1606" s="38" t="n">
        <f aca="false">Sens!$D$1603-Sens!$D$1604</f>
        <v>9.63700000000002</v>
      </c>
      <c r="E1606" s="38" t="n">
        <f aca="false">Sens!$E$1603-Sens!$E$1604</f>
        <v>-25.691</v>
      </c>
      <c r="F1606" s="38" t="n">
        <f aca="false">Sens!$F$1603-Sens!$F$1604</f>
        <v>-59.0014720029206</v>
      </c>
      <c r="G1606" s="38" t="n">
        <f aca="false">Sens!$G$1603-Sens!$G$1604</f>
        <v>-84.6924720029206</v>
      </c>
      <c r="H1606" s="38" t="n">
        <f aca="false">Sens!$H$1603-Sens!$H$1604</f>
        <v>-90.0439144093226</v>
      </c>
      <c r="I1606" s="38" t="n">
        <f aca="false">Sens!$I$1603-Sens!$I$1604</f>
        <v>-43.5334499315822</v>
      </c>
      <c r="J1606" s="38" t="n">
        <f aca="false">Sens!$J$1603-Sens!$J$1604</f>
        <v>6.17827504567375</v>
      </c>
      <c r="K1606" s="38" t="n">
        <f aca="false">Sens!$K$1603-Sens!$K$1604</f>
        <v>55.5110074740271</v>
      </c>
      <c r="L1606" s="38" t="n">
        <f aca="false">Sens!$L$1603-Sens!$L$1604</f>
        <v>74.6124411059335</v>
      </c>
      <c r="M1606" s="38" t="n">
        <f aca="false">Sens!$M$1603-Sens!$M$1604</f>
        <v>52.4478599497354</v>
      </c>
    </row>
    <row r="1607" customFormat="false" ht="17.15" hidden="false" customHeight="false" outlineLevel="0" collapsed="false">
      <c r="A1607" s="5" t="s">
        <v>746</v>
      </c>
      <c r="B1607" s="0" t="s">
        <v>73</v>
      </c>
      <c r="E1607" s="38" t="n">
        <f aca="false">Q!$P$53</f>
        <v>39.767</v>
      </c>
      <c r="F1607" s="38" t="n">
        <f aca="false">inv_2h26</f>
        <v>21.3</v>
      </c>
      <c r="G1607" s="38" t="n">
        <f aca="false">Sens!$E$1607+Sens!$F$1607</f>
        <v>61.067</v>
      </c>
      <c r="H1607" s="41" t="n">
        <v>0</v>
      </c>
      <c r="I1607" s="41" t="n">
        <v>0</v>
      </c>
      <c r="J1607" s="41" t="n">
        <v>0</v>
      </c>
      <c r="K1607" s="41" t="n">
        <v>0</v>
      </c>
      <c r="L1607" s="41" t="n">
        <v>0</v>
      </c>
      <c r="M1607" s="41" t="n">
        <v>0</v>
      </c>
    </row>
    <row r="1608" customFormat="false" ht="17.15" hidden="false" customHeight="false" outlineLevel="0" collapsed="false">
      <c r="A1608" s="5" t="s">
        <v>747</v>
      </c>
      <c r="B1608" s="0" t="s">
        <v>73</v>
      </c>
      <c r="F1608" s="38" t="n">
        <f aca="false">iss_2h26</f>
        <v>29.25</v>
      </c>
      <c r="G1608" s="38" t="n">
        <f aca="false">Sens!$F$1608</f>
        <v>29.25</v>
      </c>
      <c r="H1608" s="41" t="n">
        <v>0</v>
      </c>
      <c r="I1608" s="41" t="n">
        <v>0</v>
      </c>
      <c r="J1608" s="41" t="n">
        <v>0</v>
      </c>
      <c r="K1608" s="41" t="n">
        <v>0</v>
      </c>
      <c r="L1608" s="41" t="n">
        <v>0</v>
      </c>
      <c r="M1608" s="41" t="n">
        <v>0</v>
      </c>
    </row>
    <row r="1609" customFormat="false" ht="17.15" hidden="false" customHeight="false" outlineLevel="0" collapsed="false">
      <c r="A1609" s="5" t="s">
        <v>748</v>
      </c>
      <c r="B1609" s="0" t="s">
        <v>73</v>
      </c>
      <c r="F1609" s="38" t="n">
        <f aca="false">cash_q2</f>
        <v>122.988</v>
      </c>
      <c r="G1609" s="38" t="n">
        <f aca="false">cash_q2</f>
        <v>122.988</v>
      </c>
      <c r="H1609" s="38" t="n">
        <f aca="false">Sens!$G$1612</f>
        <v>71.9365279970795</v>
      </c>
      <c r="I1609" s="38" t="n">
        <f aca="false">Sens!$H$1612</f>
        <v>50</v>
      </c>
      <c r="J1609" s="38" t="n">
        <f aca="false">Sens!$I$1612</f>
        <v>50</v>
      </c>
      <c r="K1609" s="38" t="n">
        <f aca="false">Sens!$J$1612</f>
        <v>56.1782750456738</v>
      </c>
      <c r="L1609" s="38" t="n">
        <f aca="false">Sens!$K$1612</f>
        <v>111.689282519701</v>
      </c>
      <c r="M1609" s="38" t="n">
        <f aca="false">Sens!$L$1612</f>
        <v>186.301723625634</v>
      </c>
    </row>
    <row r="1610" customFormat="false" ht="15" hidden="false" customHeight="false" outlineLevel="0" collapsed="false">
      <c r="A1610" s="5" t="s">
        <v>749</v>
      </c>
      <c r="B1610" s="0" t="s">
        <v>73</v>
      </c>
      <c r="F1610" s="38" t="n">
        <f aca="false">Sens!$F$1609+Sens!$F$1606-Sens!$F$1605-Sens!$F$1607+Sens!$F$1608</f>
        <v>71.9365279970795</v>
      </c>
      <c r="H1610" s="38" t="n">
        <f aca="false">Sens!$H$1609+Sens!$H$1606-Sens!$H$1605-Sens!$H$1607+Sens!$H$1608</f>
        <v>-18.1073864122432</v>
      </c>
      <c r="I1610" s="38" t="n">
        <f aca="false">Sens!$I$1609+Sens!$I$1606-Sens!$I$1605-Sens!$I$1607+Sens!$I$1608</f>
        <v>6.46655006841782</v>
      </c>
      <c r="J1610" s="38" t="n">
        <f aca="false">Sens!$J$1609+Sens!$J$1606-Sens!$J$1605-Sens!$J$1607+Sens!$J$1608</f>
        <v>56.1782750456738</v>
      </c>
      <c r="K1610" s="38" t="n">
        <f aca="false">Sens!$K$1609+Sens!$K$1606-Sens!$K$1605-Sens!$K$1607+Sens!$K$1608</f>
        <v>111.689282519701</v>
      </c>
      <c r="L1610" s="38" t="n">
        <f aca="false">Sens!$L$1609+Sens!$L$1606-Sens!$L$1605-Sens!$L$1607+Sens!$L$1608</f>
        <v>186.301723625634</v>
      </c>
      <c r="M1610" s="38" t="n">
        <f aca="false">Sens!$M$1609+Sens!$M$1606-Sens!$M$1605-Sens!$M$1607+Sens!$M$1608</f>
        <v>238.74958357537</v>
      </c>
    </row>
    <row r="1611" customFormat="false" ht="17.15" hidden="false" customHeight="false" outlineLevel="0" collapsed="false">
      <c r="A1611" s="5" t="s">
        <v>750</v>
      </c>
      <c r="B1611" s="0" t="s">
        <v>73</v>
      </c>
      <c r="F1611" s="38" t="n">
        <f aca="false">MAX(0,min_cash-Sens!$F$1610)</f>
        <v>0</v>
      </c>
      <c r="G1611" s="38" t="n">
        <f aca="false">Sens!$F$1611</f>
        <v>0</v>
      </c>
      <c r="H1611" s="38" t="n">
        <f aca="false">MAX(0,min_cash-Sens!$H$1610)</f>
        <v>68.1073864122432</v>
      </c>
      <c r="I1611" s="38" t="n">
        <f aca="false">MAX(0,min_cash-Sens!$I$1610)</f>
        <v>43.5334499315822</v>
      </c>
      <c r="J1611" s="38" t="n">
        <f aca="false">MAX(0,min_cash-Sens!$J$1610)</f>
        <v>0</v>
      </c>
      <c r="K1611" s="38" t="n">
        <f aca="false">MAX(0,min_cash-Sens!$K$1610)</f>
        <v>0</v>
      </c>
      <c r="L1611" s="38" t="n">
        <f aca="false">MAX(0,min_cash-Sens!$L$1610)</f>
        <v>0</v>
      </c>
      <c r="M1611" s="38" t="n">
        <f aca="false">MAX(0,min_cash-Sens!$M$1610)</f>
        <v>0</v>
      </c>
      <c r="P1611" s="5" t="s">
        <v>751</v>
      </c>
    </row>
    <row r="1612" customFormat="false" ht="15" hidden="false" customHeight="false" outlineLevel="0" collapsed="false">
      <c r="A1612" s="5" t="s">
        <v>752</v>
      </c>
      <c r="B1612" s="0" t="s">
        <v>73</v>
      </c>
      <c r="D1612" s="38" t="n">
        <f aca="false">Q!$E$61</f>
        <v>123.029</v>
      </c>
      <c r="E1612" s="38" t="n">
        <f aca="false">Q!$M$61</f>
        <v>122.988</v>
      </c>
      <c r="F1612" s="38" t="n">
        <f aca="false">Sens!$F$1610+Sens!$F$1611</f>
        <v>71.9365279970795</v>
      </c>
      <c r="G1612" s="38" t="n">
        <f aca="false">Sens!$F$1612</f>
        <v>71.9365279970795</v>
      </c>
      <c r="H1612" s="38" t="n">
        <f aca="false">Sens!$H$1610+Sens!$H$1611</f>
        <v>50</v>
      </c>
      <c r="I1612" s="38" t="n">
        <f aca="false">Sens!$I$1610+Sens!$I$1611</f>
        <v>50</v>
      </c>
      <c r="J1612" s="38" t="n">
        <f aca="false">Sens!$J$1610+Sens!$J$1611</f>
        <v>56.1782750456738</v>
      </c>
      <c r="K1612" s="38" t="n">
        <f aca="false">Sens!$K$1610+Sens!$K$1611</f>
        <v>111.689282519701</v>
      </c>
      <c r="L1612" s="38" t="n">
        <f aca="false">Sens!$L$1610+Sens!$L$1611</f>
        <v>186.301723625634</v>
      </c>
      <c r="M1612" s="38" t="n">
        <f aca="false">Sens!$M$1610+Sens!$M$1611</f>
        <v>238.74958357537</v>
      </c>
    </row>
    <row r="1613" customFormat="false" ht="15" hidden="false" customHeight="false" outlineLevel="0" collapsed="false">
      <c r="A1613" s="5" t="s">
        <v>753</v>
      </c>
      <c r="B1613" s="0" t="s">
        <v>73</v>
      </c>
      <c r="D1613" s="38" t="n">
        <f aca="false">Q!$E$62</f>
        <v>68.836</v>
      </c>
      <c r="E1613" s="38" t="n">
        <f aca="false">Q!$M$62</f>
        <v>132.995</v>
      </c>
      <c r="F1613" s="38" t="n">
        <f aca="false">debt_q2+Sens!$F$1608+Sens!$F$1611</f>
        <v>162.245</v>
      </c>
      <c r="G1613" s="38" t="n">
        <f aca="false">Sens!$F$1613</f>
        <v>162.245</v>
      </c>
      <c r="H1613" s="38" t="n">
        <f aca="false">Sens!$G$1613+Sens!$H$1611</f>
        <v>230.352386412243</v>
      </c>
      <c r="I1613" s="38" t="n">
        <f aca="false">Sens!$H$1613+Sens!$I$1611</f>
        <v>273.885836343825</v>
      </c>
      <c r="J1613" s="38" t="n">
        <f aca="false">Sens!$I$1613+Sens!$J$1611</f>
        <v>273.885836343825</v>
      </c>
      <c r="K1613" s="38" t="n">
        <f aca="false">Sens!$J$1613+Sens!$K$1611</f>
        <v>273.885836343825</v>
      </c>
      <c r="L1613" s="38" t="n">
        <f aca="false">Sens!$K$1613+Sens!$L$1611</f>
        <v>273.885836343825</v>
      </c>
      <c r="M1613" s="38" t="n">
        <f aca="false">Sens!$L$1613+Sens!$M$1611</f>
        <v>273.885836343825</v>
      </c>
    </row>
    <row r="1614" customFormat="false" ht="15" hidden="false" customHeight="false" outlineLevel="0" collapsed="false">
      <c r="A1614" s="5" t="s">
        <v>754</v>
      </c>
      <c r="B1614" s="0" t="s">
        <v>73</v>
      </c>
      <c r="D1614" s="38" t="n">
        <f aca="false">Sens!$D$1613-Sens!$D$1612</f>
        <v>-54.193</v>
      </c>
      <c r="E1614" s="38" t="n">
        <f aca="false">Sens!$E$1613-Sens!$E$1612</f>
        <v>10.007</v>
      </c>
      <c r="F1614" s="38" t="n">
        <f aca="false">Sens!$F$1613-Sens!$F$1612</f>
        <v>90.3084720029206</v>
      </c>
      <c r="G1614" s="38" t="n">
        <f aca="false">Sens!$G$1613-Sens!$G$1612</f>
        <v>90.3084720029206</v>
      </c>
      <c r="H1614" s="38" t="n">
        <f aca="false">Sens!$H$1613-Sens!$H$1612</f>
        <v>180.352386412243</v>
      </c>
      <c r="I1614" s="38" t="n">
        <f aca="false">Sens!$I$1613-Sens!$I$1612</f>
        <v>223.885836343825</v>
      </c>
      <c r="J1614" s="38" t="n">
        <f aca="false">Sens!$J$1613-Sens!$J$1612</f>
        <v>217.707561298152</v>
      </c>
      <c r="K1614" s="38" t="n">
        <f aca="false">Sens!$K$1613-Sens!$K$1612</f>
        <v>162.196553824124</v>
      </c>
      <c r="L1614" s="38" t="n">
        <f aca="false">Sens!$L$1613-Sens!$L$1612</f>
        <v>87.584112718191</v>
      </c>
      <c r="M1614" s="38" t="n">
        <f aca="false">Sens!$M$1613-Sens!$M$1612</f>
        <v>35.1362527684556</v>
      </c>
    </row>
    <row r="1615" customFormat="false" ht="17.15" hidden="false" customHeight="false" outlineLevel="0" collapsed="false">
      <c r="A1615" s="5" t="s">
        <v>755</v>
      </c>
      <c r="B1615" s="0" t="s">
        <v>73</v>
      </c>
      <c r="F1615" s="38" t="n">
        <f aca="false">debt_q2*kd_book*0.5+iss_2h26*kd_new*0.25</f>
        <v>3.24888964316061</v>
      </c>
      <c r="H1615" s="38" t="n">
        <f aca="false">debt_q2*kd_book+(Sens!$G$1613-debt_q2)*kd_new</f>
        <v>7.42354178632123</v>
      </c>
      <c r="I1615" s="38" t="n">
        <f aca="false">debt_q2*kd_book+(Sens!$H$1613-debt_q2)*kd_new</f>
        <v>11.7347393462162</v>
      </c>
      <c r="J1615" s="38" t="n">
        <f aca="false">debt_q2*kd_book+(Sens!$I$1613-debt_q2)*kd_new</f>
        <v>14.4904067268854</v>
      </c>
      <c r="K1615" s="38" t="n">
        <f aca="false">debt_q2*kd_book+(Sens!$J$1613-debt_q2)*kd_new</f>
        <v>14.4904067268854</v>
      </c>
      <c r="L1615" s="38" t="n">
        <f aca="false">debt_q2*kd_book+(Sens!$K$1613-debt_q2)*kd_new</f>
        <v>14.4904067268854</v>
      </c>
      <c r="M1615" s="38" t="n">
        <f aca="false">debt_q2*kd_book+(Sens!$L$1613-debt_q2)*kd_new</f>
        <v>14.4904067268854</v>
      </c>
    </row>
    <row r="1616" customFormat="false" ht="17.15" hidden="false" customHeight="false" outlineLevel="0" collapsed="false">
      <c r="A1616" s="5" t="s">
        <v>756</v>
      </c>
      <c r="B1616" s="0" t="s">
        <v>73</v>
      </c>
      <c r="F1616" s="38" t="n">
        <f aca="false">cash_q2*y_cash*0.5</f>
        <v>2.59</v>
      </c>
      <c r="H1616" s="38" t="n">
        <f aca="false">Sens!$G$1612*y_cash</f>
        <v>3.02981766534029</v>
      </c>
      <c r="I1616" s="38" t="n">
        <f aca="false">Sens!$H$1612*y_cash</f>
        <v>2.10589651022864</v>
      </c>
      <c r="J1616" s="38" t="n">
        <f aca="false">Sens!$I$1612*y_cash</f>
        <v>2.10589651022864</v>
      </c>
      <c r="K1616" s="38" t="n">
        <f aca="false">Sens!$J$1612*y_cash</f>
        <v>2.36611266738698</v>
      </c>
      <c r="L1616" s="38" t="n">
        <f aca="false">Sens!$K$1612*y_cash</f>
        <v>4.70412140576357</v>
      </c>
      <c r="M1616" s="38" t="n">
        <f aca="false">Sens!$L$1612*y_cash</f>
        <v>7.84664299265608</v>
      </c>
    </row>
    <row r="1617" customFormat="false" ht="17.15" hidden="false" customHeight="false" outlineLevel="0" collapsed="false">
      <c r="A1617" s="46" t="s">
        <v>757</v>
      </c>
      <c r="B1617" s="13" t="s">
        <v>73</v>
      </c>
      <c r="C1617" s="13"/>
      <c r="D1617" s="13"/>
      <c r="E1617" s="13"/>
      <c r="F1617" s="13"/>
      <c r="G1617" s="47" t="n">
        <f aca="false">SUM(Sens!$G$1606:$K$1606)</f>
        <v>-156.580553824124</v>
      </c>
      <c r="H1617" s="13"/>
      <c r="I1617" s="13"/>
      <c r="J1617" s="13"/>
      <c r="K1617" s="13"/>
      <c r="L1617" s="13"/>
      <c r="M1617" s="13"/>
      <c r="N1617" s="13"/>
      <c r="O1617" s="13"/>
    </row>
    <row r="1618" customFormat="false" ht="17.15" hidden="false" customHeight="false" outlineLevel="0" collapsed="false">
      <c r="A1618" s="0" t="s">
        <v>724</v>
      </c>
      <c r="B1618" s="0" t="s">
        <v>73</v>
      </c>
      <c r="G1618" s="38" t="n">
        <f aca="false">SUM(Sens!$G$1611:$K$1611)</f>
        <v>111.640836343825</v>
      </c>
    </row>
    <row r="1621" customFormat="false" ht="19.4" hidden="false" customHeight="false" outlineLevel="0" collapsed="false">
      <c r="A1621" s="31" t="s">
        <v>1079</v>
      </c>
    </row>
    <row r="1622" customFormat="false" ht="17.15" hidden="false" customHeight="false" outlineLevel="0" collapsed="false">
      <c r="A1622" s="6" t="s">
        <v>16</v>
      </c>
      <c r="B1622" s="6" t="s">
        <v>17</v>
      </c>
      <c r="C1622" s="20" t="s">
        <v>457</v>
      </c>
      <c r="D1622" s="20" t="s">
        <v>458</v>
      </c>
      <c r="E1622" s="20" t="s">
        <v>540</v>
      </c>
      <c r="F1622" s="20" t="s">
        <v>541</v>
      </c>
      <c r="G1622" s="20" t="s">
        <v>542</v>
      </c>
      <c r="H1622" s="20" t="s">
        <v>543</v>
      </c>
      <c r="I1622" s="20" t="s">
        <v>544</v>
      </c>
      <c r="J1622" s="20" t="s">
        <v>545</v>
      </c>
      <c r="K1622" s="20" t="s">
        <v>546</v>
      </c>
      <c r="L1622" s="20" t="s">
        <v>547</v>
      </c>
      <c r="M1622" s="20" t="s">
        <v>548</v>
      </c>
      <c r="N1622" s="20" t="s">
        <v>549</v>
      </c>
      <c r="O1622" s="20" t="s">
        <v>550</v>
      </c>
      <c r="P1622" s="6" t="s">
        <v>23</v>
      </c>
      <c r="R1622" s="20" t="n">
        <v>2023</v>
      </c>
      <c r="S1622" s="20" t="n">
        <v>2024</v>
      </c>
      <c r="T1622" s="20" t="n">
        <v>2025</v>
      </c>
      <c r="U1622" s="20" t="n">
        <v>2026</v>
      </c>
      <c r="V1622" s="20" t="n">
        <v>2027</v>
      </c>
      <c r="W1622" s="20" t="n">
        <v>2028</v>
      </c>
      <c r="X1622" s="20" t="n">
        <v>2029</v>
      </c>
      <c r="Y1622" s="20" t="n">
        <v>2030</v>
      </c>
      <c r="Z1622" s="20" t="n">
        <v>2031</v>
      </c>
      <c r="AA1622" s="20" t="n">
        <v>2032</v>
      </c>
    </row>
    <row r="1623" customFormat="false" ht="17.15" hidden="false" customHeight="false" outlineLevel="0" collapsed="false">
      <c r="A1623" s="1" t="s">
        <v>852</v>
      </c>
    </row>
    <row r="1624" customFormat="false" ht="17.15" hidden="false" customHeight="false" outlineLevel="0" collapsed="false">
      <c r="A1624" s="0" t="s">
        <v>853</v>
      </c>
      <c r="B1624" s="0" t="s">
        <v>73</v>
      </c>
      <c r="H1624" s="38" t="n">
        <f aca="false">Sens!$H$1560*(1-tax)</f>
        <v>115.493224806375</v>
      </c>
      <c r="I1624" s="38" t="n">
        <f aca="false">Sens!$I$1560*(1-tax)</f>
        <v>136.84741850317</v>
      </c>
      <c r="J1624" s="38" t="n">
        <f aca="false">Sens!$J$1560*(1-tax)</f>
        <v>155.743838503068</v>
      </c>
      <c r="K1624" s="38" t="n">
        <f aca="false">Sens!$K$1560*(1-tax)</f>
        <v>171.104005493341</v>
      </c>
      <c r="L1624" s="38" t="n">
        <f aca="false">Sens!$L$1560*(1-tax)</f>
        <v>187.926624571938</v>
      </c>
      <c r="M1624" s="38" t="n">
        <f aca="false">Sens!$M$1560*(1-tax)</f>
        <v>205.335024630289</v>
      </c>
    </row>
    <row r="1625" customFormat="false" ht="15" hidden="false" customHeight="false" outlineLevel="0" collapsed="false">
      <c r="A1625" s="5" t="s">
        <v>854</v>
      </c>
      <c r="B1625" s="0" t="s">
        <v>73</v>
      </c>
      <c r="H1625" s="38" t="n">
        <f aca="false">Sens!$H$1572</f>
        <v>91.0233479293629</v>
      </c>
      <c r="I1625" s="38" t="n">
        <f aca="false">Sens!$I$1572</f>
        <v>132.564377412148</v>
      </c>
      <c r="J1625" s="38" t="n">
        <f aca="false">Sens!$J$1572</f>
        <v>174.587481243835</v>
      </c>
      <c r="K1625" s="38" t="n">
        <f aca="false">Sens!$K$1572</f>
        <v>215.988062991318</v>
      </c>
      <c r="L1625" s="38" t="n">
        <f aca="false">Sens!$L$1572</f>
        <v>255.730578940177</v>
      </c>
      <c r="M1625" s="38" t="n">
        <f aca="false">Sens!$M$1572</f>
        <v>296.581571439203</v>
      </c>
    </row>
    <row r="1626" customFormat="false" ht="15" hidden="false" customHeight="false" outlineLevel="0" collapsed="false">
      <c r="A1626" s="5" t="s">
        <v>855</v>
      </c>
      <c r="B1626" s="0" t="s">
        <v>73</v>
      </c>
      <c r="H1626" s="38" t="n">
        <f aca="false">Sens!$H$1601</f>
        <v>327.512961737543</v>
      </c>
      <c r="I1626" s="38" t="n">
        <f aca="false">Sens!$I$1601</f>
        <v>345.096082063003</v>
      </c>
      <c r="J1626" s="38" t="n">
        <f aca="false">Sens!$J$1601</f>
        <v>359.230665591215</v>
      </c>
      <c r="K1626" s="38" t="n">
        <f aca="false">Sens!$K$1601</f>
        <v>371.547352795873</v>
      </c>
      <c r="L1626" s="38" t="n">
        <f aca="false">Sens!$L$1601</f>
        <v>415.818036695955</v>
      </c>
      <c r="M1626" s="38" t="n">
        <f aca="false">Sens!$M$1601</f>
        <v>503.929776616296</v>
      </c>
    </row>
    <row r="1627" customFormat="false" ht="15" hidden="false" customHeight="false" outlineLevel="0" collapsed="false">
      <c r="A1627" s="5" t="s">
        <v>856</v>
      </c>
      <c r="B1627" s="0" t="s">
        <v>73</v>
      </c>
      <c r="H1627" s="38" t="n">
        <f aca="false">Sens!$H$1602</f>
        <v>1.6</v>
      </c>
      <c r="I1627" s="38" t="n">
        <f aca="false">Sens!$I$1602</f>
        <v>1.6</v>
      </c>
      <c r="J1627" s="38" t="n">
        <f aca="false">Sens!$J$1602</f>
        <v>1.6</v>
      </c>
      <c r="K1627" s="38" t="n">
        <f aca="false">Sens!$K$1602</f>
        <v>1.6</v>
      </c>
      <c r="L1627" s="38" t="n">
        <f aca="false">Sens!$L$1602</f>
        <v>1.6</v>
      </c>
      <c r="M1627" s="38" t="n">
        <f aca="false">Sens!$M$1602</f>
        <v>1.6</v>
      </c>
    </row>
    <row r="1628" customFormat="false" ht="15" hidden="false" customHeight="false" outlineLevel="0" collapsed="false">
      <c r="A1628" s="5" t="s">
        <v>857</v>
      </c>
      <c r="B1628" s="0" t="s">
        <v>73</v>
      </c>
      <c r="H1628" s="38" t="n">
        <f aca="false">Sens!$H$1596</f>
        <v>11.7569679046973</v>
      </c>
      <c r="I1628" s="38" t="n">
        <f aca="false">Sens!$I$1596</f>
        <v>13.5521015280555</v>
      </c>
      <c r="J1628" s="38" t="n">
        <f aca="false">Sens!$J$1596</f>
        <v>15.243052837371</v>
      </c>
      <c r="K1628" s="38" t="n">
        <f aca="false">Sens!$K$1596</f>
        <v>16.7616352177157</v>
      </c>
      <c r="L1628" s="38" t="n">
        <f aca="false">Sens!$L$1596</f>
        <v>18.345590017663</v>
      </c>
      <c r="M1628" s="38" t="n">
        <f aca="false">Sens!$M$1596</f>
        <v>19.9997034522394</v>
      </c>
    </row>
    <row r="1629" customFormat="false" ht="17.15" hidden="false" customHeight="false" outlineLevel="0" collapsed="false">
      <c r="A1629" s="1" t="s">
        <v>858</v>
      </c>
      <c r="B1629" s="8" t="s">
        <v>73</v>
      </c>
      <c r="H1629" s="38" t="n">
        <f aca="false">Sens!$H$1624+Sens!$H$1625-Sens!$H$1626-Sens!$H$1627+Sens!$H$1628</f>
        <v>-110.839421097107</v>
      </c>
      <c r="I1629" s="38" t="n">
        <f aca="false">Sens!$I$1624+Sens!$I$1625-Sens!$I$1626-Sens!$I$1627+Sens!$I$1628</f>
        <v>-63.7321846196297</v>
      </c>
      <c r="J1629" s="38" t="n">
        <f aca="false">Sens!$J$1624+Sens!$J$1625-Sens!$J$1626-Sens!$J$1627+Sens!$J$1628</f>
        <v>-15.2562930069408</v>
      </c>
      <c r="K1629" s="38" t="n">
        <f aca="false">Sens!$K$1624+Sens!$K$1625-Sens!$K$1626-Sens!$K$1627+Sens!$K$1628</f>
        <v>30.7063509065017</v>
      </c>
      <c r="L1629" s="38" t="n">
        <f aca="false">Sens!$L$1624+Sens!$L$1625-Sens!$L$1626-Sens!$L$1627+Sens!$L$1628</f>
        <v>44.5847568338231</v>
      </c>
      <c r="M1629" s="38" t="n">
        <f aca="false">Sens!$M$1624+Sens!$M$1625-Sens!$M$1626-Sens!$M$1627+Sens!$M$1628</f>
        <v>16.3865229054361</v>
      </c>
    </row>
    <row r="1630" customFormat="false" ht="15" hidden="false" customHeight="false" outlineLevel="0" collapsed="false">
      <c r="A1630" s="5" t="s">
        <v>859</v>
      </c>
      <c r="B1630" s="0" t="s">
        <v>57</v>
      </c>
      <c r="H1630" s="51" t="n">
        <f aca="false">1/(1+wacc)^(2027-2026-0.5)</f>
        <v>0.942858177653364</v>
      </c>
      <c r="I1630" s="51" t="n">
        <f aca="false">1/(1+wacc)^(2028-2026-0.5)</f>
        <v>0.838183517758688</v>
      </c>
      <c r="J1630" s="51" t="n">
        <f aca="false">1/(1+wacc)^(2029-2026-0.5)</f>
        <v>0.745129677074952</v>
      </c>
      <c r="K1630" s="51" t="n">
        <f aca="false">1/(1+wacc)^(2030-2026-0.5)</f>
        <v>0.662406530186232</v>
      </c>
      <c r="L1630" s="51" t="n">
        <f aca="false">1/(1+wacc)^(2031-2026-0.5)</f>
        <v>0.588867179409399</v>
      </c>
      <c r="M1630" s="51" t="n">
        <f aca="false">1/(1+wacc)^(2032-2026-0.5)</f>
        <v>0.52349205387225</v>
      </c>
    </row>
    <row r="1631" customFormat="false" ht="15" hidden="false" customHeight="false" outlineLevel="0" collapsed="false">
      <c r="A1631" s="5" t="s">
        <v>860</v>
      </c>
      <c r="B1631" s="0" t="s">
        <v>73</v>
      </c>
      <c r="H1631" s="38" t="n">
        <f aca="false">Sens!$H$1629*Sens!$H$1630</f>
        <v>-104.505854587772</v>
      </c>
      <c r="I1631" s="38" t="n">
        <f aca="false">Sens!$I$1629*Sens!$I$1630</f>
        <v>-53.4192666989274</v>
      </c>
      <c r="J1631" s="38" t="n">
        <f aca="false">Sens!$J$1629*Sens!$J$1630</f>
        <v>-11.3679166816226</v>
      </c>
      <c r="K1631" s="38" t="n">
        <f aca="false">Sens!$K$1629*Sens!$K$1630</f>
        <v>20.3400873586566</v>
      </c>
      <c r="L1631" s="38" t="n">
        <f aca="false">Sens!$L$1629*Sens!$L$1630</f>
        <v>26.2545000013873</v>
      </c>
      <c r="M1631" s="38" t="n">
        <f aca="false">Sens!$M$1629*Sens!$M$1630</f>
        <v>8.5782145315914</v>
      </c>
    </row>
    <row r="1632" customFormat="false" ht="15" hidden="false" customHeight="false" outlineLevel="0" collapsed="false">
      <c r="A1632" s="5" t="s">
        <v>861</v>
      </c>
      <c r="B1632" s="0" t="s">
        <v>73</v>
      </c>
      <c r="C1632" s="38" t="n">
        <f aca="false">SUM(Sens!$H$1631:$M$1631)</f>
        <v>-114.120236076687</v>
      </c>
    </row>
    <row r="1633" customFormat="false" ht="17.15" hidden="false" customHeight="false" outlineLevel="0" collapsed="false">
      <c r="A1633" s="5" t="s">
        <v>862</v>
      </c>
      <c r="B1633" s="0" t="s">
        <v>73</v>
      </c>
      <c r="C1633" s="38" t="n">
        <f aca="false">Sens!$M$1624*(1+tg)*(1-tg/ronic)/(wacc-tg)</f>
        <v>1693.54919748452</v>
      </c>
    </row>
    <row r="1634" customFormat="false" ht="15" hidden="false" customHeight="false" outlineLevel="0" collapsed="false">
      <c r="A1634" s="5" t="s">
        <v>863</v>
      </c>
      <c r="B1634" s="0" t="s">
        <v>73</v>
      </c>
      <c r="C1634" s="38" t="n">
        <f aca="false">Sens!$C$1633/(1+wacc)^6</f>
        <v>835.899919549063</v>
      </c>
    </row>
    <row r="1635" customFormat="false" ht="17.15" hidden="false" customHeight="false" outlineLevel="0" collapsed="false">
      <c r="A1635" s="5" t="s">
        <v>864</v>
      </c>
      <c r="B1635" s="0" t="s">
        <v>73</v>
      </c>
      <c r="C1635" s="38" t="n">
        <f aca="false">Sens!$C$1632+Sens!$C$1634</f>
        <v>721.779683472376</v>
      </c>
    </row>
    <row r="1636" customFormat="false" ht="17.15" hidden="false" customHeight="false" outlineLevel="0" collapsed="false">
      <c r="A1636" s="5" t="s">
        <v>865</v>
      </c>
      <c r="B1636" s="0" t="s">
        <v>52</v>
      </c>
      <c r="C1636" s="12" t="n">
        <f aca="false">Sens!$C$1634/Sens!$C$1635</f>
        <v>1.15810951553481</v>
      </c>
    </row>
    <row r="1637" customFormat="false" ht="17.15" hidden="false" customHeight="false" outlineLevel="0" collapsed="false">
      <c r="A1637" s="5" t="s">
        <v>866</v>
      </c>
      <c r="B1637" s="0" t="s">
        <v>73</v>
      </c>
      <c r="C1637" s="38" t="n">
        <f aca="false">Sens!$G$1614</f>
        <v>90.3084720029206</v>
      </c>
    </row>
    <row r="1638" customFormat="false" ht="17.15" hidden="false" customHeight="false" outlineLevel="0" collapsed="false">
      <c r="A1638" s="5" t="s">
        <v>867</v>
      </c>
      <c r="B1638" s="0" t="s">
        <v>73</v>
      </c>
      <c r="C1638" s="38" t="n">
        <f aca="false">(ant_val*ant_sh+oai_val*oai_sh)*(1-liq_disc)</f>
        <v>178.944</v>
      </c>
    </row>
    <row r="1639" customFormat="false" ht="15" hidden="false" customHeight="false" outlineLevel="0" collapsed="false">
      <c r="A1639" s="5" t="s">
        <v>868</v>
      </c>
      <c r="B1639" s="0" t="s">
        <v>73</v>
      </c>
      <c r="C1639" s="38" t="n">
        <f aca="false">Sens!$C$1635-Sens!$C$1637+Sens!$C$1638</f>
        <v>810.415211469456</v>
      </c>
    </row>
    <row r="1640" customFormat="false" ht="17.15" hidden="false" customHeight="false" outlineLevel="0" collapsed="false">
      <c r="A1640" s="5" t="s">
        <v>869</v>
      </c>
      <c r="B1640" s="0" t="s">
        <v>27</v>
      </c>
      <c r="C1640" s="30" t="n">
        <f aca="false">Sens!$C$1639/sh_val</f>
        <v>73.4716356641756</v>
      </c>
    </row>
    <row r="1641" customFormat="false" ht="17.15" hidden="false" customHeight="false" outlineLevel="0" collapsed="false">
      <c r="A1641" s="1" t="s">
        <v>870</v>
      </c>
      <c r="B1641" s="8" t="s">
        <v>27</v>
      </c>
      <c r="C1641" s="30" t="n">
        <f aca="false">Sens!$C$1640*(1+ke)^tp_yf</f>
        <v>81.1453748044131</v>
      </c>
    </row>
    <row r="1642" customFormat="false" ht="17.15" hidden="false" customHeight="false" outlineLevel="0" collapsed="false">
      <c r="A1642" s="3" t="s">
        <v>871</v>
      </c>
    </row>
    <row r="1643" customFormat="false" ht="17.15" hidden="false" customHeight="false" outlineLevel="0" collapsed="false">
      <c r="A1643" s="5" t="s">
        <v>872</v>
      </c>
      <c r="B1643" s="0" t="s">
        <v>73</v>
      </c>
      <c r="C1643" s="38" t="n">
        <f aca="false">0.25*Sens!$H$1573+0.75*Sens!$I$1573</f>
        <v>57.5541093268329</v>
      </c>
    </row>
    <row r="1644" customFormat="false" ht="15" hidden="false" customHeight="false" outlineLevel="0" collapsed="false">
      <c r="A1644" s="5" t="s">
        <v>873</v>
      </c>
      <c r="B1644" s="0" t="s">
        <v>57</v>
      </c>
      <c r="C1644" s="30" t="n">
        <f aca="false">m_ads*m_x</f>
        <v>9.11</v>
      </c>
    </row>
    <row r="1645" customFormat="false" ht="17.15" hidden="false" customHeight="false" outlineLevel="0" collapsed="false">
      <c r="A1645" s="5" t="s">
        <v>874</v>
      </c>
      <c r="B1645" s="0" t="s">
        <v>73</v>
      </c>
      <c r="C1645" s="38" t="n">
        <f aca="false">Sens!$C$1643*Sens!$C$1644</f>
        <v>524.317935967448</v>
      </c>
    </row>
    <row r="1646" customFormat="false" ht="17.15" hidden="false" customHeight="false" outlineLevel="0" collapsed="false">
      <c r="A1646" s="5" t="s">
        <v>875</v>
      </c>
      <c r="B1646" s="0" t="s">
        <v>73</v>
      </c>
      <c r="C1646" s="38" t="n">
        <f aca="false">0.25*Sens!$H$1574+0.75*Sens!$I$1574</f>
        <v>29.7278722040814</v>
      </c>
    </row>
    <row r="1647" customFormat="false" ht="15" hidden="false" customHeight="false" outlineLevel="0" collapsed="false">
      <c r="A1647" s="5" t="s">
        <v>876</v>
      </c>
      <c r="B1647" s="0" t="s">
        <v>57</v>
      </c>
      <c r="C1647" s="30" t="n">
        <f aca="false">m_retail*m_x</f>
        <v>17.72</v>
      </c>
    </row>
    <row r="1648" customFormat="false" ht="17.15" hidden="false" customHeight="false" outlineLevel="0" collapsed="false">
      <c r="A1648" s="5" t="s">
        <v>877</v>
      </c>
      <c r="B1648" s="0" t="s">
        <v>73</v>
      </c>
      <c r="C1648" s="38" t="n">
        <f aca="false">Sens!$C$1646*Sens!$C$1647</f>
        <v>526.777895456322</v>
      </c>
    </row>
    <row r="1649" customFormat="false" ht="17.15" hidden="false" customHeight="false" outlineLevel="0" collapsed="false">
      <c r="A1649" s="0" t="s">
        <v>878</v>
      </c>
      <c r="B1649" s="0" t="s">
        <v>73</v>
      </c>
      <c r="C1649" s="38" t="n">
        <f aca="false">0.25*Sens!$H$1575+0.75*Sens!$I$1575</f>
        <v>107.575398943098</v>
      </c>
    </row>
    <row r="1650" customFormat="false" ht="17.15" hidden="false" customHeight="false" outlineLevel="0" collapsed="false">
      <c r="A1650" s="0" t="s">
        <v>879</v>
      </c>
      <c r="B1650" s="0" t="s">
        <v>57</v>
      </c>
      <c r="C1650" s="30" t="n">
        <f aca="false">m_cloud*m_x</f>
        <v>13.82</v>
      </c>
    </row>
    <row r="1651" customFormat="false" ht="17.15" hidden="false" customHeight="false" outlineLevel="0" collapsed="false">
      <c r="A1651" s="0" t="s">
        <v>880</v>
      </c>
      <c r="B1651" s="0" t="s">
        <v>73</v>
      </c>
      <c r="C1651" s="38" t="n">
        <f aca="false">Sens!$C$1649*Sens!$C$1650</f>
        <v>1486.69201339361</v>
      </c>
    </row>
    <row r="1652" customFormat="false" ht="17.15" hidden="false" customHeight="false" outlineLevel="0" collapsed="false">
      <c r="A1652" s="0" t="s">
        <v>881</v>
      </c>
      <c r="B1652" s="0" t="s">
        <v>73</v>
      </c>
      <c r="C1652" s="38" t="n">
        <f aca="false">0.25*Sens!$H$1576+0.75*Sens!$I$1576</f>
        <v>86.4534043477101</v>
      </c>
    </row>
    <row r="1653" customFormat="false" ht="17.15" hidden="false" customHeight="false" outlineLevel="0" collapsed="false">
      <c r="A1653" s="0" t="s">
        <v>882</v>
      </c>
      <c r="B1653" s="0" t="s">
        <v>57</v>
      </c>
      <c r="C1653" s="30" t="n">
        <f aca="false">m_ai</f>
        <v>6</v>
      </c>
    </row>
    <row r="1654" customFormat="false" ht="17.15" hidden="false" customHeight="false" outlineLevel="0" collapsed="false">
      <c r="A1654" s="0" t="s">
        <v>883</v>
      </c>
      <c r="B1654" s="0" t="s">
        <v>73</v>
      </c>
      <c r="C1654" s="38" t="n">
        <f aca="false">Sens!$C$1652*Sens!$C$1653</f>
        <v>518.720426086261</v>
      </c>
    </row>
    <row r="1655" customFormat="false" ht="17.15" hidden="false" customHeight="false" outlineLevel="0" collapsed="false">
      <c r="A1655" s="5" t="s">
        <v>884</v>
      </c>
      <c r="B1655" s="0" t="s">
        <v>73</v>
      </c>
      <c r="C1655" s="38" t="n">
        <f aca="false">Sens!$C$1645+Sens!$C$1648+Sens!$C$1651+Sens!$C$1654</f>
        <v>3056.50827090364</v>
      </c>
    </row>
    <row r="1656" customFormat="false" ht="17.15" hidden="false" customHeight="false" outlineLevel="0" collapsed="false">
      <c r="A1656" s="5" t="s">
        <v>885</v>
      </c>
      <c r="B1656" s="0" t="s">
        <v>73</v>
      </c>
      <c r="C1656" s="38" t="n">
        <f aca="false">Sens!$H$1614</f>
        <v>180.352386412243</v>
      </c>
    </row>
    <row r="1657" customFormat="false" ht="15" hidden="false" customHeight="false" outlineLevel="0" collapsed="false">
      <c r="A1657" s="5" t="s">
        <v>886</v>
      </c>
      <c r="B1657" s="0" t="s">
        <v>73</v>
      </c>
      <c r="C1657" s="38" t="n">
        <f aca="false">Sens!$C$1655-Sens!$C$1656+Sens!$C$1638</f>
        <v>3055.0998844914</v>
      </c>
    </row>
    <row r="1658" customFormat="false" ht="15" hidden="false" customHeight="false" outlineLevel="0" collapsed="false">
      <c r="A1658" s="3" t="s">
        <v>887</v>
      </c>
      <c r="B1658" s="8" t="s">
        <v>27</v>
      </c>
      <c r="C1658" s="30" t="n">
        <f aca="false">Sens!$C$1657/sh_val</f>
        <v>276.973065725182</v>
      </c>
    </row>
    <row r="1659" customFormat="false" ht="17.15" hidden="false" customHeight="false" outlineLevel="0" collapsed="false">
      <c r="A1659" s="46" t="s">
        <v>888</v>
      </c>
      <c r="B1659" s="13" t="s">
        <v>27</v>
      </c>
      <c r="C1659" s="43" t="n">
        <f aca="false">w_dcf*Sens!$C$1641+(1-w_dcf)*Sens!$C$1658</f>
        <v>179.059220264798</v>
      </c>
      <c r="D1659" s="13"/>
      <c r="E1659" s="13"/>
      <c r="F1659" s="13"/>
      <c r="G1659" s="13"/>
      <c r="H1659" s="13"/>
      <c r="I1659" s="13"/>
      <c r="J1659" s="13"/>
      <c r="K1659" s="13"/>
      <c r="L1659" s="13"/>
      <c r="M1659" s="13"/>
      <c r="N1659" s="13"/>
      <c r="O1659" s="13"/>
    </row>
    <row r="1660" customFormat="false" ht="17.15" hidden="false" customHeight="false" outlineLevel="0" collapsed="false">
      <c r="A1660" s="5" t="s">
        <v>889</v>
      </c>
      <c r="B1660" s="0" t="s">
        <v>27</v>
      </c>
      <c r="C1660" s="30" t="n">
        <f aca="false">0.45*Sens!$C$1641+0.55*Sens!$C$1658</f>
        <v>188.850604810836</v>
      </c>
    </row>
    <row r="1663" customFormat="false" ht="19.4" hidden="false" customHeight="false" outlineLevel="0" collapsed="false">
      <c r="A1663" s="31" t="s">
        <v>1080</v>
      </c>
    </row>
    <row r="1664" customFormat="false" ht="17.15" hidden="false" customHeight="false" outlineLevel="0" collapsed="false">
      <c r="A1664" s="6" t="s">
        <v>16</v>
      </c>
      <c r="B1664" s="6" t="s">
        <v>17</v>
      </c>
      <c r="C1664" s="20" t="s">
        <v>457</v>
      </c>
      <c r="D1664" s="20" t="s">
        <v>458</v>
      </c>
      <c r="E1664" s="20" t="s">
        <v>540</v>
      </c>
      <c r="F1664" s="20" t="s">
        <v>541</v>
      </c>
      <c r="G1664" s="20" t="s">
        <v>542</v>
      </c>
      <c r="H1664" s="20" t="s">
        <v>543</v>
      </c>
      <c r="I1664" s="20" t="s">
        <v>544</v>
      </c>
      <c r="J1664" s="20" t="s">
        <v>545</v>
      </c>
      <c r="K1664" s="20" t="s">
        <v>546</v>
      </c>
      <c r="L1664" s="20" t="s">
        <v>547</v>
      </c>
      <c r="M1664" s="20" t="s">
        <v>548</v>
      </c>
      <c r="N1664" s="20" t="s">
        <v>549</v>
      </c>
      <c r="O1664" s="20" t="s">
        <v>550</v>
      </c>
      <c r="P1664" s="6" t="s">
        <v>23</v>
      </c>
      <c r="R1664" s="20" t="n">
        <v>2023</v>
      </c>
      <c r="S1664" s="20" t="n">
        <v>2024</v>
      </c>
      <c r="T1664" s="20" t="n">
        <v>2025</v>
      </c>
      <c r="U1664" s="20" t="n">
        <v>2026</v>
      </c>
      <c r="V1664" s="20" t="n">
        <v>2027</v>
      </c>
      <c r="W1664" s="20" t="n">
        <v>2028</v>
      </c>
      <c r="X1664" s="20" t="n">
        <v>2029</v>
      </c>
      <c r="Y1664" s="20" t="n">
        <v>2030</v>
      </c>
      <c r="Z1664" s="20" t="n">
        <v>2031</v>
      </c>
      <c r="AA1664" s="20" t="n">
        <v>2032</v>
      </c>
    </row>
    <row r="1665" customFormat="false" ht="17.15" hidden="false" customHeight="false" outlineLevel="0" collapsed="false">
      <c r="A1665" s="1" t="s">
        <v>621</v>
      </c>
    </row>
    <row r="1666" customFormat="false" ht="17.15" hidden="false" customHeight="false" outlineLevel="0" collapsed="false">
      <c r="A1666" s="0" t="s">
        <v>479</v>
      </c>
      <c r="B1666" s="0" t="s">
        <v>73</v>
      </c>
      <c r="C1666" s="38" t="n">
        <f aca="false">Q!$D$10</f>
        <v>247.029</v>
      </c>
      <c r="D1666" s="38" t="n">
        <f aca="false">Q!$E$10</f>
        <v>269.287</v>
      </c>
      <c r="E1666" s="38" t="n">
        <f aca="false">Q!$P$10</f>
        <v>134.686</v>
      </c>
      <c r="F1666" s="38" t="n">
        <f aca="false">Sens!$O$1666*(1+Sens!$F$1667)-pd_amt*Q!$O$10/(Q!$O$10+Q!$O$12)</f>
        <v>160.728085930082</v>
      </c>
      <c r="G1666" s="38" t="n">
        <f aca="false">Sens!$E$1666+Sens!$F$1666</f>
        <v>295.414085930082</v>
      </c>
      <c r="H1666" s="38" t="n">
        <f aca="false">Sens!$G$1666*(1+Sens!$H$1667)</f>
        <v>320.828163943375</v>
      </c>
      <c r="I1666" s="38" t="n">
        <f aca="false">Sens!$H$1666*(1+Sens!$I$1667)</f>
        <v>344.575578072228</v>
      </c>
      <c r="J1666" s="38" t="n">
        <f aca="false">Sens!$I$1666*(1+Sens!$J$1667)</f>
        <v>365.942555779681</v>
      </c>
      <c r="K1666" s="38" t="n">
        <f aca="false">Sens!$J$1666*(1+Sens!$K$1667)</f>
        <v>384.239683568665</v>
      </c>
      <c r="L1666" s="38" t="n">
        <f aca="false">Sens!$K$1666*(1+Sens!$L$1667)</f>
        <v>403.451667747098</v>
      </c>
      <c r="M1666" s="38" t="n">
        <f aca="false">Sens!$L$1666*(1+Sens!$M$1667)</f>
        <v>423.624251134453</v>
      </c>
      <c r="N1666" s="38" t="n">
        <f aca="false">Q!$N$10</f>
        <v>118.892</v>
      </c>
      <c r="O1666" s="38" t="n">
        <f aca="false">Q!$O$10</f>
        <v>150.395</v>
      </c>
      <c r="P1666" s="8" t="s">
        <v>622</v>
      </c>
    </row>
    <row r="1667" customFormat="false" ht="17.15" hidden="false" customHeight="false" outlineLevel="0" collapsed="false">
      <c r="A1667" s="0" t="s">
        <v>623</v>
      </c>
      <c r="B1667" s="0" t="s">
        <v>52</v>
      </c>
      <c r="E1667" s="12" t="n">
        <f aca="false">Sens!$E$1666/Sens!$N$1666-1</f>
        <v>0.132843252699929</v>
      </c>
      <c r="F1667" s="12" t="n">
        <f aca="false">Sens!$O$1666/(Q!$F$10+Q!$G$10)-1</f>
        <v>0.0980382135842941</v>
      </c>
      <c r="G1667" s="12" t="n">
        <f aca="false">Sens!$G$1666/Sens!$D$1666-1</f>
        <v>0.0970231980380869</v>
      </c>
      <c r="H1667" s="12" t="n">
        <f aca="false">Sens!$F$1667+(g_os-Sens!$F$1667)*1/4</f>
        <v>0.0860286601882206</v>
      </c>
      <c r="I1667" s="12" t="n">
        <f aca="false">Sens!$F$1667+(g_os-Sens!$F$1667)*2/4</f>
        <v>0.074019106792147</v>
      </c>
      <c r="J1667" s="12" t="n">
        <f aca="false">Sens!$F$1667+(g_os-Sens!$F$1667)*3/4</f>
        <v>0.0620095533960735</v>
      </c>
      <c r="K1667" s="12" t="n">
        <f aca="false">Sens!$F$1667+(g_os-Sens!$F$1667)*4/4</f>
        <v>0.05</v>
      </c>
      <c r="L1667" s="12" t="n">
        <f aca="false">g_os</f>
        <v>0.05</v>
      </c>
      <c r="M1667" s="12" t="n">
        <f aca="false">g_os</f>
        <v>0.05</v>
      </c>
      <c r="P1667" s="8" t="s">
        <v>624</v>
      </c>
    </row>
    <row r="1668" customFormat="false" ht="17.15" hidden="false" customHeight="false" outlineLevel="0" collapsed="false">
      <c r="A1668" s="0" t="s">
        <v>480</v>
      </c>
      <c r="B1668" s="0" t="s">
        <v>73</v>
      </c>
      <c r="C1668" s="38" t="n">
        <f aca="false">Q!$D$11</f>
        <v>21.215</v>
      </c>
      <c r="D1668" s="38" t="n">
        <f aca="false">Q!$E$11</f>
        <v>22.561</v>
      </c>
      <c r="E1668" s="38" t="n">
        <f aca="false">Q!$P$11</f>
        <v>11.579</v>
      </c>
      <c r="F1668" s="38" t="n">
        <f aca="false">Sens!$O$1668*(1+Sens!$F$1669)</f>
        <v>12.0952613121125</v>
      </c>
      <c r="G1668" s="38" t="n">
        <f aca="false">Sens!$E$1668+Sens!$F$1668</f>
        <v>23.6742613121125</v>
      </c>
      <c r="H1668" s="38" t="n">
        <f aca="false">Sens!$G$1668*(1+Sens!$H$1669)</f>
        <v>24.8803243963206</v>
      </c>
      <c r="I1668" s="38" t="n">
        <f aca="false">Sens!$H$1668*(1+Sens!$I$1669)</f>
        <v>25.9741308664154</v>
      </c>
      <c r="J1668" s="38" t="n">
        <f aca="false">Sens!$I$1668*(1+Sens!$J$1669)</f>
        <v>26.9346894124267</v>
      </c>
      <c r="K1668" s="38" t="n">
        <f aca="false">Sens!$J$1668*(1+Sens!$K$1669)</f>
        <v>27.7427300947995</v>
      </c>
      <c r="L1668" s="38" t="n">
        <f aca="false">Sens!$K$1668*(1+Sens!$L$1669)</f>
        <v>28.5750119976435</v>
      </c>
      <c r="M1668" s="38" t="n">
        <f aca="false">Sens!$L$1668*(1+Sens!$M$1669)</f>
        <v>29.4322623575728</v>
      </c>
      <c r="N1668" s="38" t="n">
        <f aca="false">Q!$N$11</f>
        <v>11.128</v>
      </c>
      <c r="O1668" s="38" t="n">
        <f aca="false">Q!$O$11</f>
        <v>11.433</v>
      </c>
      <c r="P1668" s="8" t="s">
        <v>622</v>
      </c>
    </row>
    <row r="1669" customFormat="false" ht="17.15" hidden="false" customHeight="false" outlineLevel="0" collapsed="false">
      <c r="A1669" s="0" t="s">
        <v>625</v>
      </c>
      <c r="B1669" s="0" t="s">
        <v>52</v>
      </c>
      <c r="E1669" s="12" t="n">
        <f aca="false">Sens!$E$1668/Sens!$N$1668-1</f>
        <v>0.0405283968368082</v>
      </c>
      <c r="F1669" s="12" t="n">
        <f aca="false">Sens!$O$1668/(Q!$F$11+Q!$G$11)-1</f>
        <v>0.0579254187100955</v>
      </c>
      <c r="G1669" s="12" t="n">
        <f aca="false">Sens!$G$1668/Sens!$D$1668-1</f>
        <v>0.0493445021103904</v>
      </c>
      <c r="H1669" s="12" t="n">
        <f aca="false">Sens!$F$1669+(g_ps-Sens!$F$1669)*1/4</f>
        <v>0.0509440640325716</v>
      </c>
      <c r="I1669" s="12" t="n">
        <f aca="false">Sens!$F$1669+(g_ps-Sens!$F$1669)*2/4</f>
        <v>0.0439627093550477</v>
      </c>
      <c r="J1669" s="12" t="n">
        <f aca="false">Sens!$F$1669+(g_ps-Sens!$F$1669)*3/4</f>
        <v>0.0369813546775239</v>
      </c>
      <c r="K1669" s="12" t="n">
        <f aca="false">Sens!$F$1669+(g_ps-Sens!$F$1669)*4/4</f>
        <v>0.03</v>
      </c>
      <c r="L1669" s="12" t="n">
        <f aca="false">g_ps</f>
        <v>0.03</v>
      </c>
      <c r="M1669" s="12" t="n">
        <f aca="false">g_ps</f>
        <v>0.03</v>
      </c>
      <c r="P1669" s="8" t="s">
        <v>626</v>
      </c>
    </row>
    <row r="1670" customFormat="false" ht="17.15" hidden="false" customHeight="false" outlineLevel="0" collapsed="false">
      <c r="A1670" s="0" t="s">
        <v>481</v>
      </c>
      <c r="B1670" s="0" t="s">
        <v>73</v>
      </c>
      <c r="C1670" s="38" t="n">
        <f aca="false">Q!$D$12</f>
        <v>156.146</v>
      </c>
      <c r="D1670" s="38" t="n">
        <f aca="false">Q!$E$12</f>
        <v>172.162</v>
      </c>
      <c r="E1670" s="38" t="n">
        <f aca="false">Q!$P$12</f>
        <v>88.358</v>
      </c>
      <c r="F1670" s="38" t="n">
        <f aca="false">Sens!$O$1670*(1+Sens!$F$1671)-pd_amt*Q!$O$12/(Q!$O$10+Q!$O$12)</f>
        <v>103.62028337149</v>
      </c>
      <c r="G1670" s="38" t="n">
        <f aca="false">Sens!$E$1670+Sens!$F$1670</f>
        <v>191.97828337149</v>
      </c>
      <c r="H1670" s="38" t="n">
        <f aca="false">Sens!$G$1670*(1+Sens!$H$1671)</f>
        <v>212.128608444755</v>
      </c>
      <c r="I1670" s="38" t="n">
        <f aca="false">Sens!$H$1670*(1+Sens!$I$1671)</f>
        <v>231.92183134134</v>
      </c>
      <c r="J1670" s="38" t="n">
        <f aca="false">Sens!$I$1670*(1+Sens!$J$1671)</f>
        <v>250.859136487863</v>
      </c>
      <c r="K1670" s="38" t="n">
        <f aca="false">Sens!$J$1670*(1+Sens!$K$1671)</f>
        <v>268.419276042014</v>
      </c>
      <c r="L1670" s="38" t="n">
        <f aca="false">Sens!$K$1670*(1+Sens!$L$1671)</f>
        <v>287.208625364954</v>
      </c>
      <c r="M1670" s="38" t="n">
        <f aca="false">Sens!$L$1670*(1+Sens!$M$1671)</f>
        <v>307.313229140501</v>
      </c>
      <c r="N1670" s="38" t="n">
        <f aca="false">Q!$N$12</f>
        <v>76.86</v>
      </c>
      <c r="O1670" s="38" t="n">
        <f aca="false">Q!$O$12</f>
        <v>95.302</v>
      </c>
      <c r="P1670" s="8" t="s">
        <v>622</v>
      </c>
    </row>
    <row r="1671" customFormat="false" ht="17.15" hidden="false" customHeight="false" outlineLevel="0" collapsed="false">
      <c r="A1671" s="0" t="s">
        <v>627</v>
      </c>
      <c r="B1671" s="0" t="s">
        <v>52</v>
      </c>
      <c r="E1671" s="12" t="n">
        <f aca="false">Sens!$E$1670/Sens!$N$1670-1</f>
        <v>0.1495966692688</v>
      </c>
      <c r="F1671" s="12" t="n">
        <f aca="false">Sens!$O$1670/(Q!$F$12+Q!$G$12)-1</f>
        <v>0.11661530890813</v>
      </c>
      <c r="G1671" s="12" t="n">
        <f aca="false">Sens!$G$1670/Sens!$D$1670-1</f>
        <v>0.115102539303041</v>
      </c>
      <c r="H1671" s="12" t="n">
        <f aca="false">Sens!$F$1671+(g_sp-Sens!$F$1671)*1/4</f>
        <v>0.104961481681098</v>
      </c>
      <c r="I1671" s="12" t="n">
        <f aca="false">Sens!$F$1671+(g_sp-Sens!$F$1671)*2/4</f>
        <v>0.0933076544540651</v>
      </c>
      <c r="J1671" s="12" t="n">
        <f aca="false">Sens!$F$1671+(g_sp-Sens!$F$1671)*3/4</f>
        <v>0.0816538272270325</v>
      </c>
      <c r="K1671" s="12" t="n">
        <f aca="false">Sens!$F$1671+(g_sp-Sens!$F$1671)*4/4</f>
        <v>0.07</v>
      </c>
      <c r="L1671" s="12" t="n">
        <f aca="false">g_sp</f>
        <v>0.07</v>
      </c>
      <c r="M1671" s="12" t="n">
        <f aca="false">g_sp</f>
        <v>0.07</v>
      </c>
      <c r="P1671" s="8" t="s">
        <v>628</v>
      </c>
    </row>
    <row r="1672" customFormat="false" ht="17.15" hidden="false" customHeight="false" outlineLevel="0" collapsed="false">
      <c r="A1672" s="0" t="s">
        <v>482</v>
      </c>
      <c r="B1672" s="0" t="s">
        <v>73</v>
      </c>
      <c r="C1672" s="38" t="n">
        <f aca="false">Q!$D$13</f>
        <v>56.214</v>
      </c>
      <c r="D1672" s="38" t="n">
        <f aca="false">Q!$E$13</f>
        <v>68.635</v>
      </c>
      <c r="E1672" s="38" t="n">
        <f aca="false">Q!$P$13</f>
        <v>37.052</v>
      </c>
      <c r="F1672" s="38" t="n">
        <f aca="false">Sens!$O$1672*(1+Sens!$F$1673)</f>
        <v>48.1533381827382</v>
      </c>
      <c r="G1672" s="38" t="n">
        <f aca="false">Sens!$E$1672+Sens!$F$1672</f>
        <v>85.2053381827382</v>
      </c>
      <c r="H1672" s="38" t="n">
        <f aca="false">Sens!$G$1672*(1+Sens!$H$1673)</f>
        <v>102.29336185894</v>
      </c>
      <c r="I1672" s="38" t="n">
        <f aca="false">Sens!$H$1672*(1+Sens!$I$1673)</f>
        <v>119.379837585241</v>
      </c>
      <c r="J1672" s="38" t="n">
        <f aca="false">Sens!$I$1672*(1+Sens!$J$1673)</f>
        <v>135.319079048844</v>
      </c>
      <c r="K1672" s="38" t="n">
        <f aca="false">Sens!$J$1672*(1+Sens!$K$1673)</f>
        <v>148.850986953729</v>
      </c>
      <c r="L1672" s="38" t="n">
        <f aca="false">Sens!$K$1672*(1+Sens!$L$1673)</f>
        <v>163.736085649102</v>
      </c>
      <c r="M1672" s="38" t="n">
        <f aca="false">Sens!$L$1672*(1+Sens!$M$1673)</f>
        <v>180.109694214012</v>
      </c>
      <c r="N1672" s="38" t="n">
        <f aca="false">Q!$N$13</f>
        <v>29.615</v>
      </c>
      <c r="O1672" s="38" t="n">
        <f aca="false">Q!$O$13</f>
        <v>39.02</v>
      </c>
      <c r="P1672" s="8" t="s">
        <v>622</v>
      </c>
    </row>
    <row r="1673" customFormat="false" ht="17.15" hidden="false" customHeight="false" outlineLevel="0" collapsed="false">
      <c r="A1673" s="0" t="s">
        <v>629</v>
      </c>
      <c r="B1673" s="0" t="s">
        <v>52</v>
      </c>
      <c r="E1673" s="12" t="n">
        <f aca="false">Sens!$E$1672/Sens!$N$1672-1</f>
        <v>0.25112274185379</v>
      </c>
      <c r="F1673" s="12" t="n">
        <f aca="false">Sens!$O$1672/(Q!$F$13+Q!$G$13)-1</f>
        <v>0.234068123596572</v>
      </c>
      <c r="G1673" s="12" t="n">
        <f aca="false">Sens!$G$1672/Sens!$D$1672-1</f>
        <v>0.241426942270536</v>
      </c>
      <c r="H1673" s="12" t="n">
        <f aca="false">Sens!$F$1673+(g_ad-Sens!$F$1673)*1/4</f>
        <v>0.200551092697429</v>
      </c>
      <c r="I1673" s="12" t="n">
        <f aca="false">Sens!$F$1673+(g_ad-Sens!$F$1673)*2/4</f>
        <v>0.167034061798286</v>
      </c>
      <c r="J1673" s="12" t="n">
        <f aca="false">Sens!$F$1673+(g_ad-Sens!$F$1673)*3/4</f>
        <v>0.133517030899143</v>
      </c>
      <c r="K1673" s="12" t="n">
        <f aca="false">Sens!$F$1673+(g_ad-Sens!$F$1673)*4/4</f>
        <v>0.1</v>
      </c>
      <c r="L1673" s="12" t="n">
        <f aca="false">g_ad</f>
        <v>0.1</v>
      </c>
      <c r="M1673" s="12" t="n">
        <f aca="false">g_ad</f>
        <v>0.1</v>
      </c>
      <c r="P1673" s="8" t="s">
        <v>630</v>
      </c>
    </row>
    <row r="1674" customFormat="false" ht="17.15" hidden="false" customHeight="false" outlineLevel="0" collapsed="false">
      <c r="A1674" s="0" t="s">
        <v>483</v>
      </c>
      <c r="B1674" s="0" t="s">
        <v>73</v>
      </c>
      <c r="C1674" s="38" t="n">
        <f aca="false">Q!$D$14</f>
        <v>44.374</v>
      </c>
      <c r="D1674" s="38" t="n">
        <f aca="false">Q!$E$14</f>
        <v>49.619</v>
      </c>
      <c r="E1674" s="38" t="n">
        <f aca="false">Q!$P$14</f>
        <v>27.157</v>
      </c>
      <c r="F1674" s="38" t="n">
        <f aca="false">Sens!$O$1674*(1+Sens!$F$1675)</f>
        <v>28.9776360923374</v>
      </c>
      <c r="G1674" s="38" t="n">
        <f aca="false">Sens!$E$1674+Sens!$F$1674</f>
        <v>56.1346360923374</v>
      </c>
      <c r="H1674" s="38" t="n">
        <f aca="false">Sens!$G$1674*(1+Sens!$H$1675)</f>
        <v>62.4937078946075</v>
      </c>
      <c r="I1674" s="38" t="n">
        <f aca="false">Sens!$H$1674*(1+Sens!$I$1675)</f>
        <v>68.6715233062498</v>
      </c>
      <c r="J1674" s="38" t="n">
        <f aca="false">Sens!$I$1674*(1+Sens!$J$1675)</f>
        <v>74.4692882949818</v>
      </c>
      <c r="K1674" s="38" t="n">
        <f aca="false">Sens!$J$1674*(1+Sens!$K$1675)</f>
        <v>79.6821384756306</v>
      </c>
      <c r="L1674" s="38" t="n">
        <f aca="false">Sens!$K$1674*(1+Sens!$L$1675)</f>
        <v>85.2598881689247</v>
      </c>
      <c r="M1674" s="38" t="n">
        <f aca="false">Sens!$L$1674*(1+Sens!$M$1675)</f>
        <v>91.2280803407494</v>
      </c>
      <c r="N1674" s="38" t="n">
        <f aca="false">Q!$N$14</f>
        <v>23.923</v>
      </c>
      <c r="O1674" s="38" t="n">
        <f aca="false">Q!$O$14</f>
        <v>25.696</v>
      </c>
      <c r="P1674" s="8" t="s">
        <v>622</v>
      </c>
    </row>
    <row r="1675" customFormat="false" ht="17.15" hidden="false" customHeight="false" outlineLevel="0" collapsed="false">
      <c r="A1675" s="0" t="s">
        <v>631</v>
      </c>
      <c r="B1675" s="0" t="s">
        <v>52</v>
      </c>
      <c r="E1675" s="12" t="n">
        <f aca="false">Sens!$E$1674/Sens!$N$1674-1</f>
        <v>0.135183714417088</v>
      </c>
      <c r="F1675" s="12" t="n">
        <f aca="false">Sens!$O$1674/(Q!$F$14+Q!$G$14)-1</f>
        <v>0.127709997366804</v>
      </c>
      <c r="G1675" s="12" t="n">
        <f aca="false">Sens!$G$1674/Sens!$D$1674-1</f>
        <v>0.131313329416905</v>
      </c>
      <c r="H1675" s="12" t="n">
        <f aca="false">Sens!$F$1675+(g_sub-Sens!$F$1675)*1/4</f>
        <v>0.113282498025103</v>
      </c>
      <c r="I1675" s="12" t="n">
        <f aca="false">Sens!$F$1675+(g_sub-Sens!$F$1675)*2/4</f>
        <v>0.0988549986834021</v>
      </c>
      <c r="J1675" s="12" t="n">
        <f aca="false">Sens!$F$1675+(g_sub-Sens!$F$1675)*3/4</f>
        <v>0.084427499341701</v>
      </c>
      <c r="K1675" s="12" t="n">
        <f aca="false">Sens!$F$1675+(g_sub-Sens!$F$1675)*4/4</f>
        <v>0.07</v>
      </c>
      <c r="L1675" s="12" t="n">
        <f aca="false">g_sub</f>
        <v>0.07</v>
      </c>
      <c r="M1675" s="12" t="n">
        <f aca="false">g_sub</f>
        <v>0.07</v>
      </c>
      <c r="P1675" s="8" t="s">
        <v>632</v>
      </c>
    </row>
    <row r="1676" customFormat="false" ht="17.15" hidden="false" customHeight="false" outlineLevel="0" collapsed="false">
      <c r="A1676" s="0" t="s">
        <v>484</v>
      </c>
      <c r="B1676" s="0" t="s">
        <v>73</v>
      </c>
      <c r="C1676" s="38" t="n">
        <f aca="false">Q!$D$15</f>
        <v>5.425</v>
      </c>
      <c r="D1676" s="38" t="n">
        <f aca="false">Q!$E$15</f>
        <v>5.935</v>
      </c>
      <c r="E1676" s="38" t="n">
        <f aca="false">Q!$P$15</f>
        <v>3.474</v>
      </c>
      <c r="F1676" s="38" t="n">
        <f aca="false">Sens!$O$1676*(1+Sens!$F$1677)</f>
        <v>3.36182431966931</v>
      </c>
      <c r="G1676" s="38" t="n">
        <f aca="false">Sens!$E$1676+Sens!$F$1676</f>
        <v>6.83582431966931</v>
      </c>
      <c r="H1676" s="38" t="n">
        <f aca="false">Sens!$G$1676*(1+Sens!$H$1677)</f>
        <v>7.31157108370141</v>
      </c>
      <c r="I1676" s="38" t="n">
        <f aca="false">Sens!$H$1676*(1+Sens!$I$1677)</f>
        <v>7.77266852639815</v>
      </c>
      <c r="J1676" s="38" t="n">
        <f aca="false">Sens!$I$1676*(1+Sens!$J$1677)</f>
        <v>8.2120733019884</v>
      </c>
      <c r="K1676" s="38" t="n">
        <f aca="false">Sens!$J$1676*(1+Sens!$K$1677)</f>
        <v>8.62267696708783</v>
      </c>
      <c r="L1676" s="38" t="n">
        <f aca="false">Sens!$K$1676*(1+Sens!$L$1677)</f>
        <v>9.05381081544222</v>
      </c>
      <c r="M1676" s="38" t="n">
        <f aca="false">Sens!$L$1676*(1+Sens!$M$1677)</f>
        <v>9.50650135621433</v>
      </c>
      <c r="N1676" s="38" t="n">
        <f aca="false">Q!$N$15</f>
        <v>2.811</v>
      </c>
      <c r="O1676" s="38" t="n">
        <f aca="false">Q!$O$15</f>
        <v>3.124</v>
      </c>
      <c r="P1676" s="8" t="s">
        <v>622</v>
      </c>
    </row>
    <row r="1677" customFormat="false" ht="17.15" hidden="false" customHeight="false" outlineLevel="0" collapsed="false">
      <c r="A1677" s="0" t="s">
        <v>633</v>
      </c>
      <c r="B1677" s="0" t="s">
        <v>52</v>
      </c>
      <c r="E1677" s="12" t="n">
        <f aca="false">Sens!$E$1676/Sens!$N$1676-1</f>
        <v>0.235859124866596</v>
      </c>
      <c r="F1677" s="12" t="n">
        <f aca="false">Sens!$O$1676/(Q!$F$15+Q!$G$15)-1</f>
        <v>0.0761281433000345</v>
      </c>
      <c r="G1677" s="12" t="n">
        <f aca="false">Sens!$G$1676/Sens!$D$1676-1</f>
        <v>0.151781688234087</v>
      </c>
      <c r="H1677" s="12" t="n">
        <f aca="false">Sens!$F$1677+(g_ot-Sens!$F$1677)*1/4</f>
        <v>0.0695961074750259</v>
      </c>
      <c r="I1677" s="12" t="n">
        <f aca="false">Sens!$F$1677+(g_ot-Sens!$F$1677)*2/4</f>
        <v>0.0630640716500172</v>
      </c>
      <c r="J1677" s="12" t="n">
        <f aca="false">Sens!$F$1677+(g_ot-Sens!$F$1677)*3/4</f>
        <v>0.0565320358250086</v>
      </c>
      <c r="K1677" s="12" t="n">
        <f aca="false">Sens!$F$1677+(g_ot-Sens!$F$1677)*4/4</f>
        <v>0.05</v>
      </c>
      <c r="L1677" s="12" t="n">
        <f aca="false">g_ot</f>
        <v>0.05</v>
      </c>
      <c r="M1677" s="12" t="n">
        <f aca="false">g_ot</f>
        <v>0.05</v>
      </c>
      <c r="P1677" s="8" t="s">
        <v>634</v>
      </c>
    </row>
    <row r="1678" customFormat="false" ht="17.15" hidden="false" customHeight="false" outlineLevel="0" collapsed="false">
      <c r="A1678" s="3" t="s">
        <v>635</v>
      </c>
      <c r="B1678" s="8" t="s">
        <v>73</v>
      </c>
      <c r="C1678" s="38" t="n">
        <f aca="false">Sens!$C$1666+Sens!$C$1668+Sens!$C$1670+Sens!$C$1672+Sens!$C$1674+Sens!$C$1676</f>
        <v>530.403</v>
      </c>
      <c r="D1678" s="38" t="n">
        <f aca="false">Sens!$D$1666+Sens!$D$1668+Sens!$D$1670+Sens!$D$1672+Sens!$D$1674+Sens!$D$1676</f>
        <v>588.199</v>
      </c>
      <c r="E1678" s="38" t="n">
        <f aca="false">Sens!$E$1666+Sens!$E$1668+Sens!$E$1670+Sens!$E$1672+Sens!$E$1674+Sens!$E$1676</f>
        <v>302.306</v>
      </c>
      <c r="F1678" s="38" t="n">
        <f aca="false">Sens!$F$1666+Sens!$F$1668+Sens!$F$1670+Sens!$F$1672+Sens!$F$1674+Sens!$F$1676</f>
        <v>356.93642920843</v>
      </c>
      <c r="G1678" s="38" t="n">
        <f aca="false">Sens!$G$1666+Sens!$G$1668+Sens!$G$1670+Sens!$G$1672+Sens!$G$1674+Sens!$G$1676</f>
        <v>659.24242920843</v>
      </c>
      <c r="H1678" s="38" t="n">
        <f aca="false">Sens!$H$1666+Sens!$H$1668+Sens!$H$1670+Sens!$H$1672+Sens!$H$1674+Sens!$H$1676</f>
        <v>729.935737621701</v>
      </c>
      <c r="I1678" s="38" t="n">
        <f aca="false">Sens!$I$1666+Sens!$I$1668+Sens!$I$1670+Sens!$I$1672+Sens!$I$1674+Sens!$I$1676</f>
        <v>798.295569697873</v>
      </c>
      <c r="J1678" s="38" t="n">
        <f aca="false">Sens!$J$1666+Sens!$J$1668+Sens!$J$1670+Sens!$J$1672+Sens!$J$1674+Sens!$J$1676</f>
        <v>861.736822325785</v>
      </c>
      <c r="K1678" s="38" t="n">
        <f aca="false">Sens!$K$1666+Sens!$K$1668+Sens!$K$1670+Sens!$K$1672+Sens!$K$1674+Sens!$K$1676</f>
        <v>917.557492101925</v>
      </c>
      <c r="L1678" s="38" t="n">
        <f aca="false">Sens!$L$1666+Sens!$L$1668+Sens!$L$1670+Sens!$L$1672+Sens!$L$1674+Sens!$L$1676</f>
        <v>977.285089743165</v>
      </c>
      <c r="M1678" s="38" t="n">
        <f aca="false">Sens!$M$1666+Sens!$M$1668+Sens!$M$1670+Sens!$M$1672+Sens!$M$1674+Sens!$M$1676</f>
        <v>1041.2140185435</v>
      </c>
      <c r="N1678" s="38" t="n">
        <f aca="false">Sens!$N$1666+Sens!$N$1668+Sens!$N$1670+Sens!$N$1672+Sens!$N$1674+Sens!$N$1676</f>
        <v>263.229</v>
      </c>
      <c r="O1678" s="38" t="n">
        <f aca="false">Sens!$O$1666+Sens!$O$1668+Sens!$O$1670+Sens!$O$1672+Sens!$O$1674+Sens!$O$1676</f>
        <v>324.97</v>
      </c>
    </row>
    <row r="1679" customFormat="false" ht="17.15" hidden="false" customHeight="false" outlineLevel="0" collapsed="false">
      <c r="A1679" s="5" t="s">
        <v>636</v>
      </c>
      <c r="B1679" s="0" t="s">
        <v>52</v>
      </c>
      <c r="C1679" s="12" t="n">
        <f aca="false">Q!$D$5/(Q!$D$5+Q!$D$6)</f>
        <v>0.730570905519011</v>
      </c>
      <c r="D1679" s="12" t="n">
        <f aca="false">Q!$E$5/(Q!$E$5+Q!$E$6)</f>
        <v>0.724763217890544</v>
      </c>
      <c r="E1679" s="12" t="n">
        <f aca="false">Q!$P$5/(Q!$P$5+Q!$P$6)</f>
        <v>0.728797972914861</v>
      </c>
      <c r="F1679" s="12" t="n">
        <f aca="false">Sens!$O$1679</f>
        <v>0.718066283041511</v>
      </c>
      <c r="G1679" s="12" t="n">
        <f aca="false">Sens!$G$1680/Sens!$G$1678</f>
        <v>0.722987468473627</v>
      </c>
      <c r="H1679" s="12" t="n">
        <f aca="false">Sens!$G$1679</f>
        <v>0.722987468473627</v>
      </c>
      <c r="I1679" s="12" t="n">
        <f aca="false">Sens!$G$1679</f>
        <v>0.722987468473627</v>
      </c>
      <c r="J1679" s="12" t="n">
        <f aca="false">Sens!$G$1679</f>
        <v>0.722987468473627</v>
      </c>
      <c r="K1679" s="12" t="n">
        <f aca="false">Sens!$G$1679</f>
        <v>0.722987468473627</v>
      </c>
      <c r="L1679" s="12" t="n">
        <f aca="false">Sens!$G$1679</f>
        <v>0.722987468473627</v>
      </c>
      <c r="M1679" s="12" t="n">
        <f aca="false">Sens!$G$1679</f>
        <v>0.722987468473627</v>
      </c>
      <c r="N1679" s="12" t="n">
        <f aca="false">Q!$N$5/(Q!$N$5+Q!$N$6)</f>
        <v>0.733030935041352</v>
      </c>
      <c r="O1679" s="12" t="n">
        <f aca="false">Q!$O$5/(Q!$O$5+Q!$O$6)</f>
        <v>0.718066283041511</v>
      </c>
      <c r="P1679" s="8" t="s">
        <v>637</v>
      </c>
    </row>
    <row r="1680" customFormat="false" ht="17.15" hidden="false" customHeight="false" outlineLevel="0" collapsed="false">
      <c r="A1680" s="1" t="s">
        <v>472</v>
      </c>
      <c r="B1680" s="8" t="s">
        <v>73</v>
      </c>
      <c r="C1680" s="38" t="n">
        <f aca="false">Q!$D$5</f>
        <v>387.497</v>
      </c>
      <c r="D1680" s="38" t="n">
        <f aca="false">Q!$E$5</f>
        <v>426.305</v>
      </c>
      <c r="E1680" s="38" t="n">
        <f aca="false">Q!$P$5</f>
        <v>220.32</v>
      </c>
      <c r="F1680" s="38" t="n">
        <f aca="false">Sens!$F$1678*Sens!$F$1679</f>
        <v>256.304015003807</v>
      </c>
      <c r="G1680" s="38" t="n">
        <f aca="false">Sens!$E$1680+Sens!$F$1680</f>
        <v>476.624015003807</v>
      </c>
      <c r="H1680" s="38" t="n">
        <f aca="false">Sens!$H$1678*Sens!$H$1679</f>
        <v>527.734391091543</v>
      </c>
      <c r="I1680" s="38" t="n">
        <f aca="false">Sens!$I$1678*Sens!$I$1679</f>
        <v>577.157693029577</v>
      </c>
      <c r="J1680" s="38" t="n">
        <f aca="false">Sens!$J$1678*Sens!$J$1679</f>
        <v>623.024923663827</v>
      </c>
      <c r="K1680" s="38" t="n">
        <f aca="false">Sens!$K$1678*Sens!$K$1679</f>
        <v>663.382568393781</v>
      </c>
      <c r="L1680" s="38" t="n">
        <f aca="false">Sens!$L$1678*Sens!$L$1679</f>
        <v>706.564873010432</v>
      </c>
      <c r="M1680" s="38" t="n">
        <f aca="false">Sens!$M$1678*Sens!$M$1679</f>
        <v>752.784687406019</v>
      </c>
      <c r="N1680" s="38" t="n">
        <f aca="false">Q!$N$5</f>
        <v>192.955</v>
      </c>
      <c r="O1680" s="38" t="n">
        <f aca="false">Q!$O$5</f>
        <v>233.35</v>
      </c>
      <c r="P1680" s="5" t="s">
        <v>638</v>
      </c>
    </row>
    <row r="1681" customFormat="false" ht="17.15" hidden="false" customHeight="false" outlineLevel="0" collapsed="false">
      <c r="A1681" s="1" t="s">
        <v>475</v>
      </c>
      <c r="B1681" s="8" t="s">
        <v>73</v>
      </c>
      <c r="C1681" s="38" t="n">
        <f aca="false">Q!$D$6</f>
        <v>142.906</v>
      </c>
      <c r="D1681" s="38" t="n">
        <f aca="false">Q!$E$6</f>
        <v>161.894</v>
      </c>
      <c r="E1681" s="38" t="n">
        <f aca="false">Q!$P$6</f>
        <v>81.986</v>
      </c>
      <c r="F1681" s="38" t="n">
        <f aca="false">Sens!$F$1678*(1-Sens!$F$1679)</f>
        <v>100.632414204623</v>
      </c>
      <c r="G1681" s="38" t="n">
        <f aca="false">Sens!$E$1681+Sens!$F$1681</f>
        <v>182.618414204623</v>
      </c>
      <c r="H1681" s="38" t="n">
        <f aca="false">Sens!$H$1678*(1-Sens!$H$1679)</f>
        <v>202.201346530158</v>
      </c>
      <c r="I1681" s="38" t="n">
        <f aca="false">Sens!$I$1678*(1-Sens!$I$1679)</f>
        <v>221.137876668296</v>
      </c>
      <c r="J1681" s="38" t="n">
        <f aca="false">Sens!$J$1678*(1-Sens!$J$1679)</f>
        <v>238.711898661958</v>
      </c>
      <c r="K1681" s="38" t="n">
        <f aca="false">Sens!$K$1678*(1-Sens!$K$1679)</f>
        <v>254.174923708144</v>
      </c>
      <c r="L1681" s="38" t="n">
        <f aca="false">Sens!$L$1678*(1-Sens!$L$1679)</f>
        <v>270.720216732733</v>
      </c>
      <c r="M1681" s="38" t="n">
        <f aca="false">Sens!$M$1678*(1-Sens!$M$1679)</f>
        <v>288.429331137484</v>
      </c>
      <c r="N1681" s="38" t="n">
        <f aca="false">Q!$N$6</f>
        <v>70.274</v>
      </c>
      <c r="O1681" s="38" t="n">
        <f aca="false">Q!$O$6</f>
        <v>91.62</v>
      </c>
      <c r="P1681" s="5" t="s">
        <v>639</v>
      </c>
    </row>
    <row r="1682" customFormat="false" ht="17.15" hidden="false" customHeight="false" outlineLevel="0" collapsed="false">
      <c r="A1682" s="5" t="s">
        <v>640</v>
      </c>
      <c r="B1682" s="0" t="s">
        <v>73</v>
      </c>
      <c r="C1682" s="38" t="n">
        <f aca="false">Sens!$C$1672*Sens!$C$1679</f>
        <v>41.0683128828457</v>
      </c>
      <c r="D1682" s="38" t="n">
        <f aca="false">Sens!$D$1672*Sens!$D$1679</f>
        <v>49.7441234599175</v>
      </c>
      <c r="E1682" s="38" t="n">
        <f aca="false">Sens!$E$1672*Sens!$E$1679</f>
        <v>27.0034224924414</v>
      </c>
      <c r="F1682" s="38" t="n">
        <f aca="false">Sens!$F$1672*Sens!$F$1679</f>
        <v>34.5772885649197</v>
      </c>
      <c r="G1682" s="38" t="n">
        <f aca="false">Sens!$G$1672*Sens!$G$1679</f>
        <v>61.6023917531772</v>
      </c>
      <c r="H1682" s="38" t="n">
        <f aca="false">Sens!$H$1672*Sens!$H$1679</f>
        <v>73.9568187320519</v>
      </c>
      <c r="I1682" s="38" t="n">
        <f aca="false">Sens!$I$1672*Sens!$I$1679</f>
        <v>86.3101265625461</v>
      </c>
      <c r="J1682" s="38" t="n">
        <f aca="false">Sens!$J$1672*Sens!$J$1679</f>
        <v>97.8339983977065</v>
      </c>
      <c r="K1682" s="38" t="n">
        <f aca="false">Sens!$K$1672*Sens!$K$1679</f>
        <v>107.617398237477</v>
      </c>
      <c r="L1682" s="38" t="n">
        <f aca="false">Sens!$L$1672*Sens!$L$1679</f>
        <v>118.379138061225</v>
      </c>
      <c r="M1682" s="38" t="n">
        <f aca="false">Sens!$M$1672*Sens!$M$1679</f>
        <v>130.217051867347</v>
      </c>
      <c r="N1682" s="38" t="n">
        <f aca="false">Sens!$N$1672*Sens!$N$1679</f>
        <v>21.7087111412496</v>
      </c>
      <c r="O1682" s="38" t="n">
        <f aca="false">Sens!$O$1672*Sens!$O$1679</f>
        <v>28.0189463642798</v>
      </c>
      <c r="P1682" s="5" t="s">
        <v>641</v>
      </c>
    </row>
    <row r="1683" customFormat="false" ht="15" hidden="false" customHeight="false" outlineLevel="0" collapsed="false">
      <c r="A1683" s="5" t="s">
        <v>642</v>
      </c>
      <c r="B1683" s="0" t="s">
        <v>73</v>
      </c>
      <c r="C1683" s="38" t="n">
        <f aca="false">Sens!$C$1672-Sens!$C$1682</f>
        <v>15.1456871171543</v>
      </c>
      <c r="D1683" s="38" t="n">
        <f aca="false">Sens!$D$1672-Sens!$D$1682</f>
        <v>18.8908765400825</v>
      </c>
      <c r="E1683" s="38" t="n">
        <f aca="false">Sens!$E$1672-Sens!$E$1682</f>
        <v>10.0485775075586</v>
      </c>
      <c r="F1683" s="38" t="n">
        <f aca="false">Sens!$F$1672-Sens!$F$1682</f>
        <v>13.5760496178185</v>
      </c>
      <c r="G1683" s="38" t="n">
        <f aca="false">Sens!$G$1672-Sens!$G$1682</f>
        <v>23.6029464295611</v>
      </c>
      <c r="H1683" s="38" t="n">
        <f aca="false">Sens!$H$1672-Sens!$H$1682</f>
        <v>28.3365431268884</v>
      </c>
      <c r="I1683" s="38" t="n">
        <f aca="false">Sens!$I$1672-Sens!$I$1682</f>
        <v>33.0697110226949</v>
      </c>
      <c r="J1683" s="38" t="n">
        <f aca="false">Sens!$J$1672-Sens!$J$1682</f>
        <v>37.4850806511378</v>
      </c>
      <c r="K1683" s="38" t="n">
        <f aca="false">Sens!$K$1672-Sens!$K$1682</f>
        <v>41.2335887162515</v>
      </c>
      <c r="L1683" s="38" t="n">
        <f aca="false">Sens!$L$1672-Sens!$L$1682</f>
        <v>45.3569475878767</v>
      </c>
      <c r="M1683" s="38" t="n">
        <f aca="false">Sens!$M$1672-Sens!$M$1682</f>
        <v>49.8926423466644</v>
      </c>
      <c r="N1683" s="38" t="n">
        <f aca="false">Sens!$N$1672-Sens!$N$1682</f>
        <v>7.90628885875037</v>
      </c>
      <c r="O1683" s="38" t="n">
        <f aca="false">Sens!$O$1672-Sens!$O$1682</f>
        <v>11.0010536357202</v>
      </c>
    </row>
    <row r="1684" customFormat="false" ht="19.4" hidden="false" customHeight="false" outlineLevel="0" collapsed="false">
      <c r="A1684" s="31" t="s">
        <v>1081</v>
      </c>
    </row>
    <row r="1685" customFormat="false" ht="17.15" hidden="false" customHeight="false" outlineLevel="0" collapsed="false">
      <c r="A1685" s="6" t="s">
        <v>16</v>
      </c>
      <c r="B1685" s="6" t="s">
        <v>17</v>
      </c>
      <c r="C1685" s="20" t="s">
        <v>457</v>
      </c>
      <c r="D1685" s="20" t="s">
        <v>458</v>
      </c>
      <c r="E1685" s="20" t="s">
        <v>540</v>
      </c>
      <c r="F1685" s="20" t="s">
        <v>541</v>
      </c>
      <c r="G1685" s="20" t="s">
        <v>542</v>
      </c>
      <c r="H1685" s="20" t="s">
        <v>543</v>
      </c>
      <c r="I1685" s="20" t="s">
        <v>544</v>
      </c>
      <c r="J1685" s="20" t="s">
        <v>545</v>
      </c>
      <c r="K1685" s="20" t="s">
        <v>546</v>
      </c>
      <c r="L1685" s="20" t="s">
        <v>547</v>
      </c>
      <c r="M1685" s="20" t="s">
        <v>548</v>
      </c>
      <c r="N1685" s="20" t="s">
        <v>549</v>
      </c>
      <c r="O1685" s="20" t="s">
        <v>550</v>
      </c>
      <c r="P1685" s="6" t="s">
        <v>23</v>
      </c>
      <c r="R1685" s="20" t="n">
        <v>2023</v>
      </c>
      <c r="S1685" s="20" t="n">
        <v>2024</v>
      </c>
      <c r="T1685" s="20" t="n">
        <v>2025</v>
      </c>
      <c r="U1685" s="20" t="n">
        <v>2026</v>
      </c>
      <c r="V1685" s="20" t="n">
        <v>2027</v>
      </c>
      <c r="W1685" s="20" t="n">
        <v>2028</v>
      </c>
      <c r="X1685" s="20" t="n">
        <v>2029</v>
      </c>
      <c r="Y1685" s="20" t="n">
        <v>2030</v>
      </c>
      <c r="Z1685" s="20" t="n">
        <v>2031</v>
      </c>
      <c r="AA1685" s="20" t="n">
        <v>2032</v>
      </c>
    </row>
    <row r="1686" customFormat="false" ht="17.15" hidden="false" customHeight="false" outlineLevel="0" collapsed="false">
      <c r="A1686" s="1" t="s">
        <v>551</v>
      </c>
    </row>
    <row r="1687" customFormat="false" ht="17.15" hidden="false" customHeight="false" outlineLevel="0" collapsed="false">
      <c r="A1687" s="14" t="s">
        <v>552</v>
      </c>
      <c r="B1687" s="13" t="s">
        <v>108</v>
      </c>
      <c r="C1687" s="32" t="n">
        <f aca="false">mw_ye24</f>
        <v>360</v>
      </c>
      <c r="D1687" s="32" t="n">
        <f aca="false">mw_ye25</f>
        <v>1440</v>
      </c>
      <c r="E1687" s="32" t="n">
        <f aca="false">mw_open</f>
        <v>2080</v>
      </c>
      <c r="F1687" s="32" t="n">
        <f aca="false">Sens!$E$1687+pace_B*0.5</f>
        <v>3897.15</v>
      </c>
      <c r="G1687" s="32" t="n">
        <f aca="false">Sens!$F$1687</f>
        <v>3897.15</v>
      </c>
      <c r="H1687" s="32" t="n">
        <f aca="false">Sens!$G$1687+pace_B</f>
        <v>7531.45</v>
      </c>
      <c r="I1687" s="32" t="n">
        <f aca="false">Sens!$H$1687+pace_B</f>
        <v>11165.75</v>
      </c>
      <c r="J1687" s="32" t="n">
        <f aca="false">Sens!$I$1687+pace_B</f>
        <v>14800.05</v>
      </c>
      <c r="K1687" s="32" t="n">
        <f aca="false">Sens!$J$1687+pace_B</f>
        <v>18434.35</v>
      </c>
      <c r="L1687" s="32" t="n">
        <f aca="false">Sens!$K$1687+pace_B</f>
        <v>22068.65</v>
      </c>
      <c r="M1687" s="32" t="n">
        <f aca="false">Sens!$L$1687+pace_B</f>
        <v>25702.95</v>
      </c>
      <c r="N1687" s="32" t="n">
        <f aca="false">(mw_ye24+mw_ye25)/2</f>
        <v>900</v>
      </c>
      <c r="O1687" s="32" t="n">
        <f aca="false">mw_ye25</f>
        <v>1440</v>
      </c>
      <c r="P1687" s="5" t="s">
        <v>553</v>
      </c>
    </row>
    <row r="1688" customFormat="false" ht="17.15" hidden="false" customHeight="false" outlineLevel="0" collapsed="false">
      <c r="A1688" s="5" t="s">
        <v>554</v>
      </c>
      <c r="B1688" s="0" t="s">
        <v>108</v>
      </c>
      <c r="C1688" s="33" t="n">
        <f aca="false">(mw_ye23+mw_ye24)/2</f>
        <v>240</v>
      </c>
      <c r="D1688" s="33" t="n">
        <f aca="false">(Sens!$C$1687+Sens!$D$1687)/2</f>
        <v>900</v>
      </c>
      <c r="E1688" s="33" t="n">
        <f aca="false">(Sens!$D$1687+Sens!$E$1687)/2</f>
        <v>1760</v>
      </c>
      <c r="F1688" s="33" t="n">
        <f aca="false">(Sens!$E$1687+Sens!$F$1687)/2</f>
        <v>2988.575</v>
      </c>
      <c r="G1688" s="33" t="n">
        <f aca="false">(Sens!$E$1688+Sens!$F$1688)/2</f>
        <v>2374.2875</v>
      </c>
      <c r="H1688" s="33" t="n">
        <f aca="false">(Sens!$G$1687+Sens!$H$1687)/2</f>
        <v>5714.3</v>
      </c>
      <c r="I1688" s="33" t="n">
        <f aca="false">(Sens!$H$1687+Sens!$I$1687)/2</f>
        <v>9348.6</v>
      </c>
      <c r="J1688" s="33" t="n">
        <f aca="false">(Sens!$I$1687+Sens!$J$1687)/2</f>
        <v>12982.9</v>
      </c>
      <c r="K1688" s="33" t="n">
        <f aca="false">(Sens!$J$1687+Sens!$K$1687)/2</f>
        <v>16617.2</v>
      </c>
      <c r="L1688" s="33" t="n">
        <f aca="false">(Sens!$K$1687+Sens!$L$1687)/2</f>
        <v>20251.5</v>
      </c>
      <c r="M1688" s="33" t="n">
        <f aca="false">(Sens!$L$1687+Sens!$M$1687)/2</f>
        <v>23885.8</v>
      </c>
      <c r="N1688" s="33" t="n">
        <f aca="false">(Sens!$C$1687+Sens!$N$1687)/2</f>
        <v>630</v>
      </c>
      <c r="O1688" s="33" t="n">
        <f aca="false">(Sens!$N$1687+Sens!$O$1687)/2</f>
        <v>1170</v>
      </c>
    </row>
    <row r="1689" customFormat="false" ht="15" hidden="false" customHeight="false" outlineLevel="0" collapsed="false">
      <c r="A1689" s="5" t="s">
        <v>555</v>
      </c>
      <c r="B1689" s="5" t="s">
        <v>102</v>
      </c>
      <c r="C1689" s="34" t="n">
        <v>1</v>
      </c>
      <c r="D1689" s="34" t="n">
        <v>1</v>
      </c>
      <c r="E1689" s="34" t="n">
        <v>0.5</v>
      </c>
      <c r="F1689" s="34" t="n">
        <v>0.5</v>
      </c>
      <c r="G1689" s="34" t="n">
        <v>1</v>
      </c>
      <c r="H1689" s="34" t="n">
        <v>1</v>
      </c>
      <c r="I1689" s="34" t="n">
        <v>1</v>
      </c>
      <c r="J1689" s="34" t="n">
        <v>1</v>
      </c>
      <c r="K1689" s="34" t="n">
        <v>1</v>
      </c>
      <c r="L1689" s="34" t="n">
        <v>1</v>
      </c>
      <c r="M1689" s="34" t="n">
        <v>1</v>
      </c>
      <c r="N1689" s="34" t="n">
        <v>0.5</v>
      </c>
      <c r="O1689" s="34" t="n">
        <v>0.5</v>
      </c>
    </row>
    <row r="1690" customFormat="false" ht="17.15" hidden="false" customHeight="false" outlineLevel="0" collapsed="false">
      <c r="A1690" s="5" t="s">
        <v>556</v>
      </c>
      <c r="B1690" s="0" t="s">
        <v>108</v>
      </c>
      <c r="C1690" s="33" t="n">
        <f aca="false">Sens!$C$1687-mw_ye23</f>
        <v>240</v>
      </c>
      <c r="D1690" s="33" t="n">
        <f aca="false">Sens!$D$1687-Sens!$C$1687</f>
        <v>1080</v>
      </c>
      <c r="E1690" s="33" t="n">
        <f aca="false">Sens!$E$1687-Sens!$D$1687</f>
        <v>640</v>
      </c>
      <c r="F1690" s="33" t="n">
        <f aca="false">Sens!$F$1687-Sens!$E$1687</f>
        <v>1817.15</v>
      </c>
      <c r="G1690" s="33" t="n">
        <f aca="false">Sens!$E$1690+Sens!$F$1690</f>
        <v>2457.15</v>
      </c>
      <c r="H1690" s="33" t="n">
        <f aca="false">Sens!$H$1687-Sens!$G$1687</f>
        <v>3634.3</v>
      </c>
      <c r="I1690" s="33" t="n">
        <f aca="false">Sens!$I$1687-Sens!$H$1687</f>
        <v>3634.3</v>
      </c>
      <c r="J1690" s="33" t="n">
        <f aca="false">Sens!$J$1687-Sens!$I$1687</f>
        <v>3634.3</v>
      </c>
      <c r="K1690" s="33" t="n">
        <f aca="false">Sens!$K$1687-Sens!$J$1687</f>
        <v>3634.3</v>
      </c>
      <c r="L1690" s="33" t="n">
        <f aca="false">Sens!$L$1687-Sens!$K$1687</f>
        <v>3634.3</v>
      </c>
      <c r="M1690" s="33" t="n">
        <f aca="false">Sens!$M$1687-Sens!$L$1687</f>
        <v>3634.3</v>
      </c>
      <c r="N1690" s="33" t="n">
        <f aca="false">Sens!$N$1687-Sens!$C$1687</f>
        <v>540</v>
      </c>
      <c r="O1690" s="33" t="n">
        <f aca="false">Sens!$O$1687-Sens!$N$1687</f>
        <v>540</v>
      </c>
    </row>
    <row r="1691" customFormat="false" ht="17.15" hidden="false" customHeight="false" outlineLevel="0" collapsed="false">
      <c r="A1691" s="5" t="s">
        <v>557</v>
      </c>
      <c r="B1691" s="0" t="s">
        <v>108</v>
      </c>
      <c r="C1691" s="33" t="n">
        <f aca="false">Sens!$C$1690/ext_sh</f>
        <v>300</v>
      </c>
      <c r="D1691" s="33" t="n">
        <f aca="false">Sens!$D$1690/ext_sh</f>
        <v>1350</v>
      </c>
      <c r="E1691" s="33" t="n">
        <f aca="false">Sens!$E$1690/ext_sh</f>
        <v>800</v>
      </c>
      <c r="F1691" s="33" t="n">
        <f aca="false">Sens!$F$1690/ext_sh</f>
        <v>2271.4375</v>
      </c>
      <c r="G1691" s="33" t="n">
        <f aca="false">Sens!$G$1690/ext_sh</f>
        <v>3071.4375</v>
      </c>
      <c r="H1691" s="33" t="n">
        <f aca="false">Sens!$H$1690/ext_sh</f>
        <v>4542.875</v>
      </c>
      <c r="I1691" s="33" t="n">
        <f aca="false">Sens!$I$1690/ext_sh</f>
        <v>4542.875</v>
      </c>
      <c r="J1691" s="33" t="n">
        <f aca="false">Sens!$J$1690/ext_sh</f>
        <v>4542.875</v>
      </c>
      <c r="K1691" s="33" t="n">
        <f aca="false">Sens!$K$1690/ext_sh</f>
        <v>4542.875</v>
      </c>
      <c r="L1691" s="33" t="n">
        <f aca="false">Sens!$L$1690/ext_sh</f>
        <v>4542.875</v>
      </c>
      <c r="M1691" s="33" t="n">
        <f aca="false">Sens!$M$1690/ext_sh</f>
        <v>4542.875</v>
      </c>
      <c r="N1691" s="33" t="n">
        <f aca="false">Sens!$N$1690/ext_sh</f>
        <v>675</v>
      </c>
      <c r="O1691" s="33" t="n">
        <f aca="false">Sens!$O$1690/ext_sh</f>
        <v>675</v>
      </c>
      <c r="P1691" s="8" t="s">
        <v>558</v>
      </c>
      <c r="R1691" s="33" t="n">
        <f aca="false">mw_ye23/ext_sh</f>
        <v>150</v>
      </c>
      <c r="S1691" s="33" t="n">
        <f aca="false">Sens!$C$1691</f>
        <v>300</v>
      </c>
      <c r="T1691" s="33" t="n">
        <f aca="false">Sens!$D$1691</f>
        <v>1350</v>
      </c>
      <c r="U1691" s="33" t="n">
        <f aca="false">Sens!$G$1691</f>
        <v>3071.4375</v>
      </c>
      <c r="V1691" s="33" t="n">
        <f aca="false">Sens!$H$1691</f>
        <v>4542.875</v>
      </c>
      <c r="W1691" s="33" t="n">
        <f aca="false">Sens!$I$1691</f>
        <v>4542.875</v>
      </c>
      <c r="X1691" s="33" t="n">
        <f aca="false">Sens!$J$1691</f>
        <v>4542.875</v>
      </c>
      <c r="Y1691" s="33" t="n">
        <f aca="false">Sens!$K$1691</f>
        <v>4542.875</v>
      </c>
      <c r="Z1691" s="33" t="n">
        <f aca="false">Sens!$L$1691</f>
        <v>4542.875</v>
      </c>
      <c r="AA1691" s="33" t="n">
        <f aca="false">Sens!$M$1691</f>
        <v>4542.875</v>
      </c>
    </row>
    <row r="1692" customFormat="false" ht="17.15" hidden="false" customHeight="false" outlineLevel="0" collapsed="false">
      <c r="A1692" s="1" t="s">
        <v>559</v>
      </c>
    </row>
    <row r="1693" customFormat="false" ht="17.15" hidden="false" customHeight="false" outlineLevel="0" collapsed="false">
      <c r="A1693" s="0" t="s">
        <v>560</v>
      </c>
      <c r="B1693" s="0" t="s">
        <v>52</v>
      </c>
      <c r="F1693" s="35" t="n">
        <f aca="false">na_vr26</f>
        <v>0</v>
      </c>
      <c r="G1693" s="35" t="n">
        <f aca="false">na_vr26</f>
        <v>0</v>
      </c>
      <c r="H1693" s="35" t="n">
        <f aca="false">na_vr27</f>
        <v>0.5</v>
      </c>
      <c r="I1693" s="35" t="n">
        <f aca="false">na_vr28</f>
        <v>1</v>
      </c>
      <c r="J1693" s="35" t="n">
        <f aca="false">na_vr28</f>
        <v>1</v>
      </c>
      <c r="K1693" s="35" t="n">
        <f aca="false">na_vr28</f>
        <v>1</v>
      </c>
      <c r="L1693" s="35" t="n">
        <f aca="false">na_vr28</f>
        <v>1</v>
      </c>
      <c r="M1693" s="35" t="n">
        <f aca="false">na_vr28</f>
        <v>1</v>
      </c>
    </row>
    <row r="1694" customFormat="false" ht="17.15" hidden="false" customHeight="false" outlineLevel="0" collapsed="false">
      <c r="A1694" s="5" t="s">
        <v>561</v>
      </c>
      <c r="B1694" s="0" t="s">
        <v>151</v>
      </c>
      <c r="F1694" s="36" t="n">
        <f aca="false">cust_sh*tk_he_gb300*cf_chip+(1-cust_sh)*((1-Sens!$F$1693)*tk_he_gb300+Sens!$F$1693*tk_he_vr200)</f>
        <v>10.8864110021101</v>
      </c>
      <c r="G1694" s="36" t="n">
        <f aca="false">cust_sh*tk_he_gb300*cf_chip+(1-cust_sh)*((1-Sens!$G$1693)*tk_he_gb300+Sens!$G$1693*tk_he_vr200)</f>
        <v>10.8864110021101</v>
      </c>
      <c r="H1694" s="36" t="n">
        <f aca="false">cust_sh*tk_he_gb300*cf_chip+(1-cust_sh)*((1-Sens!$H$1693)*tk_he_gb300+Sens!$H$1693*tk_he_vr200)</f>
        <v>11.2211760027286</v>
      </c>
      <c r="I1694" s="36" t="n">
        <f aca="false">cust_sh*tk_he_gb300*cf_chip+(1-cust_sh)*((1-Sens!$I$1693)*tk_he_gb300+Sens!$I$1693*tk_he_vr200)</f>
        <v>11.5559410033471</v>
      </c>
      <c r="J1694" s="36" t="n">
        <f aca="false">cust_sh*tk_he_gb300*cf_chip+(1-cust_sh)*((1-Sens!$J$1693)*tk_he_gb300+Sens!$J$1693*tk_he_vr200)</f>
        <v>11.5559410033471</v>
      </c>
      <c r="K1694" s="36" t="n">
        <f aca="false">cust_sh*tk_he_gb300*cf_chip+(1-cust_sh)*((1-Sens!$K$1693)*tk_he_gb300+Sens!$K$1693*tk_he_vr200)</f>
        <v>11.5559410033471</v>
      </c>
      <c r="L1694" s="36" t="n">
        <f aca="false">cust_sh*tk_he_gb300*cf_chip+(1-cust_sh)*((1-Sens!$L$1693)*tk_he_gb300+Sens!$L$1693*tk_he_vr200)</f>
        <v>11.5559410033471</v>
      </c>
      <c r="M1694" s="36" t="n">
        <f aca="false">cust_sh*tk_he_gb300*cf_chip+(1-cust_sh)*((1-Sens!$M$1693)*tk_he_gb300+Sens!$M$1693*tk_he_vr200)</f>
        <v>11.5559410033471</v>
      </c>
    </row>
    <row r="1695" customFormat="false" ht="17.15" hidden="false" customHeight="false" outlineLevel="0" collapsed="false">
      <c r="A1695" s="5" t="s">
        <v>562</v>
      </c>
      <c r="B1695" s="0" t="s">
        <v>151</v>
      </c>
      <c r="F1695" s="36" t="n">
        <f aca="false">cust_sh*tk_ox_gb300+(1-cust_sh)*((1-Sens!$F$1693)*tk_ox_gb300+Sens!$F$1693*tk_ox_vr200)</f>
        <v>1.98263481314457</v>
      </c>
      <c r="G1695" s="36" t="n">
        <f aca="false">cust_sh*tk_ox_gb300+(1-cust_sh)*((1-Sens!$G$1693)*tk_ox_gb300+Sens!$G$1693*tk_ox_vr200)</f>
        <v>1.98263481314457</v>
      </c>
      <c r="H1695" s="36" t="n">
        <f aca="false">cust_sh*tk_ox_gb300+(1-cust_sh)*((1-Sens!$H$1693)*tk_ox_gb300+Sens!$H$1693*tk_ox_vr200)</f>
        <v>2.01034999693694</v>
      </c>
      <c r="I1695" s="36" t="n">
        <f aca="false">cust_sh*tk_ox_gb300+(1-cust_sh)*((1-Sens!$I$1693)*tk_ox_gb300+Sens!$I$1693*tk_ox_vr200)</f>
        <v>2.0380651807293</v>
      </c>
      <c r="J1695" s="36" t="n">
        <f aca="false">cust_sh*tk_ox_gb300+(1-cust_sh)*((1-Sens!$J$1693)*tk_ox_gb300+Sens!$J$1693*tk_ox_vr200)</f>
        <v>2.0380651807293</v>
      </c>
      <c r="K1695" s="36" t="n">
        <f aca="false">cust_sh*tk_ox_gb300+(1-cust_sh)*((1-Sens!$K$1693)*tk_ox_gb300+Sens!$K$1693*tk_ox_vr200)</f>
        <v>2.0380651807293</v>
      </c>
      <c r="L1695" s="36" t="n">
        <f aca="false">cust_sh*tk_ox_gb300+(1-cust_sh)*((1-Sens!$L$1693)*tk_ox_gb300+Sens!$L$1693*tk_ox_vr200)</f>
        <v>2.0380651807293</v>
      </c>
      <c r="M1695" s="36" t="n">
        <f aca="false">cust_sh*tk_ox_gb300+(1-cust_sh)*((1-Sens!$M$1693)*tk_ox_gb300+Sens!$M$1693*tk_ox_vr200)</f>
        <v>2.0380651807293</v>
      </c>
    </row>
    <row r="1696" customFormat="false" ht="17.15" hidden="false" customHeight="false" outlineLevel="0" collapsed="false">
      <c r="A1696" s="5" t="s">
        <v>563</v>
      </c>
      <c r="B1696" s="0" t="s">
        <v>170</v>
      </c>
      <c r="F1696" s="36" t="n">
        <f aca="false">cust_sh*tk_cx_gb300*cf_cx+(1-cust_sh)*((1-Sens!$F$1693)*tk_cx_gb300+Sens!$F$1693*tk_cx_vr200)</f>
        <v>32.237224</v>
      </c>
      <c r="G1696" s="36" t="n">
        <f aca="false">cust_sh*tk_cx_gb300*cf_cx+(1-cust_sh)*((1-Sens!$G$1693)*tk_cx_gb300+Sens!$G$1693*tk_cx_vr200)</f>
        <v>32.237224</v>
      </c>
      <c r="H1696" s="36" t="n">
        <f aca="false">cust_sh*tk_cx_gb300*cf_cx+(1-cust_sh)*((1-Sens!$H$1693)*tk_cx_gb300+Sens!$H$1693*tk_cx_vr200)</f>
        <v>33.574506</v>
      </c>
      <c r="I1696" s="36" t="n">
        <f aca="false">cust_sh*tk_cx_gb300*cf_cx+(1-cust_sh)*((1-Sens!$I$1693)*tk_cx_gb300+Sens!$I$1693*tk_cx_vr200)</f>
        <v>34.911788</v>
      </c>
      <c r="J1696" s="36" t="n">
        <f aca="false">cust_sh*tk_cx_gb300*cf_cx+(1-cust_sh)*((1-Sens!$J$1693)*tk_cx_gb300+Sens!$J$1693*tk_cx_vr200)</f>
        <v>34.911788</v>
      </c>
      <c r="K1696" s="36" t="n">
        <f aca="false">cust_sh*tk_cx_gb300*cf_cx+(1-cust_sh)*((1-Sens!$K$1693)*tk_cx_gb300+Sens!$K$1693*tk_cx_vr200)</f>
        <v>34.911788</v>
      </c>
      <c r="L1696" s="36" t="n">
        <f aca="false">cust_sh*tk_cx_gb300*cf_cx+(1-cust_sh)*((1-Sens!$L$1693)*tk_cx_gb300+Sens!$L$1693*tk_cx_vr200)</f>
        <v>34.911788</v>
      </c>
      <c r="M1696" s="36" t="n">
        <f aca="false">cust_sh*tk_cx_gb300*cf_cx+(1-cust_sh)*((1-Sens!$M$1693)*tk_cx_gb300+Sens!$M$1693*tk_cx_vr200)</f>
        <v>34.911788</v>
      </c>
    </row>
    <row r="1697" customFormat="false" ht="17.15" hidden="false" customHeight="false" outlineLevel="0" collapsed="false">
      <c r="A1697" s="5" t="s">
        <v>564</v>
      </c>
      <c r="B1697" s="0" t="s">
        <v>108</v>
      </c>
      <c r="F1697" s="33" t="n">
        <f aca="false">Sens!$F$1687-mw_open</f>
        <v>1817.15</v>
      </c>
      <c r="G1697" s="33" t="n">
        <f aca="false">Sens!$F$1697</f>
        <v>1817.15</v>
      </c>
      <c r="H1697" s="33" t="n">
        <f aca="false">Sens!$H$1687-mw_open</f>
        <v>5451.45</v>
      </c>
      <c r="I1697" s="33" t="n">
        <f aca="false">Sens!$I$1687-mw_open</f>
        <v>9085.75</v>
      </c>
      <c r="J1697" s="33" t="n">
        <f aca="false">Sens!$J$1687-mw_open</f>
        <v>12720.05</v>
      </c>
      <c r="K1697" s="33" t="n">
        <f aca="false">Sens!$K$1687-mw_open</f>
        <v>16354.35</v>
      </c>
      <c r="L1697" s="33" t="n">
        <f aca="false">Sens!$L$1687-mw_open</f>
        <v>19988.65</v>
      </c>
      <c r="M1697" s="33" t="n">
        <f aca="false">Sens!$M$1687-mw_open</f>
        <v>23622.95</v>
      </c>
    </row>
    <row r="1698" customFormat="false" ht="17.15" hidden="false" customHeight="false" outlineLevel="0" collapsed="false">
      <c r="A1698" s="0" t="s">
        <v>565</v>
      </c>
      <c r="B1698" s="0" t="s">
        <v>566</v>
      </c>
      <c r="F1698" s="33" t="n">
        <f aca="false">Sens!$F$1690*Sens!$F$1694</f>
        <v>19782.2417524844</v>
      </c>
      <c r="G1698" s="33" t="n">
        <f aca="false">Sens!$F$1698</f>
        <v>19782.2417524844</v>
      </c>
      <c r="H1698" s="33" t="n">
        <f aca="false">Sens!$G$1698+Sens!$H$1690*Sens!$H$1694</f>
        <v>60563.3616992009</v>
      </c>
      <c r="I1698" s="33" t="n">
        <f aca="false">Sens!$H$1698+Sens!$I$1690*Sens!$I$1694</f>
        <v>102561.118087665</v>
      </c>
      <c r="J1698" s="33" t="n">
        <f aca="false">Sens!$I$1698+Sens!$J$1690*Sens!$J$1694</f>
        <v>144558.87447613</v>
      </c>
      <c r="K1698" s="33" t="n">
        <f aca="false">Sens!$J$1698+Sens!$K$1690*Sens!$K$1694</f>
        <v>186556.630864594</v>
      </c>
      <c r="L1698" s="33" t="n">
        <f aca="false">Sens!$K$1698+Sens!$L$1690*Sens!$L$1694</f>
        <v>228554.387253058</v>
      </c>
      <c r="M1698" s="33" t="n">
        <f aca="false">Sens!$L$1698+Sens!$M$1690*Sens!$M$1694</f>
        <v>270552.143641523</v>
      </c>
    </row>
    <row r="1699" customFormat="false" ht="17.15" hidden="false" customHeight="false" outlineLevel="0" collapsed="false">
      <c r="A1699" s="0" t="s">
        <v>567</v>
      </c>
      <c r="B1699" s="0" t="s">
        <v>566</v>
      </c>
      <c r="F1699" s="33" t="n">
        <f aca="false">Sens!$F$1690*Sens!$F$1695</f>
        <v>3602.74485070566</v>
      </c>
      <c r="G1699" s="33" t="n">
        <f aca="false">Sens!$F$1699</f>
        <v>3602.74485070566</v>
      </c>
      <c r="H1699" s="33" t="n">
        <f aca="false">Sens!$G$1699+Sens!$H$1690*Sens!$H$1695</f>
        <v>10908.9598445736</v>
      </c>
      <c r="I1699" s="33" t="n">
        <f aca="false">Sens!$H$1699+Sens!$I$1690*Sens!$I$1695</f>
        <v>18315.9001308981</v>
      </c>
      <c r="J1699" s="33" t="n">
        <f aca="false">Sens!$I$1699+Sens!$J$1690*Sens!$J$1695</f>
        <v>25722.8404172225</v>
      </c>
      <c r="K1699" s="33" t="n">
        <f aca="false">Sens!$J$1699+Sens!$K$1690*Sens!$K$1695</f>
        <v>33129.780703547</v>
      </c>
      <c r="L1699" s="33" t="n">
        <f aca="false">Sens!$K$1699+Sens!$L$1690*Sens!$L$1695</f>
        <v>40536.7209898715</v>
      </c>
      <c r="M1699" s="33" t="n">
        <f aca="false">Sens!$L$1699+Sens!$M$1690*Sens!$M$1695</f>
        <v>47943.661276196</v>
      </c>
    </row>
    <row r="1700" customFormat="false" ht="17.15" hidden="false" customHeight="false" outlineLevel="0" collapsed="false">
      <c r="A1700" s="5" t="s">
        <v>568</v>
      </c>
      <c r="B1700" s="0" t="s">
        <v>151</v>
      </c>
      <c r="F1700" s="36" t="n">
        <f aca="false">IF(Sens!$F$1697&gt;0,Sens!$F$1698/Sens!$F$1697,Sens!$F$1694)</f>
        <v>10.8864110021101</v>
      </c>
      <c r="G1700" s="36" t="n">
        <f aca="false">IF(Sens!$G$1697&gt;0,Sens!$G$1698/Sens!$G$1697,Sens!$G$1694)</f>
        <v>10.8864110021101</v>
      </c>
      <c r="H1700" s="36" t="n">
        <f aca="false">IF(Sens!$H$1697&gt;0,Sens!$H$1698/Sens!$H$1697,Sens!$H$1694)</f>
        <v>11.1095876691891</v>
      </c>
      <c r="I1700" s="36" t="n">
        <f aca="false">IF(Sens!$I$1697&gt;0,Sens!$I$1698/Sens!$I$1697,Sens!$I$1694)</f>
        <v>11.2881290028523</v>
      </c>
      <c r="J1700" s="36" t="n">
        <f aca="false">IF(Sens!$J$1697&gt;0,Sens!$J$1698/Sens!$J$1697,Sens!$J$1694)</f>
        <v>11.3646467172794</v>
      </c>
      <c r="K1700" s="36" t="n">
        <f aca="false">IF(Sens!$K$1697&gt;0,Sens!$K$1698/Sens!$K$1697,Sens!$K$1694)</f>
        <v>11.4071565586278</v>
      </c>
      <c r="L1700" s="36" t="n">
        <f aca="false">IF(Sens!$L$1697&gt;0,Sens!$L$1698/Sens!$L$1697,Sens!$L$1694)</f>
        <v>11.4342082758495</v>
      </c>
      <c r="M1700" s="36" t="n">
        <f aca="false">IF(Sens!$M$1697&gt;0,Sens!$M$1698/Sens!$M$1697,Sens!$M$1694)</f>
        <v>11.4529363877722</v>
      </c>
    </row>
    <row r="1701" customFormat="false" ht="17.15" hidden="false" customHeight="false" outlineLevel="0" collapsed="false">
      <c r="A1701" s="5" t="s">
        <v>569</v>
      </c>
      <c r="B1701" s="0" t="s">
        <v>151</v>
      </c>
      <c r="F1701" s="36" t="n">
        <f aca="false">IF(Sens!$F$1697&gt;0,Sens!$F$1699/Sens!$F$1697,Sens!$F$1695)</f>
        <v>1.98263481314457</v>
      </c>
      <c r="G1701" s="36" t="n">
        <f aca="false">IF(Sens!$G$1697&gt;0,Sens!$G$1699/Sens!$G$1697,Sens!$G$1695)</f>
        <v>1.98263481314457</v>
      </c>
      <c r="H1701" s="36" t="n">
        <f aca="false">IF(Sens!$H$1697&gt;0,Sens!$H$1699/Sens!$H$1697,Sens!$H$1695)</f>
        <v>2.00111160233948</v>
      </c>
      <c r="I1701" s="36" t="n">
        <f aca="false">IF(Sens!$I$1697&gt;0,Sens!$I$1699/Sens!$I$1697,Sens!$I$1695)</f>
        <v>2.01589303369541</v>
      </c>
      <c r="J1701" s="36" t="n">
        <f aca="false">IF(Sens!$J$1697&gt;0,Sens!$J$1699/Sens!$J$1697,Sens!$J$1695)</f>
        <v>2.02222793284795</v>
      </c>
      <c r="K1701" s="36" t="n">
        <f aca="false">IF(Sens!$K$1697&gt;0,Sens!$K$1699/Sens!$K$1697,Sens!$K$1695)</f>
        <v>2.02574732126603</v>
      </c>
      <c r="L1701" s="36" t="n">
        <f aca="false">IF(Sens!$L$1697&gt;0,Sens!$L$1699/Sens!$L$1697,Sens!$L$1695)</f>
        <v>2.02798693207753</v>
      </c>
      <c r="M1701" s="36" t="n">
        <f aca="false">IF(Sens!$M$1697&gt;0,Sens!$M$1699/Sens!$M$1697,Sens!$M$1695)</f>
        <v>2.02953743187011</v>
      </c>
    </row>
    <row r="1702" customFormat="false" ht="17.15" hidden="false" customHeight="false" outlineLevel="0" collapsed="false">
      <c r="A1702" s="14" t="s">
        <v>570</v>
      </c>
      <c r="B1702" s="13" t="s">
        <v>151</v>
      </c>
      <c r="C1702" s="13"/>
      <c r="D1702" s="13"/>
      <c r="E1702" s="13"/>
      <c r="F1702" s="37" t="n">
        <f aca="false">Sens!$F$1700*k_B</f>
        <v>10.7987645808025</v>
      </c>
      <c r="G1702" s="37" t="n">
        <f aca="false">Sens!$G$1700*k_B</f>
        <v>10.7987645808025</v>
      </c>
      <c r="H1702" s="37" t="n">
        <f aca="false">Sens!$H$1700*k_B</f>
        <v>11.0201444540452</v>
      </c>
      <c r="I1702" s="37" t="n">
        <f aca="false">Sens!$I$1700*k_B</f>
        <v>11.1972483526393</v>
      </c>
      <c r="J1702" s="37" t="n">
        <f aca="false">Sens!$J$1700*k_B</f>
        <v>11.2731500234653</v>
      </c>
      <c r="K1702" s="37" t="n">
        <f aca="false">Sens!$K$1700*k_B</f>
        <v>11.3153176183687</v>
      </c>
      <c r="L1702" s="37" t="n">
        <f aca="false">Sens!$L$1700*k_B</f>
        <v>11.3421515423981</v>
      </c>
      <c r="M1702" s="37" t="n">
        <f aca="false">Sens!$M$1700*k_B</f>
        <v>11.3607288744184</v>
      </c>
      <c r="N1702" s="13"/>
      <c r="O1702" s="13"/>
      <c r="P1702" s="5" t="s">
        <v>571</v>
      </c>
    </row>
    <row r="1703" customFormat="false" ht="17.15" hidden="false" customHeight="false" outlineLevel="0" collapsed="false">
      <c r="A1703" s="5" t="s">
        <v>572</v>
      </c>
      <c r="B1703" s="0" t="s">
        <v>108</v>
      </c>
      <c r="F1703" s="33" t="n">
        <f aca="false">Sens!$F$1697/2</f>
        <v>908.575</v>
      </c>
      <c r="H1703" s="33" t="n">
        <f aca="false">(Sens!$G$1697+Sens!$H$1697)/2</f>
        <v>3634.3</v>
      </c>
      <c r="I1703" s="33" t="n">
        <f aca="false">(Sens!$H$1697+Sens!$I$1697)/2</f>
        <v>7268.6</v>
      </c>
      <c r="J1703" s="33" t="n">
        <f aca="false">(Sens!$I$1697+Sens!$J$1697)/2</f>
        <v>10902.9</v>
      </c>
      <c r="K1703" s="33" t="n">
        <f aca="false">(Sens!$J$1697+Sens!$K$1697)/2</f>
        <v>14537.2</v>
      </c>
      <c r="L1703" s="33" t="n">
        <f aca="false">(Sens!$K$1697+Sens!$L$1697)/2</f>
        <v>18171.5</v>
      </c>
      <c r="M1703" s="33" t="n">
        <f aca="false">(Sens!$L$1697+Sens!$M$1697)/2</f>
        <v>21805.8</v>
      </c>
    </row>
    <row r="1704" customFormat="false" ht="17.15" hidden="false" customHeight="false" outlineLevel="0" collapsed="false">
      <c r="A1704" s="1" t="s">
        <v>573</v>
      </c>
    </row>
    <row r="1705" customFormat="false" ht="17.15" hidden="false" customHeight="false" outlineLevel="0" collapsed="false">
      <c r="A1705" s="1" t="s">
        <v>574</v>
      </c>
      <c r="B1705" s="8" t="s">
        <v>73</v>
      </c>
      <c r="C1705" s="38" t="n">
        <f aca="false">Sens!$C$1688*rpm_open*Sens!$C$1689/1000</f>
        <v>2.32100535697364</v>
      </c>
      <c r="D1705" s="38" t="n">
        <f aca="false">Sens!$D$1688*rpm_open*Sens!$D$1689/1000</f>
        <v>8.70377008865116</v>
      </c>
      <c r="E1705" s="38" t="n">
        <f aca="false">Sens!$E$1688*rpm_open*Sens!$E$1689/1000</f>
        <v>8.51035297557002</v>
      </c>
      <c r="F1705" s="38" t="n">
        <f aca="false">(mw_open*rpm_open+Sens!$F$1703*Sens!$F$1702)*Sens!$F$1689/1000</f>
        <v>14.9634336447205</v>
      </c>
      <c r="G1705" s="38" t="n">
        <f aca="false">Sens!$E$1705+Sens!$F$1705</f>
        <v>23.4737866202905</v>
      </c>
      <c r="H1705" s="38" t="n">
        <f aca="false">(mw_open*rpm_open+Sens!$H$1703*Sens!$H$1702)/1000</f>
        <v>60.1658907497746</v>
      </c>
      <c r="I1705" s="38" t="n">
        <f aca="false">(mw_open*rpm_open+Sens!$I$1703*Sens!$I$1702)/1000</f>
        <v>101.503699136432</v>
      </c>
      <c r="J1705" s="38" t="n">
        <f aca="false">(mw_open*rpm_open+Sens!$J$1703*Sens!$J$1702)/1000</f>
        <v>143.025407151278</v>
      </c>
      <c r="K1705" s="38" t="n">
        <f aca="false">(mw_open*rpm_open+Sens!$K$1703*Sens!$K$1702)/1000</f>
        <v>184.608415042187</v>
      </c>
      <c r="L1705" s="38" t="n">
        <f aca="false">(mw_open*rpm_open+Sens!$L$1703*Sens!$L$1702)/1000</f>
        <v>226.219286513125</v>
      </c>
      <c r="M1705" s="38" t="n">
        <f aca="false">(mw_open*rpm_open+Sens!$M$1703*Sens!$M$1702)/1000</f>
        <v>267.845161450232</v>
      </c>
      <c r="N1705" s="38" t="n">
        <f aca="false">Sens!$N$1688*rpm_open*Sens!$N$1689/1000</f>
        <v>3.04631953102791</v>
      </c>
      <c r="O1705" s="38" t="n">
        <f aca="false">Sens!$O$1688*rpm_open*Sens!$O$1689/1000</f>
        <v>5.65745055762326</v>
      </c>
      <c r="P1705" s="5" t="s">
        <v>575</v>
      </c>
    </row>
    <row r="1706" customFormat="false" ht="17.15" hidden="false" customHeight="false" outlineLevel="0" collapsed="false">
      <c r="A1706" s="5" t="s">
        <v>576</v>
      </c>
      <c r="B1706" s="0" t="s">
        <v>151</v>
      </c>
      <c r="C1706" s="36" t="n">
        <f aca="false">Sens!$C$1705*1000/(Sens!$C$1688*Sens!$C$1689)</f>
        <v>9.67085565405685</v>
      </c>
      <c r="D1706" s="36" t="n">
        <f aca="false">Sens!$D$1705*1000/(Sens!$D$1688*Sens!$D$1689)</f>
        <v>9.67085565405685</v>
      </c>
      <c r="E1706" s="36" t="n">
        <f aca="false">Sens!$E$1705*1000/(Sens!$E$1688*Sens!$E$1689)</f>
        <v>9.67085565405685</v>
      </c>
      <c r="F1706" s="36" t="n">
        <f aca="false">Sens!$F$1705*1000/(Sens!$F$1688*Sens!$F$1689)</f>
        <v>10.0137581588017</v>
      </c>
      <c r="G1706" s="36" t="n">
        <f aca="false">Sens!$G$1705*1000/(Sens!$G$1688*Sens!$G$1689)</f>
        <v>9.88666562928478</v>
      </c>
      <c r="H1706" s="36" t="n">
        <f aca="false">Sens!$H$1705*1000/(Sens!$H$1688*Sens!$H$1689)</f>
        <v>10.5290045586992</v>
      </c>
      <c r="I1706" s="36" t="n">
        <f aca="false">Sens!$I$1705*1000/(Sens!$I$1688*Sens!$I$1689)</f>
        <v>10.8576363451674</v>
      </c>
      <c r="J1706" s="36" t="n">
        <f aca="false">Sens!$J$1705*1000/(Sens!$J$1688*Sens!$J$1689)</f>
        <v>11.0164452588619</v>
      </c>
      <c r="K1706" s="36" t="n">
        <f aca="false">Sens!$K$1705*1000/(Sens!$K$1688*Sens!$K$1689)</f>
        <v>11.1094778327388</v>
      </c>
      <c r="L1706" s="36" t="n">
        <f aca="false">Sens!$L$1705*1000/(Sens!$L$1688*Sens!$L$1689)</f>
        <v>11.1704953466718</v>
      </c>
      <c r="M1706" s="36" t="n">
        <f aca="false">Sens!$M$1705*1000/(Sens!$M$1688*Sens!$M$1689)</f>
        <v>11.2135729785158</v>
      </c>
      <c r="N1706" s="36" t="n">
        <f aca="false">Sens!$N$1705*1000/(Sens!$N$1688*Sens!$N$1689)</f>
        <v>9.67085565405685</v>
      </c>
      <c r="O1706" s="36" t="n">
        <f aca="false">Sens!$O$1705*1000/(Sens!$O$1688*Sens!$O$1689)</f>
        <v>9.67085565405685</v>
      </c>
    </row>
    <row r="1707" customFormat="false" ht="17.15" hidden="false" customHeight="false" outlineLevel="0" collapsed="false">
      <c r="A1707" s="0" t="s">
        <v>577</v>
      </c>
      <c r="B1707" s="0" t="s">
        <v>73</v>
      </c>
      <c r="C1707" s="38" t="n">
        <f aca="false">Sens!$C$1688/ext_sh*(ox_open+rent_mw)*Sens!$C$1689/1000</f>
        <v>0.642569210675032</v>
      </c>
      <c r="D1707" s="38" t="n">
        <f aca="false">Sens!$D$1688/ext_sh*(ox_open+rent_mw)*Sens!$D$1689/1000</f>
        <v>2.40963454003137</v>
      </c>
      <c r="E1707" s="38" t="n">
        <f aca="false">Sens!$E$1688/ext_sh*(ox_open+rent_mw)*Sens!$E$1689/1000</f>
        <v>2.35608710580845</v>
      </c>
      <c r="F1707" s="38" t="n">
        <f aca="false">((mw_open*ox_open+Sens!$F$1703*Sens!$F$1701)/ext_sh+Sens!$F$1688/ext_sh*rent_mw)*Sens!$F$1689/1000</f>
        <v>4.05421991106232</v>
      </c>
      <c r="G1707" s="38" t="n">
        <f aca="false">Sens!$E$1707+Sens!$F$1707</f>
        <v>6.41030701687077</v>
      </c>
      <c r="H1707" s="38" t="n">
        <f aca="false">((mw_open*ox_open+Sens!$H$1703*Sens!$H$1701)/ext_sh+Sens!$H$1688/ext_sh*rent_mw)*Sens!$H$1689/1000</f>
        <v>15.8108975546616</v>
      </c>
      <c r="I1707" s="38" t="n">
        <f aca="false">((mw_open*ox_open+Sens!$I$1703*Sens!$I$1701)/ext_sh+Sens!$I$1688/ext_sh*rent_mw)*Sens!$I$1689/1000</f>
        <v>26.1871623400817</v>
      </c>
      <c r="J1707" s="38" t="n">
        <f aca="false">((mw_open*ox_open+Sens!$J$1703*Sens!$J$1701)/ext_sh+Sens!$J$1688/ext_sh*rent_mw)*Sens!$J$1689/1000</f>
        <v>36.5826128954935</v>
      </c>
      <c r="K1707" s="38" t="n">
        <f aca="false">((mw_open*ox_open+Sens!$K$1703*Sens!$K$1701)/ext_sh+Sens!$K$1688/ext_sh*rent_mw)*Sens!$K$1689/1000</f>
        <v>46.9844587075692</v>
      </c>
      <c r="L1707" s="38" t="n">
        <f aca="false">((mw_open*ox_open+Sens!$L$1703*Sens!$L$1701)/ext_sh+Sens!$L$1688/ext_sh*rent_mw)*Sens!$L$1689/1000</f>
        <v>57.3892114544922</v>
      </c>
      <c r="M1707" s="38" t="n">
        <f aca="false">((mw_open*ox_open+Sens!$M$1703*Sens!$M$1701)/ext_sh+Sens!$M$1688/ext_sh*rent_mw)*Sens!$M$1689/1000</f>
        <v>67.7955294740252</v>
      </c>
      <c r="N1707" s="38" t="n">
        <f aca="false">Sens!$N$1688/ext_sh*(ox_open+rent_mw)*Sens!$N$1689/1000</f>
        <v>0.84337208901098</v>
      </c>
      <c r="O1707" s="38" t="n">
        <f aca="false">Sens!$O$1688/ext_sh*(ox_open+rent_mw)*Sens!$O$1689/1000</f>
        <v>1.56626245102039</v>
      </c>
    </row>
    <row r="1708" customFormat="false" ht="17.15" hidden="false" customHeight="false" outlineLevel="0" collapsed="false">
      <c r="A1708" s="0" t="s">
        <v>578</v>
      </c>
      <c r="B1708" s="0" t="s">
        <v>73</v>
      </c>
      <c r="C1708" s="38" t="n">
        <f aca="false">Q!$D$7</f>
        <v>107.556</v>
      </c>
      <c r="D1708" s="38" t="n">
        <f aca="false">Q!$E$7</f>
        <v>128.725</v>
      </c>
      <c r="E1708" s="38" t="n">
        <f aca="false">Q!$P$7</f>
        <v>79.819</v>
      </c>
      <c r="N1708" s="38" t="n">
        <f aca="false">Q!$N$7</f>
        <v>60.14</v>
      </c>
      <c r="O1708" s="38" t="n">
        <f aca="false">Q!$O$7</f>
        <v>68.585</v>
      </c>
    </row>
    <row r="1709" customFormat="false" ht="17.15" hidden="false" customHeight="false" outlineLevel="0" collapsed="false">
      <c r="A1709" s="1" t="s">
        <v>579</v>
      </c>
      <c r="B1709" s="8" t="s">
        <v>73</v>
      </c>
      <c r="C1709" s="38" t="n">
        <f aca="false">Sens!$C$1708-Sens!$C$1705</f>
        <v>105.234994643026</v>
      </c>
      <c r="D1709" s="38" t="n">
        <f aca="false">Sens!$D$1708-Sens!$D$1705</f>
        <v>120.021229911349</v>
      </c>
      <c r="E1709" s="38" t="n">
        <f aca="false">Sens!$E$1708-Sens!$E$1705</f>
        <v>71.30864702443</v>
      </c>
      <c r="F1709" s="38" t="n">
        <f aca="false">Sens!$O$1709*(1+Sens!$F$1710)</f>
        <v>78.5950104186653</v>
      </c>
      <c r="G1709" s="38" t="n">
        <f aca="false">Sens!$E$1709+Sens!$F$1709</f>
        <v>149.903657443095</v>
      </c>
      <c r="H1709" s="38" t="n">
        <f aca="false">Sens!$G$1709*(1+Sens!$H$1710)</f>
        <v>180.893560768142</v>
      </c>
      <c r="I1709" s="38" t="n">
        <f aca="false">Sens!$H$1709*(1+Sens!$I$1710)</f>
        <v>210.64839721501</v>
      </c>
      <c r="J1709" s="38" t="n">
        <f aca="false">Sens!$I$1709*(1+Sens!$J$1710)</f>
        <v>236.398909446495</v>
      </c>
      <c r="K1709" s="38" t="n">
        <f aca="false">Sens!$J$1709*(1+Sens!$K$1710)</f>
        <v>255.310822202215</v>
      </c>
      <c r="L1709" s="38" t="n">
        <f aca="false">Sens!$K$1709*(1+Sens!$L$1710)</f>
        <v>275.735687978392</v>
      </c>
      <c r="M1709" s="38" t="n">
        <f aca="false">Sens!$L$1709*(1+Sens!$M$1710)</f>
        <v>297.794543016663</v>
      </c>
      <c r="N1709" s="38" t="n">
        <f aca="false">Sens!$N$1708-Sens!$N$1705</f>
        <v>57.0936804689721</v>
      </c>
      <c r="O1709" s="38" t="n">
        <f aca="false">Sens!$O$1708-Sens!$O$1705</f>
        <v>62.9275494423768</v>
      </c>
      <c r="P1709" s="5" t="s">
        <v>580</v>
      </c>
    </row>
    <row r="1710" customFormat="false" ht="17.15" hidden="false" customHeight="false" outlineLevel="0" collapsed="false">
      <c r="A1710" s="0" t="s">
        <v>581</v>
      </c>
      <c r="B1710" s="0" t="s">
        <v>52</v>
      </c>
      <c r="E1710" s="12" t="n">
        <f aca="false">Sens!$E$1709/Sens!$N$1709-1</f>
        <v>0.248976181579029</v>
      </c>
      <c r="F1710" s="12" t="n">
        <f aca="false">Sens!$E$1710</f>
        <v>0.248976181579029</v>
      </c>
      <c r="G1710" s="12" t="n">
        <f aca="false">Sens!$G$1709/Sens!$D$1709-1</f>
        <v>0.248976181579029</v>
      </c>
      <c r="H1710" s="12" t="n">
        <f aca="false">Sens!$E$1710+(g_awso_lt-Sens!$E$1710)*1/4</f>
        <v>0.206732136184272</v>
      </c>
      <c r="I1710" s="12" t="n">
        <f aca="false">Sens!$E$1710+(g_awso_lt-Sens!$E$1710)*2/4</f>
        <v>0.164488090789515</v>
      </c>
      <c r="J1710" s="12" t="n">
        <f aca="false">Sens!$E$1710+(g_awso_lt-Sens!$E$1710)*3/4</f>
        <v>0.122244045394757</v>
      </c>
      <c r="K1710" s="12" t="n">
        <f aca="false">Sens!$E$1710+(g_awso_lt-Sens!$E$1710)*4/4</f>
        <v>0.08</v>
      </c>
      <c r="L1710" s="12" t="n">
        <f aca="false">g_awso_lt</f>
        <v>0.08</v>
      </c>
      <c r="M1710" s="12" t="n">
        <f aca="false">g_awso_lt</f>
        <v>0.08</v>
      </c>
      <c r="P1710" s="8" t="s">
        <v>582</v>
      </c>
    </row>
    <row r="1711" customFormat="false" ht="17.15" hidden="false" customHeight="false" outlineLevel="0" collapsed="false">
      <c r="A1711" s="1" t="s">
        <v>583</v>
      </c>
    </row>
    <row r="1712" customFormat="false" ht="17.15" hidden="false" customHeight="false" outlineLevel="0" collapsed="false">
      <c r="A1712" s="0" t="s">
        <v>584</v>
      </c>
      <c r="B1712" s="0" t="s">
        <v>73</v>
      </c>
      <c r="F1712" s="38" t="n">
        <f aca="false">cx_rt*Sens!$F$1678+cx_awso*Sens!$F$1709</f>
        <v>36.8045765066526</v>
      </c>
    </row>
    <row r="1713" customFormat="false" ht="17.15" hidden="false" customHeight="false" outlineLevel="0" collapsed="false">
      <c r="A1713" s="0" t="s">
        <v>585</v>
      </c>
      <c r="B1713" s="0" t="s">
        <v>52</v>
      </c>
      <c r="C1713" s="12" t="n">
        <f aca="false">tk_cx_h100/(tk_cx_h100+tk_fac*(1-colo_sh))</f>
        <v>0.730756458006641</v>
      </c>
      <c r="D1713" s="12" t="n">
        <f aca="false">tk_cx_h100/(tk_cx_h100+tk_fac*(1-colo_sh))</f>
        <v>0.730756458006641</v>
      </c>
      <c r="E1713" s="12" t="n">
        <f aca="false">Sens!$F$1713</f>
        <v>0.760792334328868</v>
      </c>
      <c r="F1713" s="12" t="n">
        <f aca="false">Sens!$F$1696/(Sens!$F$1696+tk_fac*(1-colo_sh))</f>
        <v>0.760792334328868</v>
      </c>
      <c r="G1713" s="12" t="n">
        <f aca="false">Sens!$G$1696/(Sens!$G$1696+tk_fac*(1-colo_sh))</f>
        <v>0.760792334328868</v>
      </c>
      <c r="H1713" s="12" t="n">
        <f aca="false">Sens!$H$1696/(Sens!$H$1696+tk_fac*(1-colo_sh))</f>
        <v>0.768110668862996</v>
      </c>
      <c r="I1713" s="12" t="n">
        <f aca="false">Sens!$I$1696/(Sens!$I$1696+tk_fac*(1-colo_sh))</f>
        <v>0.77499450139483</v>
      </c>
      <c r="J1713" s="12" t="n">
        <f aca="false">Sens!$J$1696/(Sens!$J$1696+tk_fac*(1-colo_sh))</f>
        <v>0.77499450139483</v>
      </c>
      <c r="K1713" s="12" t="n">
        <f aca="false">Sens!$K$1696/(Sens!$K$1696+tk_fac*(1-colo_sh))</f>
        <v>0.77499450139483</v>
      </c>
      <c r="L1713" s="12" t="n">
        <f aca="false">Sens!$L$1696/(Sens!$L$1696+tk_fac*(1-colo_sh))</f>
        <v>0.77499450139483</v>
      </c>
      <c r="M1713" s="12" t="n">
        <f aca="false">Sens!$M$1696/(Sens!$M$1696+tk_fac*(1-colo_sh))</f>
        <v>0.77499450139483</v>
      </c>
    </row>
    <row r="1714" customFormat="false" ht="17.15" hidden="false" customHeight="false" outlineLevel="0" collapsed="false">
      <c r="A1714" s="1" t="s">
        <v>586</v>
      </c>
      <c r="B1714" s="8" t="s">
        <v>73</v>
      </c>
      <c r="C1714" s="38" t="n">
        <f aca="false">Q!$D$46-cx_rt*Q!$D$16-cx_awso*Sens!$C$1709</f>
        <v>25.2781053077374</v>
      </c>
      <c r="D1714" s="38" t="n">
        <f aca="false">Q!$E$46-cx_rt*Q!$E$16-cx_awso*Sens!$D$1709</f>
        <v>69.5686316310026</v>
      </c>
      <c r="E1714" s="38" t="n">
        <f aca="false">Q!$P$46-cx_rt*Q!$P$16-cx_awso*Sens!$E$1709</f>
        <v>64.1899206485108</v>
      </c>
      <c r="F1714" s="38" t="n">
        <f aca="false">MAX(Sens!$F$1691*(Sens!$F$1696+tk_fac*(1-colo_sh))/1000,capex_g26-Q!$P$46-Sens!$F$1712)</f>
        <v>96.2481299895</v>
      </c>
      <c r="G1714" s="38" t="n">
        <f aca="false">Sens!$E$1714+Sens!$F$1714</f>
        <v>160.438050638011</v>
      </c>
      <c r="H1714" s="38" t="n">
        <f aca="false">Sens!$H$1691*(Sens!$H$1696+tk_fac*(1-colo_sh))/1000+Sens!$H$1715</f>
        <v>198.57136494475</v>
      </c>
      <c r="I1714" s="38" t="n">
        <f aca="false">Sens!$I$1691*(Sens!$I$1696+tk_fac*(1-colo_sh))/1000+Sens!$I$1715</f>
        <v>209.8832381105</v>
      </c>
      <c r="J1714" s="38" t="n">
        <f aca="false">Sens!$J$1691*(Sens!$J$1696+tk_fac*(1-colo_sh))/1000+Sens!$J$1715</f>
        <v>215.1200063105</v>
      </c>
      <c r="K1714" s="38" t="n">
        <f aca="false">Sens!$K$1691*(Sens!$K$1696+tk_fac*(1-colo_sh))/1000+Sens!$K$1715</f>
        <v>251.7773837105</v>
      </c>
      <c r="L1714" s="38" t="n">
        <f aca="false">Sens!$L$1691*(Sens!$L$1696+tk_fac*(1-colo_sh))/1000+Sens!$L$1715</f>
        <v>311.87584476575</v>
      </c>
      <c r="M1714" s="38" t="n">
        <f aca="false">Sens!$M$1691*(Sens!$M$1696+tk_fac*(1-colo_sh))/1000+Sens!$M$1715</f>
        <v>363.246358821</v>
      </c>
      <c r="P1714" s="5" t="s">
        <v>587</v>
      </c>
      <c r="R1714" s="38" t="n">
        <f aca="false">Q!$C$46-cx_rt*Q!$C$16-cx_awso*(Q!$C$7-mw_ye23/2*rpm_open/1000)</f>
        <v>1.50429979529945</v>
      </c>
      <c r="S1714" s="38" t="n">
        <f aca="false">Sens!$C$1714</f>
        <v>25.2781053077374</v>
      </c>
      <c r="T1714" s="38" t="n">
        <f aca="false">Sens!$D$1714</f>
        <v>69.5686316310026</v>
      </c>
      <c r="U1714" s="38" t="n">
        <f aca="false">Sens!$G$1714</f>
        <v>160.438050638011</v>
      </c>
      <c r="V1714" s="38" t="n">
        <f aca="false">Sens!$H$1714</f>
        <v>198.57136494475</v>
      </c>
      <c r="W1714" s="38" t="n">
        <f aca="false">Sens!$I$1714</f>
        <v>209.8832381105</v>
      </c>
      <c r="X1714" s="38" t="n">
        <f aca="false">Sens!$J$1714</f>
        <v>215.1200063105</v>
      </c>
      <c r="Y1714" s="38" t="n">
        <f aca="false">Sens!$K$1714</f>
        <v>251.7773837105</v>
      </c>
      <c r="Z1714" s="38" t="n">
        <f aca="false">Sens!$L$1714</f>
        <v>311.87584476575</v>
      </c>
      <c r="AA1714" s="38" t="n">
        <f aca="false">Sens!$M$1714</f>
        <v>363.246358821</v>
      </c>
    </row>
    <row r="1715" customFormat="false" ht="17.15" hidden="false" customHeight="false" outlineLevel="0" collapsed="false">
      <c r="A1715" s="0" t="s">
        <v>588</v>
      </c>
      <c r="B1715" s="0" t="s">
        <v>73</v>
      </c>
      <c r="H1715" s="38" t="n">
        <f aca="false">SUMPRODUCT(--(Sens!$R$1685:$AA$1685=2027-tk_life_lo),Sens!$R$1691:$AA$1691)*Sens!$H$1696/1000</f>
        <v>0</v>
      </c>
      <c r="I1715" s="38" t="n">
        <f aca="false">SUMPRODUCT(--(Sens!$R$1685:$AA$1685=2028-tk_life_lo),Sens!$R$1691:$AA$1691)*Sens!$I$1696/1000</f>
        <v>5.2367682</v>
      </c>
      <c r="J1715" s="38" t="n">
        <f aca="false">SUMPRODUCT(--(Sens!$R$1685:$AA$1685=2029-tk_life_lo),Sens!$R$1691:$AA$1691)*Sens!$J$1696/1000</f>
        <v>10.4735364</v>
      </c>
      <c r="K1715" s="38" t="n">
        <f aca="false">SUMPRODUCT(--(Sens!$R$1685:$AA$1685=2030-tk_life_lo),Sens!$R$1691:$AA$1691)*Sens!$K$1696/1000</f>
        <v>47.1309138</v>
      </c>
      <c r="L1715" s="38" t="n">
        <f aca="false">SUMPRODUCT(--(Sens!$R$1685:$AA$1685=2031-tk_life_lo),Sens!$R$1691:$AA$1691)*Sens!$L$1696/1000</f>
        <v>107.22937485525</v>
      </c>
      <c r="M1715" s="38" t="n">
        <f aca="false">SUMPRODUCT(--(Sens!$R$1685:$AA$1685=2032-tk_life_lo),Sens!$R$1691:$AA$1691)*Sens!$M$1696/1000</f>
        <v>158.5998889105</v>
      </c>
    </row>
    <row r="1716" customFormat="false" ht="17.15" hidden="false" customHeight="false" outlineLevel="0" collapsed="false">
      <c r="A1716" s="5" t="s">
        <v>589</v>
      </c>
      <c r="B1716" s="0" t="s">
        <v>73</v>
      </c>
      <c r="C1716" s="38" t="n">
        <f aca="false">Sens!$C$1714*Sens!$C$1713</f>
        <v>18.472138699801</v>
      </c>
      <c r="D1716" s="38" t="n">
        <f aca="false">Sens!$D$1714*Sens!$D$1713</f>
        <v>50.8377268390402</v>
      </c>
      <c r="E1716" s="38" t="n">
        <f aca="false">Sens!$E$1714*Sens!$E$1713</f>
        <v>48.8351995705653</v>
      </c>
      <c r="F1716" s="38" t="n">
        <f aca="false">Sens!$F$1714*Sens!$F$1713</f>
        <v>73.2248394895</v>
      </c>
      <c r="G1716" s="38" t="n">
        <f aca="false">Sens!$E$1716+Sens!$F$1716</f>
        <v>122.060039060065</v>
      </c>
      <c r="H1716" s="38" t="n">
        <f aca="false">(Sens!$H$1714-Sens!$H$1715)*Sens!$H$1713+Sens!$H$1715</f>
        <v>152.52478394475</v>
      </c>
      <c r="I1716" s="38" t="n">
        <f aca="false">(Sens!$I$1714-Sens!$I$1715)*Sens!$I$1713+Sens!$I$1715</f>
        <v>163.8366571105</v>
      </c>
      <c r="J1716" s="38" t="n">
        <f aca="false">(Sens!$J$1714-Sens!$J$1715)*Sens!$J$1713+Sens!$J$1715</f>
        <v>169.0734253105</v>
      </c>
      <c r="K1716" s="38" t="n">
        <f aca="false">(Sens!$K$1714-Sens!$K$1715)*Sens!$K$1713+Sens!$K$1715</f>
        <v>205.7308027105</v>
      </c>
      <c r="L1716" s="38" t="n">
        <f aca="false">(Sens!$L$1714-Sens!$L$1715)*Sens!$L$1713+Sens!$L$1715</f>
        <v>265.82926376575</v>
      </c>
      <c r="M1716" s="38" t="n">
        <f aca="false">(Sens!$M$1714-Sens!$M$1715)*Sens!$M$1713+Sens!$M$1715</f>
        <v>317.199777821</v>
      </c>
      <c r="R1716" s="38" t="n">
        <f aca="false">Sens!$R$1714*Sens!$C$1713</f>
        <v>1.09927679019314</v>
      </c>
      <c r="S1716" s="38" t="n">
        <f aca="false">Sens!$C$1716</f>
        <v>18.472138699801</v>
      </c>
      <c r="T1716" s="38" t="n">
        <f aca="false">Sens!$D$1716</f>
        <v>50.8377268390402</v>
      </c>
      <c r="U1716" s="38" t="n">
        <f aca="false">Sens!$G$1716</f>
        <v>122.060039060065</v>
      </c>
      <c r="V1716" s="38" t="n">
        <f aca="false">Sens!$H$1716</f>
        <v>152.52478394475</v>
      </c>
      <c r="W1716" s="38" t="n">
        <f aca="false">Sens!$I$1716</f>
        <v>163.8366571105</v>
      </c>
      <c r="X1716" s="38" t="n">
        <f aca="false">Sens!$J$1716</f>
        <v>169.0734253105</v>
      </c>
      <c r="Y1716" s="38" t="n">
        <f aca="false">Sens!$K$1716</f>
        <v>205.7308027105</v>
      </c>
      <c r="Z1716" s="38" t="n">
        <f aca="false">Sens!$L$1716</f>
        <v>265.82926376575</v>
      </c>
      <c r="AA1716" s="38" t="n">
        <f aca="false">Sens!$M$1716</f>
        <v>317.199777821</v>
      </c>
    </row>
    <row r="1717" customFormat="false" ht="15" hidden="false" customHeight="false" outlineLevel="0" collapsed="false">
      <c r="A1717" s="5" t="s">
        <v>590</v>
      </c>
      <c r="B1717" s="0" t="s">
        <v>73</v>
      </c>
      <c r="C1717" s="38" t="n">
        <f aca="false">Sens!$C$1714-Sens!$C$1716</f>
        <v>6.80596660793636</v>
      </c>
      <c r="D1717" s="38" t="n">
        <f aca="false">Sens!$D$1714-Sens!$D$1716</f>
        <v>18.7309047919624</v>
      </c>
      <c r="E1717" s="38" t="n">
        <f aca="false">Sens!$E$1714-Sens!$E$1716</f>
        <v>15.3547210779455</v>
      </c>
      <c r="F1717" s="38" t="n">
        <f aca="false">Sens!$F$1714-Sens!$F$1716</f>
        <v>23.0232905</v>
      </c>
      <c r="G1717" s="38" t="n">
        <f aca="false">Sens!$G$1714-Sens!$G$1716</f>
        <v>38.3780115779455</v>
      </c>
      <c r="H1717" s="38" t="n">
        <f aca="false">Sens!$H$1714-Sens!$H$1716</f>
        <v>46.046581</v>
      </c>
      <c r="I1717" s="38" t="n">
        <f aca="false">Sens!$I$1714-Sens!$I$1716</f>
        <v>46.046581</v>
      </c>
      <c r="J1717" s="38" t="n">
        <f aca="false">Sens!$J$1714-Sens!$J$1716</f>
        <v>46.046581</v>
      </c>
      <c r="K1717" s="38" t="n">
        <f aca="false">Sens!$K$1714-Sens!$K$1716</f>
        <v>46.046581</v>
      </c>
      <c r="L1717" s="38" t="n">
        <f aca="false">Sens!$L$1714-Sens!$L$1716</f>
        <v>46.046581</v>
      </c>
      <c r="M1717" s="38" t="n">
        <f aca="false">Sens!$M$1714-Sens!$M$1716</f>
        <v>46.046581</v>
      </c>
      <c r="R1717" s="38" t="n">
        <f aca="false">Sens!$R$1714-Sens!$R$1716</f>
        <v>0.405023005106309</v>
      </c>
      <c r="S1717" s="38" t="n">
        <f aca="false">Sens!$S$1714-Sens!$S$1716</f>
        <v>6.80596660793636</v>
      </c>
      <c r="T1717" s="38" t="n">
        <f aca="false">Sens!$T$1714-Sens!$T$1716</f>
        <v>18.7309047919624</v>
      </c>
      <c r="U1717" s="38" t="n">
        <f aca="false">Sens!$U$1714-Sens!$U$1716</f>
        <v>38.3780115779455</v>
      </c>
      <c r="V1717" s="38" t="n">
        <f aca="false">Sens!$V$1714-Sens!$V$1716</f>
        <v>46.046581</v>
      </c>
      <c r="W1717" s="38" t="n">
        <f aca="false">Sens!$W$1714-Sens!$W$1716</f>
        <v>46.046581</v>
      </c>
      <c r="X1717" s="38" t="n">
        <f aca="false">Sens!$X$1714-Sens!$X$1716</f>
        <v>46.046581</v>
      </c>
      <c r="Y1717" s="38" t="n">
        <f aca="false">Sens!$Y$1714-Sens!$Y$1716</f>
        <v>46.046581</v>
      </c>
      <c r="Z1717" s="38" t="n">
        <f aca="false">Sens!$Z$1714-Sens!$Z$1716</f>
        <v>46.046581</v>
      </c>
      <c r="AA1717" s="38" t="n">
        <f aca="false">Sens!$AA$1714-Sens!$AA$1716</f>
        <v>46.046581</v>
      </c>
    </row>
    <row r="1718" customFormat="false" ht="17.15" hidden="false" customHeight="false" outlineLevel="0" collapsed="false">
      <c r="A1718" s="0" t="s">
        <v>591</v>
      </c>
      <c r="B1718" s="0" t="s">
        <v>52</v>
      </c>
      <c r="C1718" s="12" t="n">
        <f aca="false">Sens!$C$1714/Sens!$C$1830</f>
        <v>0.325505489553393</v>
      </c>
      <c r="D1718" s="12" t="n">
        <f aca="false">Sens!$D$1714/Sens!$D$1830</f>
        <v>0.54214956071542</v>
      </c>
      <c r="E1718" s="12" t="n">
        <f aca="false">Sens!$E$1714/Sens!$E$1830</f>
        <v>0.666492790452817</v>
      </c>
      <c r="F1718" s="12" t="n">
        <f aca="false">Sens!$F$1714/Sens!$F$1830</f>
        <v>0.723383481058938</v>
      </c>
      <c r="G1718" s="12" t="n">
        <f aca="false">Sens!$G$1714/Sens!$G$1830</f>
        <v>0.699494931364102</v>
      </c>
      <c r="H1718" s="12" t="n">
        <f aca="false">Sens!$H$1714/Sens!$H$1830</f>
        <v>0.714619350171483</v>
      </c>
      <c r="I1718" s="12" t="n">
        <f aca="false">Sens!$I$1714/Sens!$I$1830</f>
        <v>0.701548862691178</v>
      </c>
      <c r="J1718" s="12" t="n">
        <f aca="false">Sens!$J$1714/Sens!$J$1830</f>
        <v>0.686613510217074</v>
      </c>
      <c r="K1718" s="12" t="n">
        <f aca="false">Sens!$K$1714/Sens!$K$1830</f>
        <v>0.705173618372479</v>
      </c>
      <c r="L1718" s="12" t="n">
        <f aca="false">Sens!$L$1714/Sens!$L$1830</f>
        <v>0.734248996891746</v>
      </c>
      <c r="M1718" s="12" t="n">
        <f aca="false">Sens!$M$1714/Sens!$M$1830</f>
        <v>0.750022905631649</v>
      </c>
    </row>
    <row r="1719" customFormat="false" ht="17.15" hidden="false" customHeight="false" outlineLevel="0" collapsed="false">
      <c r="A1719" s="0" t="s">
        <v>592</v>
      </c>
      <c r="B1719" s="0" t="s">
        <v>73</v>
      </c>
      <c r="C1719" s="38" t="n">
        <f aca="false">Sens!$S$1719</f>
        <v>0.219855358038628</v>
      </c>
      <c r="D1719" s="38" t="n">
        <f aca="false">Sens!$T$1719</f>
        <v>3.91428309799884</v>
      </c>
      <c r="E1719" s="38" t="n">
        <f aca="false">Sens!$G$1719/2</f>
        <v>7.04091423290344</v>
      </c>
      <c r="F1719" s="38" t="n">
        <f aca="false">Sens!$G$1719/2</f>
        <v>7.04091423290344</v>
      </c>
      <c r="G1719" s="38" t="n">
        <f aca="false">Sens!$U$1719</f>
        <v>14.0818284658069</v>
      </c>
      <c r="H1719" s="38" t="n">
        <f aca="false">Sens!$V$1719</f>
        <v>38.4938362778199</v>
      </c>
      <c r="I1719" s="38" t="n">
        <f aca="false">Sens!$W$1719</f>
        <v>68.9987930667699</v>
      </c>
      <c r="J1719" s="38" t="n">
        <f aca="false">Sens!$X$1719</f>
        <v>101.546269130831</v>
      </c>
      <c r="K1719" s="38" t="n">
        <f aca="false">Sens!$Y$1719</f>
        <v>131.666526452971</v>
      </c>
      <c r="L1719" s="38" t="n">
        <f aca="false">Sens!$Z$1719</f>
        <v>162.645141627263</v>
      </c>
      <c r="M1719" s="38" t="n">
        <f aca="false">Sens!$AA$1719</f>
        <v>191.3989865684</v>
      </c>
      <c r="N1719" s="38" t="n">
        <f aca="false">Sens!$D$1719/2</f>
        <v>1.95714154899942</v>
      </c>
      <c r="O1719" s="38" t="n">
        <f aca="false">Sens!$D$1719/2</f>
        <v>1.95714154899942</v>
      </c>
      <c r="R1719" s="38" t="n">
        <f aca="false">SUMPRODUCT(--(Sens!$R$1685:$AA$1685&lt;Sens!R$1685),--(Sens!$R$1685:$AA$1685&gt;=Sens!R$1685-tk_life_lo),Sens!$R$1716:$AA$1716)/tk_life_lo</f>
        <v>0</v>
      </c>
      <c r="S1719" s="38" t="n">
        <f aca="false">SUMPRODUCT(--(Sens!$R$1685:$AA$1685&lt;Sens!S$1685),--(Sens!$R$1685:$AA$1685&gt;=Sens!S$1685-tk_life_lo),Sens!$R$1716:$AA$1716)/tk_life_lo</f>
        <v>0.219855358038628</v>
      </c>
      <c r="T1719" s="38" t="n">
        <f aca="false">SUMPRODUCT(--(Sens!$R$1685:$AA$1685&lt;Sens!T$1685),--(Sens!$R$1685:$AA$1685&gt;=Sens!T$1685-tk_life_lo),Sens!$R$1716:$AA$1716)/tk_life_lo</f>
        <v>3.91428309799884</v>
      </c>
      <c r="U1719" s="38" t="n">
        <f aca="false">SUMPRODUCT(--(Sens!$R$1685:$AA$1685&lt;Sens!U$1685),--(Sens!$R$1685:$AA$1685&gt;=Sens!U$1685-tk_life_lo),Sens!$R$1716:$AA$1716)/tk_life_lo</f>
        <v>14.0818284658069</v>
      </c>
      <c r="V1719" s="38" t="n">
        <f aca="false">SUMPRODUCT(--(Sens!$R$1685:$AA$1685&lt;Sens!V$1685),--(Sens!$R$1685:$AA$1685&gt;=Sens!V$1685-tk_life_lo),Sens!$R$1716:$AA$1716)/tk_life_lo</f>
        <v>38.4938362778199</v>
      </c>
      <c r="W1719" s="38" t="n">
        <f aca="false">SUMPRODUCT(--(Sens!$R$1685:$AA$1685&lt;Sens!W$1685),--(Sens!$R$1685:$AA$1685&gt;=Sens!W$1685-tk_life_lo),Sens!$R$1716:$AA$1716)/tk_life_lo</f>
        <v>68.9987930667699</v>
      </c>
      <c r="X1719" s="38" t="n">
        <f aca="false">SUMPRODUCT(--(Sens!$R$1685:$AA$1685&lt;Sens!X$1685),--(Sens!$R$1685:$AA$1685&gt;=Sens!X$1685-tk_life_lo),Sens!$R$1716:$AA$1716)/tk_life_lo</f>
        <v>101.546269130831</v>
      </c>
      <c r="Y1719" s="38" t="n">
        <f aca="false">SUMPRODUCT(--(Sens!$R$1685:$AA$1685&lt;Sens!Y$1685),--(Sens!$R$1685:$AA$1685&gt;=Sens!Y$1685-tk_life_lo),Sens!$R$1716:$AA$1716)/tk_life_lo</f>
        <v>131.666526452971</v>
      </c>
      <c r="Z1719" s="38" t="n">
        <f aca="false">SUMPRODUCT(--(Sens!$R$1685:$AA$1685&lt;Sens!Z$1685),--(Sens!$R$1685:$AA$1685&gt;=Sens!Z$1685-tk_life_lo),Sens!$R$1716:$AA$1716)/tk_life_lo</f>
        <v>162.645141627263</v>
      </c>
      <c r="AA1719" s="38" t="n">
        <f aca="false">SUMPRODUCT(--(Sens!$R$1685:$AA$1685&lt;Sens!AA$1685),--(Sens!$R$1685:$AA$1685&gt;=Sens!AA$1685-tk_life_lo),Sens!$R$1716:$AA$1716)/tk_life_lo</f>
        <v>191.3989865684</v>
      </c>
    </row>
    <row r="1720" customFormat="false" ht="17.15" hidden="false" customHeight="false" outlineLevel="0" collapsed="false">
      <c r="A1720" s="0" t="s">
        <v>593</v>
      </c>
      <c r="B1720" s="0" t="s">
        <v>73</v>
      </c>
      <c r="C1720" s="38" t="n">
        <f aca="false">Sens!$S$1720</f>
        <v>0.0202511502553155</v>
      </c>
      <c r="D1720" s="38" t="n">
        <f aca="false">Sens!$T$1720</f>
        <v>0.360549480652134</v>
      </c>
      <c r="E1720" s="38" t="n">
        <f aca="false">Sens!$G$1720/2</f>
        <v>0.648547360125127</v>
      </c>
      <c r="F1720" s="38" t="n">
        <f aca="false">Sens!$G$1720/2</f>
        <v>0.648547360125127</v>
      </c>
      <c r="G1720" s="38" t="n">
        <f aca="false">Sens!$U$1720</f>
        <v>1.29709472025025</v>
      </c>
      <c r="H1720" s="38" t="n">
        <f aca="false">Sens!$V$1720</f>
        <v>3.21599529914753</v>
      </c>
      <c r="I1720" s="38" t="n">
        <f aca="false">Sens!$W$1720</f>
        <v>5.51832434914753</v>
      </c>
      <c r="J1720" s="38" t="n">
        <f aca="false">Sens!$X$1720</f>
        <v>7.82065339914753</v>
      </c>
      <c r="K1720" s="38" t="n">
        <f aca="false">Sens!$Y$1720</f>
        <v>10.1229824491475</v>
      </c>
      <c r="L1720" s="38" t="n">
        <f aca="false">Sens!$Z$1720</f>
        <v>12.4253114991475</v>
      </c>
      <c r="M1720" s="38" t="n">
        <f aca="false">Sens!$AA$1720</f>
        <v>14.7276405491475</v>
      </c>
      <c r="N1720" s="38" t="n">
        <f aca="false">Sens!$D$1720/2</f>
        <v>0.180274740326067</v>
      </c>
      <c r="O1720" s="38" t="n">
        <f aca="false">Sens!$D$1720/2</f>
        <v>0.180274740326067</v>
      </c>
      <c r="R1720" s="38" t="n">
        <f aca="false">SUMPRODUCT(--(Sens!$R$1685:$AA$1685&lt;Sens!R$1685),Sens!$R$1717:$AA$1717)/fac_life</f>
        <v>0</v>
      </c>
      <c r="S1720" s="38" t="n">
        <f aca="false">SUMPRODUCT(--(Sens!$R$1685:$AA$1685&lt;Sens!S$1685),Sens!$R$1717:$AA$1717)/fac_life</f>
        <v>0.0202511502553155</v>
      </c>
      <c r="T1720" s="38" t="n">
        <f aca="false">SUMPRODUCT(--(Sens!$R$1685:$AA$1685&lt;Sens!T$1685),Sens!$R$1717:$AA$1717)/fac_life</f>
        <v>0.360549480652134</v>
      </c>
      <c r="U1720" s="38" t="n">
        <f aca="false">SUMPRODUCT(--(Sens!$R$1685:$AA$1685&lt;Sens!U$1685),Sens!$R$1717:$AA$1717)/fac_life</f>
        <v>1.29709472025025</v>
      </c>
      <c r="V1720" s="38" t="n">
        <f aca="false">SUMPRODUCT(--(Sens!$R$1685:$AA$1685&lt;Sens!V$1685),Sens!$R$1717:$AA$1717)/fac_life</f>
        <v>3.21599529914753</v>
      </c>
      <c r="W1720" s="38" t="n">
        <f aca="false">SUMPRODUCT(--(Sens!$R$1685:$AA$1685&lt;Sens!W$1685),Sens!$R$1717:$AA$1717)/fac_life</f>
        <v>5.51832434914753</v>
      </c>
      <c r="X1720" s="38" t="n">
        <f aca="false">SUMPRODUCT(--(Sens!$R$1685:$AA$1685&lt;Sens!X$1685),Sens!$R$1717:$AA$1717)/fac_life</f>
        <v>7.82065339914753</v>
      </c>
      <c r="Y1720" s="38" t="n">
        <f aca="false">SUMPRODUCT(--(Sens!$R$1685:$AA$1685&lt;Sens!Y$1685),Sens!$R$1717:$AA$1717)/fac_life</f>
        <v>10.1229824491475</v>
      </c>
      <c r="Z1720" s="38" t="n">
        <f aca="false">SUMPRODUCT(--(Sens!$R$1685:$AA$1685&lt;Sens!Z$1685),Sens!$R$1717:$AA$1717)/fac_life</f>
        <v>12.4253114991475</v>
      </c>
      <c r="AA1720" s="38" t="n">
        <f aca="false">SUMPRODUCT(--(Sens!$R$1685:$AA$1685&lt;Sens!AA$1685),Sens!$R$1717:$AA$1717)/fac_life</f>
        <v>14.7276405491475</v>
      </c>
    </row>
    <row r="1721" customFormat="false" ht="17.15" hidden="false" customHeight="false" outlineLevel="0" collapsed="false">
      <c r="A1721" s="1" t="s">
        <v>594</v>
      </c>
      <c r="B1721" s="8" t="s">
        <v>73</v>
      </c>
      <c r="C1721" s="38" t="n">
        <f aca="false">Sens!$C$1719+Sens!$C$1720</f>
        <v>0.240106508293943</v>
      </c>
      <c r="D1721" s="38" t="n">
        <f aca="false">Sens!$D$1719+Sens!$D$1720</f>
        <v>4.27483257865097</v>
      </c>
      <c r="E1721" s="38" t="n">
        <f aca="false">Sens!$E$1719+Sens!$E$1720</f>
        <v>7.68946159302857</v>
      </c>
      <c r="F1721" s="38" t="n">
        <f aca="false">Sens!$F$1719+Sens!$F$1720</f>
        <v>7.68946159302857</v>
      </c>
      <c r="G1721" s="38" t="n">
        <f aca="false">Sens!$G$1719+Sens!$G$1720</f>
        <v>15.3789231860571</v>
      </c>
      <c r="H1721" s="38" t="n">
        <f aca="false">Sens!$H$1719+Sens!$H$1720</f>
        <v>41.7098315769675</v>
      </c>
      <c r="I1721" s="38" t="n">
        <f aca="false">Sens!$I$1719+Sens!$I$1720</f>
        <v>74.5171174159175</v>
      </c>
      <c r="J1721" s="38" t="n">
        <f aca="false">Sens!$J$1719+Sens!$J$1720</f>
        <v>109.366922529979</v>
      </c>
      <c r="K1721" s="38" t="n">
        <f aca="false">Sens!$K$1719+Sens!$K$1720</f>
        <v>141.789508902119</v>
      </c>
      <c r="L1721" s="38" t="n">
        <f aca="false">Sens!$L$1719+Sens!$L$1720</f>
        <v>175.070453126411</v>
      </c>
      <c r="M1721" s="38" t="n">
        <f aca="false">Sens!$M$1719+Sens!$M$1720</f>
        <v>206.126627117548</v>
      </c>
      <c r="N1721" s="38" t="n">
        <f aca="false">Sens!$N$1719+Sens!$N$1720</f>
        <v>2.13741628932549</v>
      </c>
      <c r="O1721" s="38" t="n">
        <f aca="false">Sens!$O$1719+Sens!$O$1720</f>
        <v>2.13741628932549</v>
      </c>
      <c r="R1721" s="38" t="n">
        <f aca="false">Sens!$R$1719+Sens!$R$1720</f>
        <v>0</v>
      </c>
      <c r="S1721" s="38" t="n">
        <f aca="false">Sens!$S$1719+Sens!$S$1720</f>
        <v>0.240106508293943</v>
      </c>
      <c r="T1721" s="38" t="n">
        <f aca="false">Sens!$T$1719+Sens!$T$1720</f>
        <v>4.27483257865097</v>
      </c>
      <c r="U1721" s="38" t="n">
        <f aca="false">Sens!$U$1719+Sens!$U$1720</f>
        <v>15.3789231860571</v>
      </c>
      <c r="V1721" s="38" t="n">
        <f aca="false">Sens!$V$1719+Sens!$V$1720</f>
        <v>41.7098315769675</v>
      </c>
      <c r="W1721" s="38" t="n">
        <f aca="false">Sens!$W$1719+Sens!$W$1720</f>
        <v>74.5171174159175</v>
      </c>
      <c r="X1721" s="38" t="n">
        <f aca="false">Sens!$X$1719+Sens!$X$1720</f>
        <v>109.366922529979</v>
      </c>
      <c r="Y1721" s="38" t="n">
        <f aca="false">Sens!$Y$1719+Sens!$Y$1720</f>
        <v>141.789508902119</v>
      </c>
      <c r="Z1721" s="38" t="n">
        <f aca="false">Sens!$Z$1719+Sens!$Z$1720</f>
        <v>175.070453126411</v>
      </c>
      <c r="AA1721" s="38" t="n">
        <f aca="false">Sens!$AA$1719+Sens!$AA$1720</f>
        <v>206.126627117548</v>
      </c>
    </row>
    <row r="1722" customFormat="false" ht="17.15" hidden="false" customHeight="false" outlineLevel="0" collapsed="false">
      <c r="A1722" s="0" t="s">
        <v>595</v>
      </c>
      <c r="B1722" s="0" t="s">
        <v>73</v>
      </c>
      <c r="C1722" s="38" t="n">
        <f aca="false">Sens!$S$1722</f>
        <v>26.5422985947429</v>
      </c>
      <c r="D1722" s="38" t="n">
        <f aca="false">Sens!$T$1722</f>
        <v>91.8360976470946</v>
      </c>
      <c r="G1722" s="38" t="n">
        <f aca="false">Sens!$U$1722</f>
        <v>236.895225099048</v>
      </c>
      <c r="H1722" s="38" t="n">
        <f aca="false">Sens!$V$1722</f>
        <v>393.756758466831</v>
      </c>
      <c r="I1722" s="38" t="n">
        <f aca="false">Sens!$W$1722</f>
        <v>529.122879161413</v>
      </c>
      <c r="J1722" s="38" t="n">
        <f aca="false">Sens!$X$1722</f>
        <v>634.875962941934</v>
      </c>
      <c r="K1722" s="38" t="n">
        <f aca="false">Sens!$Y$1722</f>
        <v>744.863837750316</v>
      </c>
      <c r="L1722" s="38" t="n">
        <f aca="false">Sens!$Z$1722</f>
        <v>881.669229389655</v>
      </c>
      <c r="M1722" s="38" t="n">
        <f aca="false">Sens!$AA$1722</f>
        <v>1038.78896109311</v>
      </c>
      <c r="R1722" s="38" t="n">
        <f aca="false">SUM(Sens!$R$1714:$R$1714)-SUM(Sens!$R$1721:$R$1721)</f>
        <v>1.50429979529945</v>
      </c>
      <c r="S1722" s="38" t="n">
        <f aca="false">SUM(Sens!$R$1714:$S$1714)-SUM(Sens!$R$1721:$S$1721)</f>
        <v>26.5422985947429</v>
      </c>
      <c r="T1722" s="38" t="n">
        <f aca="false">SUM(Sens!$R$1714:$T$1714)-SUM(Sens!$R$1721:$T$1721)</f>
        <v>91.8360976470946</v>
      </c>
      <c r="U1722" s="38" t="n">
        <f aca="false">SUM(Sens!$R$1714:$U$1714)-SUM(Sens!$R$1721:$U$1721)</f>
        <v>236.895225099048</v>
      </c>
      <c r="V1722" s="38" t="n">
        <f aca="false">SUM(Sens!$R$1714:$V$1714)-SUM(Sens!$R$1721:$V$1721)</f>
        <v>393.756758466831</v>
      </c>
      <c r="W1722" s="38" t="n">
        <f aca="false">SUM(Sens!$R$1714:$W$1714)-SUM(Sens!$R$1721:$W$1721)</f>
        <v>529.122879161413</v>
      </c>
      <c r="X1722" s="38" t="n">
        <f aca="false">SUM(Sens!$R$1714:$X$1714)-SUM(Sens!$R$1721:$X$1721)</f>
        <v>634.875962941934</v>
      </c>
      <c r="Y1722" s="38" t="n">
        <f aca="false">SUM(Sens!$R$1714:$Y$1714)-SUM(Sens!$R$1721:$Y$1721)</f>
        <v>744.863837750316</v>
      </c>
      <c r="Z1722" s="38" t="n">
        <f aca="false">SUM(Sens!$R$1714:$Z$1714)-SUM(Sens!$R$1721:$Z$1721)</f>
        <v>881.669229389655</v>
      </c>
      <c r="AA1722" s="38" t="n">
        <f aca="false">SUM(Sens!$R$1714:$AA$1714)-SUM(Sens!$R$1721:$AA$1721)</f>
        <v>1038.78896109311</v>
      </c>
    </row>
    <row r="1723" customFormat="false" ht="17.15" hidden="false" customHeight="false" outlineLevel="0" collapsed="false">
      <c r="A1723" s="1" t="s">
        <v>596</v>
      </c>
    </row>
    <row r="1724" customFormat="false" ht="17.15" hidden="false" customHeight="false" outlineLevel="0" collapsed="false">
      <c r="A1724" s="0" t="s">
        <v>597</v>
      </c>
      <c r="B1724" s="0" t="s">
        <v>73</v>
      </c>
      <c r="C1724" s="38" t="n">
        <f aca="false">Sens!$C$1705-ext_sh*Sens!$C$1707</f>
        <v>1.80694998843362</v>
      </c>
      <c r="D1724" s="38" t="n">
        <f aca="false">Sens!$D$1705-ext_sh*Sens!$D$1707</f>
        <v>6.77606245662607</v>
      </c>
      <c r="E1724" s="38" t="n">
        <f aca="false">Sens!$E$1705-ext_sh*Sens!$E$1707</f>
        <v>6.62548329092326</v>
      </c>
      <c r="F1724" s="38" t="n">
        <f aca="false">Sens!$F$1705-ext_sh*Sens!$F$1707</f>
        <v>11.7200577158706</v>
      </c>
      <c r="G1724" s="38" t="n">
        <f aca="false">Sens!$G$1705-ext_sh*Sens!$G$1707</f>
        <v>18.3455410067939</v>
      </c>
      <c r="H1724" s="38" t="n">
        <f aca="false">Sens!$H$1705-ext_sh*Sens!$H$1707</f>
        <v>47.5171727060453</v>
      </c>
      <c r="I1724" s="38" t="n">
        <f aca="false">Sens!$I$1705-ext_sh*Sens!$I$1707</f>
        <v>80.5539692643667</v>
      </c>
      <c r="J1724" s="38" t="n">
        <f aca="false">Sens!$J$1705-ext_sh*Sens!$J$1707</f>
        <v>113.759316834883</v>
      </c>
      <c r="K1724" s="38" t="n">
        <f aca="false">Sens!$K$1705-ext_sh*Sens!$K$1707</f>
        <v>147.020848076132</v>
      </c>
      <c r="L1724" s="38" t="n">
        <f aca="false">Sens!$L$1705-ext_sh*Sens!$L$1707</f>
        <v>180.307917349531</v>
      </c>
      <c r="M1724" s="38" t="n">
        <f aca="false">Sens!$M$1705-ext_sh*Sens!$M$1707</f>
        <v>213.608737871012</v>
      </c>
      <c r="N1724" s="38" t="n">
        <f aca="false">Sens!$N$1705-ext_sh*Sens!$N$1707</f>
        <v>2.37162185981912</v>
      </c>
      <c r="O1724" s="38" t="n">
        <f aca="false">Sens!$O$1705-ext_sh*Sens!$O$1707</f>
        <v>4.40444059680694</v>
      </c>
    </row>
    <row r="1725" customFormat="false" ht="17.15" hidden="false" customHeight="false" outlineLevel="0" collapsed="false">
      <c r="A1725" s="1" t="s">
        <v>598</v>
      </c>
      <c r="B1725" s="8" t="s">
        <v>73</v>
      </c>
      <c r="C1725" s="38" t="n">
        <f aca="false">Sens!$C$1724-ext_sh*Sens!$C$1721</f>
        <v>1.61486478179846</v>
      </c>
      <c r="D1725" s="38" t="n">
        <f aca="false">Sens!$D$1724-ext_sh*Sens!$D$1721</f>
        <v>3.35619639370529</v>
      </c>
      <c r="E1725" s="38" t="n">
        <f aca="false">Sens!$E$1724-ext_sh*Sens!$E$1721</f>
        <v>0.47391401650041</v>
      </c>
      <c r="F1725" s="38" t="n">
        <f aca="false">Sens!$F$1724-ext_sh*Sens!$F$1721</f>
        <v>5.56848844144774</v>
      </c>
      <c r="G1725" s="38" t="n">
        <f aca="false">Sens!$G$1724-ext_sh*Sens!$G$1721</f>
        <v>6.04240245794815</v>
      </c>
      <c r="H1725" s="38" t="n">
        <f aca="false">Sens!$H$1724-ext_sh*Sens!$H$1721</f>
        <v>14.1493074444713</v>
      </c>
      <c r="I1725" s="38" t="n">
        <f aca="false">Sens!$I$1724-ext_sh*Sens!$I$1721</f>
        <v>20.9402753316327</v>
      </c>
      <c r="J1725" s="38" t="n">
        <f aca="false">Sens!$J$1724-ext_sh*Sens!$J$1721</f>
        <v>26.2657788109003</v>
      </c>
      <c r="K1725" s="38" t="n">
        <f aca="false">Sens!$K$1724-ext_sh*Sens!$K$1721</f>
        <v>33.5892409544369</v>
      </c>
      <c r="L1725" s="38" t="n">
        <f aca="false">Sens!$L$1724-ext_sh*Sens!$L$1721</f>
        <v>40.2515548484026</v>
      </c>
      <c r="M1725" s="38" t="n">
        <f aca="false">Sens!$M$1724-ext_sh*Sens!$M$1721</f>
        <v>48.7074361769736</v>
      </c>
      <c r="N1725" s="38" t="n">
        <f aca="false">Sens!$N$1724-ext_sh*Sens!$N$1721</f>
        <v>0.661688828358734</v>
      </c>
      <c r="O1725" s="38" t="n">
        <f aca="false">Sens!$O$1724-ext_sh*Sens!$O$1721</f>
        <v>2.69450756534655</v>
      </c>
    </row>
    <row r="1726" customFormat="false" ht="17.15" hidden="false" customHeight="false" outlineLevel="0" collapsed="false">
      <c r="A1726" s="0" t="s">
        <v>599</v>
      </c>
      <c r="B1726" s="0" t="s">
        <v>52</v>
      </c>
      <c r="C1726" s="12" t="n">
        <f aca="false">Sens!$C$1725/Sens!$C$1705</f>
        <v>0.695760902466888</v>
      </c>
      <c r="D1726" s="12" t="n">
        <f aca="false">Sens!$D$1725/Sens!$D$1705</f>
        <v>0.385602602035804</v>
      </c>
      <c r="E1726" s="12" t="n">
        <f aca="false">Sens!$E$1725/Sens!$E$1705</f>
        <v>0.0556867638581897</v>
      </c>
      <c r="F1726" s="12" t="n">
        <f aca="false">Sens!$F$1725/Sens!$F$1705</f>
        <v>0.372139749048339</v>
      </c>
      <c r="G1726" s="12" t="n">
        <f aca="false">Sens!$G$1725/Sens!$G$1705</f>
        <v>0.257410640885913</v>
      </c>
      <c r="H1726" s="12" t="n">
        <f aca="false">Sens!$H$1725/Sens!$H$1705</f>
        <v>0.235171577585666</v>
      </c>
      <c r="I1726" s="12" t="n">
        <f aca="false">Sens!$I$1725/Sens!$I$1705</f>
        <v>0.206300612783449</v>
      </c>
      <c r="J1726" s="12" t="n">
        <f aca="false">Sens!$J$1725/Sens!$J$1705</f>
        <v>0.183644146407631</v>
      </c>
      <c r="K1726" s="12" t="n">
        <f aca="false">Sens!$K$1725/Sens!$K$1705</f>
        <v>0.181948590733315</v>
      </c>
      <c r="L1726" s="12" t="n">
        <f aca="false">Sens!$L$1725/Sens!$L$1705</f>
        <v>0.177931578995</v>
      </c>
      <c r="M1726" s="12" t="n">
        <f aca="false">Sens!$M$1725/Sens!$M$1705</f>
        <v>0.181849229283255</v>
      </c>
      <c r="N1726" s="12" t="n">
        <f aca="false">Sens!$N$1725/Sens!$N$1705</f>
        <v>0.217209265679186</v>
      </c>
      <c r="O1726" s="12" t="n">
        <f aca="false">Sens!$O$1725/Sens!$O$1705</f>
        <v>0.47627593699706</v>
      </c>
    </row>
    <row r="1727" customFormat="false" ht="17.15" hidden="false" customHeight="false" outlineLevel="0" collapsed="false">
      <c r="A1727" s="5" t="s">
        <v>600</v>
      </c>
      <c r="B1727" s="0" t="s">
        <v>73</v>
      </c>
      <c r="C1727" s="38" t="n">
        <f aca="false">rd2*(1-ext_sh)/ext_sh*Sens!$C$1688*he_open*Sens!$C$1689/1000</f>
        <v>0</v>
      </c>
      <c r="D1727" s="38" t="n">
        <f aca="false">rd2*(1-ext_sh)/ext_sh*Sens!$D$1688*he_open*Sens!$D$1689/1000</f>
        <v>0</v>
      </c>
      <c r="E1727" s="38" t="n">
        <f aca="false">rd2*(1-ext_sh)/ext_sh*Sens!$E$1688*he_open*Sens!$E$1689/1000</f>
        <v>0</v>
      </c>
      <c r="F1727" s="38" t="n">
        <f aca="false">rd2*(1-ext_sh)/ext_sh*(mw_open*he_open+Sens!$F$1703*Sens!$F$1700)*Sens!$F$1689/1000</f>
        <v>0</v>
      </c>
      <c r="G1727" s="38" t="n">
        <f aca="false">Sens!$E$1727+Sens!$F$1727</f>
        <v>0</v>
      </c>
      <c r="H1727" s="38" t="n">
        <f aca="false">rd2*(1-ext_sh)/ext_sh*(mw_open*he_open+Sens!$H$1703*Sens!$H$1700)*Sens!$H$1689/1000</f>
        <v>0</v>
      </c>
      <c r="I1727" s="38" t="n">
        <f aca="false">rd2*(1-ext_sh)/ext_sh*(mw_open*he_open+Sens!$I$1703*Sens!$I$1700)*Sens!$I$1689/1000</f>
        <v>0</v>
      </c>
      <c r="J1727" s="38" t="n">
        <f aca="false">rd2*(1-ext_sh)/ext_sh*(mw_open*he_open+Sens!$J$1703*Sens!$J$1700)*Sens!$J$1689/1000</f>
        <v>0</v>
      </c>
      <c r="K1727" s="38" t="n">
        <f aca="false">rd2*(1-ext_sh)/ext_sh*(mw_open*he_open+Sens!$K$1703*Sens!$K$1700)*Sens!$K$1689/1000</f>
        <v>0</v>
      </c>
      <c r="L1727" s="38" t="n">
        <f aca="false">rd2*(1-ext_sh)/ext_sh*(mw_open*he_open+Sens!$L$1703*Sens!$L$1700)*Sens!$L$1689/1000</f>
        <v>0</v>
      </c>
      <c r="M1727" s="38" t="n">
        <f aca="false">rd2*(1-ext_sh)/ext_sh*(mw_open*he_open+Sens!$M$1703*Sens!$M$1700)*Sens!$M$1689/1000</f>
        <v>0</v>
      </c>
      <c r="N1727" s="38" t="n">
        <f aca="false">rd2*(1-ext_sh)/ext_sh*Sens!$N$1688*he_open*Sens!$N$1689/1000</f>
        <v>0</v>
      </c>
      <c r="O1727" s="38" t="n">
        <f aca="false">rd2*(1-ext_sh)/ext_sh*Sens!$O$1688*he_open*Sens!$O$1689/1000</f>
        <v>0</v>
      </c>
      <c r="P1727" s="8" t="s">
        <v>601</v>
      </c>
    </row>
    <row r="1728" customFormat="false" ht="17.15" hidden="false" customHeight="false" outlineLevel="0" collapsed="false">
      <c r="A1728" s="5" t="s">
        <v>602</v>
      </c>
      <c r="B1728" s="0" t="s">
        <v>73</v>
      </c>
      <c r="C1728" s="38" t="n">
        <f aca="false">(1-ext_sh)*(Sens!$C$1707+Sens!$C$1721)-Sens!$C$1727</f>
        <v>0.176535143793795</v>
      </c>
      <c r="D1728" s="38" t="n">
        <f aca="false">(1-ext_sh)*(Sens!$D$1707+Sens!$D$1721)-Sens!$D$1727</f>
        <v>1.33689342373647</v>
      </c>
      <c r="E1728" s="38" t="n">
        <f aca="false">(1-ext_sh)*(Sens!$E$1707+Sens!$E$1721)-Sens!$E$1727</f>
        <v>2.0091097397674</v>
      </c>
      <c r="F1728" s="38" t="n">
        <f aca="false">(1-ext_sh)*(Sens!$F$1707+Sens!$F$1721)-Sens!$F$1727</f>
        <v>2.34873630081818</v>
      </c>
      <c r="G1728" s="38" t="n">
        <f aca="false">(1-ext_sh)*(Sens!$G$1707+Sens!$G$1721)-Sens!$G$1727</f>
        <v>4.35784604058558</v>
      </c>
      <c r="H1728" s="38" t="n">
        <f aca="false">(1-ext_sh)*(Sens!$H$1707+Sens!$H$1721)-Sens!$H$1727</f>
        <v>11.5041458263258</v>
      </c>
      <c r="I1728" s="38" t="n">
        <f aca="false">(1-ext_sh)*(Sens!$I$1707+Sens!$I$1721)-Sens!$I$1727</f>
        <v>20.1408559511998</v>
      </c>
      <c r="J1728" s="38" t="n">
        <f aca="false">(1-ext_sh)*(Sens!$J$1707+Sens!$J$1721)-Sens!$J$1727</f>
        <v>29.1899070850945</v>
      </c>
      <c r="K1728" s="38" t="n">
        <f aca="false">(1-ext_sh)*(Sens!$K$1707+Sens!$K$1721)-Sens!$K$1727</f>
        <v>37.7547935219376</v>
      </c>
      <c r="L1728" s="38" t="n">
        <f aca="false">(1-ext_sh)*(Sens!$L$1707+Sens!$L$1721)-Sens!$L$1727</f>
        <v>46.4919329161805</v>
      </c>
      <c r="M1728" s="38" t="n">
        <f aca="false">(1-ext_sh)*(Sens!$M$1707+Sens!$M$1721)-Sens!$M$1727</f>
        <v>54.7844313183145</v>
      </c>
      <c r="N1728" s="38" t="n">
        <f aca="false">(1-ext_sh)*(Sens!$N$1707+Sens!$N$1721)-Sens!$N$1727</f>
        <v>0.596157675667293</v>
      </c>
      <c r="O1728" s="38" t="n">
        <f aca="false">(1-ext_sh)*(Sens!$O$1707+Sens!$O$1721)-Sens!$O$1727</f>
        <v>0.740735748069175</v>
      </c>
    </row>
    <row r="1729" customFormat="false" ht="17.15" hidden="false" customHeight="false" outlineLevel="0" collapsed="false">
      <c r="A1729" s="0" t="s">
        <v>603</v>
      </c>
      <c r="B1729" s="0" t="s">
        <v>73</v>
      </c>
      <c r="C1729" s="38" t="n">
        <f aca="false">Q!$D$24</f>
        <v>39.834</v>
      </c>
      <c r="D1729" s="38" t="n">
        <f aca="false">Q!$E$24</f>
        <v>45.606</v>
      </c>
      <c r="E1729" s="38" t="n">
        <f aca="false">Q!$P$24</f>
        <v>30.782</v>
      </c>
      <c r="N1729" s="38" t="n">
        <f aca="false">Q!$N$24</f>
        <v>21.707</v>
      </c>
      <c r="O1729" s="38" t="n">
        <f aca="false">Q!$O$24</f>
        <v>23.899</v>
      </c>
    </row>
    <row r="1730" customFormat="false" ht="17.15" hidden="false" customHeight="false" outlineLevel="0" collapsed="false">
      <c r="A1730" s="0" t="s">
        <v>604</v>
      </c>
      <c r="B1730" s="0" t="s">
        <v>73</v>
      </c>
      <c r="C1730" s="38" t="n">
        <f aca="false">Sens!$C$1729-Sens!$C$1725</f>
        <v>38.2191352182015</v>
      </c>
      <c r="D1730" s="38" t="n">
        <f aca="false">Sens!$D$1729-Sens!$D$1725</f>
        <v>42.2498036062947</v>
      </c>
      <c r="E1730" s="38" t="n">
        <f aca="false">Sens!$E$1729-Sens!$E$1725</f>
        <v>30.3080859834996</v>
      </c>
      <c r="F1730" s="38" t="n">
        <f aca="false">Sens!$F$1709*Sens!$F$1731</f>
        <v>30.1605062124073</v>
      </c>
      <c r="G1730" s="38" t="n">
        <f aca="false">Sens!$E$1730+Sens!$F$1730</f>
        <v>60.4685921959069</v>
      </c>
      <c r="H1730" s="38" t="n">
        <f aca="false">Sens!$H$1709*Sens!$H$1731</f>
        <v>69.4171466390737</v>
      </c>
      <c r="I1730" s="38" t="n">
        <f aca="false">Sens!$I$1709*Sens!$I$1731</f>
        <v>80.8354405577907</v>
      </c>
      <c r="J1730" s="38" t="n">
        <f aca="false">Sens!$J$1709*Sens!$J$1731</f>
        <v>90.7170918228425</v>
      </c>
      <c r="K1730" s="38" t="n">
        <f aca="false">Sens!$K$1709*Sens!$K$1731</f>
        <v>97.9744591686699</v>
      </c>
      <c r="L1730" s="38" t="n">
        <f aca="false">Sens!$L$1709*Sens!$L$1731</f>
        <v>105.812415902163</v>
      </c>
      <c r="M1730" s="38" t="n">
        <f aca="false">Sens!$M$1709*Sens!$M$1731</f>
        <v>114.277409174337</v>
      </c>
      <c r="N1730" s="38" t="n">
        <f aca="false">Sens!$N$1729-Sens!$N$1725</f>
        <v>21.0453111716413</v>
      </c>
      <c r="O1730" s="38" t="n">
        <f aca="false">Sens!$O$1729-Sens!$O$1725</f>
        <v>21.2044924346534</v>
      </c>
      <c r="P1730" s="5" t="s">
        <v>605</v>
      </c>
    </row>
    <row r="1731" customFormat="false" ht="17.15" hidden="false" customHeight="false" outlineLevel="0" collapsed="false">
      <c r="A1731" s="0" t="s">
        <v>606</v>
      </c>
      <c r="B1731" s="0" t="s">
        <v>52</v>
      </c>
      <c r="C1731" s="12" t="n">
        <f aca="false">Sens!$C$1730/Sens!$C$1709</f>
        <v>0.363178953425587</v>
      </c>
      <c r="D1731" s="12" t="n">
        <f aca="false">Sens!$D$1730/Sens!$D$1709</f>
        <v>0.352019418876991</v>
      </c>
      <c r="E1731" s="12" t="n">
        <f aca="false">Sens!$E$1730/Sens!$E$1709</f>
        <v>0.425026798967539</v>
      </c>
      <c r="F1731" s="12" t="n">
        <f aca="false">(Sens!$O$1730+Sens!$E$1730)/(Sens!$O$1709+Sens!$E$1709)</f>
        <v>0.383745813528699</v>
      </c>
      <c r="G1731" s="12" t="n">
        <f aca="false">Sens!$G$1730/Sens!$G$1709</f>
        <v>0.403383034325639</v>
      </c>
      <c r="H1731" s="12" t="n">
        <f aca="false">Sens!$F$1731</f>
        <v>0.383745813528699</v>
      </c>
      <c r="I1731" s="12" t="n">
        <f aca="false">Sens!$F$1731</f>
        <v>0.383745813528699</v>
      </c>
      <c r="J1731" s="12" t="n">
        <f aca="false">Sens!$F$1731</f>
        <v>0.383745813528699</v>
      </c>
      <c r="K1731" s="12" t="n">
        <f aca="false">Sens!$F$1731</f>
        <v>0.383745813528699</v>
      </c>
      <c r="L1731" s="12" t="n">
        <f aca="false">Sens!$F$1731</f>
        <v>0.383745813528699</v>
      </c>
      <c r="M1731" s="12" t="n">
        <f aca="false">Sens!$F$1731</f>
        <v>0.383745813528699</v>
      </c>
      <c r="N1731" s="12" t="n">
        <f aca="false">Sens!$N$1730/Sens!$N$1709</f>
        <v>0.36861016838945</v>
      </c>
      <c r="O1731" s="12" t="n">
        <f aca="false">Sens!$O$1730/Sens!$O$1709</f>
        <v>0.33696675975076</v>
      </c>
      <c r="P1731" s="8" t="s">
        <v>607</v>
      </c>
    </row>
    <row r="1732" customFormat="false" ht="17.15" hidden="false" customHeight="false" outlineLevel="0" collapsed="false">
      <c r="A1732" s="0" t="s">
        <v>608</v>
      </c>
      <c r="B1732" s="0" t="s">
        <v>52</v>
      </c>
      <c r="D1732" s="12" t="n">
        <f aca="false">(Q!$E$31-ext_sh*Sens!$D$1721)/Sens!$D$1709</f>
        <v>0.15022453902861</v>
      </c>
    </row>
    <row r="1733" customFormat="false" ht="17.15" hidden="false" customHeight="false" outlineLevel="0" collapsed="false">
      <c r="A1733" s="0" t="s">
        <v>609</v>
      </c>
      <c r="B1733" s="0" t="s">
        <v>73</v>
      </c>
      <c r="C1733" s="38" t="n">
        <f aca="false">Q!$D$31</f>
        <v>13.32</v>
      </c>
      <c r="D1733" s="38" t="n">
        <f aca="false">Q!$E$31</f>
        <v>21.45</v>
      </c>
      <c r="E1733" s="38" t="n">
        <f aca="false">Q!$P$31</f>
        <v>15.353</v>
      </c>
      <c r="F1733" s="38" t="n">
        <f aca="false">ext_sh*Sens!$F$1721+Sens!$D$1732*Sens!$F$1709</f>
        <v>17.9584684845157</v>
      </c>
      <c r="G1733" s="38" t="n">
        <f aca="false">Sens!$E$1733+Sens!$F$1733</f>
        <v>33.3114684845157</v>
      </c>
      <c r="H1733" s="38" t="n">
        <f aca="false">ext_sh*Sens!$H$1721+Sens!$D$1732*Sens!$H$1709</f>
        <v>60.542517041212</v>
      </c>
      <c r="I1733" s="38" t="n">
        <f aca="false">ext_sh*Sens!$I$1721+Sens!$D$1732*Sens!$I$1709</f>
        <v>91.2582523014745</v>
      </c>
      <c r="J1733" s="38" t="n">
        <f aca="false">ext_sh*Sens!$J$1721+Sens!$D$1732*Sens!$J$1709</f>
        <v>123.006455222449</v>
      </c>
      <c r="K1733" s="38" t="n">
        <f aca="false">ext_sh*Sens!$K$1721+Sens!$D$1732*Sens!$K$1709</f>
        <v>151.785557696038</v>
      </c>
      <c r="L1733" s="38" t="n">
        <f aca="false">ext_sh*Sens!$L$1721+Sens!$D$1732*Sens!$L$1709</f>
        <v>181.478629121419</v>
      </c>
      <c r="M1733" s="38" t="n">
        <f aca="false">ext_sh*Sens!$M$1721+Sens!$D$1732*Sens!$M$1709</f>
        <v>209.637349643952</v>
      </c>
      <c r="N1733" s="38" t="n">
        <f aca="false">Q!$N$31</f>
        <v>9.234</v>
      </c>
      <c r="O1733" s="38" t="n">
        <f aca="false">Q!$O$31</f>
        <v>12.216</v>
      </c>
    </row>
    <row r="1734" customFormat="false" ht="17.15" hidden="false" customHeight="false" outlineLevel="0" collapsed="false">
      <c r="A1734" s="1" t="s">
        <v>610</v>
      </c>
    </row>
    <row r="1735" customFormat="false" ht="17.15" hidden="false" customHeight="false" outlineLevel="0" collapsed="false">
      <c r="A1735" s="14" t="s">
        <v>611</v>
      </c>
      <c r="B1735" s="13" t="s">
        <v>52</v>
      </c>
      <c r="C1735" s="13"/>
      <c r="D1735" s="13"/>
      <c r="E1735" s="13"/>
      <c r="F1735" s="13"/>
      <c r="G1735" s="16" t="n">
        <f aca="false">Sens!$G$1725*(1-tax)/(ext_sh*(Sens!$D$1722+Sens!$G$1722)/2)</f>
        <v>0.0379758068528175</v>
      </c>
      <c r="H1735" s="16" t="n">
        <f aca="false">Sens!$H$1725*(1-tax)/(ext_sh*(Sens!$G$1722+Sens!$H$1722)/2)</f>
        <v>0.0463536423987396</v>
      </c>
      <c r="I1735" s="16" t="n">
        <f aca="false">Sens!$I$1725*(1-tax)/(ext_sh*(Sens!$H$1722+Sens!$I$1722)/2)</f>
        <v>0.0468787229810143</v>
      </c>
      <c r="J1735" s="16" t="n">
        <f aca="false">Sens!$J$1725*(1-tax)/(ext_sh*(Sens!$I$1722+Sens!$J$1722)/2)</f>
        <v>0.0466204201510502</v>
      </c>
      <c r="K1735" s="16" t="n">
        <f aca="false">Sens!$K$1725*(1-tax)/(ext_sh*(Sens!$J$1722+Sens!$K$1722)/2)</f>
        <v>0.0502969263658883</v>
      </c>
      <c r="L1735" s="16" t="n">
        <f aca="false">Sens!$L$1725*(1-tax)/(ext_sh*(Sens!$K$1722+Sens!$L$1722)/2)</f>
        <v>0.0511279303604527</v>
      </c>
      <c r="M1735" s="16" t="n">
        <f aca="false">Sens!$M$1725*(1-tax)/(ext_sh*(Sens!$L$1722+Sens!$M$1722)/2)</f>
        <v>0.0523997074301721</v>
      </c>
      <c r="N1735" s="13"/>
      <c r="O1735" s="13"/>
      <c r="P1735" s="8" t="s">
        <v>612</v>
      </c>
    </row>
    <row r="1736" customFormat="false" ht="17.15" hidden="false" customHeight="false" outlineLevel="0" collapsed="false">
      <c r="A1736" s="5" t="s">
        <v>613</v>
      </c>
      <c r="B1736" s="0" t="s">
        <v>57</v>
      </c>
      <c r="H1736" s="36" t="n">
        <f aca="false">Sens!$H$1705*1000/(mw_open*he_open+Sens!$H$1703*Sens!$H$1700)</f>
        <v>0.991949006767191</v>
      </c>
      <c r="I1736" s="36" t="n">
        <f aca="false">Sens!$I$1705*1000/(mw_open*he_open+Sens!$I$1703*Sens!$I$1700)</f>
        <v>0.991949006767191</v>
      </c>
      <c r="J1736" s="36" t="n">
        <f aca="false">Sens!$J$1705*1000/(mw_open*he_open+Sens!$J$1703*Sens!$J$1700)</f>
        <v>0.991949006767191</v>
      </c>
      <c r="K1736" s="36" t="n">
        <f aca="false">Sens!$K$1705*1000/(mw_open*he_open+Sens!$K$1703*Sens!$K$1700)</f>
        <v>0.991949006767191</v>
      </c>
      <c r="L1736" s="36" t="n">
        <f aca="false">Sens!$L$1705*1000/(mw_open*he_open+Sens!$L$1703*Sens!$L$1700)</f>
        <v>0.991949006767191</v>
      </c>
      <c r="M1736" s="36" t="n">
        <f aca="false">Sens!$M$1705*1000/(mw_open*he_open+Sens!$M$1703*Sens!$M$1700)</f>
        <v>0.991949006767192</v>
      </c>
    </row>
    <row r="1737" customFormat="false" ht="17.15" hidden="false" customHeight="false" outlineLevel="0" collapsed="false">
      <c r="A1737" s="5" t="s">
        <v>614</v>
      </c>
      <c r="B1737" s="0" t="s">
        <v>57</v>
      </c>
      <c r="H1737" s="36" t="n">
        <f aca="false">Sens!$H$1736*(Sens!$H$1705+wacc*ext_sh*(Sens!$G$1722+Sens!$H$1722)/2/(1-tax)-Sens!$H$1725)/Sens!$H$1705</f>
        <v>1.38715266596324</v>
      </c>
      <c r="I1737" s="36" t="n">
        <f aca="false">Sens!$I$1736*(Sens!$I$1705+wacc*ext_sh*(Sens!$H$1722+Sens!$I$1722)/2/(1-tax)-Sens!$I$1725)/Sens!$I$1705</f>
        <v>1.33245996882285</v>
      </c>
      <c r="J1737" s="36" t="n">
        <f aca="false">Sens!$J$1736*(Sens!$J$1705+wacc*ext_sh*(Sens!$I$1722+Sens!$J$1722)/2/(1-tax)-Sens!$J$1725)/Sens!$J$1705</f>
        <v>1.29775289824647</v>
      </c>
      <c r="K1737" s="36" t="n">
        <f aca="false">Sens!$K$1736*(Sens!$K$1705+wacc*ext_sh*(Sens!$J$1722+Sens!$K$1722)/2/(1-tax)-Sens!$K$1725)/Sens!$K$1705</f>
        <v>1.25959014440238</v>
      </c>
      <c r="L1737" s="36" t="n">
        <f aca="false">Sens!$L$1736*(Sens!$L$1705+wacc*ext_sh*(Sens!$K$1722+Sens!$L$1722)/2/(1-tax)-Sens!$L$1725)/Sens!$L$1705</f>
        <v>1.24655847641987</v>
      </c>
      <c r="M1737" s="36" t="n">
        <f aca="false">Sens!$M$1736*(Sens!$M$1705+wacc*ext_sh*(Sens!$L$1722+Sens!$M$1722)/2/(1-tax)-Sens!$M$1725)/Sens!$M$1705</f>
        <v>1.24147072053114</v>
      </c>
    </row>
    <row r="1738" customFormat="false" ht="17.15" hidden="false" customHeight="false" outlineLevel="0" collapsed="false">
      <c r="A1738" s="5" t="s">
        <v>615</v>
      </c>
      <c r="B1738" s="0" t="s">
        <v>52</v>
      </c>
      <c r="C1738" s="12" t="n">
        <f aca="false">Sens!$C$1706/tk_pq</f>
        <v>0.195316432429398</v>
      </c>
      <c r="D1738" s="12" t="n">
        <f aca="false">Sens!$D$1706/tk_pq</f>
        <v>0.195316432429398</v>
      </c>
      <c r="E1738" s="12" t="n">
        <f aca="false">Sens!$E$1706/tk_pq</f>
        <v>0.195316432429398</v>
      </c>
      <c r="F1738" s="12" t="n">
        <f aca="false">Sens!$F$1706/tk_pq</f>
        <v>0.202241827274866</v>
      </c>
      <c r="G1738" s="12" t="n">
        <f aca="false">Sens!$G$1706/tk_pq</f>
        <v>0.199675016194063</v>
      </c>
      <c r="H1738" s="12" t="n">
        <f aca="false">Sens!$H$1706/tk_pq</f>
        <v>0.212647947710325</v>
      </c>
      <c r="I1738" s="12" t="n">
        <f aca="false">Sens!$I$1706/tk_pq</f>
        <v>0.219285125475351</v>
      </c>
      <c r="J1738" s="12" t="n">
        <f aca="false">Sens!$J$1706/tk_pq</f>
        <v>0.222492493217189</v>
      </c>
      <c r="K1738" s="12" t="n">
        <f aca="false">Sens!$K$1706/tk_pq</f>
        <v>0.224371415939166</v>
      </c>
      <c r="L1738" s="12" t="n">
        <f aca="false">Sens!$L$1706/tk_pq</f>
        <v>0.225603749825993</v>
      </c>
      <c r="M1738" s="12" t="n">
        <f aca="false">Sens!$M$1706/tk_pq</f>
        <v>0.22647376274628</v>
      </c>
      <c r="N1738" s="12" t="n">
        <f aca="false">Sens!$N$1706/tk_pq</f>
        <v>0.195316432429398</v>
      </c>
      <c r="O1738" s="12" t="n">
        <f aca="false">Sens!$O$1706/tk_pq</f>
        <v>0.195316432429398</v>
      </c>
      <c r="P1738" s="5" t="s">
        <v>616</v>
      </c>
    </row>
    <row r="1741" customFormat="false" ht="17.15" hidden="false" customHeight="false" outlineLevel="0" collapsed="false">
      <c r="A1741" s="1" t="s">
        <v>643</v>
      </c>
    </row>
    <row r="1742" customFormat="false" ht="17.15" hidden="false" customHeight="false" outlineLevel="0" collapsed="false">
      <c r="A1742" s="0" t="s">
        <v>644</v>
      </c>
      <c r="B1742" s="0" t="s">
        <v>73</v>
      </c>
      <c r="C1742" s="38" t="n">
        <f aca="false">Sens!$C$1705</f>
        <v>2.32100535697364</v>
      </c>
      <c r="D1742" s="38" t="n">
        <f aca="false">Sens!$D$1705</f>
        <v>8.70377008865116</v>
      </c>
      <c r="E1742" s="38" t="n">
        <f aca="false">Sens!$E$1705</f>
        <v>8.51035297557002</v>
      </c>
      <c r="F1742" s="38" t="n">
        <f aca="false">Sens!$F$1705</f>
        <v>14.9634336447205</v>
      </c>
      <c r="G1742" s="38" t="n">
        <f aca="false">Sens!$G$1705</f>
        <v>23.4737866202905</v>
      </c>
      <c r="H1742" s="38" t="n">
        <f aca="false">Sens!$H$1705</f>
        <v>60.1658907497746</v>
      </c>
      <c r="I1742" s="38" t="n">
        <f aca="false">Sens!$I$1705</f>
        <v>101.503699136432</v>
      </c>
      <c r="J1742" s="38" t="n">
        <f aca="false">Sens!$J$1705</f>
        <v>143.025407151278</v>
      </c>
      <c r="K1742" s="38" t="n">
        <f aca="false">Sens!$K$1705</f>
        <v>184.608415042187</v>
      </c>
      <c r="L1742" s="38" t="n">
        <f aca="false">Sens!$L$1705</f>
        <v>226.219286513125</v>
      </c>
      <c r="M1742" s="38" t="n">
        <f aca="false">Sens!$M$1705</f>
        <v>267.845161450232</v>
      </c>
      <c r="N1742" s="38" t="n">
        <f aca="false">Sens!$N$1705</f>
        <v>3.04631953102791</v>
      </c>
      <c r="O1742" s="38" t="n">
        <f aca="false">Sens!$O$1705</f>
        <v>5.65745055762326</v>
      </c>
      <c r="P1742" s="8" t="s">
        <v>645</v>
      </c>
    </row>
    <row r="1743" customFormat="false" ht="17.15" hidden="false" customHeight="false" outlineLevel="0" collapsed="false">
      <c r="A1743" s="0" t="s">
        <v>646</v>
      </c>
      <c r="B1743" s="0" t="s">
        <v>73</v>
      </c>
      <c r="C1743" s="38" t="n">
        <f aca="false">Sens!$C$1709</f>
        <v>105.234994643026</v>
      </c>
      <c r="D1743" s="38" t="n">
        <f aca="false">Sens!$D$1709</f>
        <v>120.021229911349</v>
      </c>
      <c r="E1743" s="38" t="n">
        <f aca="false">Sens!$E$1709</f>
        <v>71.30864702443</v>
      </c>
      <c r="F1743" s="38" t="n">
        <f aca="false">Sens!$F$1709</f>
        <v>78.5950104186653</v>
      </c>
      <c r="G1743" s="38" t="n">
        <f aca="false">Sens!$G$1709</f>
        <v>149.903657443095</v>
      </c>
      <c r="H1743" s="38" t="n">
        <f aca="false">Sens!$H$1709</f>
        <v>180.893560768142</v>
      </c>
      <c r="I1743" s="38" t="n">
        <f aca="false">Sens!$I$1709</f>
        <v>210.64839721501</v>
      </c>
      <c r="J1743" s="38" t="n">
        <f aca="false">Sens!$J$1709</f>
        <v>236.398909446495</v>
      </c>
      <c r="K1743" s="38" t="n">
        <f aca="false">Sens!$K$1709</f>
        <v>255.310822202215</v>
      </c>
      <c r="L1743" s="38" t="n">
        <f aca="false">Sens!$L$1709</f>
        <v>275.735687978392</v>
      </c>
      <c r="M1743" s="38" t="n">
        <f aca="false">Sens!$M$1709</f>
        <v>297.794543016663</v>
      </c>
      <c r="N1743" s="38" t="n">
        <f aca="false">Sens!$N$1709</f>
        <v>57.0936804689721</v>
      </c>
      <c r="O1743" s="38" t="n">
        <f aca="false">Sens!$O$1709</f>
        <v>62.9275494423768</v>
      </c>
      <c r="P1743" s="8" t="s">
        <v>645</v>
      </c>
    </row>
    <row r="1744" customFormat="false" ht="17.15" hidden="false" customHeight="false" outlineLevel="0" collapsed="false">
      <c r="A1744" s="1" t="s">
        <v>476</v>
      </c>
      <c r="B1744" s="8" t="s">
        <v>73</v>
      </c>
      <c r="C1744" s="38" t="n">
        <f aca="false">Q!$D$7</f>
        <v>107.556</v>
      </c>
      <c r="D1744" s="38" t="n">
        <f aca="false">Q!$E$7</f>
        <v>128.725</v>
      </c>
      <c r="E1744" s="38" t="n">
        <f aca="false">Q!$P$7</f>
        <v>79.819</v>
      </c>
      <c r="F1744" s="38" t="n">
        <f aca="false">Sens!$F$1742+Sens!$F$1743</f>
        <v>93.5584440633857</v>
      </c>
      <c r="G1744" s="38" t="n">
        <f aca="false">Sens!$G$1742+Sens!$G$1743</f>
        <v>173.377444063386</v>
      </c>
      <c r="H1744" s="38" t="n">
        <f aca="false">Sens!$H$1742+Sens!$H$1743</f>
        <v>241.059451517916</v>
      </c>
      <c r="I1744" s="38" t="n">
        <f aca="false">Sens!$I$1742+Sens!$I$1743</f>
        <v>312.152096351442</v>
      </c>
      <c r="J1744" s="38" t="n">
        <f aca="false">Sens!$J$1742+Sens!$J$1743</f>
        <v>379.424316597773</v>
      </c>
      <c r="K1744" s="38" t="n">
        <f aca="false">Sens!$K$1742+Sens!$K$1743</f>
        <v>439.919237244402</v>
      </c>
      <c r="L1744" s="38" t="n">
        <f aca="false">Sens!$L$1742+Sens!$L$1743</f>
        <v>501.954974491517</v>
      </c>
      <c r="M1744" s="38" t="n">
        <f aca="false">Sens!$M$1742+Sens!$M$1743</f>
        <v>565.639704466895</v>
      </c>
      <c r="N1744" s="38" t="n">
        <f aca="false">Q!$N$7</f>
        <v>60.14</v>
      </c>
      <c r="O1744" s="38" t="n">
        <f aca="false">Q!$O$7</f>
        <v>68.585</v>
      </c>
      <c r="P1744" s="5" t="s">
        <v>647</v>
      </c>
    </row>
    <row r="1745" customFormat="false" ht="15" hidden="false" customHeight="false" outlineLevel="0" collapsed="false">
      <c r="A1745" s="3" t="s">
        <v>648</v>
      </c>
      <c r="B1745" s="8" t="s">
        <v>73</v>
      </c>
      <c r="C1745" s="38" t="n">
        <f aca="false">Q!$D$8</f>
        <v>637.959</v>
      </c>
      <c r="D1745" s="38" t="n">
        <f aca="false">Q!$E$8</f>
        <v>716.924</v>
      </c>
      <c r="E1745" s="38" t="n">
        <f aca="false">Q!$P$8</f>
        <v>382.125</v>
      </c>
      <c r="F1745" s="38" t="n">
        <f aca="false">Sens!$F$1678+Sens!$F$1744</f>
        <v>450.494873271816</v>
      </c>
      <c r="G1745" s="38" t="n">
        <f aca="false">Sens!$G$1678+Sens!$G$1744</f>
        <v>832.619873271816</v>
      </c>
      <c r="H1745" s="38" t="n">
        <f aca="false">Sens!$H$1678+Sens!$H$1744</f>
        <v>970.995189139617</v>
      </c>
      <c r="I1745" s="38" t="n">
        <f aca="false">Sens!$I$1678+Sens!$I$1744</f>
        <v>1110.44766604932</v>
      </c>
      <c r="J1745" s="38" t="n">
        <f aca="false">Sens!$J$1678+Sens!$J$1744</f>
        <v>1241.16113892356</v>
      </c>
      <c r="K1745" s="38" t="n">
        <f aca="false">Sens!$K$1678+Sens!$K$1744</f>
        <v>1357.47672934633</v>
      </c>
      <c r="L1745" s="38" t="n">
        <f aca="false">Sens!$L$1678+Sens!$L$1744</f>
        <v>1479.24006423468</v>
      </c>
      <c r="M1745" s="38" t="n">
        <f aca="false">Sens!$M$1678+Sens!$M$1744</f>
        <v>1606.8537230104</v>
      </c>
      <c r="N1745" s="38" t="n">
        <f aca="false">Q!$N$8</f>
        <v>323.369</v>
      </c>
      <c r="O1745" s="38" t="n">
        <f aca="false">Q!$O$8</f>
        <v>393.555</v>
      </c>
    </row>
    <row r="1746" customFormat="false" ht="17.15" hidden="false" customHeight="false" outlineLevel="0" collapsed="false">
      <c r="A1746" s="24" t="s">
        <v>656</v>
      </c>
      <c r="B1746" s="25" t="s">
        <v>73</v>
      </c>
      <c r="C1746" s="39" t="n">
        <f aca="false">Sens!$C$1678-(Sens!$C$1680+Sens!$C$1681)</f>
        <v>0</v>
      </c>
      <c r="D1746" s="39" t="n">
        <f aca="false">Sens!$D$1678-(Sens!$D$1680+Sens!$D$1681)</f>
        <v>0</v>
      </c>
      <c r="E1746" s="39" t="n">
        <f aca="false">Sens!$E$1678-(Sens!$E$1680+Sens!$E$1681)</f>
        <v>0</v>
      </c>
      <c r="F1746" s="39" t="n">
        <f aca="false">Sens!$F$1678-(Sens!$F$1680+Sens!$F$1681)</f>
        <v>0</v>
      </c>
      <c r="G1746" s="39" t="n">
        <f aca="false">Sens!$G$1678-(Sens!$G$1680+Sens!$G$1681)</f>
        <v>0</v>
      </c>
      <c r="H1746" s="39" t="n">
        <f aca="false">Sens!$H$1678-(Sens!$H$1680+Sens!$H$1681)</f>
        <v>0</v>
      </c>
      <c r="I1746" s="39" t="n">
        <f aca="false">Sens!$I$1678-(Sens!$I$1680+Sens!$I$1681)</f>
        <v>0</v>
      </c>
      <c r="J1746" s="39" t="n">
        <f aca="false">Sens!$J$1678-(Sens!$J$1680+Sens!$J$1681)</f>
        <v>0</v>
      </c>
      <c r="K1746" s="39" t="n">
        <f aca="false">Sens!$K$1678-(Sens!$K$1680+Sens!$K$1681)</f>
        <v>0</v>
      </c>
      <c r="L1746" s="39" t="n">
        <f aca="false">Sens!$L$1678-(Sens!$L$1680+Sens!$L$1681)</f>
        <v>0</v>
      </c>
      <c r="M1746" s="39" t="n">
        <f aca="false">Sens!$M$1678-(Sens!$M$1680+Sens!$M$1681)</f>
        <v>0</v>
      </c>
      <c r="N1746" s="39" t="n">
        <f aca="false">Sens!$N$1678-(Sens!$N$1680+Sens!$N$1681)</f>
        <v>0</v>
      </c>
      <c r="O1746" s="39" t="n">
        <f aca="false">Sens!$O$1678-(Sens!$O$1680+Sens!$O$1681)</f>
        <v>0</v>
      </c>
    </row>
    <row r="1747" customFormat="false" ht="17.15" hidden="false" customHeight="false" outlineLevel="0" collapsed="false">
      <c r="A1747" s="24" t="s">
        <v>657</v>
      </c>
      <c r="B1747" s="25" t="s">
        <v>73</v>
      </c>
      <c r="C1747" s="39" t="n">
        <f aca="false">Sens!$C$1742+Sens!$C$1743-Sens!$C$1744</f>
        <v>0</v>
      </c>
      <c r="D1747" s="39" t="n">
        <f aca="false">Sens!$D$1742+Sens!$D$1743-Sens!$D$1744</f>
        <v>0</v>
      </c>
      <c r="E1747" s="39" t="n">
        <f aca="false">Sens!$E$1742+Sens!$E$1743-Sens!$E$1744</f>
        <v>0</v>
      </c>
      <c r="F1747" s="39" t="n">
        <f aca="false">Sens!$F$1742+Sens!$F$1743-Sens!$F$1744</f>
        <v>0</v>
      </c>
      <c r="G1747" s="39" t="n">
        <f aca="false">Sens!$G$1742+Sens!$G$1743-Sens!$G$1744</f>
        <v>0</v>
      </c>
      <c r="H1747" s="39" t="n">
        <f aca="false">Sens!$H$1742+Sens!$H$1743-Sens!$H$1744</f>
        <v>0</v>
      </c>
      <c r="I1747" s="39" t="n">
        <f aca="false">Sens!$I$1742+Sens!$I$1743-Sens!$I$1744</f>
        <v>0</v>
      </c>
      <c r="J1747" s="39" t="n">
        <f aca="false">Sens!$J$1742+Sens!$J$1743-Sens!$J$1744</f>
        <v>0</v>
      </c>
      <c r="K1747" s="39" t="n">
        <f aca="false">Sens!$K$1742+Sens!$K$1743-Sens!$K$1744</f>
        <v>0</v>
      </c>
      <c r="L1747" s="39" t="n">
        <f aca="false">Sens!$L$1742+Sens!$L$1743-Sens!$L$1744</f>
        <v>0</v>
      </c>
      <c r="M1747" s="39" t="n">
        <f aca="false">Sens!$M$1742+Sens!$M$1743-Sens!$M$1744</f>
        <v>0</v>
      </c>
      <c r="N1747" s="39" t="n">
        <f aca="false">Sens!$N$1742+Sens!$N$1743-Sens!$N$1744</f>
        <v>0</v>
      </c>
      <c r="O1747" s="39" t="n">
        <f aca="false">Sens!$O$1742+Sens!$O$1743-Sens!$O$1744</f>
        <v>0</v>
      </c>
    </row>
    <row r="1748" customFormat="false" ht="17.15" hidden="false" customHeight="false" outlineLevel="0" collapsed="false">
      <c r="A1748" s="24" t="s">
        <v>658</v>
      </c>
      <c r="B1748" s="25" t="s">
        <v>73</v>
      </c>
      <c r="C1748" s="39" t="n">
        <f aca="false">Sens!$C$1680+Sens!$C$1681+Sens!$C$1744-Sens!$C$1745</f>
        <v>0</v>
      </c>
      <c r="D1748" s="39" t="n">
        <f aca="false">Sens!$D$1680+Sens!$D$1681+Sens!$D$1744-Sens!$D$1745</f>
        <v>0</v>
      </c>
      <c r="E1748" s="39" t="n">
        <f aca="false">Sens!$E$1680+Sens!$E$1681+Sens!$E$1744-Sens!$E$1745</f>
        <v>0</v>
      </c>
      <c r="F1748" s="39" t="n">
        <f aca="false">Sens!$F$1680+Sens!$F$1681+Sens!$F$1744-Sens!$F$1745</f>
        <v>0</v>
      </c>
      <c r="G1748" s="39" t="n">
        <f aca="false">Sens!$G$1680+Sens!$G$1681+Sens!$G$1744-Sens!$G$1745</f>
        <v>0</v>
      </c>
      <c r="H1748" s="39" t="n">
        <f aca="false">Sens!$H$1680+Sens!$H$1681+Sens!$H$1744-Sens!$H$1745</f>
        <v>0</v>
      </c>
      <c r="I1748" s="39" t="n">
        <f aca="false">Sens!$I$1680+Sens!$I$1681+Sens!$I$1744-Sens!$I$1745</f>
        <v>0</v>
      </c>
      <c r="J1748" s="39" t="n">
        <f aca="false">Sens!$J$1680+Sens!$J$1681+Sens!$J$1744-Sens!$J$1745</f>
        <v>0</v>
      </c>
      <c r="K1748" s="39" t="n">
        <f aca="false">Sens!$K$1680+Sens!$K$1681+Sens!$K$1744-Sens!$K$1745</f>
        <v>0</v>
      </c>
      <c r="L1748" s="39" t="n">
        <f aca="false">Sens!$L$1680+Sens!$L$1681+Sens!$L$1744-Sens!$L$1745</f>
        <v>0</v>
      </c>
      <c r="M1748" s="39" t="n">
        <f aca="false">Sens!$M$1680+Sens!$M$1681+Sens!$M$1744-Sens!$M$1745</f>
        <v>0</v>
      </c>
      <c r="N1748" s="39" t="n">
        <f aca="false">Sens!$N$1680+Sens!$N$1681+Sens!$N$1744-Sens!$N$1745</f>
        <v>0</v>
      </c>
      <c r="O1748" s="39" t="n">
        <f aca="false">Sens!$O$1680+Sens!$O$1681+Sens!$O$1744-Sens!$O$1745</f>
        <v>0</v>
      </c>
    </row>
    <row r="1749" customFormat="false" ht="15" hidden="false" customHeight="false" outlineLevel="0" collapsed="false">
      <c r="A1749" s="5" t="s">
        <v>652</v>
      </c>
      <c r="B1749" s="0" t="s">
        <v>52</v>
      </c>
      <c r="G1749" s="12" t="n">
        <f aca="false">Sens!$G$1745/Sens!$D$1745-1</f>
        <v>0.161378156222718</v>
      </c>
      <c r="H1749" s="12" t="n">
        <f aca="false">Sens!$H$1745/Sens!$G$1745-1</f>
        <v>0.166192665236357</v>
      </c>
      <c r="I1749" s="12" t="n">
        <f aca="false">Sens!$I$1745/Sens!$H$1745-1</f>
        <v>0.143618092519351</v>
      </c>
      <c r="J1749" s="12" t="n">
        <f aca="false">Sens!$J$1745/Sens!$I$1745-1</f>
        <v>0.117712411733268</v>
      </c>
      <c r="K1749" s="12" t="n">
        <f aca="false">Sens!$K$1745/Sens!$J$1745-1</f>
        <v>0.0937151404237868</v>
      </c>
      <c r="L1749" s="12" t="n">
        <f aca="false">Sens!$L$1745/Sens!$K$1745-1</f>
        <v>0.0896982852494186</v>
      </c>
      <c r="M1749" s="12" t="n">
        <f aca="false">Sens!$M$1745/Sens!$L$1745-1</f>
        <v>0.0862697420528154</v>
      </c>
    </row>
    <row r="1750" customFormat="false" ht="17.15" hidden="false" customHeight="false" outlineLevel="0" collapsed="false">
      <c r="A1750" s="0" t="s">
        <v>653</v>
      </c>
      <c r="B1750" s="0" t="s">
        <v>52</v>
      </c>
      <c r="C1750" s="12" t="n">
        <f aca="false">Sens!$C$1744/Sens!$C$1745</f>
        <v>0.168593906504964</v>
      </c>
      <c r="D1750" s="12" t="n">
        <f aca="false">Sens!$D$1744/Sens!$D$1745</f>
        <v>0.179551807444025</v>
      </c>
      <c r="E1750" s="12" t="n">
        <f aca="false">Sens!$E$1744/Sens!$E$1745</f>
        <v>0.208881910369643</v>
      </c>
      <c r="F1750" s="12" t="n">
        <f aca="false">Sens!$F$1744/Sens!$F$1745</f>
        <v>0.207679264769203</v>
      </c>
      <c r="G1750" s="12" t="n">
        <f aca="false">Sens!$G$1744/Sens!$G$1745</f>
        <v>0.208231210458731</v>
      </c>
      <c r="H1750" s="12" t="n">
        <f aca="false">Sens!$H$1744/Sens!$H$1745</f>
        <v>0.248260191414043</v>
      </c>
      <c r="I1750" s="12" t="n">
        <f aca="false">Sens!$I$1744/Sens!$I$1745</f>
        <v>0.28110473450946</v>
      </c>
      <c r="J1750" s="12" t="n">
        <f aca="false">Sens!$J$1744/Sens!$J$1745</f>
        <v>0.30570109287086</v>
      </c>
      <c r="K1750" s="12" t="n">
        <f aca="false">Sens!$K$1744/Sens!$K$1745</f>
        <v>0.324071291782835</v>
      </c>
      <c r="L1750" s="12" t="n">
        <f aca="false">Sens!$L$1744/Sens!$L$1745</f>
        <v>0.339333003903741</v>
      </c>
      <c r="M1750" s="12" t="n">
        <f aca="false">Sens!$M$1744/Sens!$M$1745</f>
        <v>0.3520169237354</v>
      </c>
      <c r="N1750" s="12" t="n">
        <f aca="false">Sens!$N$1744/Sens!$N$1745</f>
        <v>0.185979484737251</v>
      </c>
      <c r="O1750" s="12" t="n">
        <f aca="false">Sens!$O$1744/Sens!$O$1745</f>
        <v>0.174270432341096</v>
      </c>
    </row>
    <row r="1751" customFormat="false" ht="17.15" hidden="false" customHeight="false" outlineLevel="0" collapsed="false">
      <c r="A1751" s="0" t="s">
        <v>654</v>
      </c>
      <c r="B1751" s="0" t="s">
        <v>52</v>
      </c>
      <c r="C1751" s="12" t="n">
        <f aca="false">Sens!$C$1742/Sens!$C$1744</f>
        <v>0.0215795060896058</v>
      </c>
      <c r="D1751" s="12" t="n">
        <f aca="false">Sens!$D$1742/Sens!$D$1744</f>
        <v>0.0676152269462122</v>
      </c>
      <c r="E1751" s="12" t="n">
        <f aca="false">Sens!$E$1742/Sens!$E$1744</f>
        <v>0.106620641395783</v>
      </c>
      <c r="F1751" s="12" t="n">
        <f aca="false">Sens!$F$1742/Sens!$F$1744</f>
        <v>0.159936751776064</v>
      </c>
      <c r="G1751" s="12" t="n">
        <f aca="false">Sens!$G$1742/Sens!$G$1744</f>
        <v>0.135391237003751</v>
      </c>
      <c r="H1751" s="12" t="n">
        <f aca="false">Sens!$H$1742/Sens!$H$1744</f>
        <v>0.249589428545194</v>
      </c>
      <c r="I1751" s="12" t="n">
        <f aca="false">Sens!$I$1742/Sens!$I$1744</f>
        <v>0.325173850577483</v>
      </c>
      <c r="J1751" s="12" t="n">
        <f aca="false">Sens!$J$1742/Sens!$J$1744</f>
        <v>0.376953718817392</v>
      </c>
      <c r="K1751" s="12" t="n">
        <f aca="false">Sens!$K$1742/Sens!$K$1744</f>
        <v>0.419641605578676</v>
      </c>
      <c r="L1751" s="12" t="n">
        <f aca="false">Sens!$L$1742/Sens!$L$1744</f>
        <v>0.450676451094615</v>
      </c>
      <c r="M1751" s="12" t="n">
        <f aca="false">Sens!$M$1742/Sens!$M$1744</f>
        <v>0.473526096798086</v>
      </c>
      <c r="N1751" s="12" t="n">
        <f aca="false">Sens!$N$1742/Sens!$N$1744</f>
        <v>0.0506537999838362</v>
      </c>
      <c r="O1751" s="12" t="n">
        <f aca="false">Sens!$O$1742/Sens!$O$1744</f>
        <v>0.0824881615167056</v>
      </c>
    </row>
    <row r="1754" customFormat="false" ht="19.4" hidden="false" customHeight="false" outlineLevel="0" collapsed="false">
      <c r="A1754" s="31" t="s">
        <v>1082</v>
      </c>
    </row>
    <row r="1755" customFormat="false" ht="17.15" hidden="false" customHeight="false" outlineLevel="0" collapsed="false">
      <c r="A1755" s="6" t="s">
        <v>16</v>
      </c>
      <c r="B1755" s="6" t="s">
        <v>17</v>
      </c>
      <c r="C1755" s="20" t="s">
        <v>457</v>
      </c>
      <c r="D1755" s="20" t="s">
        <v>458</v>
      </c>
      <c r="E1755" s="20" t="s">
        <v>540</v>
      </c>
      <c r="F1755" s="20" t="s">
        <v>541</v>
      </c>
      <c r="G1755" s="20" t="s">
        <v>542</v>
      </c>
      <c r="H1755" s="20" t="s">
        <v>543</v>
      </c>
      <c r="I1755" s="20" t="s">
        <v>544</v>
      </c>
      <c r="J1755" s="20" t="s">
        <v>545</v>
      </c>
      <c r="K1755" s="20" t="s">
        <v>546</v>
      </c>
      <c r="L1755" s="20" t="s">
        <v>547</v>
      </c>
      <c r="M1755" s="20" t="s">
        <v>548</v>
      </c>
      <c r="N1755" s="20" t="s">
        <v>549</v>
      </c>
      <c r="O1755" s="20" t="s">
        <v>550</v>
      </c>
      <c r="P1755" s="6" t="s">
        <v>23</v>
      </c>
      <c r="R1755" s="20" t="n">
        <v>2023</v>
      </c>
      <c r="S1755" s="20" t="n">
        <v>2024</v>
      </c>
      <c r="T1755" s="20" t="n">
        <v>2025</v>
      </c>
      <c r="U1755" s="20" t="n">
        <v>2026</v>
      </c>
      <c r="V1755" s="20" t="n">
        <v>2027</v>
      </c>
      <c r="W1755" s="20" t="n">
        <v>2028</v>
      </c>
      <c r="X1755" s="20" t="n">
        <v>2029</v>
      </c>
      <c r="Y1755" s="20" t="n">
        <v>2030</v>
      </c>
      <c r="Z1755" s="20" t="n">
        <v>2031</v>
      </c>
      <c r="AA1755" s="20" t="n">
        <v>2032</v>
      </c>
    </row>
    <row r="1756" customFormat="false" ht="17.15" hidden="false" customHeight="false" outlineLevel="0" collapsed="false">
      <c r="A1756" s="1" t="s">
        <v>669</v>
      </c>
    </row>
    <row r="1757" customFormat="false" ht="15" hidden="false" customHeight="false" outlineLevel="0" collapsed="false">
      <c r="A1757" s="0" t="s">
        <v>479</v>
      </c>
      <c r="B1757" s="0" t="s">
        <v>73</v>
      </c>
      <c r="C1757" s="38" t="n">
        <f aca="false">Sens!$C$1666</f>
        <v>247.029</v>
      </c>
      <c r="D1757" s="38" t="n">
        <f aca="false">Sens!$D$1666</f>
        <v>269.287</v>
      </c>
      <c r="E1757" s="38" t="n">
        <f aca="false">Sens!$E$1666</f>
        <v>134.686</v>
      </c>
      <c r="F1757" s="38" t="n">
        <f aca="false">Sens!$F$1666</f>
        <v>160.728085930082</v>
      </c>
      <c r="G1757" s="38" t="n">
        <f aca="false">Sens!$G$1666</f>
        <v>295.414085930082</v>
      </c>
      <c r="H1757" s="38" t="n">
        <f aca="false">Sens!$H$1666</f>
        <v>320.828163943375</v>
      </c>
      <c r="I1757" s="38" t="n">
        <f aca="false">Sens!$I$1666</f>
        <v>344.575578072228</v>
      </c>
      <c r="J1757" s="38" t="n">
        <f aca="false">Sens!$J$1666</f>
        <v>365.942555779681</v>
      </c>
      <c r="K1757" s="38" t="n">
        <f aca="false">Sens!$K$1666</f>
        <v>384.239683568665</v>
      </c>
      <c r="L1757" s="38" t="n">
        <f aca="false">Sens!$L$1666</f>
        <v>403.451667747098</v>
      </c>
      <c r="M1757" s="38" t="n">
        <f aca="false">Sens!$M$1666</f>
        <v>423.624251134453</v>
      </c>
      <c r="N1757" s="38" t="n">
        <f aca="false">Sens!$N$1666</f>
        <v>118.892</v>
      </c>
      <c r="O1757" s="38" t="n">
        <f aca="false">Sens!$O$1666</f>
        <v>150.395</v>
      </c>
    </row>
    <row r="1758" customFormat="false" ht="15" hidden="false" customHeight="false" outlineLevel="0" collapsed="false">
      <c r="A1758" s="0" t="s">
        <v>480</v>
      </c>
      <c r="B1758" s="0" t="s">
        <v>73</v>
      </c>
      <c r="C1758" s="38" t="n">
        <f aca="false">Sens!$C$1668</f>
        <v>21.215</v>
      </c>
      <c r="D1758" s="38" t="n">
        <f aca="false">Sens!$D$1668</f>
        <v>22.561</v>
      </c>
      <c r="E1758" s="38" t="n">
        <f aca="false">Sens!$E$1668</f>
        <v>11.579</v>
      </c>
      <c r="F1758" s="38" t="n">
        <f aca="false">Sens!$F$1668</f>
        <v>12.0952613121125</v>
      </c>
      <c r="G1758" s="38" t="n">
        <f aca="false">Sens!$G$1668</f>
        <v>23.6742613121125</v>
      </c>
      <c r="H1758" s="38" t="n">
        <f aca="false">Sens!$H$1668</f>
        <v>24.8803243963206</v>
      </c>
      <c r="I1758" s="38" t="n">
        <f aca="false">Sens!$I$1668</f>
        <v>25.9741308664154</v>
      </c>
      <c r="J1758" s="38" t="n">
        <f aca="false">Sens!$J$1668</f>
        <v>26.9346894124267</v>
      </c>
      <c r="K1758" s="38" t="n">
        <f aca="false">Sens!$K$1668</f>
        <v>27.7427300947995</v>
      </c>
      <c r="L1758" s="38" t="n">
        <f aca="false">Sens!$L$1668</f>
        <v>28.5750119976435</v>
      </c>
      <c r="M1758" s="38" t="n">
        <f aca="false">Sens!$M$1668</f>
        <v>29.4322623575728</v>
      </c>
      <c r="N1758" s="38" t="n">
        <f aca="false">Sens!$N$1668</f>
        <v>11.128</v>
      </c>
      <c r="O1758" s="38" t="n">
        <f aca="false">Sens!$O$1668</f>
        <v>11.433</v>
      </c>
    </row>
    <row r="1759" customFormat="false" ht="15" hidden="false" customHeight="false" outlineLevel="0" collapsed="false">
      <c r="A1759" s="0" t="s">
        <v>481</v>
      </c>
      <c r="B1759" s="0" t="s">
        <v>73</v>
      </c>
      <c r="C1759" s="38" t="n">
        <f aca="false">Sens!$C$1670</f>
        <v>156.146</v>
      </c>
      <c r="D1759" s="38" t="n">
        <f aca="false">Sens!$D$1670</f>
        <v>172.162</v>
      </c>
      <c r="E1759" s="38" t="n">
        <f aca="false">Sens!$E$1670</f>
        <v>88.358</v>
      </c>
      <c r="F1759" s="38" t="n">
        <f aca="false">Sens!$F$1670</f>
        <v>103.62028337149</v>
      </c>
      <c r="G1759" s="38" t="n">
        <f aca="false">Sens!$G$1670</f>
        <v>191.97828337149</v>
      </c>
      <c r="H1759" s="38" t="n">
        <f aca="false">Sens!$H$1670</f>
        <v>212.128608444755</v>
      </c>
      <c r="I1759" s="38" t="n">
        <f aca="false">Sens!$I$1670</f>
        <v>231.92183134134</v>
      </c>
      <c r="J1759" s="38" t="n">
        <f aca="false">Sens!$J$1670</f>
        <v>250.859136487863</v>
      </c>
      <c r="K1759" s="38" t="n">
        <f aca="false">Sens!$K$1670</f>
        <v>268.419276042014</v>
      </c>
      <c r="L1759" s="38" t="n">
        <f aca="false">Sens!$L$1670</f>
        <v>287.208625364954</v>
      </c>
      <c r="M1759" s="38" t="n">
        <f aca="false">Sens!$M$1670</f>
        <v>307.313229140501</v>
      </c>
      <c r="N1759" s="38" t="n">
        <f aca="false">Sens!$N$1670</f>
        <v>76.86</v>
      </c>
      <c r="O1759" s="38" t="n">
        <f aca="false">Sens!$O$1670</f>
        <v>95.302</v>
      </c>
    </row>
    <row r="1760" customFormat="false" ht="15" hidden="false" customHeight="false" outlineLevel="0" collapsed="false">
      <c r="A1760" s="0" t="s">
        <v>482</v>
      </c>
      <c r="B1760" s="0" t="s">
        <v>73</v>
      </c>
      <c r="C1760" s="38" t="n">
        <f aca="false">Sens!$C$1672</f>
        <v>56.214</v>
      </c>
      <c r="D1760" s="38" t="n">
        <f aca="false">Sens!$D$1672</f>
        <v>68.635</v>
      </c>
      <c r="E1760" s="38" t="n">
        <f aca="false">Sens!$E$1672</f>
        <v>37.052</v>
      </c>
      <c r="F1760" s="38" t="n">
        <f aca="false">Sens!$F$1672</f>
        <v>48.1533381827382</v>
      </c>
      <c r="G1760" s="38" t="n">
        <f aca="false">Sens!$G$1672</f>
        <v>85.2053381827382</v>
      </c>
      <c r="H1760" s="38" t="n">
        <f aca="false">Sens!$H$1672</f>
        <v>102.29336185894</v>
      </c>
      <c r="I1760" s="38" t="n">
        <f aca="false">Sens!$I$1672</f>
        <v>119.379837585241</v>
      </c>
      <c r="J1760" s="38" t="n">
        <f aca="false">Sens!$J$1672</f>
        <v>135.319079048844</v>
      </c>
      <c r="K1760" s="38" t="n">
        <f aca="false">Sens!$K$1672</f>
        <v>148.850986953729</v>
      </c>
      <c r="L1760" s="38" t="n">
        <f aca="false">Sens!$L$1672</f>
        <v>163.736085649102</v>
      </c>
      <c r="M1760" s="38" t="n">
        <f aca="false">Sens!$M$1672</f>
        <v>180.109694214012</v>
      </c>
      <c r="N1760" s="38" t="n">
        <f aca="false">Sens!$N$1672</f>
        <v>29.615</v>
      </c>
      <c r="O1760" s="38" t="n">
        <f aca="false">Sens!$O$1672</f>
        <v>39.02</v>
      </c>
    </row>
    <row r="1761" customFormat="false" ht="15" hidden="false" customHeight="false" outlineLevel="0" collapsed="false">
      <c r="A1761" s="0" t="s">
        <v>483</v>
      </c>
      <c r="B1761" s="0" t="s">
        <v>73</v>
      </c>
      <c r="C1761" s="38" t="n">
        <f aca="false">Sens!$C$1674</f>
        <v>44.374</v>
      </c>
      <c r="D1761" s="38" t="n">
        <f aca="false">Sens!$D$1674</f>
        <v>49.619</v>
      </c>
      <c r="E1761" s="38" t="n">
        <f aca="false">Sens!$E$1674</f>
        <v>27.157</v>
      </c>
      <c r="F1761" s="38" t="n">
        <f aca="false">Sens!$F$1674</f>
        <v>28.9776360923374</v>
      </c>
      <c r="G1761" s="38" t="n">
        <f aca="false">Sens!$G$1674</f>
        <v>56.1346360923374</v>
      </c>
      <c r="H1761" s="38" t="n">
        <f aca="false">Sens!$H$1674</f>
        <v>62.4937078946075</v>
      </c>
      <c r="I1761" s="38" t="n">
        <f aca="false">Sens!$I$1674</f>
        <v>68.6715233062498</v>
      </c>
      <c r="J1761" s="38" t="n">
        <f aca="false">Sens!$J$1674</f>
        <v>74.4692882949818</v>
      </c>
      <c r="K1761" s="38" t="n">
        <f aca="false">Sens!$K$1674</f>
        <v>79.6821384756306</v>
      </c>
      <c r="L1761" s="38" t="n">
        <f aca="false">Sens!$L$1674</f>
        <v>85.2598881689247</v>
      </c>
      <c r="M1761" s="38" t="n">
        <f aca="false">Sens!$M$1674</f>
        <v>91.2280803407494</v>
      </c>
      <c r="N1761" s="38" t="n">
        <f aca="false">Sens!$N$1674</f>
        <v>23.923</v>
      </c>
      <c r="O1761" s="38" t="n">
        <f aca="false">Sens!$O$1674</f>
        <v>25.696</v>
      </c>
    </row>
    <row r="1762" customFormat="false" ht="15" hidden="false" customHeight="false" outlineLevel="0" collapsed="false">
      <c r="A1762" s="0" t="s">
        <v>484</v>
      </c>
      <c r="B1762" s="0" t="s">
        <v>73</v>
      </c>
      <c r="C1762" s="38" t="n">
        <f aca="false">Sens!$C$1676</f>
        <v>5.425</v>
      </c>
      <c r="D1762" s="38" t="n">
        <f aca="false">Sens!$D$1676</f>
        <v>5.935</v>
      </c>
      <c r="E1762" s="38" t="n">
        <f aca="false">Sens!$E$1676</f>
        <v>3.474</v>
      </c>
      <c r="F1762" s="38" t="n">
        <f aca="false">Sens!$F$1676</f>
        <v>3.36182431966931</v>
      </c>
      <c r="G1762" s="38" t="n">
        <f aca="false">Sens!$G$1676</f>
        <v>6.83582431966931</v>
      </c>
      <c r="H1762" s="38" t="n">
        <f aca="false">Sens!$H$1676</f>
        <v>7.31157108370141</v>
      </c>
      <c r="I1762" s="38" t="n">
        <f aca="false">Sens!$I$1676</f>
        <v>7.77266852639815</v>
      </c>
      <c r="J1762" s="38" t="n">
        <f aca="false">Sens!$J$1676</f>
        <v>8.2120733019884</v>
      </c>
      <c r="K1762" s="38" t="n">
        <f aca="false">Sens!$K$1676</f>
        <v>8.62267696708783</v>
      </c>
      <c r="L1762" s="38" t="n">
        <f aca="false">Sens!$L$1676</f>
        <v>9.05381081544222</v>
      </c>
      <c r="M1762" s="38" t="n">
        <f aca="false">Sens!$M$1676</f>
        <v>9.50650135621433</v>
      </c>
      <c r="N1762" s="38" t="n">
        <f aca="false">Sens!$N$1676</f>
        <v>2.811</v>
      </c>
      <c r="O1762" s="38" t="n">
        <f aca="false">Sens!$O$1676</f>
        <v>3.124</v>
      </c>
    </row>
    <row r="1763" customFormat="false" ht="17.15" hidden="false" customHeight="false" outlineLevel="0" collapsed="false">
      <c r="A1763" s="0" t="s">
        <v>670</v>
      </c>
      <c r="B1763" s="0" t="s">
        <v>73</v>
      </c>
      <c r="C1763" s="38" t="n">
        <f aca="false">Sens!$C$1744</f>
        <v>107.556</v>
      </c>
      <c r="D1763" s="38" t="n">
        <f aca="false">Sens!$D$1744</f>
        <v>128.725</v>
      </c>
      <c r="E1763" s="38" t="n">
        <f aca="false">Sens!$E$1744</f>
        <v>79.819</v>
      </c>
      <c r="F1763" s="38" t="n">
        <f aca="false">Sens!$F$1744</f>
        <v>93.5584440633857</v>
      </c>
      <c r="G1763" s="38" t="n">
        <f aca="false">Sens!$G$1744</f>
        <v>173.377444063386</v>
      </c>
      <c r="H1763" s="38" t="n">
        <f aca="false">Sens!$H$1744</f>
        <v>241.059451517916</v>
      </c>
      <c r="I1763" s="38" t="n">
        <f aca="false">Sens!$I$1744</f>
        <v>312.152096351442</v>
      </c>
      <c r="J1763" s="38" t="n">
        <f aca="false">Sens!$J$1744</f>
        <v>379.424316597773</v>
      </c>
      <c r="K1763" s="38" t="n">
        <f aca="false">Sens!$K$1744</f>
        <v>439.919237244402</v>
      </c>
      <c r="L1763" s="38" t="n">
        <f aca="false">Sens!$L$1744</f>
        <v>501.954974491517</v>
      </c>
      <c r="M1763" s="38" t="n">
        <f aca="false">Sens!$M$1744</f>
        <v>565.639704466895</v>
      </c>
      <c r="N1763" s="38" t="n">
        <f aca="false">Sens!$N$1744</f>
        <v>60.14</v>
      </c>
      <c r="O1763" s="38" t="n">
        <f aca="false">Sens!$O$1744</f>
        <v>68.585</v>
      </c>
    </row>
    <row r="1764" customFormat="false" ht="15" hidden="false" customHeight="false" outlineLevel="0" collapsed="false">
      <c r="A1764" s="1" t="s">
        <v>472</v>
      </c>
      <c r="B1764" s="8" t="s">
        <v>73</v>
      </c>
      <c r="C1764" s="38" t="n">
        <f aca="false">Sens!$C$1680</f>
        <v>387.497</v>
      </c>
      <c r="D1764" s="38" t="n">
        <f aca="false">Sens!$D$1680</f>
        <v>426.305</v>
      </c>
      <c r="E1764" s="38" t="n">
        <f aca="false">Sens!$E$1680</f>
        <v>220.32</v>
      </c>
      <c r="F1764" s="38" t="n">
        <f aca="false">Sens!$F$1680</f>
        <v>256.304015003807</v>
      </c>
      <c r="G1764" s="38" t="n">
        <f aca="false">Sens!$G$1680</f>
        <v>476.624015003807</v>
      </c>
      <c r="H1764" s="38" t="n">
        <f aca="false">Sens!$H$1680</f>
        <v>527.734391091543</v>
      </c>
      <c r="I1764" s="38" t="n">
        <f aca="false">Sens!$I$1680</f>
        <v>577.157693029577</v>
      </c>
      <c r="J1764" s="38" t="n">
        <f aca="false">Sens!$J$1680</f>
        <v>623.024923663827</v>
      </c>
      <c r="K1764" s="38" t="n">
        <f aca="false">Sens!$K$1680</f>
        <v>663.382568393781</v>
      </c>
      <c r="L1764" s="38" t="n">
        <f aca="false">Sens!$L$1680</f>
        <v>706.564873010432</v>
      </c>
      <c r="M1764" s="38" t="n">
        <f aca="false">Sens!$M$1680</f>
        <v>752.784687406019</v>
      </c>
      <c r="N1764" s="38" t="n">
        <f aca="false">Sens!$N$1680</f>
        <v>192.955</v>
      </c>
      <c r="O1764" s="38" t="n">
        <f aca="false">Sens!$O$1680</f>
        <v>233.35</v>
      </c>
    </row>
    <row r="1765" customFormat="false" ht="15" hidden="false" customHeight="false" outlineLevel="0" collapsed="false">
      <c r="A1765" s="1" t="s">
        <v>475</v>
      </c>
      <c r="B1765" s="8" t="s">
        <v>73</v>
      </c>
      <c r="C1765" s="38" t="n">
        <f aca="false">Sens!$C$1681</f>
        <v>142.906</v>
      </c>
      <c r="D1765" s="38" t="n">
        <f aca="false">Sens!$D$1681</f>
        <v>161.894</v>
      </c>
      <c r="E1765" s="38" t="n">
        <f aca="false">Sens!$E$1681</f>
        <v>81.986</v>
      </c>
      <c r="F1765" s="38" t="n">
        <f aca="false">Sens!$F$1681</f>
        <v>100.632414204623</v>
      </c>
      <c r="G1765" s="38" t="n">
        <f aca="false">Sens!$G$1681</f>
        <v>182.618414204623</v>
      </c>
      <c r="H1765" s="38" t="n">
        <f aca="false">Sens!$H$1681</f>
        <v>202.201346530158</v>
      </c>
      <c r="I1765" s="38" t="n">
        <f aca="false">Sens!$I$1681</f>
        <v>221.137876668296</v>
      </c>
      <c r="J1765" s="38" t="n">
        <f aca="false">Sens!$J$1681</f>
        <v>238.711898661958</v>
      </c>
      <c r="K1765" s="38" t="n">
        <f aca="false">Sens!$K$1681</f>
        <v>254.174923708144</v>
      </c>
      <c r="L1765" s="38" t="n">
        <f aca="false">Sens!$L$1681</f>
        <v>270.720216732733</v>
      </c>
      <c r="M1765" s="38" t="n">
        <f aca="false">Sens!$M$1681</f>
        <v>288.429331137484</v>
      </c>
      <c r="N1765" s="38" t="n">
        <f aca="false">Sens!$N$1681</f>
        <v>70.274</v>
      </c>
      <c r="O1765" s="38" t="n">
        <f aca="false">Sens!$O$1681</f>
        <v>91.62</v>
      </c>
    </row>
    <row r="1766" customFormat="false" ht="15" hidden="false" customHeight="false" outlineLevel="0" collapsed="false">
      <c r="A1766" s="1" t="s">
        <v>476</v>
      </c>
      <c r="B1766" s="8" t="s">
        <v>73</v>
      </c>
      <c r="C1766" s="38" t="n">
        <f aca="false">Sens!$C$1744</f>
        <v>107.556</v>
      </c>
      <c r="D1766" s="38" t="n">
        <f aca="false">Sens!$D$1744</f>
        <v>128.725</v>
      </c>
      <c r="E1766" s="38" t="n">
        <f aca="false">Sens!$E$1744</f>
        <v>79.819</v>
      </c>
      <c r="F1766" s="38" t="n">
        <f aca="false">Sens!$F$1744</f>
        <v>93.5584440633857</v>
      </c>
      <c r="G1766" s="38" t="n">
        <f aca="false">Sens!$G$1744</f>
        <v>173.377444063386</v>
      </c>
      <c r="H1766" s="38" t="n">
        <f aca="false">Sens!$H$1744</f>
        <v>241.059451517916</v>
      </c>
      <c r="I1766" s="38" t="n">
        <f aca="false">Sens!$I$1744</f>
        <v>312.152096351442</v>
      </c>
      <c r="J1766" s="38" t="n">
        <f aca="false">Sens!$J$1744</f>
        <v>379.424316597773</v>
      </c>
      <c r="K1766" s="38" t="n">
        <f aca="false">Sens!$K$1744</f>
        <v>439.919237244402</v>
      </c>
      <c r="L1766" s="38" t="n">
        <f aca="false">Sens!$L$1744</f>
        <v>501.954974491517</v>
      </c>
      <c r="M1766" s="38" t="n">
        <f aca="false">Sens!$M$1744</f>
        <v>565.639704466895</v>
      </c>
      <c r="N1766" s="38" t="n">
        <f aca="false">Sens!$N$1744</f>
        <v>60.14</v>
      </c>
      <c r="O1766" s="38" t="n">
        <f aca="false">Sens!$O$1744</f>
        <v>68.585</v>
      </c>
    </row>
    <row r="1767" customFormat="false" ht="17.15" hidden="false" customHeight="false" outlineLevel="0" collapsed="false">
      <c r="A1767" s="0" t="s">
        <v>644</v>
      </c>
      <c r="B1767" s="0" t="s">
        <v>73</v>
      </c>
      <c r="C1767" s="38" t="n">
        <f aca="false">Sens!$C$1742</f>
        <v>2.32100535697364</v>
      </c>
      <c r="D1767" s="38" t="n">
        <f aca="false">Sens!$D$1742</f>
        <v>8.70377008865116</v>
      </c>
      <c r="E1767" s="38" t="n">
        <f aca="false">Sens!$E$1742</f>
        <v>8.51035297557002</v>
      </c>
      <c r="F1767" s="38" t="n">
        <f aca="false">Sens!$F$1742</f>
        <v>14.9634336447205</v>
      </c>
      <c r="G1767" s="38" t="n">
        <f aca="false">Sens!$G$1742</f>
        <v>23.4737866202905</v>
      </c>
      <c r="H1767" s="38" t="n">
        <f aca="false">Sens!$H$1742</f>
        <v>60.1658907497746</v>
      </c>
      <c r="I1767" s="38" t="n">
        <f aca="false">Sens!$I$1742</f>
        <v>101.503699136432</v>
      </c>
      <c r="J1767" s="38" t="n">
        <f aca="false">Sens!$J$1742</f>
        <v>143.025407151278</v>
      </c>
      <c r="K1767" s="38" t="n">
        <f aca="false">Sens!$K$1742</f>
        <v>184.608415042187</v>
      </c>
      <c r="L1767" s="38" t="n">
        <f aca="false">Sens!$L$1742</f>
        <v>226.219286513125</v>
      </c>
      <c r="M1767" s="38" t="n">
        <f aca="false">Sens!$M$1742</f>
        <v>267.845161450232</v>
      </c>
      <c r="N1767" s="38" t="n">
        <f aca="false">Sens!$N$1742</f>
        <v>3.04631953102791</v>
      </c>
      <c r="O1767" s="38" t="n">
        <f aca="false">Sens!$O$1742</f>
        <v>5.65745055762326</v>
      </c>
    </row>
    <row r="1768" customFormat="false" ht="17.15" hidden="false" customHeight="false" outlineLevel="0" collapsed="false">
      <c r="A1768" s="0" t="s">
        <v>646</v>
      </c>
      <c r="B1768" s="0" t="s">
        <v>73</v>
      </c>
      <c r="C1768" s="38" t="n">
        <f aca="false">Sens!$C$1743</f>
        <v>105.234994643026</v>
      </c>
      <c r="D1768" s="38" t="n">
        <f aca="false">Sens!$D$1743</f>
        <v>120.021229911349</v>
      </c>
      <c r="E1768" s="38" t="n">
        <f aca="false">Sens!$E$1743</f>
        <v>71.30864702443</v>
      </c>
      <c r="F1768" s="38" t="n">
        <f aca="false">Sens!$F$1743</f>
        <v>78.5950104186653</v>
      </c>
      <c r="G1768" s="38" t="n">
        <f aca="false">Sens!$G$1743</f>
        <v>149.903657443095</v>
      </c>
      <c r="H1768" s="38" t="n">
        <f aca="false">Sens!$H$1743</f>
        <v>180.893560768142</v>
      </c>
      <c r="I1768" s="38" t="n">
        <f aca="false">Sens!$I$1743</f>
        <v>210.64839721501</v>
      </c>
      <c r="J1768" s="38" t="n">
        <f aca="false">Sens!$J$1743</f>
        <v>236.398909446495</v>
      </c>
      <c r="K1768" s="38" t="n">
        <f aca="false">Sens!$K$1743</f>
        <v>255.310822202215</v>
      </c>
      <c r="L1768" s="38" t="n">
        <f aca="false">Sens!$L$1743</f>
        <v>275.735687978392</v>
      </c>
      <c r="M1768" s="38" t="n">
        <f aca="false">Sens!$M$1743</f>
        <v>297.794543016663</v>
      </c>
      <c r="N1768" s="38" t="n">
        <f aca="false">Sens!$N$1743</f>
        <v>57.0936804689721</v>
      </c>
      <c r="O1768" s="38" t="n">
        <f aca="false">Sens!$O$1743</f>
        <v>62.9275494423768</v>
      </c>
    </row>
    <row r="1769" customFormat="false" ht="15" hidden="false" customHeight="false" outlineLevel="0" collapsed="false">
      <c r="A1769" s="3" t="s">
        <v>477</v>
      </c>
      <c r="B1769" s="8" t="s">
        <v>73</v>
      </c>
      <c r="C1769" s="38" t="n">
        <f aca="false">Sens!$C$1745</f>
        <v>637.959</v>
      </c>
      <c r="D1769" s="38" t="n">
        <f aca="false">Sens!$D$1745</f>
        <v>716.924</v>
      </c>
      <c r="E1769" s="38" t="n">
        <f aca="false">Sens!$E$1745</f>
        <v>382.125</v>
      </c>
      <c r="F1769" s="38" t="n">
        <f aca="false">Sens!$F$1745</f>
        <v>450.494873271816</v>
      </c>
      <c r="G1769" s="38" t="n">
        <f aca="false">Sens!$G$1745</f>
        <v>832.619873271816</v>
      </c>
      <c r="H1769" s="38" t="n">
        <f aca="false">Sens!$H$1745</f>
        <v>970.995189139617</v>
      </c>
      <c r="I1769" s="38" t="n">
        <f aca="false">Sens!$I$1745</f>
        <v>1110.44766604932</v>
      </c>
      <c r="J1769" s="38" t="n">
        <f aca="false">Sens!$J$1745</f>
        <v>1241.16113892356</v>
      </c>
      <c r="K1769" s="38" t="n">
        <f aca="false">Sens!$K$1745</f>
        <v>1357.47672934633</v>
      </c>
      <c r="L1769" s="38" t="n">
        <f aca="false">Sens!$L$1745</f>
        <v>1479.24006423468</v>
      </c>
      <c r="M1769" s="38" t="n">
        <f aca="false">Sens!$M$1745</f>
        <v>1606.8537230104</v>
      </c>
      <c r="N1769" s="38" t="n">
        <f aca="false">Sens!$N$1745</f>
        <v>323.369</v>
      </c>
      <c r="O1769" s="38" t="n">
        <f aca="false">Sens!$O$1745</f>
        <v>393.555</v>
      </c>
    </row>
    <row r="1770" customFormat="false" ht="17.15" hidden="false" customHeight="false" outlineLevel="0" collapsed="false">
      <c r="A1770" s="24" t="s">
        <v>656</v>
      </c>
      <c r="B1770" s="25" t="s">
        <v>73</v>
      </c>
      <c r="C1770" s="39" t="n">
        <f aca="false">Sens!$C$1757+Sens!$C$1758+Sens!$C$1759+Sens!$C$1760+Sens!$C$1761+Sens!$C$1762-(Sens!$C$1764+Sens!$C$1765)</f>
        <v>0</v>
      </c>
      <c r="D1770" s="39" t="n">
        <f aca="false">Sens!$D$1757+Sens!$D$1758+Sens!$D$1759+Sens!$D$1760+Sens!$D$1761+Sens!$D$1762-(Sens!$D$1764+Sens!$D$1765)</f>
        <v>0</v>
      </c>
      <c r="E1770" s="39" t="n">
        <f aca="false">Sens!$E$1757+Sens!$E$1758+Sens!$E$1759+Sens!$E$1760+Sens!$E$1761+Sens!$E$1762-(Sens!$E$1764+Sens!$E$1765)</f>
        <v>0</v>
      </c>
      <c r="F1770" s="39" t="n">
        <f aca="false">Sens!$F$1757+Sens!$F$1758+Sens!$F$1759+Sens!$F$1760+Sens!$F$1761+Sens!$F$1762-(Sens!$F$1764+Sens!$F$1765)</f>
        <v>0</v>
      </c>
      <c r="G1770" s="39" t="n">
        <f aca="false">Sens!$G$1757+Sens!$G$1758+Sens!$G$1759+Sens!$G$1760+Sens!$G$1761+Sens!$G$1762-(Sens!$G$1764+Sens!$G$1765)</f>
        <v>0</v>
      </c>
      <c r="H1770" s="39" t="n">
        <f aca="false">Sens!$H$1757+Sens!$H$1758+Sens!$H$1759+Sens!$H$1760+Sens!$H$1761+Sens!$H$1762-(Sens!$H$1764+Sens!$H$1765)</f>
        <v>0</v>
      </c>
      <c r="I1770" s="39" t="n">
        <f aca="false">Sens!$I$1757+Sens!$I$1758+Sens!$I$1759+Sens!$I$1760+Sens!$I$1761+Sens!$I$1762-(Sens!$I$1764+Sens!$I$1765)</f>
        <v>0</v>
      </c>
      <c r="J1770" s="39" t="n">
        <f aca="false">Sens!$J$1757+Sens!$J$1758+Sens!$J$1759+Sens!$J$1760+Sens!$J$1761+Sens!$J$1762-(Sens!$J$1764+Sens!$J$1765)</f>
        <v>0</v>
      </c>
      <c r="K1770" s="39" t="n">
        <f aca="false">Sens!$K$1757+Sens!$K$1758+Sens!$K$1759+Sens!$K$1760+Sens!$K$1761+Sens!$K$1762-(Sens!$K$1764+Sens!$K$1765)</f>
        <v>0</v>
      </c>
      <c r="L1770" s="39" t="n">
        <f aca="false">Sens!$L$1757+Sens!$L$1758+Sens!$L$1759+Sens!$L$1760+Sens!$L$1761+Sens!$L$1762-(Sens!$L$1764+Sens!$L$1765)</f>
        <v>0</v>
      </c>
      <c r="M1770" s="39" t="n">
        <f aca="false">Sens!$M$1757+Sens!$M$1758+Sens!$M$1759+Sens!$M$1760+Sens!$M$1761+Sens!$M$1762-(Sens!$M$1764+Sens!$M$1765)</f>
        <v>0</v>
      </c>
      <c r="N1770" s="39" t="n">
        <f aca="false">Sens!$N$1757+Sens!$N$1758+Sens!$N$1759+Sens!$N$1760+Sens!$N$1761+Sens!$N$1762-(Sens!$N$1764+Sens!$N$1765)</f>
        <v>0</v>
      </c>
      <c r="O1770" s="39" t="n">
        <f aca="false">Sens!$O$1757+Sens!$O$1758+Sens!$O$1759+Sens!$O$1760+Sens!$O$1761+Sens!$O$1762-(Sens!$O$1764+Sens!$O$1765)</f>
        <v>0</v>
      </c>
    </row>
    <row r="1771" customFormat="false" ht="17.15" hidden="false" customHeight="false" outlineLevel="0" collapsed="false">
      <c r="A1771" s="24" t="s">
        <v>657</v>
      </c>
      <c r="B1771" s="25" t="s">
        <v>73</v>
      </c>
      <c r="C1771" s="39" t="n">
        <f aca="false">Sens!$C$1767+Sens!$C$1768-Sens!$C$1766</f>
        <v>0</v>
      </c>
      <c r="D1771" s="39" t="n">
        <f aca="false">Sens!$D$1767+Sens!$D$1768-Sens!$D$1766</f>
        <v>0</v>
      </c>
      <c r="E1771" s="39" t="n">
        <f aca="false">Sens!$E$1767+Sens!$E$1768-Sens!$E$1766</f>
        <v>0</v>
      </c>
      <c r="F1771" s="39" t="n">
        <f aca="false">Sens!$F$1767+Sens!$F$1768-Sens!$F$1766</f>
        <v>0</v>
      </c>
      <c r="G1771" s="39" t="n">
        <f aca="false">Sens!$G$1767+Sens!$G$1768-Sens!$G$1766</f>
        <v>0</v>
      </c>
      <c r="H1771" s="39" t="n">
        <f aca="false">Sens!$H$1767+Sens!$H$1768-Sens!$H$1766</f>
        <v>0</v>
      </c>
      <c r="I1771" s="39" t="n">
        <f aca="false">Sens!$I$1767+Sens!$I$1768-Sens!$I$1766</f>
        <v>0</v>
      </c>
      <c r="J1771" s="39" t="n">
        <f aca="false">Sens!$J$1767+Sens!$J$1768-Sens!$J$1766</f>
        <v>0</v>
      </c>
      <c r="K1771" s="39" t="n">
        <f aca="false">Sens!$K$1767+Sens!$K$1768-Sens!$K$1766</f>
        <v>0</v>
      </c>
      <c r="L1771" s="39" t="n">
        <f aca="false">Sens!$L$1767+Sens!$L$1768-Sens!$L$1766</f>
        <v>0</v>
      </c>
      <c r="M1771" s="39" t="n">
        <f aca="false">Sens!$M$1767+Sens!$M$1768-Sens!$M$1766</f>
        <v>0</v>
      </c>
      <c r="N1771" s="39" t="n">
        <f aca="false">Sens!$N$1767+Sens!$N$1768-Sens!$N$1766</f>
        <v>0</v>
      </c>
      <c r="O1771" s="39" t="n">
        <f aca="false">Sens!$O$1767+Sens!$O$1768-Sens!$O$1766</f>
        <v>0</v>
      </c>
    </row>
    <row r="1772" customFormat="false" ht="17.15" hidden="false" customHeight="false" outlineLevel="0" collapsed="false">
      <c r="A1772" s="24" t="s">
        <v>711</v>
      </c>
      <c r="B1772" s="25" t="s">
        <v>73</v>
      </c>
      <c r="C1772" s="39" t="n">
        <f aca="false">Sens!$C$1757+Sens!$C$1758+Sens!$C$1759+Sens!$C$1760+Sens!$C$1761+Sens!$C$1762+Sens!$C$1763-Sens!$C$1769</f>
        <v>0</v>
      </c>
      <c r="D1772" s="39" t="n">
        <f aca="false">Sens!$D$1757+Sens!$D$1758+Sens!$D$1759+Sens!$D$1760+Sens!$D$1761+Sens!$D$1762+Sens!$D$1763-Sens!$D$1769</f>
        <v>0</v>
      </c>
      <c r="E1772" s="39" t="n">
        <f aca="false">Sens!$E$1757+Sens!$E$1758+Sens!$E$1759+Sens!$E$1760+Sens!$E$1761+Sens!$E$1762+Sens!$E$1763-Sens!$E$1769</f>
        <v>0</v>
      </c>
      <c r="F1772" s="39" t="n">
        <f aca="false">Sens!$F$1757+Sens!$F$1758+Sens!$F$1759+Sens!$F$1760+Sens!$F$1761+Sens!$F$1762+Sens!$F$1763-Sens!$F$1769</f>
        <v>0</v>
      </c>
      <c r="G1772" s="39" t="n">
        <f aca="false">Sens!$G$1757+Sens!$G$1758+Sens!$G$1759+Sens!$G$1760+Sens!$G$1761+Sens!$G$1762+Sens!$G$1763-Sens!$G$1769</f>
        <v>0</v>
      </c>
      <c r="H1772" s="39" t="n">
        <f aca="false">Sens!$H$1757+Sens!$H$1758+Sens!$H$1759+Sens!$H$1760+Sens!$H$1761+Sens!$H$1762+Sens!$H$1763-Sens!$H$1769</f>
        <v>0</v>
      </c>
      <c r="I1772" s="39" t="n">
        <f aca="false">Sens!$I$1757+Sens!$I$1758+Sens!$I$1759+Sens!$I$1760+Sens!$I$1761+Sens!$I$1762+Sens!$I$1763-Sens!$I$1769</f>
        <v>0</v>
      </c>
      <c r="J1772" s="39" t="n">
        <f aca="false">Sens!$J$1757+Sens!$J$1758+Sens!$J$1759+Sens!$J$1760+Sens!$J$1761+Sens!$J$1762+Sens!$J$1763-Sens!$J$1769</f>
        <v>0</v>
      </c>
      <c r="K1772" s="39" t="n">
        <f aca="false">Sens!$K$1757+Sens!$K$1758+Sens!$K$1759+Sens!$K$1760+Sens!$K$1761+Sens!$K$1762+Sens!$K$1763-Sens!$K$1769</f>
        <v>0</v>
      </c>
      <c r="L1772" s="39" t="n">
        <f aca="false">Sens!$L$1757+Sens!$L$1758+Sens!$L$1759+Sens!$L$1760+Sens!$L$1761+Sens!$L$1762+Sens!$L$1763-Sens!$L$1769</f>
        <v>0</v>
      </c>
      <c r="M1772" s="39" t="n">
        <f aca="false">Sens!$M$1757+Sens!$M$1758+Sens!$M$1759+Sens!$M$1760+Sens!$M$1761+Sens!$M$1762+Sens!$M$1763-Sens!$M$1769</f>
        <v>0</v>
      </c>
      <c r="N1772" s="39" t="n">
        <f aca="false">Sens!$N$1757+Sens!$N$1758+Sens!$N$1759+Sens!$N$1760+Sens!$N$1761+Sens!$N$1762+Sens!$N$1763-Sens!$N$1769</f>
        <v>0</v>
      </c>
      <c r="O1772" s="39" t="n">
        <f aca="false">Sens!$O$1757+Sens!$O$1758+Sens!$O$1759+Sens!$O$1760+Sens!$O$1761+Sens!$O$1762+Sens!$O$1763-Sens!$O$1769</f>
        <v>0</v>
      </c>
    </row>
    <row r="1773" customFormat="false" ht="17.15" hidden="false" customHeight="false" outlineLevel="0" collapsed="false">
      <c r="A1773" s="24" t="s">
        <v>658</v>
      </c>
      <c r="B1773" s="25" t="s">
        <v>73</v>
      </c>
      <c r="C1773" s="39" t="n">
        <f aca="false">Sens!$C$1764+Sens!$C$1765+Sens!$C$1766-Sens!$C$1769</f>
        <v>0</v>
      </c>
      <c r="D1773" s="39" t="n">
        <f aca="false">Sens!$D$1764+Sens!$D$1765+Sens!$D$1766-Sens!$D$1769</f>
        <v>0</v>
      </c>
      <c r="E1773" s="39" t="n">
        <f aca="false">Sens!$E$1764+Sens!$E$1765+Sens!$E$1766-Sens!$E$1769</f>
        <v>0</v>
      </c>
      <c r="F1773" s="39" t="n">
        <f aca="false">Sens!$F$1764+Sens!$F$1765+Sens!$F$1766-Sens!$F$1769</f>
        <v>0</v>
      </c>
      <c r="G1773" s="39" t="n">
        <f aca="false">Sens!$G$1764+Sens!$G$1765+Sens!$G$1766-Sens!$G$1769</f>
        <v>0</v>
      </c>
      <c r="H1773" s="39" t="n">
        <f aca="false">Sens!$H$1764+Sens!$H$1765+Sens!$H$1766-Sens!$H$1769</f>
        <v>0</v>
      </c>
      <c r="I1773" s="39" t="n">
        <f aca="false">Sens!$I$1764+Sens!$I$1765+Sens!$I$1766-Sens!$I$1769</f>
        <v>0</v>
      </c>
      <c r="J1773" s="39" t="n">
        <f aca="false">Sens!$J$1764+Sens!$J$1765+Sens!$J$1766-Sens!$J$1769</f>
        <v>0</v>
      </c>
      <c r="K1773" s="39" t="n">
        <f aca="false">Sens!$K$1764+Sens!$K$1765+Sens!$K$1766-Sens!$K$1769</f>
        <v>0</v>
      </c>
      <c r="L1773" s="39" t="n">
        <f aca="false">Sens!$L$1764+Sens!$L$1765+Sens!$L$1766-Sens!$L$1769</f>
        <v>0</v>
      </c>
      <c r="M1773" s="39" t="n">
        <f aca="false">Sens!$M$1764+Sens!$M$1765+Sens!$M$1766-Sens!$M$1769</f>
        <v>0</v>
      </c>
      <c r="N1773" s="39" t="n">
        <f aca="false">Sens!$N$1764+Sens!$N$1765+Sens!$N$1766-Sens!$N$1769</f>
        <v>0</v>
      </c>
      <c r="O1773" s="39" t="n">
        <f aca="false">Sens!$O$1764+Sens!$O$1765+Sens!$O$1766-Sens!$O$1769</f>
        <v>0</v>
      </c>
    </row>
    <row r="1774" customFormat="false" ht="17.15" hidden="false" customHeight="false" outlineLevel="0" collapsed="false">
      <c r="A1774" s="1" t="s">
        <v>672</v>
      </c>
    </row>
    <row r="1775" customFormat="false" ht="17.15" hidden="false" customHeight="false" outlineLevel="0" collapsed="false">
      <c r="A1775" s="0" t="s">
        <v>673</v>
      </c>
      <c r="B1775" s="0" t="s">
        <v>73</v>
      </c>
      <c r="C1775" s="38" t="n">
        <f aca="false">Sens!$C$1682*m_ad</f>
        <v>20.5341564414228</v>
      </c>
      <c r="D1775" s="38" t="n">
        <f aca="false">Sens!$D$1682*m_ad</f>
        <v>24.8720617299587</v>
      </c>
      <c r="E1775" s="38" t="n">
        <f aca="false">Sens!$E$1682*m_ad</f>
        <v>13.5017112462207</v>
      </c>
      <c r="F1775" s="38" t="n">
        <f aca="false">Sens!$F$1682*m_ad</f>
        <v>17.2886442824599</v>
      </c>
      <c r="G1775" s="38" t="n">
        <f aca="false">Sens!$G$1682*m_ad</f>
        <v>30.8011958765886</v>
      </c>
      <c r="H1775" s="38" t="n">
        <f aca="false">Sens!$H$1682*m_ad</f>
        <v>36.978409366026</v>
      </c>
      <c r="I1775" s="38" t="n">
        <f aca="false">Sens!$I$1682*m_ad</f>
        <v>43.155063281273</v>
      </c>
      <c r="J1775" s="38" t="n">
        <f aca="false">Sens!$J$1682*m_ad</f>
        <v>48.9169991988532</v>
      </c>
      <c r="K1775" s="38" t="n">
        <f aca="false">Sens!$K$1682*m_ad</f>
        <v>53.8086991187386</v>
      </c>
      <c r="L1775" s="38" t="n">
        <f aca="false">Sens!$L$1682*m_ad</f>
        <v>59.1895690306124</v>
      </c>
      <c r="M1775" s="38" t="n">
        <f aca="false">Sens!$M$1682*m_ad</f>
        <v>65.1085259336737</v>
      </c>
      <c r="N1775" s="38" t="n">
        <f aca="false">Sens!$N$1682*m_ad</f>
        <v>10.8543555706248</v>
      </c>
      <c r="O1775" s="38" t="n">
        <f aca="false">Sens!$O$1682*m_ad</f>
        <v>14.0094731821399</v>
      </c>
    </row>
    <row r="1776" customFormat="false" ht="17.15" hidden="false" customHeight="false" outlineLevel="0" collapsed="false">
      <c r="A1776" s="0" t="s">
        <v>674</v>
      </c>
      <c r="B1776" s="0" t="s">
        <v>73</v>
      </c>
      <c r="C1776" s="38" t="n">
        <f aca="false">Sens!$C$1680-Sens!$C$1682</f>
        <v>346.428687117154</v>
      </c>
      <c r="D1776" s="38" t="n">
        <f aca="false">Sens!$D$1680-Sens!$D$1682</f>
        <v>376.560876540083</v>
      </c>
      <c r="E1776" s="38" t="n">
        <f aca="false">Sens!$E$1680-Sens!$E$1682</f>
        <v>193.316577507559</v>
      </c>
      <c r="F1776" s="38" t="n">
        <f aca="false">Sens!$F$1680-Sens!$F$1682</f>
        <v>221.726726438887</v>
      </c>
      <c r="G1776" s="38" t="n">
        <f aca="false">Sens!$G$1680-Sens!$G$1682</f>
        <v>415.02162325063</v>
      </c>
      <c r="H1776" s="38" t="n">
        <f aca="false">Sens!$H$1680-Sens!$H$1682</f>
        <v>453.777572359491</v>
      </c>
      <c r="I1776" s="38" t="n">
        <f aca="false">Sens!$I$1680-Sens!$I$1682</f>
        <v>490.847566467031</v>
      </c>
      <c r="J1776" s="38" t="n">
        <f aca="false">Sens!$J$1680-Sens!$J$1682</f>
        <v>525.190925266121</v>
      </c>
      <c r="K1776" s="38" t="n">
        <f aca="false">Sens!$K$1680-Sens!$K$1682</f>
        <v>555.765170156304</v>
      </c>
      <c r="L1776" s="38" t="n">
        <f aca="false">Sens!$L$1680-Sens!$L$1682</f>
        <v>588.185734949207</v>
      </c>
      <c r="M1776" s="38" t="n">
        <f aca="false">Sens!$M$1680-Sens!$M$1682</f>
        <v>622.567635538672</v>
      </c>
      <c r="N1776" s="38" t="n">
        <f aca="false">Sens!$N$1680-Sens!$N$1682</f>
        <v>171.24628885875</v>
      </c>
      <c r="O1776" s="38" t="n">
        <f aca="false">Sens!$O$1680-Sens!$O$1682</f>
        <v>205.33105363572</v>
      </c>
    </row>
    <row r="1777" customFormat="false" ht="17.15" hidden="false" customHeight="false" outlineLevel="0" collapsed="false">
      <c r="A1777" s="0" t="s">
        <v>675</v>
      </c>
      <c r="B1777" s="0" t="s">
        <v>73</v>
      </c>
      <c r="C1777" s="38" t="n">
        <f aca="false">Sens!$C$1728*Sens!$C$1679</f>
        <v>0.128971439857362</v>
      </c>
      <c r="D1777" s="38" t="n">
        <f aca="false">Sens!$D$1728*Sens!$D$1679</f>
        <v>0.968931179763949</v>
      </c>
      <c r="E1777" s="38" t="n">
        <f aca="false">Sens!$E$1728*Sens!$E$1679</f>
        <v>1.46423510570599</v>
      </c>
      <c r="F1777" s="38" t="n">
        <f aca="false">Sens!$F$1728*Sens!$F$1679</f>
        <v>1.68654834537318</v>
      </c>
      <c r="G1777" s="38" t="n">
        <f aca="false">Sens!$G$1728*Sens!$G$1679</f>
        <v>3.15066807688079</v>
      </c>
      <c r="H1777" s="38" t="n">
        <f aca="false">Sens!$H$1728*Sens!$H$1679</f>
        <v>8.31735326792673</v>
      </c>
      <c r="I1777" s="38" t="n">
        <f aca="false">Sens!$I$1728*Sens!$I$1679</f>
        <v>14.5615864570499</v>
      </c>
      <c r="J1777" s="38" t="n">
        <f aca="false">Sens!$J$1728*Sens!$J$1679</f>
        <v>21.1039370284328</v>
      </c>
      <c r="K1777" s="38" t="n">
        <f aca="false">Sens!$K$1728*Sens!$K$1679</f>
        <v>27.2962425911701</v>
      </c>
      <c r="L1777" s="38" t="n">
        <f aca="false">Sens!$L$1728*Sens!$L$1679</f>
        <v>33.6130848835151</v>
      </c>
      <c r="M1777" s="38" t="n">
        <f aca="false">Sens!$M$1728*Sens!$M$1679</f>
        <v>39.6084573105955</v>
      </c>
      <c r="N1777" s="38" t="n">
        <f aca="false">Sens!$N$1728*Sens!$N$1679</f>
        <v>0.437002018426475</v>
      </c>
      <c r="O1777" s="38" t="n">
        <f aca="false">Sens!$O$1728*Sens!$O$1679</f>
        <v>0.531897365332006</v>
      </c>
    </row>
    <row r="1778" customFormat="false" ht="17.15" hidden="false" customHeight="false" outlineLevel="0" collapsed="false">
      <c r="A1778" s="0" t="s">
        <v>676</v>
      </c>
      <c r="B1778" s="0" t="s">
        <v>52</v>
      </c>
      <c r="C1778" s="28" t="n">
        <f aca="false">(Sens!$C$1779-Sens!$C$1775+Sens!$C$1777)/Sens!$C$1776</f>
        <v>0.0131681213712299</v>
      </c>
      <c r="D1778" s="28" t="n">
        <f aca="false">(Sens!$D$1779-Sens!$D$1775+Sens!$D$1777)/Sens!$D$1776</f>
        <v>0.0151791378390761</v>
      </c>
      <c r="E1778" s="28" t="n">
        <f aca="false">(Sens!$E$1779-Sens!$E$1775+Sens!$E$1777)/Sens!$E$1776</f>
        <v>0.0276878678926332</v>
      </c>
      <c r="F1778" s="28" t="n">
        <f aca="false">Sens!$O$1778+(Sens!$E$1778-Sens!$N$1778)</f>
        <v>0.0240716254278699</v>
      </c>
      <c r="G1778" s="28" t="n">
        <f aca="false">(Sens!$G$1779-Sens!$G$1775+Sens!$G$1777)/Sens!$G$1776</f>
        <v>0.0257309264031157</v>
      </c>
      <c r="H1778" s="28" t="n">
        <f aca="false">Sens!$G$1778+step_na</f>
        <v>0.0287309264031157</v>
      </c>
      <c r="I1778" s="28" t="n">
        <f aca="false">Sens!$H$1778+step_na</f>
        <v>0.0317309264031157</v>
      </c>
      <c r="J1778" s="28" t="n">
        <f aca="false">Sens!$I$1778+step_na</f>
        <v>0.0347309264031157</v>
      </c>
      <c r="K1778" s="28" t="n">
        <f aca="false">Sens!$J$1778+step_na</f>
        <v>0.0377309264031157</v>
      </c>
      <c r="L1778" s="28" t="n">
        <f aca="false">Sens!$K$1778</f>
        <v>0.0377309264031157</v>
      </c>
      <c r="M1778" s="28" t="n">
        <f aca="false">Sens!$L$1778</f>
        <v>0.0377309264031157</v>
      </c>
      <c r="N1778" s="28" t="n">
        <f aca="false">(Sens!$N$1779-Sens!$N$1775+Sens!$N$1777)/Sens!$N$1776</f>
        <v>0.0171720302226649</v>
      </c>
      <c r="O1778" s="28" t="n">
        <f aca="false">(Sens!$O$1779-Sens!$O$1775+Sens!$O$1777)/Sens!$O$1776</f>
        <v>0.0135557877579015</v>
      </c>
      <c r="P1778" s="8" t="s">
        <v>677</v>
      </c>
    </row>
    <row r="1779" customFormat="false" ht="17.15" hidden="false" customHeight="false" outlineLevel="0" collapsed="false">
      <c r="A1779" s="1" t="s">
        <v>678</v>
      </c>
      <c r="B1779" s="8" t="s">
        <v>73</v>
      </c>
      <c r="C1779" s="38" t="n">
        <f aca="false">Q!$D$22</f>
        <v>24.967</v>
      </c>
      <c r="D1779" s="38" t="n">
        <f aca="false">Q!$E$22</f>
        <v>29.619</v>
      </c>
      <c r="E1779" s="38" t="n">
        <f aca="false">Q!$P$22</f>
        <v>17.39</v>
      </c>
      <c r="F1779" s="38" t="n">
        <f aca="false">Sens!$F$1775+Sens!$F$1776*Sens!$F$1778-Sens!$F$1777</f>
        <v>20.9394186432714</v>
      </c>
      <c r="G1779" s="38" t="n">
        <f aca="false">Sens!$E$1779+Sens!$F$1779</f>
        <v>38.3294186432714</v>
      </c>
      <c r="H1779" s="38" t="n">
        <f aca="false">Sens!$H$1775+Sens!$H$1776*Sens!$H$1778-Sens!$H$1777</f>
        <v>41.6985061329443</v>
      </c>
      <c r="I1779" s="38" t="n">
        <f aca="false">Sens!$I$1775+Sens!$I$1776*Sens!$I$1778-Sens!$I$1777</f>
        <v>44.1685248309369</v>
      </c>
      <c r="J1779" s="38" t="n">
        <f aca="false">Sens!$J$1775+Sens!$J$1776*Sens!$J$1778-Sens!$J$1777</f>
        <v>46.0534295434223</v>
      </c>
      <c r="K1779" s="38" t="n">
        <f aca="false">Sens!$K$1775+Sens!$K$1776*Sens!$K$1778-Sens!$K$1777</f>
        <v>47.481991260151</v>
      </c>
      <c r="L1779" s="38" t="n">
        <f aca="false">Sens!$L$1775+Sens!$L$1776*Sens!$L$1778-Sens!$L$1777</f>
        <v>47.7692768238284</v>
      </c>
      <c r="M1779" s="38" t="n">
        <f aca="false">Sens!$M$1775+Sens!$M$1776*Sens!$M$1778-Sens!$M$1777</f>
        <v>48.9901222605496</v>
      </c>
      <c r="N1779" s="38" t="n">
        <f aca="false">Q!$N$22</f>
        <v>13.358</v>
      </c>
      <c r="O1779" s="38" t="n">
        <f aca="false">Q!$O$22</f>
        <v>16.261</v>
      </c>
    </row>
    <row r="1780" customFormat="false" ht="17.15" hidden="false" customHeight="false" outlineLevel="0" collapsed="false">
      <c r="A1780" s="0" t="s">
        <v>679</v>
      </c>
      <c r="B1780" s="0" t="s">
        <v>73</v>
      </c>
      <c r="C1780" s="38" t="n">
        <f aca="false">Sens!$C$1683*m_ad</f>
        <v>7.57284355857716</v>
      </c>
      <c r="D1780" s="38" t="n">
        <f aca="false">Sens!$D$1683*m_ad</f>
        <v>9.44543827004127</v>
      </c>
      <c r="E1780" s="38" t="n">
        <f aca="false">Sens!$E$1683*m_ad</f>
        <v>5.02428875377928</v>
      </c>
      <c r="F1780" s="38" t="n">
        <f aca="false">Sens!$F$1683*m_ad</f>
        <v>6.78802480890925</v>
      </c>
      <c r="G1780" s="38" t="n">
        <f aca="false">Sens!$G$1683*m_ad</f>
        <v>11.8014732147805</v>
      </c>
      <c r="H1780" s="38" t="n">
        <f aca="false">Sens!$H$1683*m_ad</f>
        <v>14.1682715634442</v>
      </c>
      <c r="I1780" s="38" t="n">
        <f aca="false">Sens!$I$1683*m_ad</f>
        <v>16.5348555113474</v>
      </c>
      <c r="J1780" s="38" t="n">
        <f aca="false">Sens!$J$1683*m_ad</f>
        <v>18.7425403255689</v>
      </c>
      <c r="K1780" s="38" t="n">
        <f aca="false">Sens!$K$1683*m_ad</f>
        <v>20.6167943581258</v>
      </c>
      <c r="L1780" s="38" t="n">
        <f aca="false">Sens!$L$1683*m_ad</f>
        <v>22.6784737939383</v>
      </c>
      <c r="M1780" s="38" t="n">
        <f aca="false">Sens!$M$1683*m_ad</f>
        <v>24.9463211733322</v>
      </c>
      <c r="N1780" s="38" t="n">
        <f aca="false">Sens!$N$1683*m_ad</f>
        <v>3.95314442937518</v>
      </c>
      <c r="O1780" s="38" t="n">
        <f aca="false">Sens!$O$1683*m_ad</f>
        <v>5.50052681786011</v>
      </c>
    </row>
    <row r="1781" customFormat="false" ht="17.15" hidden="false" customHeight="false" outlineLevel="0" collapsed="false">
      <c r="A1781" s="0" t="s">
        <v>680</v>
      </c>
      <c r="B1781" s="0" t="s">
        <v>73</v>
      </c>
      <c r="C1781" s="38" t="n">
        <f aca="false">Sens!$C$1681-Sens!$C$1683</f>
        <v>127.760312882846</v>
      </c>
      <c r="D1781" s="38" t="n">
        <f aca="false">Sens!$D$1681-Sens!$D$1683</f>
        <v>143.003123459917</v>
      </c>
      <c r="E1781" s="38" t="n">
        <f aca="false">Sens!$E$1681-Sens!$E$1683</f>
        <v>71.9374224924414</v>
      </c>
      <c r="F1781" s="38" t="n">
        <f aca="false">Sens!$F$1681-Sens!$F$1683</f>
        <v>87.0563645868046</v>
      </c>
      <c r="G1781" s="38" t="n">
        <f aca="false">Sens!$G$1681-Sens!$G$1683</f>
        <v>159.015467775062</v>
      </c>
      <c r="H1781" s="38" t="n">
        <f aca="false">Sens!$H$1681-Sens!$H$1683</f>
        <v>173.864803403269</v>
      </c>
      <c r="I1781" s="38" t="n">
        <f aca="false">Sens!$I$1681-Sens!$I$1683</f>
        <v>188.068165645601</v>
      </c>
      <c r="J1781" s="38" t="n">
        <f aca="false">Sens!$J$1681-Sens!$J$1683</f>
        <v>201.22681801082</v>
      </c>
      <c r="K1781" s="38" t="n">
        <f aca="false">Sens!$K$1681-Sens!$K$1683</f>
        <v>212.941334991893</v>
      </c>
      <c r="L1781" s="38" t="n">
        <f aca="false">Sens!$L$1681-Sens!$L$1683</f>
        <v>225.363269144856</v>
      </c>
      <c r="M1781" s="38" t="n">
        <f aca="false">Sens!$M$1681-Sens!$M$1683</f>
        <v>238.536688790819</v>
      </c>
      <c r="N1781" s="38" t="n">
        <f aca="false">Sens!$N$1681-Sens!$N$1683</f>
        <v>62.3677111412496</v>
      </c>
      <c r="O1781" s="38" t="n">
        <f aca="false">Sens!$O$1681-Sens!$O$1683</f>
        <v>80.6189463642798</v>
      </c>
    </row>
    <row r="1782" customFormat="false" ht="17.15" hidden="false" customHeight="false" outlineLevel="0" collapsed="false">
      <c r="A1782" s="0" t="s">
        <v>681</v>
      </c>
      <c r="B1782" s="0" t="s">
        <v>73</v>
      </c>
      <c r="C1782" s="38" t="n">
        <f aca="false">Sens!$C$1728*(1-Sens!$C$1679)</f>
        <v>0.0475637039364334</v>
      </c>
      <c r="D1782" s="38" t="n">
        <f aca="false">Sens!$D$1728*(1-Sens!$D$1679)</f>
        <v>0.367962243972519</v>
      </c>
      <c r="E1782" s="38" t="n">
        <f aca="false">Sens!$E$1728*(1-Sens!$E$1679)</f>
        <v>0.544874634061416</v>
      </c>
      <c r="F1782" s="38" t="n">
        <f aca="false">Sens!$F$1728*(1-Sens!$F$1679)</f>
        <v>0.662187955445</v>
      </c>
      <c r="G1782" s="38" t="n">
        <f aca="false">Sens!$G$1728*(1-Sens!$G$1679)</f>
        <v>1.20717796370479</v>
      </c>
      <c r="H1782" s="38" t="n">
        <f aca="false">Sens!$H$1728*(1-Sens!$H$1679)</f>
        <v>3.18679255839907</v>
      </c>
      <c r="I1782" s="38" t="n">
        <f aca="false">Sens!$I$1728*(1-Sens!$I$1679)</f>
        <v>5.57926949414988</v>
      </c>
      <c r="J1782" s="38" t="n">
        <f aca="false">Sens!$J$1728*(1-Sens!$J$1679)</f>
        <v>8.08597005666163</v>
      </c>
      <c r="K1782" s="38" t="n">
        <f aca="false">Sens!$K$1728*(1-Sens!$K$1679)</f>
        <v>10.4585509307674</v>
      </c>
      <c r="L1782" s="38" t="n">
        <f aca="false">Sens!$L$1728*(1-Sens!$L$1679)</f>
        <v>12.8788480326655</v>
      </c>
      <c r="M1782" s="38" t="n">
        <f aca="false">Sens!$M$1728*(1-Sens!$M$1679)</f>
        <v>15.175974007719</v>
      </c>
      <c r="N1782" s="38" t="n">
        <f aca="false">Sens!$N$1728*(1-Sens!$N$1679)</f>
        <v>0.159155657240818</v>
      </c>
      <c r="O1782" s="38" t="n">
        <f aca="false">Sens!$O$1728*(1-Sens!$O$1679)</f>
        <v>0.208838382737169</v>
      </c>
    </row>
    <row r="1783" customFormat="false" ht="17.15" hidden="false" customHeight="false" outlineLevel="0" collapsed="false">
      <c r="A1783" s="0" t="s">
        <v>682</v>
      </c>
      <c r="B1783" s="0" t="s">
        <v>52</v>
      </c>
      <c r="C1783" s="28" t="n">
        <f aca="false">(Sens!$C$1784-Sens!$C$1780+Sens!$C$1782)/Sens!$C$1781</f>
        <v>-0.0292209667493855</v>
      </c>
      <c r="D1783" s="28" t="n">
        <f aca="false">(Sens!$D$1784-Sens!$D$1780+Sens!$D$1782)/Sens!$D$1781</f>
        <v>-0.0302614091312607</v>
      </c>
      <c r="E1783" s="28" t="n">
        <f aca="false">(Sens!$E$1784-Sens!$E$1780+Sens!$E$1782)/Sens!$E$1781</f>
        <v>-0.0186052554198546</v>
      </c>
      <c r="F1783" s="28" t="n">
        <f aca="false">Sens!$O$1783+(Sens!$E$1783-Sens!$N$1783)</f>
        <v>-0.0358995386680489</v>
      </c>
      <c r="G1783" s="28" t="n">
        <f aca="false">(Sens!$G$1784-Sens!$G$1780+Sens!$G$1782)/Sens!$G$1781</f>
        <v>-0.0280019408595769</v>
      </c>
      <c r="H1783" s="28" t="n">
        <f aca="false">Sens!$G$1783+step_in</f>
        <v>-0.0280019408595769</v>
      </c>
      <c r="I1783" s="28" t="n">
        <f aca="false">Sens!$H$1783+step_in</f>
        <v>-0.0280019408595769</v>
      </c>
      <c r="J1783" s="28" t="n">
        <f aca="false">Sens!$I$1783+step_in</f>
        <v>-0.0280019408595769</v>
      </c>
      <c r="K1783" s="28" t="n">
        <f aca="false">Sens!$J$1783+step_in</f>
        <v>-0.0280019408595769</v>
      </c>
      <c r="L1783" s="28" t="n">
        <f aca="false">Sens!$K$1783</f>
        <v>-0.0280019408595769</v>
      </c>
      <c r="M1783" s="28" t="n">
        <f aca="false">Sens!$L$1783</f>
        <v>-0.0280019408595769</v>
      </c>
      <c r="N1783" s="28" t="n">
        <f aca="false">(Sens!$N$1784-Sens!$N$1780+Sens!$N$1782)/Sens!$N$1781</f>
        <v>-0.0205713621464906</v>
      </c>
      <c r="O1783" s="28" t="n">
        <f aca="false">(Sens!$O$1784-Sens!$O$1780+Sens!$O$1782)/Sens!$O$1781</f>
        <v>-0.0378656453946849</v>
      </c>
      <c r="P1783" s="8" t="s">
        <v>677</v>
      </c>
    </row>
    <row r="1784" customFormat="false" ht="17.15" hidden="false" customHeight="false" outlineLevel="0" collapsed="false">
      <c r="A1784" s="1" t="s">
        <v>683</v>
      </c>
      <c r="B1784" s="8" t="s">
        <v>73</v>
      </c>
      <c r="C1784" s="38" t="n">
        <f aca="false">Q!$D$23</f>
        <v>3.792</v>
      </c>
      <c r="D1784" s="38" t="n">
        <f aca="false">Q!$E$23</f>
        <v>4.75</v>
      </c>
      <c r="E1784" s="38" t="n">
        <f aca="false">Q!$P$23</f>
        <v>3.141</v>
      </c>
      <c r="F1784" s="38" t="n">
        <f aca="false">Sens!$F$1780+Sens!$F$1781*Sens!$F$1783-Sens!$F$1782</f>
        <v>3.0005535266805</v>
      </c>
      <c r="G1784" s="38" t="n">
        <f aca="false">Sens!$E$1784+Sens!$F$1784</f>
        <v>6.1415535266805</v>
      </c>
      <c r="H1784" s="38" t="n">
        <f aca="false">Sens!$H$1780+Sens!$H$1781*Sens!$H$1783-Sens!$H$1782</f>
        <v>6.11292706258482</v>
      </c>
      <c r="I1784" s="38" t="n">
        <f aca="false">Sens!$I$1780+Sens!$I$1781*Sens!$I$1783-Sens!$I$1782</f>
        <v>5.68931236522032</v>
      </c>
      <c r="J1784" s="38" t="n">
        <f aca="false">Sens!$J$1780+Sens!$J$1781*Sens!$J$1783-Sens!$J$1782</f>
        <v>5.02182881160741</v>
      </c>
      <c r="K1784" s="38" t="n">
        <f aca="false">Sens!$K$1780+Sens!$K$1781*Sens!$K$1783-Sens!$K$1782</f>
        <v>4.19547275835599</v>
      </c>
      <c r="L1784" s="38" t="n">
        <f aca="false">Sens!$L$1780+Sens!$L$1781*Sens!$L$1783-Sens!$L$1782</f>
        <v>3.48901682675768</v>
      </c>
      <c r="M1784" s="38" t="n">
        <f aca="false">Sens!$M$1780+Sens!$M$1781*Sens!$M$1783-Sens!$M$1782</f>
        <v>3.09085691325333</v>
      </c>
      <c r="N1784" s="38" t="n">
        <f aca="false">Q!$N$23</f>
        <v>2.511</v>
      </c>
      <c r="O1784" s="38" t="n">
        <f aca="false">Q!$O$23</f>
        <v>2.239</v>
      </c>
    </row>
    <row r="1785" customFormat="false" ht="17.15" hidden="false" customHeight="false" outlineLevel="0" collapsed="false">
      <c r="A1785" s="0" t="s">
        <v>684</v>
      </c>
      <c r="B1785" s="0" t="s">
        <v>73</v>
      </c>
      <c r="C1785" s="38" t="n">
        <f aca="false">Sens!$C$1725</f>
        <v>1.61486478179846</v>
      </c>
      <c r="D1785" s="38" t="n">
        <f aca="false">Sens!$D$1725</f>
        <v>3.35619639370529</v>
      </c>
      <c r="E1785" s="38" t="n">
        <f aca="false">Sens!$E$1725</f>
        <v>0.47391401650041</v>
      </c>
      <c r="F1785" s="38" t="n">
        <f aca="false">Sens!$F$1725</f>
        <v>5.56848844144774</v>
      </c>
      <c r="G1785" s="38" t="n">
        <f aca="false">Sens!$G$1725</f>
        <v>6.04240245794815</v>
      </c>
      <c r="H1785" s="38" t="n">
        <f aca="false">Sens!$H$1725</f>
        <v>14.1493074444713</v>
      </c>
      <c r="I1785" s="38" t="n">
        <f aca="false">Sens!$I$1725</f>
        <v>20.9402753316327</v>
      </c>
      <c r="J1785" s="38" t="n">
        <f aca="false">Sens!$J$1725</f>
        <v>26.2657788109003</v>
      </c>
      <c r="K1785" s="38" t="n">
        <f aca="false">Sens!$K$1725</f>
        <v>33.5892409544369</v>
      </c>
      <c r="L1785" s="38" t="n">
        <f aca="false">Sens!$L$1725</f>
        <v>40.2515548484026</v>
      </c>
      <c r="M1785" s="38" t="n">
        <f aca="false">Sens!$M$1725</f>
        <v>48.7074361769736</v>
      </c>
      <c r="N1785" s="38" t="n">
        <f aca="false">Sens!$N$1725</f>
        <v>0.661688828358734</v>
      </c>
      <c r="O1785" s="38" t="n">
        <f aca="false">Sens!$O$1725</f>
        <v>2.69450756534655</v>
      </c>
    </row>
    <row r="1786" customFormat="false" ht="17.15" hidden="false" customHeight="false" outlineLevel="0" collapsed="false">
      <c r="A1786" s="0" t="s">
        <v>604</v>
      </c>
      <c r="B1786" s="0" t="s">
        <v>73</v>
      </c>
      <c r="C1786" s="38" t="n">
        <f aca="false">Sens!$C$1730</f>
        <v>38.2191352182015</v>
      </c>
      <c r="D1786" s="38" t="n">
        <f aca="false">Sens!$D$1730</f>
        <v>42.2498036062947</v>
      </c>
      <c r="E1786" s="38" t="n">
        <f aca="false">Sens!$E$1730</f>
        <v>30.3080859834996</v>
      </c>
      <c r="F1786" s="38" t="n">
        <f aca="false">Sens!$F$1730</f>
        <v>30.1605062124073</v>
      </c>
      <c r="G1786" s="38" t="n">
        <f aca="false">Sens!$G$1730</f>
        <v>60.4685921959069</v>
      </c>
      <c r="H1786" s="38" t="n">
        <f aca="false">Sens!$H$1730</f>
        <v>69.4171466390737</v>
      </c>
      <c r="I1786" s="38" t="n">
        <f aca="false">Sens!$I$1730</f>
        <v>80.8354405577907</v>
      </c>
      <c r="J1786" s="38" t="n">
        <f aca="false">Sens!$J$1730</f>
        <v>90.7170918228425</v>
      </c>
      <c r="K1786" s="38" t="n">
        <f aca="false">Sens!$K$1730</f>
        <v>97.9744591686699</v>
      </c>
      <c r="L1786" s="38" t="n">
        <f aca="false">Sens!$L$1730</f>
        <v>105.812415902163</v>
      </c>
      <c r="M1786" s="38" t="n">
        <f aca="false">Sens!$M$1730</f>
        <v>114.277409174337</v>
      </c>
      <c r="N1786" s="38" t="n">
        <f aca="false">Sens!$N$1730</f>
        <v>21.0453111716413</v>
      </c>
      <c r="O1786" s="38" t="n">
        <f aca="false">Sens!$O$1730</f>
        <v>21.2044924346534</v>
      </c>
    </row>
    <row r="1787" customFormat="false" ht="17.15" hidden="false" customHeight="false" outlineLevel="0" collapsed="false">
      <c r="A1787" s="1" t="s">
        <v>685</v>
      </c>
      <c r="B1787" s="8" t="s">
        <v>73</v>
      </c>
      <c r="C1787" s="38" t="n">
        <f aca="false">Q!$D$24</f>
        <v>39.834</v>
      </c>
      <c r="D1787" s="38" t="n">
        <f aca="false">Q!$E$24</f>
        <v>45.606</v>
      </c>
      <c r="E1787" s="38" t="n">
        <f aca="false">Q!$P$24</f>
        <v>30.782</v>
      </c>
      <c r="F1787" s="38" t="n">
        <f aca="false">Sens!$F$1785+Sens!$F$1786</f>
        <v>35.728994653855</v>
      </c>
      <c r="G1787" s="38" t="n">
        <f aca="false">Sens!$G$1785+Sens!$G$1786</f>
        <v>66.510994653855</v>
      </c>
      <c r="H1787" s="38" t="n">
        <f aca="false">Sens!$H$1785+Sens!$H$1786</f>
        <v>83.566454083545</v>
      </c>
      <c r="I1787" s="38" t="n">
        <f aca="false">Sens!$I$1785+Sens!$I$1786</f>
        <v>101.775715889423</v>
      </c>
      <c r="J1787" s="38" t="n">
        <f aca="false">Sens!$J$1785+Sens!$J$1786</f>
        <v>116.982870633743</v>
      </c>
      <c r="K1787" s="38" t="n">
        <f aca="false">Sens!$K$1785+Sens!$K$1786</f>
        <v>131.563700123107</v>
      </c>
      <c r="L1787" s="38" t="n">
        <f aca="false">Sens!$L$1785+Sens!$L$1786</f>
        <v>146.063970750566</v>
      </c>
      <c r="M1787" s="38" t="n">
        <f aca="false">Sens!$M$1785+Sens!$M$1786</f>
        <v>162.98484535131</v>
      </c>
      <c r="N1787" s="38" t="n">
        <f aca="false">Q!$N$24</f>
        <v>21.707</v>
      </c>
      <c r="O1787" s="38" t="n">
        <f aca="false">Q!$O$24</f>
        <v>23.899</v>
      </c>
    </row>
    <row r="1788" customFormat="false" ht="17.15" hidden="false" customHeight="false" outlineLevel="0" collapsed="false">
      <c r="A1788" s="5" t="s">
        <v>686</v>
      </c>
      <c r="B1788" s="0" t="s">
        <v>73</v>
      </c>
      <c r="C1788" s="38" t="n">
        <f aca="false">Q!$D$26</f>
        <v>0</v>
      </c>
      <c r="D1788" s="38" t="n">
        <f aca="false">Q!$E$26</f>
        <v>0</v>
      </c>
      <c r="E1788" s="38" t="n">
        <f aca="false">Q!$P$26</f>
        <v>0</v>
      </c>
      <c r="F1788" s="41" t="n">
        <v>0</v>
      </c>
      <c r="G1788" s="38" t="n">
        <f aca="false">Sens!$E$1788+Sens!$F$1788</f>
        <v>0</v>
      </c>
      <c r="H1788" s="41" t="n">
        <v>0</v>
      </c>
      <c r="I1788" s="41" t="n">
        <v>0</v>
      </c>
      <c r="J1788" s="41" t="n">
        <v>0</v>
      </c>
      <c r="K1788" s="41" t="n">
        <v>0</v>
      </c>
      <c r="L1788" s="41" t="n">
        <v>0</v>
      </c>
      <c r="M1788" s="41" t="n">
        <v>0</v>
      </c>
      <c r="N1788" s="38" t="n">
        <f aca="false">Q!$N$26</f>
        <v>0</v>
      </c>
      <c r="O1788" s="38" t="n">
        <f aca="false">Q!$O$26</f>
        <v>0</v>
      </c>
    </row>
    <row r="1789" customFormat="false" ht="15" hidden="false" customHeight="false" outlineLevel="0" collapsed="false">
      <c r="A1789" s="3" t="s">
        <v>494</v>
      </c>
      <c r="B1789" s="8" t="s">
        <v>73</v>
      </c>
      <c r="C1789" s="38" t="n">
        <f aca="false">Q!$D$25</f>
        <v>68.593</v>
      </c>
      <c r="D1789" s="38" t="n">
        <f aca="false">Q!$E$25</f>
        <v>79.975</v>
      </c>
      <c r="E1789" s="38" t="n">
        <f aca="false">Q!$P$25</f>
        <v>51.313</v>
      </c>
      <c r="F1789" s="38" t="n">
        <f aca="false">Sens!$F$1779+Sens!$F$1784+Sens!$F$1787+Sens!$F$1788</f>
        <v>59.6689668238069</v>
      </c>
      <c r="G1789" s="38" t="n">
        <f aca="false">Sens!$G$1779+Sens!$G$1784+Sens!$G$1787+Sens!$G$1788</f>
        <v>110.981966823807</v>
      </c>
      <c r="H1789" s="38" t="n">
        <f aca="false">Sens!$H$1779+Sens!$H$1784+Sens!$H$1787+Sens!$H$1788</f>
        <v>131.377887279074</v>
      </c>
      <c r="I1789" s="38" t="n">
        <f aca="false">Sens!$I$1779+Sens!$I$1784+Sens!$I$1787+Sens!$I$1788</f>
        <v>151.633553085581</v>
      </c>
      <c r="J1789" s="38" t="n">
        <f aca="false">Sens!$J$1779+Sens!$J$1784+Sens!$J$1787+Sens!$J$1788</f>
        <v>168.058128988772</v>
      </c>
      <c r="K1789" s="38" t="n">
        <f aca="false">Sens!$K$1779+Sens!$K$1784+Sens!$K$1787+Sens!$K$1788</f>
        <v>183.241164141614</v>
      </c>
      <c r="L1789" s="38" t="n">
        <f aca="false">Sens!$L$1779+Sens!$L$1784+Sens!$L$1787+Sens!$L$1788</f>
        <v>197.322264401152</v>
      </c>
      <c r="M1789" s="38" t="n">
        <f aca="false">Sens!$M$1779+Sens!$M$1784+Sens!$M$1787+Sens!$M$1788</f>
        <v>215.065824525113</v>
      </c>
      <c r="N1789" s="38" t="n">
        <f aca="false">Q!$N$25</f>
        <v>37.576</v>
      </c>
      <c r="O1789" s="38" t="n">
        <f aca="false">Q!$O$25</f>
        <v>42.399</v>
      </c>
    </row>
    <row r="1790" customFormat="false" ht="17.15" hidden="false" customHeight="false" outlineLevel="0" collapsed="false">
      <c r="A1790" s="24" t="s">
        <v>712</v>
      </c>
      <c r="B1790" s="25" t="s">
        <v>73</v>
      </c>
      <c r="C1790" s="39" t="n">
        <f aca="false">Sens!$C$1779+Sens!$C$1784+Sens!$C$1787+Sens!$C$1788-Sens!$C$1789</f>
        <v>0</v>
      </c>
      <c r="D1790" s="39" t="n">
        <f aca="false">Sens!$D$1779+Sens!$D$1784+Sens!$D$1787+Sens!$D$1788-Sens!$D$1789</f>
        <v>0</v>
      </c>
      <c r="E1790" s="39" t="n">
        <f aca="false">Sens!$E$1779+Sens!$E$1784+Sens!$E$1787+Sens!$E$1788-Sens!$E$1789</f>
        <v>0</v>
      </c>
      <c r="F1790" s="39" t="n">
        <f aca="false">Sens!$F$1779+Sens!$F$1784+Sens!$F$1787+Sens!$F$1788-Sens!$F$1789</f>
        <v>0</v>
      </c>
      <c r="G1790" s="39" t="n">
        <f aca="false">Sens!$G$1779+Sens!$G$1784+Sens!$G$1787+Sens!$G$1788-Sens!$G$1789</f>
        <v>0</v>
      </c>
      <c r="H1790" s="39" t="n">
        <f aca="false">Sens!$H$1779+Sens!$H$1784+Sens!$H$1787+Sens!$H$1788-Sens!$H$1789</f>
        <v>0</v>
      </c>
      <c r="I1790" s="39" t="n">
        <f aca="false">Sens!$I$1779+Sens!$I$1784+Sens!$I$1787+Sens!$I$1788-Sens!$I$1789</f>
        <v>0</v>
      </c>
      <c r="J1790" s="39" t="n">
        <f aca="false">Sens!$J$1779+Sens!$J$1784+Sens!$J$1787+Sens!$J$1788-Sens!$J$1789</f>
        <v>0</v>
      </c>
      <c r="K1790" s="39" t="n">
        <f aca="false">Sens!$K$1779+Sens!$K$1784+Sens!$K$1787+Sens!$K$1788-Sens!$K$1789</f>
        <v>0</v>
      </c>
      <c r="L1790" s="39" t="n">
        <f aca="false">Sens!$L$1779+Sens!$L$1784+Sens!$L$1787+Sens!$L$1788-Sens!$L$1789</f>
        <v>0</v>
      </c>
      <c r="M1790" s="39" t="n">
        <f aca="false">Sens!$M$1779+Sens!$M$1784+Sens!$M$1787+Sens!$M$1788-Sens!$M$1789</f>
        <v>0</v>
      </c>
      <c r="N1790" s="39" t="n">
        <f aca="false">Sens!$N$1779+Sens!$N$1784+Sens!$N$1787+Sens!$N$1788-Sens!$N$1789</f>
        <v>0</v>
      </c>
      <c r="O1790" s="39" t="n">
        <f aca="false">Sens!$O$1779+Sens!$O$1784+Sens!$O$1787+Sens!$O$1788-Sens!$O$1789</f>
        <v>0</v>
      </c>
    </row>
    <row r="1791" customFormat="false" ht="17.15" hidden="false" customHeight="false" outlineLevel="0" collapsed="false">
      <c r="A1791" s="0" t="s">
        <v>688</v>
      </c>
      <c r="B1791" s="0" t="s">
        <v>52</v>
      </c>
      <c r="C1791" s="12" t="n">
        <f aca="false">Sens!$C$1779/Sens!$C$1764</f>
        <v>0.0644314665661928</v>
      </c>
      <c r="D1791" s="12" t="n">
        <f aca="false">Sens!$D$1779/Sens!$D$1764</f>
        <v>0.0694784250712518</v>
      </c>
      <c r="E1791" s="12" t="n">
        <f aca="false">Sens!$E$1779/Sens!$E$1764</f>
        <v>0.0789306463326071</v>
      </c>
      <c r="F1791" s="12" t="n">
        <f aca="false">Sens!$F$1779/Sens!$F$1764</f>
        <v>0.0816975834068005</v>
      </c>
      <c r="G1791" s="12" t="n">
        <f aca="false">Sens!$G$1779/Sens!$G$1764</f>
        <v>0.0804185635567801</v>
      </c>
      <c r="H1791" s="12" t="n">
        <f aca="false">Sens!$H$1779/Sens!$H$1764</f>
        <v>0.0790141912993332</v>
      </c>
      <c r="I1791" s="12" t="n">
        <f aca="false">Sens!$I$1779/Sens!$I$1764</f>
        <v>0.076527655031488</v>
      </c>
      <c r="J1791" s="12" t="n">
        <f aca="false">Sens!$J$1779/Sens!$J$1764</f>
        <v>0.0739190805924674</v>
      </c>
      <c r="K1791" s="12" t="n">
        <f aca="false">Sens!$K$1779/Sens!$K$1764</f>
        <v>0.0715755787420177</v>
      </c>
      <c r="L1791" s="12" t="n">
        <f aca="false">Sens!$L$1779/Sens!$L$1764</f>
        <v>0.0676077719803701</v>
      </c>
      <c r="M1791" s="12" t="n">
        <f aca="false">Sens!$M$1779/Sens!$M$1764</f>
        <v>0.0650785318566482</v>
      </c>
      <c r="N1791" s="12" t="n">
        <f aca="false">Sens!$N$1779/Sens!$N$1764</f>
        <v>0.069228576611127</v>
      </c>
      <c r="O1791" s="12" t="n">
        <f aca="false">Sens!$O$1779/Sens!$O$1764</f>
        <v>0.069685022498393</v>
      </c>
    </row>
    <row r="1792" customFormat="false" ht="17.15" hidden="false" customHeight="false" outlineLevel="0" collapsed="false">
      <c r="A1792" s="0" t="s">
        <v>689</v>
      </c>
      <c r="B1792" s="0" t="s">
        <v>52</v>
      </c>
      <c r="C1792" s="12" t="n">
        <f aca="false">Sens!$C$1784/Sens!$C$1765</f>
        <v>0.026534925055631</v>
      </c>
      <c r="D1792" s="12" t="n">
        <f aca="false">Sens!$D$1784/Sens!$D$1765</f>
        <v>0.0293401855535103</v>
      </c>
      <c r="E1792" s="12" t="n">
        <f aca="false">Sens!$E$1784/Sens!$E$1765</f>
        <v>0.03831141902276</v>
      </c>
      <c r="F1792" s="12" t="n">
        <f aca="false">Sens!$F$1784/Sens!$F$1765</f>
        <v>0.0298169685224808</v>
      </c>
      <c r="G1792" s="12" t="n">
        <f aca="false">Sens!$G$1784/Sens!$G$1765</f>
        <v>0.0336305270934995</v>
      </c>
      <c r="H1792" s="12" t="n">
        <f aca="false">Sens!$H$1784/Sens!$H$1765</f>
        <v>0.0302318810803423</v>
      </c>
      <c r="I1792" s="12" t="n">
        <f aca="false">Sens!$I$1784/Sens!$I$1765</f>
        <v>0.0257274441219051</v>
      </c>
      <c r="J1792" s="12" t="n">
        <f aca="false">Sens!$J$1784/Sens!$J$1765</f>
        <v>0.0210371952121199</v>
      </c>
      <c r="K1792" s="12" t="n">
        <f aca="false">Sens!$K$1784/Sens!$K$1765</f>
        <v>0.0165062418319969</v>
      </c>
      <c r="L1792" s="12" t="n">
        <f aca="false">Sens!$L$1784/Sens!$L$1765</f>
        <v>0.012887906447719</v>
      </c>
      <c r="M1792" s="12" t="n">
        <f aca="false">Sens!$M$1784/Sens!$M$1765</f>
        <v>0.0107161671147101</v>
      </c>
      <c r="N1792" s="12" t="n">
        <f aca="false">Sens!$N$1784/Sens!$N$1765</f>
        <v>0.0357315650169337</v>
      </c>
      <c r="O1792" s="12" t="n">
        <f aca="false">Sens!$O$1784/Sens!$O$1765</f>
        <v>0.0244378956559703</v>
      </c>
    </row>
    <row r="1793" customFormat="false" ht="17.15" hidden="false" customHeight="false" outlineLevel="0" collapsed="false">
      <c r="A1793" s="13" t="s">
        <v>690</v>
      </c>
      <c r="B1793" s="13" t="s">
        <v>52</v>
      </c>
      <c r="C1793" s="16" t="n">
        <f aca="false">Sens!$C$1787/Sens!$C$1766</f>
        <v>0.370355907620217</v>
      </c>
      <c r="D1793" s="16" t="n">
        <f aca="false">Sens!$D$1787/Sens!$D$1766</f>
        <v>0.35429015342785</v>
      </c>
      <c r="E1793" s="16" t="n">
        <f aca="false">Sens!$E$1787/Sens!$E$1766</f>
        <v>0.385647527531039</v>
      </c>
      <c r="F1793" s="16" t="n">
        <f aca="false">Sens!$F$1787/Sens!$F$1766</f>
        <v>0.381889577274807</v>
      </c>
      <c r="G1793" s="16" t="n">
        <f aca="false">Sens!$G$1787/Sens!$G$1766</f>
        <v>0.383619651409436</v>
      </c>
      <c r="H1793" s="16" t="n">
        <f aca="false">Sens!$H$1787/Sens!$H$1766</f>
        <v>0.346663254883139</v>
      </c>
      <c r="I1793" s="16" t="n">
        <f aca="false">Sens!$I$1787/Sens!$I$1766</f>
        <v>0.326045274335872</v>
      </c>
      <c r="J1793" s="16" t="n">
        <f aca="false">Sens!$J$1787/Sens!$J$1766</f>
        <v>0.308316745965852</v>
      </c>
      <c r="K1793" s="16" t="n">
        <f aca="false">Sens!$K$1787/Sens!$K$1766</f>
        <v>0.299063302953526</v>
      </c>
      <c r="L1793" s="16" t="n">
        <f aca="false">Sens!$L$1787/Sens!$L$1766</f>
        <v>0.290990184724297</v>
      </c>
      <c r="M1793" s="16" t="n">
        <f aca="false">Sens!$M$1787/Sens!$M$1766</f>
        <v>0.288142512034088</v>
      </c>
      <c r="N1793" s="16" t="n">
        <f aca="false">Sens!$N$1787/Sens!$N$1766</f>
        <v>0.360941137346192</v>
      </c>
      <c r="O1793" s="16" t="n">
        <f aca="false">Sens!$O$1787/Sens!$O$1766</f>
        <v>0.348458117664212</v>
      </c>
    </row>
    <row r="1794" customFormat="false" ht="17.15" hidden="false" customHeight="false" outlineLevel="0" collapsed="false">
      <c r="A1794" s="0" t="s">
        <v>691</v>
      </c>
      <c r="B1794" s="0" t="s">
        <v>52</v>
      </c>
      <c r="C1794" s="12" t="n">
        <f aca="false">Sens!$C$1785/Sens!$C$1767</f>
        <v>0.695760902466888</v>
      </c>
      <c r="D1794" s="12" t="n">
        <f aca="false">Sens!$D$1785/Sens!$D$1767</f>
        <v>0.385602602035804</v>
      </c>
      <c r="E1794" s="12" t="n">
        <f aca="false">Sens!$E$1785/Sens!$E$1767</f>
        <v>0.0556867638581897</v>
      </c>
      <c r="F1794" s="12" t="n">
        <f aca="false">Sens!$F$1785/Sens!$F$1767</f>
        <v>0.372139749048339</v>
      </c>
      <c r="G1794" s="12" t="n">
        <f aca="false">Sens!$G$1785/Sens!$G$1767</f>
        <v>0.257410640885913</v>
      </c>
      <c r="H1794" s="12" t="n">
        <f aca="false">Sens!$H$1785/Sens!$H$1767</f>
        <v>0.235171577585666</v>
      </c>
      <c r="I1794" s="12" t="n">
        <f aca="false">Sens!$I$1785/Sens!$I$1767</f>
        <v>0.206300612783449</v>
      </c>
      <c r="J1794" s="12" t="n">
        <f aca="false">Sens!$J$1785/Sens!$J$1767</f>
        <v>0.183644146407631</v>
      </c>
      <c r="K1794" s="12" t="n">
        <f aca="false">Sens!$K$1785/Sens!$K$1767</f>
        <v>0.181948590733315</v>
      </c>
      <c r="L1794" s="12" t="n">
        <f aca="false">Sens!$L$1785/Sens!$L$1767</f>
        <v>0.177931578995</v>
      </c>
      <c r="M1794" s="12" t="n">
        <f aca="false">Sens!$M$1785/Sens!$M$1767</f>
        <v>0.181849229283255</v>
      </c>
      <c r="N1794" s="12" t="n">
        <f aca="false">Sens!$N$1785/Sens!$N$1767</f>
        <v>0.217209265679186</v>
      </c>
      <c r="O1794" s="12" t="n">
        <f aca="false">Sens!$O$1785/Sens!$O$1767</f>
        <v>0.47627593699706</v>
      </c>
    </row>
    <row r="1795" customFormat="false" ht="15" hidden="false" customHeight="false" outlineLevel="0" collapsed="false">
      <c r="A1795" s="5" t="s">
        <v>692</v>
      </c>
      <c r="B1795" s="0" t="s">
        <v>52</v>
      </c>
      <c r="C1795" s="12" t="n">
        <f aca="false">Sens!$C$1789/Sens!$C$1769</f>
        <v>0.107519448742004</v>
      </c>
      <c r="D1795" s="12" t="n">
        <f aca="false">Sens!$D$1789/Sens!$D$1769</f>
        <v>0.111552967957552</v>
      </c>
      <c r="E1795" s="12" t="n">
        <f aca="false">Sens!$E$1789/Sens!$E$1769</f>
        <v>0.13428328426562</v>
      </c>
      <c r="F1795" s="12" t="n">
        <f aca="false">Sens!$F$1789/Sens!$F$1769</f>
        <v>0.132452044105293</v>
      </c>
      <c r="G1795" s="12" t="n">
        <f aca="false">Sens!$G$1789/Sens!$G$1769</f>
        <v>0.133292478820735</v>
      </c>
      <c r="H1795" s="12" t="n">
        <f aca="false">Sens!$H$1789/Sens!$H$1769</f>
        <v>0.135302305045904</v>
      </c>
      <c r="I1795" s="12" t="n">
        <f aca="false">Sens!$I$1789/Sens!$I$1769</f>
        <v>0.136551732892603</v>
      </c>
      <c r="J1795" s="12" t="n">
        <f aca="false">Sens!$J$1789/Sens!$J$1769</f>
        <v>0.13540395660029</v>
      </c>
      <c r="K1795" s="12" t="n">
        <f aca="false">Sens!$K$1789/Sens!$K$1769</f>
        <v>0.134986596956141</v>
      </c>
      <c r="L1795" s="12" t="n">
        <f aca="false">Sens!$L$1789/Sens!$L$1769</f>
        <v>0.133394348336043</v>
      </c>
      <c r="M1795" s="12" t="n">
        <f aca="false">Sens!$M$1789/Sens!$M$1769</f>
        <v>0.133842814342922</v>
      </c>
      <c r="N1795" s="12" t="n">
        <f aca="false">Sens!$N$1789/Sens!$N$1769</f>
        <v>0.116201614873411</v>
      </c>
      <c r="O1795" s="12" t="n">
        <f aca="false">Sens!$O$1789/Sens!$O$1769</f>
        <v>0.107733353660861</v>
      </c>
    </row>
    <row r="1796" customFormat="false" ht="17.15" hidden="false" customHeight="false" outlineLevel="0" collapsed="false">
      <c r="A1796" s="1" t="s">
        <v>693</v>
      </c>
    </row>
    <row r="1797" customFormat="false" ht="17.15" hidden="false" customHeight="false" outlineLevel="0" collapsed="false">
      <c r="A1797" s="5" t="s">
        <v>694</v>
      </c>
      <c r="B1797" s="0" t="s">
        <v>52</v>
      </c>
      <c r="D1797" s="28" t="n">
        <f aca="false">(Q!$E$29+Q!$E$30-(1-ext_sh)*Sens!$D$1721)/Sens!$D$1678</f>
        <v>0.0332456081772832</v>
      </c>
    </row>
    <row r="1798" customFormat="false" ht="17.15" hidden="false" customHeight="false" outlineLevel="0" collapsed="false">
      <c r="A1798" s="0" t="s">
        <v>498</v>
      </c>
      <c r="B1798" s="0" t="s">
        <v>73</v>
      </c>
      <c r="C1798" s="38" t="n">
        <f aca="false">Q!$D$29</f>
        <v>14.285</v>
      </c>
      <c r="D1798" s="38" t="n">
        <f aca="false">Q!$E$29</f>
        <v>15.503</v>
      </c>
      <c r="E1798" s="38" t="n">
        <f aca="false">Q!$P$29</f>
        <v>8.78</v>
      </c>
      <c r="F1798" s="38" t="n">
        <f aca="false">(Sens!$D$1797*Sens!$F$1678+(1-ext_sh)*Sens!$F$1721)*Sens!$F$1679</f>
        <v>9.62529147802038</v>
      </c>
      <c r="G1798" s="38" t="n">
        <f aca="false">Sens!$E$1798+Sens!$F$1798</f>
        <v>18.4052914780204</v>
      </c>
      <c r="H1798" s="38" t="n">
        <f aca="false">(Sens!$D$1797*Sens!$H$1678+(1-ext_sh)*Sens!$H$1721)*Sens!$H$1679</f>
        <v>23.5759878963652</v>
      </c>
      <c r="I1798" s="38" t="n">
        <f aca="false">(Sens!$D$1797*Sens!$I$1678+(1-ext_sh)*Sens!$I$1721)*Sens!$I$1679</f>
        <v>29.9629469346632</v>
      </c>
      <c r="J1798" s="38" t="n">
        <f aca="false">(Sens!$D$1797*Sens!$J$1678+(1-ext_sh)*Sens!$J$1721)*Sens!$J$1679</f>
        <v>36.5270253877495</v>
      </c>
      <c r="K1798" s="38" t="n">
        <f aca="false">(Sens!$D$1797*Sens!$K$1678+(1-ext_sh)*Sens!$K$1721)*Sens!$K$1679</f>
        <v>42.5569645599117</v>
      </c>
      <c r="L1798" s="38" t="n">
        <f aca="false">(Sens!$D$1797*Sens!$L$1678+(1-ext_sh)*Sens!$L$1721)*Sens!$L$1679</f>
        <v>48.8049276620156</v>
      </c>
      <c r="M1798" s="38" t="n">
        <f aca="false">(Sens!$D$1797*Sens!$M$1678+(1-ext_sh)*Sens!$M$1721)*Sens!$M$1679</f>
        <v>54.8321784243037</v>
      </c>
      <c r="N1798" s="38" t="n">
        <f aca="false">Q!$N$29</f>
        <v>7.272</v>
      </c>
      <c r="O1798" s="38" t="n">
        <f aca="false">Q!$O$29</f>
        <v>8.231</v>
      </c>
    </row>
    <row r="1799" customFormat="false" ht="17.15" hidden="false" customHeight="false" outlineLevel="0" collapsed="false">
      <c r="A1799" s="0" t="s">
        <v>500</v>
      </c>
      <c r="B1799" s="0" t="s">
        <v>73</v>
      </c>
      <c r="C1799" s="38" t="n">
        <f aca="false">Q!$D$30</f>
        <v>4.462</v>
      </c>
      <c r="D1799" s="38" t="n">
        <f aca="false">Q!$E$30</f>
        <v>4.907</v>
      </c>
      <c r="E1799" s="38" t="n">
        <f aca="false">Q!$P$30</f>
        <v>2.57</v>
      </c>
      <c r="F1799" s="38" t="n">
        <f aca="false">(Sens!$D$1797*Sens!$F$1678+(1-ext_sh)*Sens!$F$1721)*(1-Sens!$F$1679)</f>
        <v>3.77916951024739</v>
      </c>
      <c r="G1799" s="38" t="n">
        <f aca="false">Sens!$E$1799+Sens!$F$1799</f>
        <v>6.34916951024739</v>
      </c>
      <c r="H1799" s="38" t="n">
        <f aca="false">(Sens!$D$1797*Sens!$H$1678+(1-ext_sh)*Sens!$H$1721)*(1-Sens!$H$1679)</f>
        <v>9.03313594659557</v>
      </c>
      <c r="I1799" s="38" t="n">
        <f aca="false">(Sens!$D$1797*Sens!$I$1678+(1-ext_sh)*Sens!$I$1721)*(1-Sens!$I$1679)</f>
        <v>11.4802982683568</v>
      </c>
      <c r="J1799" s="38" t="n">
        <f aca="false">(Sens!$D$1797*Sens!$J$1678+(1-ext_sh)*Sens!$J$1721)*(1-Sens!$J$1679)</f>
        <v>13.9953238652264</v>
      </c>
      <c r="K1799" s="38" t="n">
        <f aca="false">(Sens!$D$1797*Sens!$K$1678+(1-ext_sh)*Sens!$K$1721)*(1-Sens!$K$1679)</f>
        <v>16.3056940830632</v>
      </c>
      <c r="L1799" s="38" t="n">
        <f aca="false">(Sens!$D$1797*Sens!$L$1678+(1-ext_sh)*Sens!$L$1721)*(1-Sens!$L$1679)</f>
        <v>18.6996001343689</v>
      </c>
      <c r="M1799" s="38" t="n">
        <f aca="false">(Sens!$D$1797*Sens!$M$1678+(1-ext_sh)*Sens!$M$1721)*(1-Sens!$M$1679)</f>
        <v>21.0089402883976</v>
      </c>
      <c r="N1799" s="38" t="n">
        <f aca="false">Q!$N$30</f>
        <v>2.316</v>
      </c>
      <c r="O1799" s="38" t="n">
        <f aca="false">Q!$O$30</f>
        <v>2.591</v>
      </c>
    </row>
    <row r="1800" customFormat="false" ht="17.15" hidden="false" customHeight="false" outlineLevel="0" collapsed="false">
      <c r="A1800" s="0" t="s">
        <v>501</v>
      </c>
      <c r="B1800" s="0" t="s">
        <v>73</v>
      </c>
      <c r="C1800" s="38" t="n">
        <f aca="false">Sens!$C$1733</f>
        <v>13.32</v>
      </c>
      <c r="D1800" s="38" t="n">
        <f aca="false">Sens!$D$1733</f>
        <v>21.45</v>
      </c>
      <c r="E1800" s="38" t="n">
        <f aca="false">Sens!$E$1733</f>
        <v>15.353</v>
      </c>
      <c r="F1800" s="38" t="n">
        <f aca="false">Sens!$F$1733</f>
        <v>17.9584684845157</v>
      </c>
      <c r="G1800" s="38" t="n">
        <f aca="false">Sens!$G$1733</f>
        <v>33.3114684845157</v>
      </c>
      <c r="H1800" s="38" t="n">
        <f aca="false">Sens!$H$1733</f>
        <v>60.542517041212</v>
      </c>
      <c r="I1800" s="38" t="n">
        <f aca="false">Sens!$I$1733</f>
        <v>91.2582523014745</v>
      </c>
      <c r="J1800" s="38" t="n">
        <f aca="false">Sens!$J$1733</f>
        <v>123.006455222449</v>
      </c>
      <c r="K1800" s="38" t="n">
        <f aca="false">Sens!$K$1733</f>
        <v>151.785557696038</v>
      </c>
      <c r="L1800" s="38" t="n">
        <f aca="false">Sens!$L$1733</f>
        <v>181.478629121419</v>
      </c>
      <c r="M1800" s="38" t="n">
        <f aca="false">Sens!$M$1733</f>
        <v>209.637349643952</v>
      </c>
      <c r="N1800" s="38" t="n">
        <f aca="false">Sens!$N$1733</f>
        <v>9.234</v>
      </c>
      <c r="O1800" s="38" t="n">
        <f aca="false">Sens!$O$1733</f>
        <v>12.216</v>
      </c>
    </row>
    <row r="1801" customFormat="false" ht="17.15" hidden="false" customHeight="false" outlineLevel="0" collapsed="false">
      <c r="A1801" s="5" t="s">
        <v>695</v>
      </c>
      <c r="B1801" s="0" t="s">
        <v>73</v>
      </c>
      <c r="C1801" s="38" t="n">
        <f aca="false">Sens!$C$1798+Sens!$C$1799+Sens!$C$1800</f>
        <v>32.067</v>
      </c>
      <c r="D1801" s="38" t="n">
        <f aca="false">Sens!$D$1798+Sens!$D$1799+Sens!$D$1800</f>
        <v>41.86</v>
      </c>
      <c r="E1801" s="38" t="n">
        <f aca="false">Sens!$E$1798+Sens!$E$1799+Sens!$E$1800</f>
        <v>26.703</v>
      </c>
      <c r="F1801" s="38" t="n">
        <f aca="false">Sens!$F$1798+Sens!$F$1799+Sens!$F$1800</f>
        <v>31.3629294727834</v>
      </c>
      <c r="G1801" s="38" t="n">
        <f aca="false">Sens!$G$1798+Sens!$G$1799+Sens!$G$1800</f>
        <v>58.0659294727834</v>
      </c>
      <c r="H1801" s="38" t="n">
        <f aca="false">Sens!$H$1798+Sens!$H$1799+Sens!$H$1800</f>
        <v>93.1516408841727</v>
      </c>
      <c r="I1801" s="38" t="n">
        <f aca="false">Sens!$I$1798+Sens!$I$1799+Sens!$I$1800</f>
        <v>132.701497504495</v>
      </c>
      <c r="J1801" s="38" t="n">
        <f aca="false">Sens!$J$1798+Sens!$J$1799+Sens!$J$1800</f>
        <v>173.528804475425</v>
      </c>
      <c r="K1801" s="38" t="n">
        <f aca="false">Sens!$K$1798+Sens!$K$1799+Sens!$K$1800</f>
        <v>210.648216339013</v>
      </c>
      <c r="L1801" s="38" t="n">
        <f aca="false">Sens!$L$1798+Sens!$L$1799+Sens!$L$1800</f>
        <v>248.983156917804</v>
      </c>
      <c r="M1801" s="38" t="n">
        <f aca="false">Sens!$M$1798+Sens!$M$1799+Sens!$M$1800</f>
        <v>285.478468356653</v>
      </c>
      <c r="N1801" s="38" t="n">
        <f aca="false">Sens!$N$1798+Sens!$N$1799+Sens!$N$1800</f>
        <v>18.822</v>
      </c>
      <c r="O1801" s="38" t="n">
        <f aca="false">Sens!$O$1798+Sens!$O$1799+Sens!$O$1800</f>
        <v>23.038</v>
      </c>
    </row>
    <row r="1802" customFormat="false" ht="17.15" hidden="false" customHeight="false" outlineLevel="0" collapsed="false">
      <c r="A1802" s="0" t="s">
        <v>696</v>
      </c>
      <c r="B1802" s="0" t="s">
        <v>73</v>
      </c>
      <c r="C1802" s="38" t="n">
        <f aca="false">Sens!$C$1775+Sens!$C$1780</f>
        <v>28.107</v>
      </c>
      <c r="D1802" s="38" t="n">
        <f aca="false">Sens!$D$1775+Sens!$D$1780</f>
        <v>34.3175</v>
      </c>
      <c r="E1802" s="38" t="n">
        <f aca="false">Sens!$E$1775+Sens!$E$1780</f>
        <v>18.526</v>
      </c>
      <c r="F1802" s="38" t="n">
        <f aca="false">Sens!$F$1775+Sens!$F$1780</f>
        <v>24.0766690913691</v>
      </c>
      <c r="G1802" s="38" t="n">
        <f aca="false">Sens!$G$1775+Sens!$G$1780</f>
        <v>42.6026690913691</v>
      </c>
      <c r="H1802" s="38" t="n">
        <f aca="false">Sens!$H$1775+Sens!$H$1780</f>
        <v>51.1466809294702</v>
      </c>
      <c r="I1802" s="38" t="n">
        <f aca="false">Sens!$I$1775+Sens!$I$1780</f>
        <v>59.6899187926205</v>
      </c>
      <c r="J1802" s="38" t="n">
        <f aca="false">Sens!$J$1775+Sens!$J$1780</f>
        <v>67.6595395244221</v>
      </c>
      <c r="K1802" s="38" t="n">
        <f aca="false">Sens!$K$1775+Sens!$K$1780</f>
        <v>74.4254934768643</v>
      </c>
      <c r="L1802" s="38" t="n">
        <f aca="false">Sens!$L$1775+Sens!$L$1780</f>
        <v>81.8680428245508</v>
      </c>
      <c r="M1802" s="38" t="n">
        <f aca="false">Sens!$M$1775+Sens!$M$1780</f>
        <v>90.0548471070059</v>
      </c>
      <c r="N1802" s="38" t="n">
        <f aca="false">Sens!$N$1775+Sens!$N$1780</f>
        <v>14.8075</v>
      </c>
      <c r="O1802" s="38" t="n">
        <f aca="false">Sens!$O$1775+Sens!$O$1780</f>
        <v>19.51</v>
      </c>
    </row>
    <row r="1803" customFormat="false" ht="17.15" hidden="false" customHeight="false" outlineLevel="0" collapsed="false">
      <c r="A1803" s="0" t="s">
        <v>697</v>
      </c>
      <c r="B1803" s="0" t="s">
        <v>73</v>
      </c>
      <c r="C1803" s="38" t="n">
        <f aca="false">Sens!$C$1779+Sens!$C$1784+Sens!$C$1798+Sens!$C$1799-Sens!$C$1802</f>
        <v>19.399</v>
      </c>
      <c r="D1803" s="38" t="n">
        <f aca="false">Sens!$D$1779+Sens!$D$1784+Sens!$D$1798+Sens!$D$1799-Sens!$D$1802</f>
        <v>20.4615</v>
      </c>
      <c r="E1803" s="38" t="n">
        <f aca="false">Sens!$E$1779+Sens!$E$1784+Sens!$E$1798+Sens!$E$1799-Sens!$E$1802</f>
        <v>13.355</v>
      </c>
      <c r="F1803" s="38" t="n">
        <f aca="false">Sens!$F$1779+Sens!$F$1784+Sens!$F$1798+Sens!$F$1799-Sens!$F$1802</f>
        <v>13.2677640668505</v>
      </c>
      <c r="G1803" s="38" t="n">
        <f aca="false">Sens!$G$1779+Sens!$G$1784+Sens!$G$1798+Sens!$G$1799-Sens!$G$1802</f>
        <v>26.6227640668505</v>
      </c>
      <c r="H1803" s="38" t="n">
        <f aca="false">Sens!$H$1779+Sens!$H$1784+Sens!$H$1798+Sens!$H$1799-Sens!$H$1802</f>
        <v>29.2738761090197</v>
      </c>
      <c r="I1803" s="38" t="n">
        <f aca="false">Sens!$I$1779+Sens!$I$1784+Sens!$I$1798+Sens!$I$1799-Sens!$I$1802</f>
        <v>31.6111636065568</v>
      </c>
      <c r="J1803" s="38" t="n">
        <f aca="false">Sens!$J$1779+Sens!$J$1784+Sens!$J$1798+Sens!$J$1799-Sens!$J$1802</f>
        <v>33.9380680835835</v>
      </c>
      <c r="K1803" s="38" t="n">
        <f aca="false">Sens!$K$1779+Sens!$K$1784+Sens!$K$1798+Sens!$K$1799-Sens!$K$1802</f>
        <v>36.1146291846176</v>
      </c>
      <c r="L1803" s="38" t="n">
        <f aca="false">Sens!$L$1779+Sens!$L$1784+Sens!$L$1798+Sens!$L$1799-Sens!$L$1802</f>
        <v>36.8947786224198</v>
      </c>
      <c r="M1803" s="38" t="n">
        <f aca="false">Sens!$M$1779+Sens!$M$1784+Sens!$M$1798+Sens!$M$1799-Sens!$M$1802</f>
        <v>37.8672507794983</v>
      </c>
      <c r="N1803" s="38" t="n">
        <f aca="false">Sens!$N$1779+Sens!$N$1784+Sens!$N$1798+Sens!$N$1799-Sens!$N$1802</f>
        <v>10.6495</v>
      </c>
      <c r="O1803" s="38" t="n">
        <f aca="false">Sens!$O$1779+Sens!$O$1784+Sens!$O$1798+Sens!$O$1799-Sens!$O$1802</f>
        <v>9.81200000000001</v>
      </c>
    </row>
    <row r="1804" customFormat="false" ht="17.15" hidden="false" customHeight="false" outlineLevel="0" collapsed="false">
      <c r="A1804" s="0" t="s">
        <v>698</v>
      </c>
      <c r="B1804" s="0" t="s">
        <v>73</v>
      </c>
      <c r="C1804" s="38" t="n">
        <f aca="false">Sens!$C$1786+Sens!$C$1800-ext_sh*Sens!$C$1721</f>
        <v>51.3470500115664</v>
      </c>
      <c r="D1804" s="38" t="n">
        <f aca="false">Sens!$D$1786+Sens!$D$1800-ext_sh*Sens!$D$1721</f>
        <v>60.2799375433739</v>
      </c>
      <c r="E1804" s="38" t="n">
        <f aca="false">Sens!$E$1786+Sens!$E$1800-ext_sh*Sens!$E$1721</f>
        <v>39.5095167090767</v>
      </c>
      <c r="F1804" s="38" t="n">
        <f aca="false">Sens!$F$1786+Sens!$F$1800-ext_sh*Sens!$F$1721</f>
        <v>41.9674054225001</v>
      </c>
      <c r="G1804" s="38" t="n">
        <f aca="false">Sens!$G$1786+Sens!$G$1800-ext_sh*Sens!$G$1721</f>
        <v>81.4769221315768</v>
      </c>
      <c r="H1804" s="38" t="n">
        <f aca="false">Sens!$H$1786+Sens!$H$1800-ext_sh*Sens!$H$1721</f>
        <v>96.5917984187117</v>
      </c>
      <c r="I1804" s="38" t="n">
        <f aca="false">Sens!$I$1786+Sens!$I$1800-ext_sh*Sens!$I$1721</f>
        <v>112.479998926531</v>
      </c>
      <c r="J1804" s="38" t="n">
        <f aca="false">Sens!$J$1786+Sens!$J$1800-ext_sh*Sens!$J$1721</f>
        <v>126.230009021308</v>
      </c>
      <c r="K1804" s="38" t="n">
        <f aca="false">Sens!$K$1786+Sens!$K$1800-ext_sh*Sens!$K$1721</f>
        <v>136.328409743013</v>
      </c>
      <c r="L1804" s="38" t="n">
        <f aca="false">Sens!$L$1786+Sens!$L$1800-ext_sh*Sens!$L$1721</f>
        <v>147.234682522454</v>
      </c>
      <c r="M1804" s="38" t="n">
        <f aca="false">Sens!$M$1786+Sens!$M$1800-ext_sh*Sens!$M$1721</f>
        <v>159.01345712425</v>
      </c>
      <c r="N1804" s="38" t="n">
        <f aca="false">Sens!$N$1786+Sens!$N$1800-ext_sh*Sens!$N$1721</f>
        <v>28.5693781401809</v>
      </c>
      <c r="O1804" s="38" t="n">
        <f aca="false">Sens!$O$1786+Sens!$O$1800-ext_sh*Sens!$O$1721</f>
        <v>31.7105594031931</v>
      </c>
    </row>
    <row r="1805" customFormat="false" ht="17.15" hidden="false" customHeight="false" outlineLevel="0" collapsed="false">
      <c r="A1805" s="0" t="s">
        <v>699</v>
      </c>
      <c r="B1805" s="0" t="s">
        <v>73</v>
      </c>
      <c r="C1805" s="38" t="n">
        <f aca="false">Sens!$C$1724</f>
        <v>1.80694998843362</v>
      </c>
      <c r="D1805" s="38" t="n">
        <f aca="false">Sens!$D$1724</f>
        <v>6.77606245662607</v>
      </c>
      <c r="E1805" s="38" t="n">
        <f aca="false">Sens!$E$1724</f>
        <v>6.62548329092326</v>
      </c>
      <c r="F1805" s="38" t="n">
        <f aca="false">Sens!$F$1724</f>
        <v>11.7200577158706</v>
      </c>
      <c r="G1805" s="38" t="n">
        <f aca="false">Sens!$G$1724</f>
        <v>18.3455410067939</v>
      </c>
      <c r="H1805" s="38" t="n">
        <f aca="false">Sens!$H$1724</f>
        <v>47.5171727060453</v>
      </c>
      <c r="I1805" s="38" t="n">
        <f aca="false">Sens!$I$1724</f>
        <v>80.5539692643667</v>
      </c>
      <c r="J1805" s="38" t="n">
        <f aca="false">Sens!$J$1724</f>
        <v>113.759316834883</v>
      </c>
      <c r="K1805" s="38" t="n">
        <f aca="false">Sens!$K$1724</f>
        <v>147.020848076132</v>
      </c>
      <c r="L1805" s="38" t="n">
        <f aca="false">Sens!$L$1724</f>
        <v>180.307917349531</v>
      </c>
      <c r="M1805" s="38" t="n">
        <f aca="false">Sens!$M$1724</f>
        <v>213.608737871012</v>
      </c>
      <c r="N1805" s="38" t="n">
        <f aca="false">Sens!$N$1724</f>
        <v>2.37162185981912</v>
      </c>
      <c r="O1805" s="38" t="n">
        <f aca="false">Sens!$O$1724</f>
        <v>4.40444059680694</v>
      </c>
    </row>
    <row r="1806" customFormat="false" ht="17.15" hidden="false" customHeight="false" outlineLevel="0" collapsed="false">
      <c r="A1806" s="0" t="s">
        <v>700</v>
      </c>
      <c r="B1806" s="0" t="s">
        <v>73</v>
      </c>
      <c r="C1806" s="38" t="n">
        <f aca="false">Sens!$C$1789+Sens!$C$1801</f>
        <v>100.66</v>
      </c>
      <c r="D1806" s="38" t="n">
        <f aca="false">Sens!$D$1789+Sens!$D$1801</f>
        <v>121.835</v>
      </c>
      <c r="E1806" s="38" t="n">
        <f aca="false">Sens!$E$1789+Sens!$E$1801</f>
        <v>78.016</v>
      </c>
      <c r="F1806" s="38" t="n">
        <f aca="false">Sens!$F$1789+Sens!$F$1801</f>
        <v>91.0318962965903</v>
      </c>
      <c r="G1806" s="38" t="n">
        <f aca="false">Sens!$G$1789+Sens!$G$1801</f>
        <v>169.04789629659</v>
      </c>
      <c r="H1806" s="38" t="n">
        <f aca="false">Sens!$H$1789+Sens!$H$1801</f>
        <v>224.529528163247</v>
      </c>
      <c r="I1806" s="38" t="n">
        <f aca="false">Sens!$I$1789+Sens!$I$1801</f>
        <v>284.335050590075</v>
      </c>
      <c r="J1806" s="38" t="n">
        <f aca="false">Sens!$J$1789+Sens!$J$1801</f>
        <v>341.586933464197</v>
      </c>
      <c r="K1806" s="38" t="n">
        <f aca="false">Sens!$K$1789+Sens!$K$1801</f>
        <v>393.889380480627</v>
      </c>
      <c r="L1806" s="38" t="n">
        <f aca="false">Sens!$L$1789+Sens!$L$1801</f>
        <v>446.305421318956</v>
      </c>
      <c r="M1806" s="38" t="n">
        <f aca="false">Sens!$M$1789+Sens!$M$1801</f>
        <v>500.544292881766</v>
      </c>
      <c r="N1806" s="38" t="n">
        <f aca="false">Sens!$N$1789+Sens!$N$1801</f>
        <v>56.398</v>
      </c>
      <c r="O1806" s="38" t="n">
        <f aca="false">Sens!$O$1789+Sens!$O$1801</f>
        <v>65.437</v>
      </c>
    </row>
    <row r="1807" customFormat="false" ht="17.15" hidden="false" customHeight="false" outlineLevel="0" collapsed="false">
      <c r="A1807" s="1" t="s">
        <v>701</v>
      </c>
    </row>
    <row r="1808" customFormat="false" ht="15" hidden="false" customHeight="false" outlineLevel="0" collapsed="false">
      <c r="A1808" s="5" t="s">
        <v>504</v>
      </c>
      <c r="B1808" s="0" t="s">
        <v>73</v>
      </c>
      <c r="C1808" s="38" t="n">
        <f aca="false">Q!$D$34</f>
        <v>2.406</v>
      </c>
      <c r="D1808" s="38" t="n">
        <f aca="false">Q!$E$34</f>
        <v>2.274</v>
      </c>
      <c r="E1808" s="38" t="n">
        <f aca="false">Q!$P$34</f>
        <v>2.114</v>
      </c>
      <c r="F1808" s="38" t="n">
        <f aca="false">Sens!$F$1844</f>
        <v>3.24888964316061</v>
      </c>
      <c r="G1808" s="38" t="n">
        <f aca="false">Sens!$E$1808+Sens!$F$1808</f>
        <v>5.36288964316061</v>
      </c>
      <c r="H1808" s="38" t="n">
        <f aca="false">Sens!$H$1844</f>
        <v>7.42354178632123</v>
      </c>
      <c r="I1808" s="38" t="n">
        <f aca="false">Sens!$I$1844</f>
        <v>7.42354178632123</v>
      </c>
      <c r="J1808" s="38" t="n">
        <f aca="false">Sens!$J$1844</f>
        <v>7.74715997356853</v>
      </c>
      <c r="K1808" s="38" t="n">
        <f aca="false">Sens!$K$1844</f>
        <v>7.74715997356853</v>
      </c>
      <c r="L1808" s="38" t="n">
        <f aca="false">Sens!$L$1844</f>
        <v>7.74715997356853</v>
      </c>
      <c r="M1808" s="38" t="n">
        <f aca="false">Sens!$M$1844</f>
        <v>7.74715997356853</v>
      </c>
      <c r="N1808" s="38" t="n">
        <f aca="false">Q!$N$34</f>
        <v>1.057</v>
      </c>
      <c r="O1808" s="38" t="n">
        <f aca="false">Q!$O$34</f>
        <v>1.217</v>
      </c>
    </row>
    <row r="1809" customFormat="false" ht="15" hidden="false" customHeight="false" outlineLevel="0" collapsed="false">
      <c r="A1809" s="5" t="s">
        <v>702</v>
      </c>
      <c r="B1809" s="0" t="s">
        <v>73</v>
      </c>
      <c r="F1809" s="38" t="n">
        <f aca="false">Sens!$F$1845</f>
        <v>2.59</v>
      </c>
      <c r="H1809" s="38" t="n">
        <f aca="false">Sens!$H$1845</f>
        <v>4.03397649814014</v>
      </c>
      <c r="I1809" s="38" t="n">
        <f aca="false">Sens!$I$1845</f>
        <v>2.14992608851048</v>
      </c>
      <c r="J1809" s="38" t="n">
        <f aca="false">Sens!$J$1845</f>
        <v>2.10589651022864</v>
      </c>
      <c r="K1809" s="38" t="n">
        <f aca="false">Sens!$K$1845</f>
        <v>3.7327359588365</v>
      </c>
      <c r="L1809" s="38" t="n">
        <f aca="false">Sens!$L$1845</f>
        <v>5.84663738711057</v>
      </c>
      <c r="M1809" s="38" t="n">
        <f aca="false">Sens!$M$1845</f>
        <v>7.47610237566381</v>
      </c>
    </row>
    <row r="1810" customFormat="false" ht="17.15" hidden="false" customHeight="false" outlineLevel="0" collapsed="false">
      <c r="A1810" s="5" t="s">
        <v>703</v>
      </c>
      <c r="B1810" s="0" t="s">
        <v>73</v>
      </c>
      <c r="C1810" s="38" t="n">
        <f aca="false">Q!$D$39</f>
        <v>2.427</v>
      </c>
      <c r="D1810" s="38" t="n">
        <f aca="false">Q!$E$39</f>
        <v>19.61</v>
      </c>
      <c r="E1810" s="38" t="n">
        <f aca="false">Q!$P$39</f>
        <v>71.492</v>
      </c>
      <c r="F1810" s="41" t="n">
        <v>0</v>
      </c>
      <c r="G1810" s="38" t="n">
        <f aca="false">Sens!$E$1810+Sens!$F$1810</f>
        <v>71.492</v>
      </c>
      <c r="H1810" s="41" t="n">
        <v>0</v>
      </c>
      <c r="I1810" s="41" t="n">
        <v>0</v>
      </c>
      <c r="J1810" s="41" t="n">
        <v>0</v>
      </c>
      <c r="K1810" s="41" t="n">
        <v>0</v>
      </c>
      <c r="L1810" s="41" t="n">
        <v>0</v>
      </c>
      <c r="M1810" s="41" t="n">
        <v>0</v>
      </c>
      <c r="N1810" s="38" t="n">
        <f aca="false">Q!$N$39</f>
        <v>6.017</v>
      </c>
      <c r="O1810" s="38" t="n">
        <f aca="false">Q!$O$39</f>
        <v>13.593</v>
      </c>
      <c r="P1810" s="5" t="s">
        <v>704</v>
      </c>
    </row>
    <row r="1811" customFormat="false" ht="15" hidden="false" customHeight="false" outlineLevel="0" collapsed="false">
      <c r="A1811" s="5" t="s">
        <v>507</v>
      </c>
      <c r="B1811" s="0" t="s">
        <v>73</v>
      </c>
      <c r="C1811" s="38" t="n">
        <f aca="false">Q!$D$36</f>
        <v>68.614</v>
      </c>
      <c r="D1811" s="38" t="n">
        <f aca="false">Q!$E$36</f>
        <v>97.311</v>
      </c>
      <c r="E1811" s="38" t="n">
        <f aca="false">Q!$P$36</f>
        <v>120.691</v>
      </c>
      <c r="F1811" s="38" t="n">
        <f aca="false">Sens!$F$1789-Sens!$F$1808+Sens!$F$1809+Sens!$F$1810</f>
        <v>59.0100771806463</v>
      </c>
      <c r="G1811" s="38" t="n">
        <f aca="false">Sens!$E$1811+Sens!$F$1811</f>
        <v>179.701077180646</v>
      </c>
      <c r="H1811" s="38" t="n">
        <f aca="false">Sens!$H$1789-Sens!$H$1808+Sens!$H$1809+Sens!$H$1810</f>
        <v>127.988321990893</v>
      </c>
      <c r="I1811" s="38" t="n">
        <f aca="false">Sens!$I$1789-Sens!$I$1808+Sens!$I$1809+Sens!$I$1810</f>
        <v>146.35993738777</v>
      </c>
      <c r="J1811" s="38" t="n">
        <f aca="false">Sens!$J$1789-Sens!$J$1808+Sens!$J$1809+Sens!$J$1810</f>
        <v>162.416865525433</v>
      </c>
      <c r="K1811" s="38" t="n">
        <f aca="false">Sens!$K$1789-Sens!$K$1808+Sens!$K$1809+Sens!$K$1810</f>
        <v>179.226740126882</v>
      </c>
      <c r="L1811" s="38" t="n">
        <f aca="false">Sens!$L$1789-Sens!$L$1808+Sens!$L$1809+Sens!$L$1810</f>
        <v>195.421741814694</v>
      </c>
      <c r="M1811" s="38" t="n">
        <f aca="false">Sens!$M$1789-Sens!$M$1808+Sens!$M$1809+Sens!$M$1810</f>
        <v>214.794766927208</v>
      </c>
      <c r="N1811" s="38" t="n">
        <f aca="false">Q!$N$36</f>
        <v>42.536</v>
      </c>
      <c r="O1811" s="38" t="n">
        <f aca="false">Q!$O$36</f>
        <v>54.775</v>
      </c>
    </row>
    <row r="1812" customFormat="false" ht="15" hidden="false" customHeight="false" outlineLevel="0" collapsed="false">
      <c r="A1812" s="5" t="s">
        <v>508</v>
      </c>
      <c r="B1812" s="0" t="s">
        <v>73</v>
      </c>
      <c r="C1812" s="38" t="n">
        <f aca="false">Q!$D$37</f>
        <v>9.265</v>
      </c>
      <c r="D1812" s="38" t="n">
        <f aca="false">Q!$E$37</f>
        <v>19.087</v>
      </c>
      <c r="E1812" s="38" t="n">
        <f aca="false">Q!$P$37</f>
        <v>27.759</v>
      </c>
      <c r="F1812" s="38" t="n">
        <f aca="false">Sens!$F$1811*tax</f>
        <v>10.2432363132727</v>
      </c>
      <c r="G1812" s="38" t="n">
        <f aca="false">Sens!$E$1812+Sens!$F$1812</f>
        <v>38.0022363132727</v>
      </c>
      <c r="H1812" s="38" t="n">
        <f aca="false">Sens!$H$1811*tax</f>
        <v>22.2167922858086</v>
      </c>
      <c r="I1812" s="38" t="n">
        <f aca="false">Sens!$I$1811*tax</f>
        <v>25.405820447739</v>
      </c>
      <c r="J1812" s="38" t="n">
        <f aca="false">Sens!$J$1811*tax</f>
        <v>28.193054717503</v>
      </c>
      <c r="K1812" s="38" t="n">
        <f aca="false">Sens!$K$1811*tax</f>
        <v>31.1109888427544</v>
      </c>
      <c r="L1812" s="38" t="n">
        <f aca="false">Sens!$L$1811*tax</f>
        <v>33.92219054436</v>
      </c>
      <c r="M1812" s="38" t="n">
        <f aca="false">Sens!$M$1811*tax</f>
        <v>37.285047937733</v>
      </c>
      <c r="N1812" s="38" t="n">
        <f aca="false">Q!$N$37</f>
        <v>7.231</v>
      </c>
      <c r="O1812" s="38" t="n">
        <f aca="false">Q!$O$37</f>
        <v>11.856</v>
      </c>
    </row>
    <row r="1813" customFormat="false" ht="15" hidden="false" customHeight="false" outlineLevel="0" collapsed="false">
      <c r="A1813" s="3" t="s">
        <v>509</v>
      </c>
      <c r="B1813" s="8" t="s">
        <v>73</v>
      </c>
      <c r="C1813" s="38" t="n">
        <f aca="false">Q!$D$38</f>
        <v>59.248</v>
      </c>
      <c r="D1813" s="38" t="n">
        <f aca="false">Q!$E$38</f>
        <v>77.67</v>
      </c>
      <c r="E1813" s="38" t="n">
        <f aca="false">Q!$P$38</f>
        <v>92.902</v>
      </c>
      <c r="F1813" s="38" t="n">
        <f aca="false">Sens!$F$1811-Sens!$F$1812</f>
        <v>48.7668408673736</v>
      </c>
      <c r="G1813" s="38" t="n">
        <f aca="false">Sens!$E$1813+Sens!$F$1813</f>
        <v>141.668840867374</v>
      </c>
      <c r="H1813" s="38" t="n">
        <f aca="false">Sens!$H$1811-Sens!$H$1812</f>
        <v>105.771529705084</v>
      </c>
      <c r="I1813" s="38" t="n">
        <f aca="false">Sens!$I$1811-Sens!$I$1812</f>
        <v>120.954116940031</v>
      </c>
      <c r="J1813" s="38" t="n">
        <f aca="false">Sens!$J$1811-Sens!$J$1812</f>
        <v>134.22381080793</v>
      </c>
      <c r="K1813" s="38" t="n">
        <f aca="false">Sens!$K$1811-Sens!$K$1812</f>
        <v>148.115751284127</v>
      </c>
      <c r="L1813" s="38" t="n">
        <f aca="false">Sens!$L$1811-Sens!$L$1812</f>
        <v>161.499551270334</v>
      </c>
      <c r="M1813" s="38" t="n">
        <f aca="false">Sens!$M$1811-Sens!$M$1812</f>
        <v>177.509718989475</v>
      </c>
      <c r="N1813" s="38" t="n">
        <f aca="false">Q!$N$38</f>
        <v>35.291</v>
      </c>
      <c r="O1813" s="38" t="n">
        <f aca="false">Q!$O$38</f>
        <v>42.379</v>
      </c>
    </row>
    <row r="1814" customFormat="false" ht="17.15" hidden="false" customHeight="false" outlineLevel="0" collapsed="false">
      <c r="A1814" s="5" t="s">
        <v>512</v>
      </c>
      <c r="B1814" s="5" t="s">
        <v>33</v>
      </c>
      <c r="C1814" s="22" t="n">
        <f aca="false">Q!$D$41</f>
        <v>10.721</v>
      </c>
      <c r="D1814" s="22" t="n">
        <f aca="false">Q!$E$41</f>
        <v>10.827</v>
      </c>
      <c r="E1814" s="22" t="n">
        <f aca="false">(Q!$L$41+Q!$M$41)/2</f>
        <v>10.8885</v>
      </c>
      <c r="F1814" s="22" t="n">
        <f aca="false">Sens!$G$1814</f>
        <v>10.924806</v>
      </c>
      <c r="G1814" s="22" t="n">
        <f aca="false">Q!$M$41*(1+sh_g*0.25)</f>
        <v>10.924806</v>
      </c>
      <c r="H1814" s="22" t="n">
        <f aca="false">Sens!$G$1814*(1+sh_g)</f>
        <v>11.012204448</v>
      </c>
      <c r="I1814" s="22" t="n">
        <f aca="false">Sens!$H$1814*(1+sh_g)</f>
        <v>11.100302083584</v>
      </c>
      <c r="J1814" s="22" t="n">
        <f aca="false">Sens!$I$1814*(1+sh_g)</f>
        <v>11.1891045002527</v>
      </c>
      <c r="K1814" s="22" t="n">
        <f aca="false">Sens!$J$1814*(1+sh_g)</f>
        <v>11.2786173362547</v>
      </c>
      <c r="L1814" s="22" t="n">
        <f aca="false">Sens!$K$1814*(1+sh_g)</f>
        <v>11.3688462749447</v>
      </c>
      <c r="M1814" s="22" t="n">
        <f aca="false">Sens!$L$1814*(1+sh_g)</f>
        <v>11.4597970451443</v>
      </c>
      <c r="P1814" s="5" t="s">
        <v>705</v>
      </c>
    </row>
    <row r="1815" customFormat="false" ht="17.15" hidden="false" customHeight="false" outlineLevel="0" collapsed="false">
      <c r="A1815" s="42" t="s">
        <v>706</v>
      </c>
      <c r="B1815" s="13" t="s">
        <v>27</v>
      </c>
      <c r="C1815" s="43" t="n">
        <f aca="false">Sens!$C$1813/Sens!$C$1814</f>
        <v>5.52635015390355</v>
      </c>
      <c r="D1815" s="43" t="n">
        <f aca="false">Sens!$D$1813/Sens!$D$1814</f>
        <v>7.1737323358271</v>
      </c>
      <c r="E1815" s="43" t="n">
        <f aca="false">Sens!$E$1813/Sens!$E$1814</f>
        <v>8.53212104513937</v>
      </c>
      <c r="F1815" s="13"/>
      <c r="G1815" s="43" t="n">
        <f aca="false">Sens!$G$1813/Sens!$G$1814</f>
        <v>12.9676298935994</v>
      </c>
      <c r="H1815" s="43" t="n">
        <f aca="false">Sens!$H$1813/Sens!$H$1814</f>
        <v>9.60493697738188</v>
      </c>
      <c r="I1815" s="43" t="n">
        <f aca="false">Sens!$I$1813/Sens!$I$1814</f>
        <v>10.8964707473058</v>
      </c>
      <c r="J1815" s="43" t="n">
        <f aca="false">Sens!$J$1813/Sens!$J$1814</f>
        <v>11.9959386209056</v>
      </c>
      <c r="K1815" s="43" t="n">
        <f aca="false">Sens!$K$1813/Sens!$K$1814</f>
        <v>13.1324387438888</v>
      </c>
      <c r="L1815" s="43" t="n">
        <f aca="false">Sens!$L$1813/Sens!$L$1814</f>
        <v>14.2054477089954</v>
      </c>
      <c r="M1815" s="43" t="n">
        <f aca="false">Sens!$M$1813/Sens!$M$1814</f>
        <v>15.4897785964446</v>
      </c>
      <c r="N1815" s="13"/>
      <c r="O1815" s="13"/>
    </row>
    <row r="1816" customFormat="false" ht="17.15" hidden="false" customHeight="false" outlineLevel="0" collapsed="false">
      <c r="A1816" s="0" t="s">
        <v>707</v>
      </c>
      <c r="B1816" s="0" t="s">
        <v>27</v>
      </c>
      <c r="C1816" s="30" t="n">
        <f aca="false">(Sens!$C$1813-Sens!$C$1810*(1-tax))/Sens!$C$1814</f>
        <v>5.33926775917445</v>
      </c>
      <c r="D1816" s="30" t="n">
        <f aca="false">(Sens!$D$1813-Sens!$D$1810*(1-tax))/Sens!$D$1814</f>
        <v>5.67691812755503</v>
      </c>
      <c r="E1816" s="30" t="n">
        <f aca="false">(Sens!$E$1813-Sens!$E$1810*(1-tax))/Sens!$E$1814</f>
        <v>3.10602057006846</v>
      </c>
      <c r="G1816" s="30" t="n">
        <f aca="false">(Sens!$G$1813-Sens!$G$1810*(1-tax))/Sens!$G$1814</f>
        <v>7.55956177570237</v>
      </c>
      <c r="H1816" s="30" t="n">
        <f aca="false">(Sens!$H$1813-Sens!$H$1810*(1-tax))/Sens!$H$1814</f>
        <v>9.60493697738188</v>
      </c>
      <c r="I1816" s="30" t="n">
        <f aca="false">(Sens!$I$1813-Sens!$I$1810*(1-tax))/Sens!$I$1814</f>
        <v>10.8964707473058</v>
      </c>
      <c r="J1816" s="30" t="n">
        <f aca="false">(Sens!$J$1813-Sens!$J$1810*(1-tax))/Sens!$J$1814</f>
        <v>11.9959386209056</v>
      </c>
      <c r="K1816" s="30" t="n">
        <f aca="false">(Sens!$K$1813-Sens!$K$1810*(1-tax))/Sens!$K$1814</f>
        <v>13.1324387438888</v>
      </c>
      <c r="L1816" s="30" t="n">
        <f aca="false">(Sens!$L$1813-Sens!$L$1810*(1-tax))/Sens!$L$1814</f>
        <v>14.2054477089954</v>
      </c>
      <c r="M1816" s="30" t="n">
        <f aca="false">(Sens!$M$1813-Sens!$M$1810*(1-tax))/Sens!$M$1814</f>
        <v>15.4897785964446</v>
      </c>
      <c r="P1816" s="5" t="s">
        <v>708</v>
      </c>
    </row>
    <row r="1817" customFormat="false" ht="17.15" hidden="false" customHeight="false" outlineLevel="0" collapsed="false">
      <c r="A1817" s="0" t="s">
        <v>709</v>
      </c>
      <c r="B1817" s="0" t="s">
        <v>52</v>
      </c>
      <c r="H1817" s="12" t="n">
        <f aca="false">Sens!$H$1815/Sens!$G$1815-1</f>
        <v>-0.25931438079346</v>
      </c>
      <c r="I1817" s="12" t="n">
        <f aca="false">Sens!$I$1815/Sens!$H$1815-1</f>
        <v>0.134465616272683</v>
      </c>
      <c r="J1817" s="12" t="n">
        <f aca="false">Sens!$J$1815/Sens!$I$1815-1</f>
        <v>0.100901282543397</v>
      </c>
      <c r="K1817" s="12" t="n">
        <f aca="false">Sens!$K$1815/Sens!$J$1815-1</f>
        <v>0.0947404083080785</v>
      </c>
      <c r="L1817" s="12" t="n">
        <f aca="false">Sens!$L$1815/Sens!$K$1815-1</f>
        <v>0.0817067557696292</v>
      </c>
      <c r="M1817" s="12" t="n">
        <f aca="false">Sens!$M$1815/Sens!$L$1815-1</f>
        <v>0.090411151676407</v>
      </c>
    </row>
    <row r="1820" customFormat="false" ht="19.4" hidden="false" customHeight="false" outlineLevel="0" collapsed="false">
      <c r="A1820" s="31" t="s">
        <v>1083</v>
      </c>
    </row>
    <row r="1821" customFormat="false" ht="17.15" hidden="false" customHeight="false" outlineLevel="0" collapsed="false">
      <c r="A1821" s="6" t="s">
        <v>16</v>
      </c>
      <c r="B1821" s="6" t="s">
        <v>17</v>
      </c>
      <c r="C1821" s="20" t="s">
        <v>457</v>
      </c>
      <c r="D1821" s="20" t="s">
        <v>458</v>
      </c>
      <c r="E1821" s="20" t="s">
        <v>540</v>
      </c>
      <c r="F1821" s="20" t="s">
        <v>541</v>
      </c>
      <c r="G1821" s="20" t="s">
        <v>542</v>
      </c>
      <c r="H1821" s="20" t="s">
        <v>543</v>
      </c>
      <c r="I1821" s="20" t="s">
        <v>544</v>
      </c>
      <c r="J1821" s="20" t="s">
        <v>545</v>
      </c>
      <c r="K1821" s="20" t="s">
        <v>546</v>
      </c>
      <c r="L1821" s="20" t="s">
        <v>547</v>
      </c>
      <c r="M1821" s="20" t="s">
        <v>548</v>
      </c>
      <c r="N1821" s="20" t="s">
        <v>549</v>
      </c>
      <c r="O1821" s="20" t="s">
        <v>550</v>
      </c>
      <c r="P1821" s="6" t="s">
        <v>23</v>
      </c>
      <c r="R1821" s="20" t="n">
        <v>2023</v>
      </c>
      <c r="S1821" s="20" t="n">
        <v>2024</v>
      </c>
      <c r="T1821" s="20" t="n">
        <v>2025</v>
      </c>
      <c r="U1821" s="20" t="n">
        <v>2026</v>
      </c>
      <c r="V1821" s="20" t="n">
        <v>2027</v>
      </c>
      <c r="W1821" s="20" t="n">
        <v>2028</v>
      </c>
      <c r="X1821" s="20" t="n">
        <v>2029</v>
      </c>
      <c r="Y1821" s="20" t="n">
        <v>2030</v>
      </c>
      <c r="Z1821" s="20" t="n">
        <v>2031</v>
      </c>
      <c r="AA1821" s="20" t="n">
        <v>2032</v>
      </c>
    </row>
    <row r="1822" customFormat="false" ht="15" hidden="false" customHeight="false" outlineLevel="0" collapsed="false">
      <c r="A1822" s="5" t="s">
        <v>509</v>
      </c>
      <c r="B1822" s="0" t="s">
        <v>73</v>
      </c>
      <c r="C1822" s="38" t="n">
        <f aca="false">Sens!$C$1813</f>
        <v>59.248</v>
      </c>
      <c r="D1822" s="38" t="n">
        <f aca="false">Sens!$D$1813</f>
        <v>77.67</v>
      </c>
      <c r="E1822" s="38" t="n">
        <f aca="false">Sens!$E$1813</f>
        <v>92.902</v>
      </c>
      <c r="F1822" s="38" t="n">
        <f aca="false">Sens!$F$1813</f>
        <v>48.7668408673736</v>
      </c>
      <c r="G1822" s="38" t="n">
        <f aca="false">Sens!$G$1813</f>
        <v>141.668840867374</v>
      </c>
      <c r="H1822" s="38" t="n">
        <f aca="false">Sens!$H$1813</f>
        <v>105.771529705084</v>
      </c>
      <c r="I1822" s="38" t="n">
        <f aca="false">Sens!$I$1813</f>
        <v>120.954116940031</v>
      </c>
      <c r="J1822" s="38" t="n">
        <f aca="false">Sens!$J$1813</f>
        <v>134.22381080793</v>
      </c>
      <c r="K1822" s="38" t="n">
        <f aca="false">Sens!$K$1813</f>
        <v>148.115751284127</v>
      </c>
      <c r="L1822" s="38" t="n">
        <f aca="false">Sens!$L$1813</f>
        <v>161.499551270334</v>
      </c>
      <c r="M1822" s="38" t="n">
        <f aca="false">Sens!$M$1813</f>
        <v>177.509718989475</v>
      </c>
    </row>
    <row r="1823" customFormat="false" ht="17.15" hidden="false" customHeight="false" outlineLevel="0" collapsed="false">
      <c r="A1823" s="5" t="s">
        <v>731</v>
      </c>
      <c r="B1823" s="0" t="s">
        <v>73</v>
      </c>
      <c r="C1823" s="38" t="n">
        <f aca="false">Sens!$C$1801</f>
        <v>32.067</v>
      </c>
      <c r="D1823" s="38" t="n">
        <f aca="false">Sens!$D$1801</f>
        <v>41.86</v>
      </c>
      <c r="E1823" s="38" t="n">
        <f aca="false">Sens!$E$1801</f>
        <v>26.703</v>
      </c>
      <c r="F1823" s="38" t="n">
        <f aca="false">Sens!$F$1801</f>
        <v>31.3629294727834</v>
      </c>
      <c r="G1823" s="38" t="n">
        <f aca="false">Sens!$G$1801</f>
        <v>58.0659294727834</v>
      </c>
      <c r="H1823" s="38" t="n">
        <f aca="false">Sens!$H$1801</f>
        <v>93.1516408841727</v>
      </c>
      <c r="I1823" s="38" t="n">
        <f aca="false">Sens!$I$1801</f>
        <v>132.701497504495</v>
      </c>
      <c r="J1823" s="38" t="n">
        <f aca="false">Sens!$J$1801</f>
        <v>173.528804475425</v>
      </c>
      <c r="K1823" s="38" t="n">
        <f aca="false">Sens!$K$1801</f>
        <v>210.648216339013</v>
      </c>
      <c r="L1823" s="38" t="n">
        <f aca="false">Sens!$L$1801</f>
        <v>248.983156917804</v>
      </c>
      <c r="M1823" s="38" t="n">
        <f aca="false">Sens!$M$1801</f>
        <v>285.478468356653</v>
      </c>
    </row>
    <row r="1824" customFormat="false" ht="15" hidden="false" customHeight="false" outlineLevel="0" collapsed="false">
      <c r="A1824" s="5" t="s">
        <v>732</v>
      </c>
      <c r="B1824" s="0" t="s">
        <v>73</v>
      </c>
      <c r="C1824" s="38" t="n">
        <f aca="false">Q!$D$48</f>
        <v>22.011</v>
      </c>
      <c r="D1824" s="38" t="n">
        <f aca="false">Q!$E$48</f>
        <v>19.467</v>
      </c>
      <c r="E1824" s="38" t="n">
        <f aca="false">Q!$P$48</f>
        <v>10.07</v>
      </c>
      <c r="F1824" s="38" t="n">
        <f aca="false">sbc_r*Sens!$F$1745</f>
        <v>11.2170714500462</v>
      </c>
      <c r="G1824" s="38" t="n">
        <f aca="false">Sens!$E$1824+Sens!$F$1824</f>
        <v>21.2870714500462</v>
      </c>
      <c r="H1824" s="38" t="n">
        <f aca="false">sbc_r*Sens!$H$1745</f>
        <v>24.1772394325528</v>
      </c>
      <c r="I1824" s="38" t="n">
        <f aca="false">sbc_r*Sens!$I$1745</f>
        <v>27.6495284422397</v>
      </c>
      <c r="J1824" s="38" t="n">
        <f aca="false">sbc_r*Sens!$J$1745</f>
        <v>30.9042211184633</v>
      </c>
      <c r="K1824" s="38" t="n">
        <f aca="false">sbc_r*Sens!$K$1745</f>
        <v>33.8004145402678</v>
      </c>
      <c r="L1824" s="38" t="n">
        <f aca="false">sbc_r*Sens!$L$1745</f>
        <v>36.8322537652494</v>
      </c>
      <c r="M1824" s="38" t="n">
        <f aca="false">sbc_r*Sens!$M$1745</f>
        <v>40.0097627968013</v>
      </c>
    </row>
    <row r="1825" customFormat="false" ht="17.15" hidden="false" customHeight="false" outlineLevel="0" collapsed="false">
      <c r="A1825" s="5" t="s">
        <v>733</v>
      </c>
      <c r="B1825" s="0" t="s">
        <v>73</v>
      </c>
      <c r="C1825" s="38" t="n">
        <f aca="false">Q!$D$44-Sens!$C$1822-Sens!$C$1823-Sens!$C$1824</f>
        <v>2.551</v>
      </c>
      <c r="D1825" s="38" t="n">
        <f aca="false">Q!$E$44-Sens!$D$1822-Sens!$D$1823-Sens!$D$1824</f>
        <v>0.51700000000001</v>
      </c>
      <c r="E1825" s="38" t="n">
        <f aca="false">Q!$P$44-Sens!$E$1822-Sens!$E$1823-Sens!$E$1824</f>
        <v>-58.256</v>
      </c>
      <c r="F1825" s="38" t="n">
        <f aca="false">wc_2h26+oth_r*Sens!$F$1745</f>
        <v>7.34599241893378</v>
      </c>
      <c r="G1825" s="38" t="n">
        <f aca="false">Sens!$E$1825+Sens!$F$1825</f>
        <v>-50.9100075810662</v>
      </c>
      <c r="H1825" s="38" t="n">
        <f aca="false">oth_r*Sens!$H$1745</f>
        <v>11.6369707537667</v>
      </c>
      <c r="I1825" s="38" t="n">
        <f aca="false">oth_r*Sens!$I$1745</f>
        <v>13.3082502961262</v>
      </c>
      <c r="J1825" s="38" t="n">
        <f aca="false">oth_r*Sens!$J$1745</f>
        <v>14.8747965344332</v>
      </c>
      <c r="K1825" s="38" t="n">
        <f aca="false">oth_r*Sens!$K$1745</f>
        <v>16.2687901804328</v>
      </c>
      <c r="L1825" s="38" t="n">
        <f aca="false">oth_r*Sens!$L$1745</f>
        <v>17.7280727627002</v>
      </c>
      <c r="M1825" s="38" t="n">
        <f aca="false">oth_r*Sens!$M$1745</f>
        <v>19.2574690270319</v>
      </c>
      <c r="P1825" s="8" t="s">
        <v>734</v>
      </c>
    </row>
    <row r="1826" customFormat="false" ht="15" hidden="false" customHeight="false" outlineLevel="0" collapsed="false">
      <c r="A1826" s="3" t="s">
        <v>515</v>
      </c>
      <c r="B1826" s="8" t="s">
        <v>73</v>
      </c>
      <c r="C1826" s="38" t="n">
        <f aca="false">Q!$D$44</f>
        <v>115.877</v>
      </c>
      <c r="D1826" s="38" t="n">
        <f aca="false">Q!$E$44</f>
        <v>139.514</v>
      </c>
      <c r="E1826" s="38" t="n">
        <f aca="false">Q!$P$44</f>
        <v>71.419</v>
      </c>
      <c r="F1826" s="38" t="n">
        <f aca="false">Sens!$F$1822+Sens!$F$1823+Sens!$F$1824+Sens!$F$1825</f>
        <v>98.692834209137</v>
      </c>
      <c r="G1826" s="38" t="n">
        <f aca="false">Sens!$E$1826+Sens!$F$1826</f>
        <v>170.111834209137</v>
      </c>
      <c r="H1826" s="38" t="n">
        <f aca="false">Sens!$H$1822+Sens!$H$1823+Sens!$H$1824+Sens!$H$1825</f>
        <v>234.737380775577</v>
      </c>
      <c r="I1826" s="38" t="n">
        <f aca="false">Sens!$I$1822+Sens!$I$1823+Sens!$I$1824+Sens!$I$1825</f>
        <v>294.613393182891</v>
      </c>
      <c r="J1826" s="38" t="n">
        <f aca="false">Sens!$J$1822+Sens!$J$1823+Sens!$J$1824+Sens!$J$1825</f>
        <v>353.531632936251</v>
      </c>
      <c r="K1826" s="38" t="n">
        <f aca="false">Sens!$K$1822+Sens!$K$1823+Sens!$K$1824+Sens!$K$1825</f>
        <v>408.833172343841</v>
      </c>
      <c r="L1826" s="38" t="n">
        <f aca="false">Sens!$L$1822+Sens!$L$1823+Sens!$L$1824+Sens!$L$1825</f>
        <v>465.043034716087</v>
      </c>
      <c r="M1826" s="38" t="n">
        <f aca="false">Sens!$M$1822+Sens!$M$1823+Sens!$M$1824+Sens!$M$1825</f>
        <v>522.255419169962</v>
      </c>
    </row>
    <row r="1827" customFormat="false" ht="17.15" hidden="false" customHeight="false" outlineLevel="0" collapsed="false">
      <c r="A1827" s="5" t="s">
        <v>735</v>
      </c>
      <c r="B1827" s="0" t="s">
        <v>73</v>
      </c>
      <c r="C1827" s="38" t="n">
        <f aca="false">Sens!$C$1714</f>
        <v>25.2781053077374</v>
      </c>
      <c r="D1827" s="38" t="n">
        <f aca="false">Sens!$D$1714</f>
        <v>69.5686316310026</v>
      </c>
      <c r="E1827" s="38" t="n">
        <f aca="false">Sens!$E$1714</f>
        <v>64.1899206485108</v>
      </c>
      <c r="F1827" s="38" t="n">
        <f aca="false">Sens!$F$1714</f>
        <v>96.2481299895</v>
      </c>
      <c r="G1827" s="38" t="n">
        <f aca="false">Sens!$G$1714</f>
        <v>160.438050638011</v>
      </c>
      <c r="H1827" s="38" t="n">
        <f aca="false">Sens!$H$1714</f>
        <v>198.57136494475</v>
      </c>
      <c r="I1827" s="38" t="n">
        <f aca="false">Sens!$I$1714</f>
        <v>209.8832381105</v>
      </c>
      <c r="J1827" s="38" t="n">
        <f aca="false">Sens!$J$1714</f>
        <v>215.1200063105</v>
      </c>
      <c r="K1827" s="38" t="n">
        <f aca="false">Sens!$K$1714</f>
        <v>251.7773837105</v>
      </c>
      <c r="L1827" s="38" t="n">
        <f aca="false">Sens!$L$1714</f>
        <v>311.87584476575</v>
      </c>
      <c r="M1827" s="38" t="n">
        <f aca="false">Sens!$M$1714</f>
        <v>363.246358821</v>
      </c>
    </row>
    <row r="1828" customFormat="false" ht="17.15" hidden="false" customHeight="false" outlineLevel="0" collapsed="false">
      <c r="A1828" s="5" t="s">
        <v>736</v>
      </c>
      <c r="B1828" s="0" t="s">
        <v>73</v>
      </c>
      <c r="C1828" s="38" t="n">
        <f aca="false">cx_awso*Sens!$C$1743</f>
        <v>21.0469989286053</v>
      </c>
      <c r="D1828" s="38" t="n">
        <f aca="false">cx_awso*Sens!$D$1743</f>
        <v>24.0042459822698</v>
      </c>
      <c r="E1828" s="38" t="n">
        <f aca="false">cx_awso*Sens!$E$1743</f>
        <v>14.261729404886</v>
      </c>
      <c r="F1828" s="38" t="n">
        <f aca="false">cx_awso*Sens!$F$1743</f>
        <v>15.7190020837331</v>
      </c>
      <c r="G1828" s="38" t="n">
        <f aca="false">Sens!$E$1828+Sens!$F$1828</f>
        <v>29.9807314886191</v>
      </c>
      <c r="H1828" s="38" t="n">
        <f aca="false">cx_awso*Sens!$H$1743</f>
        <v>36.1787121536283</v>
      </c>
      <c r="I1828" s="38" t="n">
        <f aca="false">cx_awso*Sens!$I$1743</f>
        <v>42.1296794430021</v>
      </c>
      <c r="J1828" s="38" t="n">
        <f aca="false">cx_awso*Sens!$J$1743</f>
        <v>47.279781889299</v>
      </c>
      <c r="K1828" s="38" t="n">
        <f aca="false">cx_awso*Sens!$K$1743</f>
        <v>51.0621644404429</v>
      </c>
      <c r="L1828" s="38" t="n">
        <f aca="false">cx_awso*Sens!$L$1743</f>
        <v>55.1471375956783</v>
      </c>
      <c r="M1828" s="38" t="n">
        <f aca="false">cx_awso*Sens!$M$1743</f>
        <v>59.5589086033326</v>
      </c>
    </row>
    <row r="1829" customFormat="false" ht="17.15" hidden="false" customHeight="false" outlineLevel="0" collapsed="false">
      <c r="A1829" s="5" t="s">
        <v>737</v>
      </c>
      <c r="B1829" s="0" t="s">
        <v>73</v>
      </c>
      <c r="C1829" s="38" t="n">
        <f aca="false">Q!$D$46-Sens!$C$1827-Sens!$C$1828</f>
        <v>31.3328957636573</v>
      </c>
      <c r="D1829" s="38" t="n">
        <f aca="false">Q!$E$46-Sens!$D$1827-Sens!$D$1828</f>
        <v>34.7471223867276</v>
      </c>
      <c r="E1829" s="38" t="n">
        <f aca="false">Q!$P$46-Sens!$E$1827-Sens!$E$1828</f>
        <v>17.8583499466032</v>
      </c>
      <c r="F1829" s="38" t="n">
        <f aca="false">cx_rt*Sens!$F$1678</f>
        <v>21.0855744229195</v>
      </c>
      <c r="G1829" s="38" t="n">
        <f aca="false">Sens!$E$1829+Sens!$F$1829</f>
        <v>38.9439243695228</v>
      </c>
      <c r="H1829" s="38" t="n">
        <f aca="false">cx_rt*Sens!$H$1678</f>
        <v>43.1200434029767</v>
      </c>
      <c r="I1829" s="38" t="n">
        <f aca="false">cx_rt*Sens!$I$1678</f>
        <v>47.1583152318763</v>
      </c>
      <c r="J1829" s="38" t="n">
        <f aca="false">cx_rt*Sens!$J$1678</f>
        <v>50.9060281137911</v>
      </c>
      <c r="K1829" s="38" t="n">
        <f aca="false">cx_rt*Sens!$K$1678</f>
        <v>54.2035645673053</v>
      </c>
      <c r="L1829" s="38" t="n">
        <f aca="false">cx_rt*Sens!$L$1678</f>
        <v>57.7318979121519</v>
      </c>
      <c r="M1829" s="38" t="n">
        <f aca="false">cx_rt*Sens!$M$1678</f>
        <v>61.5084196557756</v>
      </c>
    </row>
    <row r="1830" customFormat="false" ht="15" hidden="false" customHeight="false" outlineLevel="0" collapsed="false">
      <c r="A1830" s="3" t="s">
        <v>738</v>
      </c>
      <c r="B1830" s="8" t="s">
        <v>73</v>
      </c>
      <c r="C1830" s="38" t="n">
        <f aca="false">Q!$D$46</f>
        <v>77.658</v>
      </c>
      <c r="D1830" s="38" t="n">
        <f aca="false">Q!$E$46</f>
        <v>128.32</v>
      </c>
      <c r="E1830" s="38" t="n">
        <f aca="false">Q!$P$46</f>
        <v>96.31</v>
      </c>
      <c r="F1830" s="38" t="n">
        <f aca="false">Sens!$F$1827+Sens!$F$1828+Sens!$F$1829</f>
        <v>133.052706496153</v>
      </c>
      <c r="G1830" s="38" t="n">
        <f aca="false">Sens!$E$1830+Sens!$F$1830</f>
        <v>229.362706496153</v>
      </c>
      <c r="H1830" s="38" t="n">
        <f aca="false">Sens!$H$1827+Sens!$H$1828+Sens!$H$1829</f>
        <v>277.870120501355</v>
      </c>
      <c r="I1830" s="38" t="n">
        <f aca="false">Sens!$I$1827+Sens!$I$1828+Sens!$I$1829</f>
        <v>299.171232785378</v>
      </c>
      <c r="J1830" s="38" t="n">
        <f aca="false">Sens!$J$1827+Sens!$J$1828+Sens!$J$1829</f>
        <v>313.30581631359</v>
      </c>
      <c r="K1830" s="38" t="n">
        <f aca="false">Sens!$K$1827+Sens!$K$1828+Sens!$K$1829</f>
        <v>357.043112718248</v>
      </c>
      <c r="L1830" s="38" t="n">
        <f aca="false">Sens!$L$1827+Sens!$L$1828+Sens!$L$1829</f>
        <v>424.75488027358</v>
      </c>
      <c r="M1830" s="38" t="n">
        <f aca="false">Sens!$M$1827+Sens!$M$1828+Sens!$M$1829</f>
        <v>484.313687080108</v>
      </c>
    </row>
    <row r="1831" customFormat="false" ht="17.15" hidden="false" customHeight="false" outlineLevel="0" collapsed="false">
      <c r="A1831" s="5" t="s">
        <v>523</v>
      </c>
      <c r="B1831" s="0" t="s">
        <v>73</v>
      </c>
      <c r="C1831" s="38" t="n">
        <f aca="false">Q!$D$50</f>
        <v>2.043</v>
      </c>
      <c r="D1831" s="38" t="n">
        <f aca="false">Q!$E$50</f>
        <v>1.557</v>
      </c>
      <c r="E1831" s="38" t="n">
        <f aca="false">lease_pr/2</f>
        <v>0.8</v>
      </c>
      <c r="F1831" s="38" t="n">
        <f aca="false">lease_pr/2</f>
        <v>0.8</v>
      </c>
      <c r="G1831" s="38" t="n">
        <f aca="false">Sens!$E$1831+Sens!$F$1831</f>
        <v>1.6</v>
      </c>
      <c r="H1831" s="38" t="n">
        <f aca="false">lease_pr</f>
        <v>1.6</v>
      </c>
      <c r="I1831" s="38" t="n">
        <f aca="false">lease_pr</f>
        <v>1.6</v>
      </c>
      <c r="J1831" s="38" t="n">
        <f aca="false">lease_pr</f>
        <v>1.6</v>
      </c>
      <c r="K1831" s="38" t="n">
        <f aca="false">lease_pr</f>
        <v>1.6</v>
      </c>
      <c r="L1831" s="38" t="n">
        <f aca="false">lease_pr</f>
        <v>1.6</v>
      </c>
      <c r="M1831" s="38" t="n">
        <f aca="false">lease_pr</f>
        <v>1.6</v>
      </c>
      <c r="P1831" s="8" t="s">
        <v>739</v>
      </c>
    </row>
    <row r="1832" customFormat="false" ht="15" hidden="false" customHeight="false" outlineLevel="0" collapsed="false">
      <c r="A1832" s="46" t="s">
        <v>740</v>
      </c>
      <c r="B1832" s="13" t="s">
        <v>73</v>
      </c>
      <c r="C1832" s="47" t="n">
        <f aca="false">Sens!$C$1826-Sens!$C$1830-Sens!$C$1831</f>
        <v>36.176</v>
      </c>
      <c r="D1832" s="47" t="n">
        <f aca="false">Sens!$D$1826-Sens!$D$1830-Sens!$D$1831</f>
        <v>9.63700000000002</v>
      </c>
      <c r="E1832" s="47" t="n">
        <f aca="false">Sens!$E$1826-Sens!$E$1830-Sens!$E$1831</f>
        <v>-25.691</v>
      </c>
      <c r="F1832" s="47" t="n">
        <f aca="false">Sens!$F$1826-Sens!$F$1830-Sens!$F$1831</f>
        <v>-35.1598722870156</v>
      </c>
      <c r="G1832" s="47" t="n">
        <f aca="false">Sens!$G$1826-Sens!$G$1830-Sens!$G$1831</f>
        <v>-60.8508722870156</v>
      </c>
      <c r="H1832" s="47" t="n">
        <f aca="false">Sens!$H$1826-Sens!$H$1830-Sens!$H$1831</f>
        <v>-44.7327397257785</v>
      </c>
      <c r="I1832" s="47" t="n">
        <f aca="false">Sens!$I$1826-Sens!$I$1830-Sens!$I$1831</f>
        <v>-6.15783960248715</v>
      </c>
      <c r="J1832" s="47" t="n">
        <f aca="false">Sens!$J$1826-Sens!$J$1830-Sens!$J$1831</f>
        <v>38.6258166226608</v>
      </c>
      <c r="K1832" s="47" t="n">
        <f aca="false">Sens!$K$1826-Sens!$K$1830-Sens!$K$1831</f>
        <v>50.1900596255929</v>
      </c>
      <c r="L1832" s="47" t="n">
        <f aca="false">Sens!$L$1826-Sens!$L$1830-Sens!$L$1831</f>
        <v>38.6881544425071</v>
      </c>
      <c r="M1832" s="47" t="n">
        <f aca="false">Sens!$M$1826-Sens!$M$1830-Sens!$M$1831</f>
        <v>36.3417320898534</v>
      </c>
      <c r="N1832" s="13"/>
      <c r="O1832" s="13"/>
    </row>
    <row r="1833" customFormat="false" ht="17.15" hidden="false" customHeight="false" outlineLevel="0" collapsed="false">
      <c r="A1833" s="5" t="s">
        <v>741</v>
      </c>
      <c r="B1833" s="0" t="s">
        <v>73</v>
      </c>
      <c r="C1833" s="38" t="n">
        <f aca="false">dps*Sens!$C$1814</f>
        <v>0</v>
      </c>
      <c r="D1833" s="38" t="n">
        <f aca="false">dps*Sens!$D$1814</f>
        <v>0</v>
      </c>
      <c r="E1833" s="38" t="n">
        <f aca="false">dps*Sens!$E$1814</f>
        <v>0</v>
      </c>
      <c r="F1833" s="38" t="n">
        <f aca="false">0</f>
        <v>0</v>
      </c>
      <c r="G1833" s="38" t="n">
        <f aca="false">dps*Sens!$G$1814</f>
        <v>0</v>
      </c>
      <c r="H1833" s="38" t="n">
        <f aca="false">dps*Sens!$H$1814</f>
        <v>0</v>
      </c>
      <c r="I1833" s="38" t="n">
        <f aca="false">dps*Sens!$I$1814</f>
        <v>0</v>
      </c>
      <c r="J1833" s="38" t="n">
        <f aca="false">dps*Sens!$J$1814</f>
        <v>0</v>
      </c>
      <c r="K1833" s="38" t="n">
        <f aca="false">dps*Sens!$K$1814</f>
        <v>0</v>
      </c>
      <c r="L1833" s="38" t="n">
        <f aca="false">dps*Sens!$L$1814</f>
        <v>0</v>
      </c>
      <c r="M1833" s="38" t="n">
        <f aca="false">dps*Sens!$M$1814</f>
        <v>0</v>
      </c>
      <c r="P1833" s="8" t="s">
        <v>742</v>
      </c>
    </row>
    <row r="1834" customFormat="false" ht="17.15" hidden="false" customHeight="false" outlineLevel="0" collapsed="false">
      <c r="A1834" s="5" t="s">
        <v>743</v>
      </c>
      <c r="B1834" s="0" t="s">
        <v>73</v>
      </c>
      <c r="C1834" s="38" t="n">
        <f aca="false">0</f>
        <v>0</v>
      </c>
      <c r="D1834" s="38" t="n">
        <f aca="false">0</f>
        <v>0</v>
      </c>
      <c r="E1834" s="38" t="n">
        <f aca="false">0</f>
        <v>0</v>
      </c>
      <c r="F1834" s="38" t="n">
        <f aca="false">0</f>
        <v>0</v>
      </c>
      <c r="G1834" s="38" t="n">
        <f aca="false">0</f>
        <v>0</v>
      </c>
      <c r="H1834" s="38" t="n">
        <f aca="false">0</f>
        <v>0</v>
      </c>
      <c r="I1834" s="38" t="n">
        <f aca="false">0</f>
        <v>0</v>
      </c>
      <c r="J1834" s="38" t="n">
        <f aca="false">0</f>
        <v>0</v>
      </c>
      <c r="K1834" s="38" t="n">
        <f aca="false">0</f>
        <v>0</v>
      </c>
      <c r="L1834" s="38" t="n">
        <f aca="false">0</f>
        <v>0</v>
      </c>
      <c r="M1834" s="38" t="n">
        <f aca="false">0</f>
        <v>0</v>
      </c>
      <c r="P1834" s="8" t="s">
        <v>744</v>
      </c>
    </row>
    <row r="1835" customFormat="false" ht="15" hidden="false" customHeight="false" outlineLevel="0" collapsed="false">
      <c r="A1835" s="3" t="s">
        <v>745</v>
      </c>
      <c r="B1835" s="8" t="s">
        <v>73</v>
      </c>
      <c r="C1835" s="38" t="n">
        <f aca="false">Sens!$C$1832-Sens!$C$1833</f>
        <v>36.176</v>
      </c>
      <c r="D1835" s="38" t="n">
        <f aca="false">Sens!$D$1832-Sens!$D$1833</f>
        <v>9.63700000000002</v>
      </c>
      <c r="E1835" s="38" t="n">
        <f aca="false">Sens!$E$1832-Sens!$E$1833</f>
        <v>-25.691</v>
      </c>
      <c r="F1835" s="38" t="n">
        <f aca="false">Sens!$F$1832-Sens!$F$1833</f>
        <v>-35.1598722870156</v>
      </c>
      <c r="G1835" s="38" t="n">
        <f aca="false">Sens!$G$1832-Sens!$G$1833</f>
        <v>-60.8508722870156</v>
      </c>
      <c r="H1835" s="38" t="n">
        <f aca="false">Sens!$H$1832-Sens!$H$1833</f>
        <v>-44.7327397257785</v>
      </c>
      <c r="I1835" s="38" t="n">
        <f aca="false">Sens!$I$1832-Sens!$I$1833</f>
        <v>-6.15783960248715</v>
      </c>
      <c r="J1835" s="38" t="n">
        <f aca="false">Sens!$J$1832-Sens!$J$1833</f>
        <v>38.6258166226608</v>
      </c>
      <c r="K1835" s="38" t="n">
        <f aca="false">Sens!$K$1832-Sens!$K$1833</f>
        <v>50.1900596255929</v>
      </c>
      <c r="L1835" s="38" t="n">
        <f aca="false">Sens!$L$1832-Sens!$L$1833</f>
        <v>38.6881544425071</v>
      </c>
      <c r="M1835" s="38" t="n">
        <f aca="false">Sens!$M$1832-Sens!$M$1833</f>
        <v>36.3417320898534</v>
      </c>
    </row>
    <row r="1836" customFormat="false" ht="17.15" hidden="false" customHeight="false" outlineLevel="0" collapsed="false">
      <c r="A1836" s="5" t="s">
        <v>746</v>
      </c>
      <c r="B1836" s="0" t="s">
        <v>73</v>
      </c>
      <c r="E1836" s="38" t="n">
        <f aca="false">Q!$P$53</f>
        <v>39.767</v>
      </c>
      <c r="F1836" s="38" t="n">
        <f aca="false">inv_2h26</f>
        <v>21.3</v>
      </c>
      <c r="G1836" s="38" t="n">
        <f aca="false">Sens!$E$1836+Sens!$F$1836</f>
        <v>61.067</v>
      </c>
      <c r="H1836" s="41" t="n">
        <v>0</v>
      </c>
      <c r="I1836" s="41" t="n">
        <v>0</v>
      </c>
      <c r="J1836" s="41" t="n">
        <v>0</v>
      </c>
      <c r="K1836" s="41" t="n">
        <v>0</v>
      </c>
      <c r="L1836" s="41" t="n">
        <v>0</v>
      </c>
      <c r="M1836" s="41" t="n">
        <v>0</v>
      </c>
    </row>
    <row r="1837" customFormat="false" ht="17.15" hidden="false" customHeight="false" outlineLevel="0" collapsed="false">
      <c r="A1837" s="5" t="s">
        <v>747</v>
      </c>
      <c r="B1837" s="0" t="s">
        <v>73</v>
      </c>
      <c r="F1837" s="38" t="n">
        <f aca="false">iss_2h26</f>
        <v>29.25</v>
      </c>
      <c r="G1837" s="38" t="n">
        <f aca="false">Sens!$F$1837</f>
        <v>29.25</v>
      </c>
      <c r="H1837" s="41" t="n">
        <v>0</v>
      </c>
      <c r="I1837" s="41" t="n">
        <v>0</v>
      </c>
      <c r="J1837" s="41" t="n">
        <v>0</v>
      </c>
      <c r="K1837" s="41" t="n">
        <v>0</v>
      </c>
      <c r="L1837" s="41" t="n">
        <v>0</v>
      </c>
      <c r="M1837" s="41" t="n">
        <v>0</v>
      </c>
    </row>
    <row r="1838" customFormat="false" ht="17.15" hidden="false" customHeight="false" outlineLevel="0" collapsed="false">
      <c r="A1838" s="5" t="s">
        <v>748</v>
      </c>
      <c r="B1838" s="0" t="s">
        <v>73</v>
      </c>
      <c r="F1838" s="38" t="n">
        <f aca="false">cash_q2</f>
        <v>122.988</v>
      </c>
      <c r="G1838" s="38" t="n">
        <f aca="false">cash_q2</f>
        <v>122.988</v>
      </c>
      <c r="H1838" s="38" t="n">
        <f aca="false">Sens!$G$1841</f>
        <v>95.7781277129844</v>
      </c>
      <c r="I1838" s="38" t="n">
        <f aca="false">Sens!$H$1841</f>
        <v>51.045387987206</v>
      </c>
      <c r="J1838" s="38" t="n">
        <f aca="false">Sens!$I$1841</f>
        <v>50</v>
      </c>
      <c r="K1838" s="38" t="n">
        <f aca="false">Sens!$J$1841</f>
        <v>88.6258166226608</v>
      </c>
      <c r="L1838" s="38" t="n">
        <f aca="false">Sens!$K$1841</f>
        <v>138.815876248254</v>
      </c>
      <c r="M1838" s="38" t="n">
        <f aca="false">Sens!$L$1841</f>
        <v>177.504030690761</v>
      </c>
    </row>
    <row r="1839" customFormat="false" ht="15" hidden="false" customHeight="false" outlineLevel="0" collapsed="false">
      <c r="A1839" s="5" t="s">
        <v>749</v>
      </c>
      <c r="B1839" s="0" t="s">
        <v>73</v>
      </c>
      <c r="F1839" s="38" t="n">
        <f aca="false">Sens!$F$1838+Sens!$F$1835-Sens!$F$1834-Sens!$F$1836+Sens!$F$1837</f>
        <v>95.7781277129844</v>
      </c>
      <c r="H1839" s="38" t="n">
        <f aca="false">Sens!$H$1838+Sens!$H$1835-Sens!$H$1834-Sens!$H$1836+Sens!$H$1837</f>
        <v>51.045387987206</v>
      </c>
      <c r="I1839" s="38" t="n">
        <f aca="false">Sens!$I$1838+Sens!$I$1835-Sens!$I$1834-Sens!$I$1836+Sens!$I$1837</f>
        <v>44.8875483847188</v>
      </c>
      <c r="J1839" s="38" t="n">
        <f aca="false">Sens!$J$1838+Sens!$J$1835-Sens!$J$1834-Sens!$J$1836+Sens!$J$1837</f>
        <v>88.6258166226608</v>
      </c>
      <c r="K1839" s="38" t="n">
        <f aca="false">Sens!$K$1838+Sens!$K$1835-Sens!$K$1834-Sens!$K$1836+Sens!$K$1837</f>
        <v>138.815876248254</v>
      </c>
      <c r="L1839" s="38" t="n">
        <f aca="false">Sens!$L$1838+Sens!$L$1835-Sens!$L$1834-Sens!$L$1836+Sens!$L$1837</f>
        <v>177.504030690761</v>
      </c>
      <c r="M1839" s="38" t="n">
        <f aca="false">Sens!$M$1838+Sens!$M$1835-Sens!$M$1834-Sens!$M$1836+Sens!$M$1837</f>
        <v>213.845762780614</v>
      </c>
    </row>
    <row r="1840" customFormat="false" ht="17.15" hidden="false" customHeight="false" outlineLevel="0" collapsed="false">
      <c r="A1840" s="5" t="s">
        <v>750</v>
      </c>
      <c r="B1840" s="0" t="s">
        <v>73</v>
      </c>
      <c r="F1840" s="38" t="n">
        <f aca="false">MAX(0,min_cash-Sens!$F$1839)</f>
        <v>0</v>
      </c>
      <c r="G1840" s="38" t="n">
        <f aca="false">Sens!$F$1840</f>
        <v>0</v>
      </c>
      <c r="H1840" s="38" t="n">
        <f aca="false">MAX(0,min_cash-Sens!$H$1839)</f>
        <v>0</v>
      </c>
      <c r="I1840" s="38" t="n">
        <f aca="false">MAX(0,min_cash-Sens!$I$1839)</f>
        <v>5.11245161528117</v>
      </c>
      <c r="J1840" s="38" t="n">
        <f aca="false">MAX(0,min_cash-Sens!$J$1839)</f>
        <v>0</v>
      </c>
      <c r="K1840" s="38" t="n">
        <f aca="false">MAX(0,min_cash-Sens!$K$1839)</f>
        <v>0</v>
      </c>
      <c r="L1840" s="38" t="n">
        <f aca="false">MAX(0,min_cash-Sens!$L$1839)</f>
        <v>0</v>
      </c>
      <c r="M1840" s="38" t="n">
        <f aca="false">MAX(0,min_cash-Sens!$M$1839)</f>
        <v>0</v>
      </c>
      <c r="P1840" s="5" t="s">
        <v>751</v>
      </c>
    </row>
    <row r="1841" customFormat="false" ht="15" hidden="false" customHeight="false" outlineLevel="0" collapsed="false">
      <c r="A1841" s="5" t="s">
        <v>752</v>
      </c>
      <c r="B1841" s="0" t="s">
        <v>73</v>
      </c>
      <c r="D1841" s="38" t="n">
        <f aca="false">Q!$E$61</f>
        <v>123.029</v>
      </c>
      <c r="E1841" s="38" t="n">
        <f aca="false">Q!$M$61</f>
        <v>122.988</v>
      </c>
      <c r="F1841" s="38" t="n">
        <f aca="false">Sens!$F$1839+Sens!$F$1840</f>
        <v>95.7781277129844</v>
      </c>
      <c r="G1841" s="38" t="n">
        <f aca="false">Sens!$F$1841</f>
        <v>95.7781277129844</v>
      </c>
      <c r="H1841" s="38" t="n">
        <f aca="false">Sens!$H$1839+Sens!$H$1840</f>
        <v>51.045387987206</v>
      </c>
      <c r="I1841" s="38" t="n">
        <f aca="false">Sens!$I$1839+Sens!$I$1840</f>
        <v>50</v>
      </c>
      <c r="J1841" s="38" t="n">
        <f aca="false">Sens!$J$1839+Sens!$J$1840</f>
        <v>88.6258166226608</v>
      </c>
      <c r="K1841" s="38" t="n">
        <f aca="false">Sens!$K$1839+Sens!$K$1840</f>
        <v>138.815876248254</v>
      </c>
      <c r="L1841" s="38" t="n">
        <f aca="false">Sens!$L$1839+Sens!$L$1840</f>
        <v>177.504030690761</v>
      </c>
      <c r="M1841" s="38" t="n">
        <f aca="false">Sens!$M$1839+Sens!$M$1840</f>
        <v>213.845762780614</v>
      </c>
    </row>
    <row r="1842" customFormat="false" ht="15" hidden="false" customHeight="false" outlineLevel="0" collapsed="false">
      <c r="A1842" s="5" t="s">
        <v>753</v>
      </c>
      <c r="B1842" s="0" t="s">
        <v>73</v>
      </c>
      <c r="D1842" s="38" t="n">
        <f aca="false">Q!$E$62</f>
        <v>68.836</v>
      </c>
      <c r="E1842" s="38" t="n">
        <f aca="false">Q!$M$62</f>
        <v>132.995</v>
      </c>
      <c r="F1842" s="38" t="n">
        <f aca="false">debt_q2+Sens!$F$1837+Sens!$F$1840</f>
        <v>162.245</v>
      </c>
      <c r="G1842" s="38" t="n">
        <f aca="false">Sens!$F$1842</f>
        <v>162.245</v>
      </c>
      <c r="H1842" s="38" t="n">
        <f aca="false">Sens!$G$1842+Sens!$H$1840</f>
        <v>162.245</v>
      </c>
      <c r="I1842" s="38" t="n">
        <f aca="false">Sens!$H$1842+Sens!$I$1840</f>
        <v>167.357451615281</v>
      </c>
      <c r="J1842" s="38" t="n">
        <f aca="false">Sens!$I$1842+Sens!$J$1840</f>
        <v>167.357451615281</v>
      </c>
      <c r="K1842" s="38" t="n">
        <f aca="false">Sens!$J$1842+Sens!$K$1840</f>
        <v>167.357451615281</v>
      </c>
      <c r="L1842" s="38" t="n">
        <f aca="false">Sens!$K$1842+Sens!$L$1840</f>
        <v>167.357451615281</v>
      </c>
      <c r="M1842" s="38" t="n">
        <f aca="false">Sens!$L$1842+Sens!$M$1840</f>
        <v>167.357451615281</v>
      </c>
    </row>
    <row r="1843" customFormat="false" ht="15" hidden="false" customHeight="false" outlineLevel="0" collapsed="false">
      <c r="A1843" s="5" t="s">
        <v>754</v>
      </c>
      <c r="B1843" s="0" t="s">
        <v>73</v>
      </c>
      <c r="D1843" s="38" t="n">
        <f aca="false">Sens!$D$1842-Sens!$D$1841</f>
        <v>-54.193</v>
      </c>
      <c r="E1843" s="38" t="n">
        <f aca="false">Sens!$E$1842-Sens!$E$1841</f>
        <v>10.007</v>
      </c>
      <c r="F1843" s="38" t="n">
        <f aca="false">Sens!$F$1842-Sens!$F$1841</f>
        <v>66.4668722870156</v>
      </c>
      <c r="G1843" s="38" t="n">
        <f aca="false">Sens!$G$1842-Sens!$G$1841</f>
        <v>66.4668722870156</v>
      </c>
      <c r="H1843" s="38" t="n">
        <f aca="false">Sens!$H$1842-Sens!$H$1841</f>
        <v>111.199612012794</v>
      </c>
      <c r="I1843" s="38" t="n">
        <f aca="false">Sens!$I$1842-Sens!$I$1841</f>
        <v>117.357451615281</v>
      </c>
      <c r="J1843" s="38" t="n">
        <f aca="false">Sens!$J$1842-Sens!$J$1841</f>
        <v>78.7316349926203</v>
      </c>
      <c r="K1843" s="38" t="n">
        <f aca="false">Sens!$K$1842-Sens!$K$1841</f>
        <v>28.5415753670274</v>
      </c>
      <c r="L1843" s="38" t="n">
        <f aca="false">Sens!$L$1842-Sens!$L$1841</f>
        <v>-10.1465790754796</v>
      </c>
      <c r="M1843" s="38" t="n">
        <f aca="false">Sens!$M$1842-Sens!$M$1841</f>
        <v>-46.488311165333</v>
      </c>
    </row>
    <row r="1844" customFormat="false" ht="17.15" hidden="false" customHeight="false" outlineLevel="0" collapsed="false">
      <c r="A1844" s="5" t="s">
        <v>755</v>
      </c>
      <c r="B1844" s="0" t="s">
        <v>73</v>
      </c>
      <c r="F1844" s="38" t="n">
        <f aca="false">debt_q2*kd_book*0.5+iss_2h26*kd_new*0.25</f>
        <v>3.24888964316061</v>
      </c>
      <c r="H1844" s="38" t="n">
        <f aca="false">debt_q2*kd_book+(Sens!$G$1842-debt_q2)*kd_new</f>
        <v>7.42354178632123</v>
      </c>
      <c r="I1844" s="38" t="n">
        <f aca="false">debt_q2*kd_book+(Sens!$H$1842-debt_q2)*kd_new</f>
        <v>7.42354178632123</v>
      </c>
      <c r="J1844" s="38" t="n">
        <f aca="false">debt_q2*kd_book+(Sens!$I$1842-debt_q2)*kd_new</f>
        <v>7.74715997356853</v>
      </c>
      <c r="K1844" s="38" t="n">
        <f aca="false">debt_q2*kd_book+(Sens!$J$1842-debt_q2)*kd_new</f>
        <v>7.74715997356853</v>
      </c>
      <c r="L1844" s="38" t="n">
        <f aca="false">debt_q2*kd_book+(Sens!$K$1842-debt_q2)*kd_new</f>
        <v>7.74715997356853</v>
      </c>
      <c r="M1844" s="38" t="n">
        <f aca="false">debt_q2*kd_book+(Sens!$L$1842-debt_q2)*kd_new</f>
        <v>7.74715997356853</v>
      </c>
    </row>
    <row r="1845" customFormat="false" ht="17.15" hidden="false" customHeight="false" outlineLevel="0" collapsed="false">
      <c r="A1845" s="5" t="s">
        <v>756</v>
      </c>
      <c r="B1845" s="0" t="s">
        <v>73</v>
      </c>
      <c r="F1845" s="38" t="n">
        <f aca="false">cash_q2*y_cash*0.5</f>
        <v>2.59</v>
      </c>
      <c r="H1845" s="38" t="n">
        <f aca="false">Sens!$G$1841*y_cash</f>
        <v>4.03397649814014</v>
      </c>
      <c r="I1845" s="38" t="n">
        <f aca="false">Sens!$H$1841*y_cash</f>
        <v>2.14992608851048</v>
      </c>
      <c r="J1845" s="38" t="n">
        <f aca="false">Sens!$I$1841*y_cash</f>
        <v>2.10589651022864</v>
      </c>
      <c r="K1845" s="38" t="n">
        <f aca="false">Sens!$J$1841*y_cash</f>
        <v>3.7327359588365</v>
      </c>
      <c r="L1845" s="38" t="n">
        <f aca="false">Sens!$K$1841*y_cash</f>
        <v>5.84663738711057</v>
      </c>
      <c r="M1845" s="38" t="n">
        <f aca="false">Sens!$L$1841*y_cash</f>
        <v>7.47610237566381</v>
      </c>
    </row>
    <row r="1846" customFormat="false" ht="17.15" hidden="false" customHeight="false" outlineLevel="0" collapsed="false">
      <c r="A1846" s="46" t="s">
        <v>757</v>
      </c>
      <c r="B1846" s="13" t="s">
        <v>73</v>
      </c>
      <c r="C1846" s="13"/>
      <c r="D1846" s="13"/>
      <c r="E1846" s="13"/>
      <c r="F1846" s="13"/>
      <c r="G1846" s="47" t="n">
        <f aca="false">SUM(Sens!$G$1835:$K$1835)</f>
        <v>-22.9255753670275</v>
      </c>
      <c r="H1846" s="13"/>
      <c r="I1846" s="13"/>
      <c r="J1846" s="13"/>
      <c r="K1846" s="13"/>
      <c r="L1846" s="13"/>
      <c r="M1846" s="13"/>
      <c r="N1846" s="13"/>
      <c r="O1846" s="13"/>
    </row>
    <row r="1847" customFormat="false" ht="17.15" hidden="false" customHeight="false" outlineLevel="0" collapsed="false">
      <c r="A1847" s="0" t="s">
        <v>724</v>
      </c>
      <c r="B1847" s="0" t="s">
        <v>73</v>
      </c>
      <c r="G1847" s="38" t="n">
        <f aca="false">SUM(Sens!$G$1840:$K$1840)</f>
        <v>5.11245161528117</v>
      </c>
    </row>
    <row r="1850" customFormat="false" ht="19.4" hidden="false" customHeight="false" outlineLevel="0" collapsed="false">
      <c r="A1850" s="31" t="s">
        <v>1084</v>
      </c>
    </row>
    <row r="1851" customFormat="false" ht="17.15" hidden="false" customHeight="false" outlineLevel="0" collapsed="false">
      <c r="A1851" s="6" t="s">
        <v>16</v>
      </c>
      <c r="B1851" s="6" t="s">
        <v>17</v>
      </c>
      <c r="C1851" s="20" t="s">
        <v>457</v>
      </c>
      <c r="D1851" s="20" t="s">
        <v>458</v>
      </c>
      <c r="E1851" s="20" t="s">
        <v>540</v>
      </c>
      <c r="F1851" s="20" t="s">
        <v>541</v>
      </c>
      <c r="G1851" s="20" t="s">
        <v>542</v>
      </c>
      <c r="H1851" s="20" t="s">
        <v>543</v>
      </c>
      <c r="I1851" s="20" t="s">
        <v>544</v>
      </c>
      <c r="J1851" s="20" t="s">
        <v>545</v>
      </c>
      <c r="K1851" s="20" t="s">
        <v>546</v>
      </c>
      <c r="L1851" s="20" t="s">
        <v>547</v>
      </c>
      <c r="M1851" s="20" t="s">
        <v>548</v>
      </c>
      <c r="N1851" s="20" t="s">
        <v>549</v>
      </c>
      <c r="O1851" s="20" t="s">
        <v>550</v>
      </c>
      <c r="P1851" s="6" t="s">
        <v>23</v>
      </c>
      <c r="R1851" s="20" t="n">
        <v>2023</v>
      </c>
      <c r="S1851" s="20" t="n">
        <v>2024</v>
      </c>
      <c r="T1851" s="20" t="n">
        <v>2025</v>
      </c>
      <c r="U1851" s="20" t="n">
        <v>2026</v>
      </c>
      <c r="V1851" s="20" t="n">
        <v>2027</v>
      </c>
      <c r="W1851" s="20" t="n">
        <v>2028</v>
      </c>
      <c r="X1851" s="20" t="n">
        <v>2029</v>
      </c>
      <c r="Y1851" s="20" t="n">
        <v>2030</v>
      </c>
      <c r="Z1851" s="20" t="n">
        <v>2031</v>
      </c>
      <c r="AA1851" s="20" t="n">
        <v>2032</v>
      </c>
    </row>
    <row r="1852" customFormat="false" ht="17.15" hidden="false" customHeight="false" outlineLevel="0" collapsed="false">
      <c r="A1852" s="1" t="s">
        <v>852</v>
      </c>
    </row>
    <row r="1853" customFormat="false" ht="17.15" hidden="false" customHeight="false" outlineLevel="0" collapsed="false">
      <c r="A1853" s="0" t="s">
        <v>853</v>
      </c>
      <c r="B1853" s="0" t="s">
        <v>73</v>
      </c>
      <c r="H1853" s="38" t="n">
        <f aca="false">Sens!$H$1789*(1-tax)</f>
        <v>108.572718907266</v>
      </c>
      <c r="I1853" s="38" t="n">
        <f aca="false">Sens!$I$1789*(1-tax)</f>
        <v>125.312314553356</v>
      </c>
      <c r="J1853" s="38" t="n">
        <f aca="false">Sens!$J$1789*(1-tax)</f>
        <v>138.885838223441</v>
      </c>
      <c r="K1853" s="38" t="n">
        <f aca="false">Sens!$K$1789*(1-tax)</f>
        <v>151.433333406606</v>
      </c>
      <c r="L1853" s="38" t="n">
        <f aca="false">Sens!$L$1789*(1-tax)</f>
        <v>163.070172543289</v>
      </c>
      <c r="M1853" s="38" t="n">
        <f aca="false">Sens!$M$1789*(1-tax)</f>
        <v>177.733725182561</v>
      </c>
    </row>
    <row r="1854" customFormat="false" ht="15" hidden="false" customHeight="false" outlineLevel="0" collapsed="false">
      <c r="A1854" s="5" t="s">
        <v>854</v>
      </c>
      <c r="B1854" s="0" t="s">
        <v>73</v>
      </c>
      <c r="H1854" s="38" t="n">
        <f aca="false">Sens!$H$1801</f>
        <v>93.1516408841727</v>
      </c>
      <c r="I1854" s="38" t="n">
        <f aca="false">Sens!$I$1801</f>
        <v>132.701497504495</v>
      </c>
      <c r="J1854" s="38" t="n">
        <f aca="false">Sens!$J$1801</f>
        <v>173.528804475425</v>
      </c>
      <c r="K1854" s="38" t="n">
        <f aca="false">Sens!$K$1801</f>
        <v>210.648216339013</v>
      </c>
      <c r="L1854" s="38" t="n">
        <f aca="false">Sens!$L$1801</f>
        <v>248.983156917804</v>
      </c>
      <c r="M1854" s="38" t="n">
        <f aca="false">Sens!$M$1801</f>
        <v>285.478468356653</v>
      </c>
    </row>
    <row r="1855" customFormat="false" ht="15" hidden="false" customHeight="false" outlineLevel="0" collapsed="false">
      <c r="A1855" s="5" t="s">
        <v>855</v>
      </c>
      <c r="B1855" s="0" t="s">
        <v>73</v>
      </c>
      <c r="H1855" s="38" t="n">
        <f aca="false">Sens!$H$1830</f>
        <v>277.870120501355</v>
      </c>
      <c r="I1855" s="38" t="n">
        <f aca="false">Sens!$I$1830</f>
        <v>299.171232785378</v>
      </c>
      <c r="J1855" s="38" t="n">
        <f aca="false">Sens!$J$1830</f>
        <v>313.30581631359</v>
      </c>
      <c r="K1855" s="38" t="n">
        <f aca="false">Sens!$K$1830</f>
        <v>357.043112718248</v>
      </c>
      <c r="L1855" s="38" t="n">
        <f aca="false">Sens!$L$1830</f>
        <v>424.75488027358</v>
      </c>
      <c r="M1855" s="38" t="n">
        <f aca="false">Sens!$M$1830</f>
        <v>484.313687080108</v>
      </c>
    </row>
    <row r="1856" customFormat="false" ht="15" hidden="false" customHeight="false" outlineLevel="0" collapsed="false">
      <c r="A1856" s="5" t="s">
        <v>856</v>
      </c>
      <c r="B1856" s="0" t="s">
        <v>73</v>
      </c>
      <c r="H1856" s="38" t="n">
        <f aca="false">Sens!$H$1831</f>
        <v>1.6</v>
      </c>
      <c r="I1856" s="38" t="n">
        <f aca="false">Sens!$I$1831</f>
        <v>1.6</v>
      </c>
      <c r="J1856" s="38" t="n">
        <f aca="false">Sens!$J$1831</f>
        <v>1.6</v>
      </c>
      <c r="K1856" s="38" t="n">
        <f aca="false">Sens!$K$1831</f>
        <v>1.6</v>
      </c>
      <c r="L1856" s="38" t="n">
        <f aca="false">Sens!$L$1831</f>
        <v>1.6</v>
      </c>
      <c r="M1856" s="38" t="n">
        <f aca="false">Sens!$M$1831</f>
        <v>1.6</v>
      </c>
    </row>
    <row r="1857" customFormat="false" ht="15" hidden="false" customHeight="false" outlineLevel="0" collapsed="false">
      <c r="A1857" s="5" t="s">
        <v>857</v>
      </c>
      <c r="B1857" s="0" t="s">
        <v>73</v>
      </c>
      <c r="H1857" s="38" t="n">
        <f aca="false">Sens!$H$1825</f>
        <v>11.6369707537667</v>
      </c>
      <c r="I1857" s="38" t="n">
        <f aca="false">Sens!$I$1825</f>
        <v>13.3082502961262</v>
      </c>
      <c r="J1857" s="38" t="n">
        <f aca="false">Sens!$J$1825</f>
        <v>14.8747965344332</v>
      </c>
      <c r="K1857" s="38" t="n">
        <f aca="false">Sens!$K$1825</f>
        <v>16.2687901804328</v>
      </c>
      <c r="L1857" s="38" t="n">
        <f aca="false">Sens!$L$1825</f>
        <v>17.7280727627002</v>
      </c>
      <c r="M1857" s="38" t="n">
        <f aca="false">Sens!$M$1825</f>
        <v>19.2574690270319</v>
      </c>
    </row>
    <row r="1858" customFormat="false" ht="17.15" hidden="false" customHeight="false" outlineLevel="0" collapsed="false">
      <c r="A1858" s="1" t="s">
        <v>858</v>
      </c>
      <c r="B1858" s="8" t="s">
        <v>73</v>
      </c>
      <c r="H1858" s="38" t="n">
        <f aca="false">Sens!$H$1853+Sens!$H$1854-Sens!$H$1855-Sens!$H$1856+Sens!$H$1857</f>
        <v>-66.1087899561502</v>
      </c>
      <c r="I1858" s="38" t="n">
        <f aca="false">Sens!$I$1853+Sens!$I$1854-Sens!$I$1855-Sens!$I$1856+Sens!$I$1857</f>
        <v>-29.4491704314018</v>
      </c>
      <c r="J1858" s="38" t="n">
        <f aca="false">Sens!$J$1853+Sens!$J$1854-Sens!$J$1855-Sens!$J$1856+Sens!$J$1857</f>
        <v>12.3836229197091</v>
      </c>
      <c r="K1858" s="38" t="n">
        <f aca="false">Sens!$K$1853+Sens!$K$1854-Sens!$K$1855-Sens!$K$1856+Sens!$K$1857</f>
        <v>19.7072272078037</v>
      </c>
      <c r="L1858" s="38" t="n">
        <f aca="false">Sens!$L$1853+Sens!$L$1854-Sens!$L$1855-Sens!$L$1856+Sens!$L$1857</f>
        <v>3.42652195021275</v>
      </c>
      <c r="M1858" s="38" t="n">
        <f aca="false">Sens!$M$1853+Sens!$M$1854-Sens!$M$1855-Sens!$M$1856+Sens!$M$1857</f>
        <v>-3.44402451386243</v>
      </c>
    </row>
    <row r="1859" customFormat="false" ht="15" hidden="false" customHeight="false" outlineLevel="0" collapsed="false">
      <c r="A1859" s="5" t="s">
        <v>859</v>
      </c>
      <c r="B1859" s="0" t="s">
        <v>57</v>
      </c>
      <c r="H1859" s="51" t="n">
        <f aca="false">1/(1+wacc)^(2027-2026-0.5)</f>
        <v>0.942858177653364</v>
      </c>
      <c r="I1859" s="51" t="n">
        <f aca="false">1/(1+wacc)^(2028-2026-0.5)</f>
        <v>0.838183517758688</v>
      </c>
      <c r="J1859" s="51" t="n">
        <f aca="false">1/(1+wacc)^(2029-2026-0.5)</f>
        <v>0.745129677074952</v>
      </c>
      <c r="K1859" s="51" t="n">
        <f aca="false">1/(1+wacc)^(2030-2026-0.5)</f>
        <v>0.662406530186232</v>
      </c>
      <c r="L1859" s="51" t="n">
        <f aca="false">1/(1+wacc)^(2031-2026-0.5)</f>
        <v>0.588867179409399</v>
      </c>
      <c r="M1859" s="51" t="n">
        <f aca="false">1/(1+wacc)^(2032-2026-0.5)</f>
        <v>0.52349205387225</v>
      </c>
    </row>
    <row r="1860" customFormat="false" ht="15" hidden="false" customHeight="false" outlineLevel="0" collapsed="false">
      <c r="A1860" s="5" t="s">
        <v>860</v>
      </c>
      <c r="B1860" s="0" t="s">
        <v>73</v>
      </c>
      <c r="H1860" s="38" t="n">
        <f aca="false">Sens!$H$1858*Sens!$H$1859</f>
        <v>-62.3312132249247</v>
      </c>
      <c r="I1860" s="38" t="n">
        <f aca="false">Sens!$I$1858*Sens!$I$1859</f>
        <v>-24.6838092672675</v>
      </c>
      <c r="J1860" s="38" t="n">
        <f aca="false">Sens!$J$1858*Sens!$J$1859</f>
        <v>9.2274049471808</v>
      </c>
      <c r="K1860" s="38" t="n">
        <f aca="false">Sens!$K$1858*Sens!$K$1859</f>
        <v>13.054195994313</v>
      </c>
      <c r="L1860" s="38" t="n">
        <f aca="false">Sens!$L$1858*Sens!$L$1859</f>
        <v>2.01776631600618</v>
      </c>
      <c r="M1860" s="38" t="n">
        <f aca="false">Sens!$M$1858*Sens!$M$1859</f>
        <v>-1.80291946634822</v>
      </c>
    </row>
    <row r="1861" customFormat="false" ht="15" hidden="false" customHeight="false" outlineLevel="0" collapsed="false">
      <c r="A1861" s="5" t="s">
        <v>861</v>
      </c>
      <c r="B1861" s="0" t="s">
        <v>73</v>
      </c>
      <c r="C1861" s="38" t="n">
        <f aca="false">SUM(Sens!$H$1860:$M$1860)</f>
        <v>-64.5185747010405</v>
      </c>
    </row>
    <row r="1862" customFormat="false" ht="17.15" hidden="false" customHeight="false" outlineLevel="0" collapsed="false">
      <c r="A1862" s="5" t="s">
        <v>862</v>
      </c>
      <c r="B1862" s="0" t="s">
        <v>73</v>
      </c>
      <c r="C1862" s="38" t="n">
        <f aca="false">Sens!$M$1853*(1+tg)*(1-tg/ronic)/(wacc-tg)</f>
        <v>1465.90094987847</v>
      </c>
    </row>
    <row r="1863" customFormat="false" ht="15" hidden="false" customHeight="false" outlineLevel="0" collapsed="false">
      <c r="A1863" s="5" t="s">
        <v>863</v>
      </c>
      <c r="B1863" s="0" t="s">
        <v>73</v>
      </c>
      <c r="C1863" s="38" t="n">
        <f aca="false">Sens!$C$1862/(1+wacc)^6</f>
        <v>723.537578884837</v>
      </c>
    </row>
    <row r="1864" customFormat="false" ht="17.15" hidden="false" customHeight="false" outlineLevel="0" collapsed="false">
      <c r="A1864" s="5" t="s">
        <v>864</v>
      </c>
      <c r="B1864" s="0" t="s">
        <v>73</v>
      </c>
      <c r="C1864" s="38" t="n">
        <f aca="false">Sens!$C$1861+Sens!$C$1863</f>
        <v>659.019004183797</v>
      </c>
    </row>
    <row r="1865" customFormat="false" ht="17.15" hidden="false" customHeight="false" outlineLevel="0" collapsed="false">
      <c r="A1865" s="5" t="s">
        <v>865</v>
      </c>
      <c r="B1865" s="0" t="s">
        <v>52</v>
      </c>
      <c r="C1865" s="12" t="n">
        <f aca="false">Sens!$C$1863/Sens!$C$1864</f>
        <v>1.09790093197835</v>
      </c>
    </row>
    <row r="1866" customFormat="false" ht="17.15" hidden="false" customHeight="false" outlineLevel="0" collapsed="false">
      <c r="A1866" s="5" t="s">
        <v>866</v>
      </c>
      <c r="B1866" s="0" t="s">
        <v>73</v>
      </c>
      <c r="C1866" s="38" t="n">
        <f aca="false">Sens!$G$1843</f>
        <v>66.4668722870156</v>
      </c>
    </row>
    <row r="1867" customFormat="false" ht="17.15" hidden="false" customHeight="false" outlineLevel="0" collapsed="false">
      <c r="A1867" s="5" t="s">
        <v>867</v>
      </c>
      <c r="B1867" s="0" t="s">
        <v>73</v>
      </c>
      <c r="C1867" s="38" t="n">
        <f aca="false">(ant_val*ant_sh+oai_val*oai_sh)*(1-liq_disc)</f>
        <v>178.944</v>
      </c>
    </row>
    <row r="1868" customFormat="false" ht="15" hidden="false" customHeight="false" outlineLevel="0" collapsed="false">
      <c r="A1868" s="5" t="s">
        <v>868</v>
      </c>
      <c r="B1868" s="0" t="s">
        <v>73</v>
      </c>
      <c r="C1868" s="38" t="n">
        <f aca="false">Sens!$C$1864-Sens!$C$1866+Sens!$C$1867</f>
        <v>771.496131896781</v>
      </c>
    </row>
    <row r="1869" customFormat="false" ht="17.15" hidden="false" customHeight="false" outlineLevel="0" collapsed="false">
      <c r="A1869" s="5" t="s">
        <v>869</v>
      </c>
      <c r="B1869" s="0" t="s">
        <v>27</v>
      </c>
      <c r="C1869" s="30" t="n">
        <f aca="false">Sens!$C$1868/sh_val</f>
        <v>69.9432610800364</v>
      </c>
    </row>
    <row r="1870" customFormat="false" ht="17.15" hidden="false" customHeight="false" outlineLevel="0" collapsed="false">
      <c r="A1870" s="1" t="s">
        <v>870</v>
      </c>
      <c r="B1870" s="8" t="s">
        <v>27</v>
      </c>
      <c r="C1870" s="30" t="n">
        <f aca="false">Sens!$C$1869*(1+ke)^tp_yf</f>
        <v>77.2484794176136</v>
      </c>
    </row>
    <row r="1871" customFormat="false" ht="17.15" hidden="false" customHeight="false" outlineLevel="0" collapsed="false">
      <c r="A1871" s="3" t="s">
        <v>871</v>
      </c>
    </row>
    <row r="1872" customFormat="false" ht="17.15" hidden="false" customHeight="false" outlineLevel="0" collapsed="false">
      <c r="A1872" s="5" t="s">
        <v>872</v>
      </c>
      <c r="B1872" s="0" t="s">
        <v>73</v>
      </c>
      <c r="C1872" s="38" t="n">
        <f aca="false">0.25*Sens!$H$1802+0.75*Sens!$I$1802</f>
        <v>57.5541093268329</v>
      </c>
    </row>
    <row r="1873" customFormat="false" ht="15" hidden="false" customHeight="false" outlineLevel="0" collapsed="false">
      <c r="A1873" s="5" t="s">
        <v>873</v>
      </c>
      <c r="B1873" s="0" t="s">
        <v>57</v>
      </c>
      <c r="C1873" s="30" t="n">
        <f aca="false">m_ads*m_x</f>
        <v>9.11</v>
      </c>
    </row>
    <row r="1874" customFormat="false" ht="17.15" hidden="false" customHeight="false" outlineLevel="0" collapsed="false">
      <c r="A1874" s="5" t="s">
        <v>874</v>
      </c>
      <c r="B1874" s="0" t="s">
        <v>73</v>
      </c>
      <c r="C1874" s="38" t="n">
        <f aca="false">Sens!$C$1872*Sens!$C$1873</f>
        <v>524.317935967448</v>
      </c>
    </row>
    <row r="1875" customFormat="false" ht="17.15" hidden="false" customHeight="false" outlineLevel="0" collapsed="false">
      <c r="A1875" s="5" t="s">
        <v>875</v>
      </c>
      <c r="B1875" s="0" t="s">
        <v>73</v>
      </c>
      <c r="C1875" s="38" t="n">
        <f aca="false">0.25*Sens!$H$1803+0.75*Sens!$I$1803</f>
        <v>31.0268417321725</v>
      </c>
    </row>
    <row r="1876" customFormat="false" ht="15" hidden="false" customHeight="false" outlineLevel="0" collapsed="false">
      <c r="A1876" s="5" t="s">
        <v>876</v>
      </c>
      <c r="B1876" s="0" t="s">
        <v>57</v>
      </c>
      <c r="C1876" s="30" t="n">
        <f aca="false">m_retail*m_x</f>
        <v>17.72</v>
      </c>
    </row>
    <row r="1877" customFormat="false" ht="17.15" hidden="false" customHeight="false" outlineLevel="0" collapsed="false">
      <c r="A1877" s="5" t="s">
        <v>877</v>
      </c>
      <c r="B1877" s="0" t="s">
        <v>73</v>
      </c>
      <c r="C1877" s="38" t="n">
        <f aca="false">Sens!$C$1875*Sens!$C$1876</f>
        <v>549.795635494097</v>
      </c>
    </row>
    <row r="1878" customFormat="false" ht="17.15" hidden="false" customHeight="false" outlineLevel="0" collapsed="false">
      <c r="A1878" s="0" t="s">
        <v>878</v>
      </c>
      <c r="B1878" s="0" t="s">
        <v>73</v>
      </c>
      <c r="C1878" s="38" t="n">
        <f aca="false">0.25*Sens!$H$1804+0.75*Sens!$I$1804</f>
        <v>108.507948799576</v>
      </c>
    </row>
    <row r="1879" customFormat="false" ht="17.15" hidden="false" customHeight="false" outlineLevel="0" collapsed="false">
      <c r="A1879" s="0" t="s">
        <v>879</v>
      </c>
      <c r="B1879" s="0" t="s">
        <v>57</v>
      </c>
      <c r="C1879" s="30" t="n">
        <f aca="false">m_cloud*m_x</f>
        <v>13.82</v>
      </c>
    </row>
    <row r="1880" customFormat="false" ht="17.15" hidden="false" customHeight="false" outlineLevel="0" collapsed="false">
      <c r="A1880" s="0" t="s">
        <v>880</v>
      </c>
      <c r="B1880" s="0" t="s">
        <v>73</v>
      </c>
      <c r="C1880" s="38" t="n">
        <f aca="false">Sens!$C$1878*Sens!$C$1879</f>
        <v>1499.57985241015</v>
      </c>
    </row>
    <row r="1881" customFormat="false" ht="17.15" hidden="false" customHeight="false" outlineLevel="0" collapsed="false">
      <c r="A1881" s="0" t="s">
        <v>881</v>
      </c>
      <c r="B1881" s="0" t="s">
        <v>73</v>
      </c>
      <c r="C1881" s="38" t="n">
        <f aca="false">0.25*Sens!$H$1805+0.75*Sens!$I$1805</f>
        <v>72.2947701247864</v>
      </c>
    </row>
    <row r="1882" customFormat="false" ht="17.15" hidden="false" customHeight="false" outlineLevel="0" collapsed="false">
      <c r="A1882" s="0" t="s">
        <v>882</v>
      </c>
      <c r="B1882" s="0" t="s">
        <v>57</v>
      </c>
      <c r="C1882" s="30" t="n">
        <f aca="false">m_ai</f>
        <v>6</v>
      </c>
    </row>
    <row r="1883" customFormat="false" ht="17.15" hidden="false" customHeight="false" outlineLevel="0" collapsed="false">
      <c r="A1883" s="0" t="s">
        <v>883</v>
      </c>
      <c r="B1883" s="0" t="s">
        <v>73</v>
      </c>
      <c r="C1883" s="38" t="n">
        <f aca="false">Sens!$C$1881*Sens!$C$1882</f>
        <v>433.768620748718</v>
      </c>
    </row>
    <row r="1884" customFormat="false" ht="17.15" hidden="false" customHeight="false" outlineLevel="0" collapsed="false">
      <c r="A1884" s="5" t="s">
        <v>884</v>
      </c>
      <c r="B1884" s="0" t="s">
        <v>73</v>
      </c>
      <c r="C1884" s="38" t="n">
        <f aca="false">Sens!$C$1874+Sens!$C$1877+Sens!$C$1880+Sens!$C$1883</f>
        <v>3007.46204462041</v>
      </c>
    </row>
    <row r="1885" customFormat="false" ht="17.15" hidden="false" customHeight="false" outlineLevel="0" collapsed="false">
      <c r="A1885" s="5" t="s">
        <v>885</v>
      </c>
      <c r="B1885" s="0" t="s">
        <v>73</v>
      </c>
      <c r="C1885" s="38" t="n">
        <f aca="false">Sens!$H$1843</f>
        <v>111.199612012794</v>
      </c>
    </row>
    <row r="1886" customFormat="false" ht="15" hidden="false" customHeight="false" outlineLevel="0" collapsed="false">
      <c r="A1886" s="5" t="s">
        <v>886</v>
      </c>
      <c r="B1886" s="0" t="s">
        <v>73</v>
      </c>
      <c r="C1886" s="38" t="n">
        <f aca="false">Sens!$C$1884-Sens!$C$1885+Sens!$C$1867</f>
        <v>3075.20643260761</v>
      </c>
    </row>
    <row r="1887" customFormat="false" ht="15" hidden="false" customHeight="false" outlineLevel="0" collapsed="false">
      <c r="A1887" s="3" t="s">
        <v>887</v>
      </c>
      <c r="B1887" s="8" t="s">
        <v>27</v>
      </c>
      <c r="C1887" s="30" t="n">
        <f aca="false">Sens!$C$1886/sh_val</f>
        <v>278.795910307505</v>
      </c>
    </row>
    <row r="1888" customFormat="false" ht="17.15" hidden="false" customHeight="false" outlineLevel="0" collapsed="false">
      <c r="A1888" s="46" t="s">
        <v>888</v>
      </c>
      <c r="B1888" s="13" t="s">
        <v>27</v>
      </c>
      <c r="C1888" s="43" t="n">
        <f aca="false">w_dcf*Sens!$C$1870+(1-w_dcf)*Sens!$C$1887</f>
        <v>178.022194862559</v>
      </c>
      <c r="D1888" s="13"/>
      <c r="E1888" s="13"/>
      <c r="F1888" s="13"/>
      <c r="G1888" s="13"/>
      <c r="H1888" s="13"/>
      <c r="I1888" s="13"/>
      <c r="J1888" s="13"/>
      <c r="K1888" s="13"/>
      <c r="L1888" s="13"/>
      <c r="M1888" s="13"/>
      <c r="N1888" s="13"/>
      <c r="O1888" s="13"/>
    </row>
    <row r="1889" customFormat="false" ht="17.15" hidden="false" customHeight="false" outlineLevel="0" collapsed="false">
      <c r="A1889" s="5" t="s">
        <v>889</v>
      </c>
      <c r="B1889" s="0" t="s">
        <v>27</v>
      </c>
      <c r="C1889" s="30" t="n">
        <f aca="false">0.45*Sens!$C$1870+0.55*Sens!$C$1887</f>
        <v>188.099566407054</v>
      </c>
    </row>
    <row r="1892" customFormat="false" ht="19.4" hidden="false" customHeight="false" outlineLevel="0" collapsed="false">
      <c r="A1892" s="31" t="s">
        <v>1085</v>
      </c>
    </row>
    <row r="1893" customFormat="false" ht="17.15" hidden="false" customHeight="false" outlineLevel="0" collapsed="false">
      <c r="A1893" s="6" t="s">
        <v>16</v>
      </c>
      <c r="B1893" s="6" t="s">
        <v>17</v>
      </c>
      <c r="C1893" s="20" t="s">
        <v>457</v>
      </c>
      <c r="D1893" s="20" t="s">
        <v>458</v>
      </c>
      <c r="E1893" s="20" t="s">
        <v>540</v>
      </c>
      <c r="F1893" s="20" t="s">
        <v>541</v>
      </c>
      <c r="G1893" s="20" t="s">
        <v>542</v>
      </c>
      <c r="H1893" s="20" t="s">
        <v>543</v>
      </c>
      <c r="I1893" s="20" t="s">
        <v>544</v>
      </c>
      <c r="J1893" s="20" t="s">
        <v>545</v>
      </c>
      <c r="K1893" s="20" t="s">
        <v>546</v>
      </c>
      <c r="L1893" s="20" t="s">
        <v>547</v>
      </c>
      <c r="M1893" s="20" t="s">
        <v>548</v>
      </c>
      <c r="N1893" s="20" t="s">
        <v>549</v>
      </c>
      <c r="O1893" s="20" t="s">
        <v>550</v>
      </c>
      <c r="P1893" s="6" t="s">
        <v>23</v>
      </c>
      <c r="R1893" s="20" t="n">
        <v>2023</v>
      </c>
      <c r="S1893" s="20" t="n">
        <v>2024</v>
      </c>
      <c r="T1893" s="20" t="n">
        <v>2025</v>
      </c>
      <c r="U1893" s="20" t="n">
        <v>2026</v>
      </c>
      <c r="V1893" s="20" t="n">
        <v>2027</v>
      </c>
      <c r="W1893" s="20" t="n">
        <v>2028</v>
      </c>
      <c r="X1893" s="20" t="n">
        <v>2029</v>
      </c>
      <c r="Y1893" s="20" t="n">
        <v>2030</v>
      </c>
      <c r="Z1893" s="20" t="n">
        <v>2031</v>
      </c>
      <c r="AA1893" s="20" t="n">
        <v>2032</v>
      </c>
    </row>
    <row r="1894" customFormat="false" ht="17.15" hidden="false" customHeight="false" outlineLevel="0" collapsed="false">
      <c r="A1894" s="1" t="s">
        <v>621</v>
      </c>
    </row>
    <row r="1895" customFormat="false" ht="17.15" hidden="false" customHeight="false" outlineLevel="0" collapsed="false">
      <c r="A1895" s="0" t="s">
        <v>479</v>
      </c>
      <c r="B1895" s="0" t="s">
        <v>73</v>
      </c>
      <c r="C1895" s="38" t="n">
        <f aca="false">Q!$D$10</f>
        <v>247.029</v>
      </c>
      <c r="D1895" s="38" t="n">
        <f aca="false">Q!$E$10</f>
        <v>269.287</v>
      </c>
      <c r="E1895" s="38" t="n">
        <f aca="false">Q!$P$10</f>
        <v>134.686</v>
      </c>
      <c r="F1895" s="38" t="n">
        <f aca="false">Sens!$O$1895*(1+Sens!$F$1896)-pd_amt*Q!$O$10/(Q!$O$10+Q!$O$12)</f>
        <v>160.728085930082</v>
      </c>
      <c r="G1895" s="38" t="n">
        <f aca="false">Sens!$E$1895+Sens!$F$1895</f>
        <v>295.414085930082</v>
      </c>
      <c r="H1895" s="38" t="n">
        <f aca="false">Sens!$G$1895*(1+Sens!$H$1896)</f>
        <v>320.828163943375</v>
      </c>
      <c r="I1895" s="38" t="n">
        <f aca="false">Sens!$H$1895*(1+Sens!$I$1896)</f>
        <v>344.575578072228</v>
      </c>
      <c r="J1895" s="38" t="n">
        <f aca="false">Sens!$I$1895*(1+Sens!$J$1896)</f>
        <v>365.942555779681</v>
      </c>
      <c r="K1895" s="38" t="n">
        <f aca="false">Sens!$J$1895*(1+Sens!$K$1896)</f>
        <v>384.239683568665</v>
      </c>
      <c r="L1895" s="38" t="n">
        <f aca="false">Sens!$K$1895*(1+Sens!$L$1896)</f>
        <v>403.451667747098</v>
      </c>
      <c r="M1895" s="38" t="n">
        <f aca="false">Sens!$L$1895*(1+Sens!$M$1896)</f>
        <v>423.624251134453</v>
      </c>
      <c r="N1895" s="38" t="n">
        <f aca="false">Q!$N$10</f>
        <v>118.892</v>
      </c>
      <c r="O1895" s="38" t="n">
        <f aca="false">Q!$O$10</f>
        <v>150.395</v>
      </c>
      <c r="P1895" s="8" t="s">
        <v>622</v>
      </c>
    </row>
    <row r="1896" customFormat="false" ht="17.15" hidden="false" customHeight="false" outlineLevel="0" collapsed="false">
      <c r="A1896" s="0" t="s">
        <v>623</v>
      </c>
      <c r="B1896" s="0" t="s">
        <v>52</v>
      </c>
      <c r="E1896" s="12" t="n">
        <f aca="false">Sens!$E$1895/Sens!$N$1895-1</f>
        <v>0.132843252699929</v>
      </c>
      <c r="F1896" s="12" t="n">
        <f aca="false">Sens!$O$1895/(Q!$F$10+Q!$G$10)-1</f>
        <v>0.0980382135842941</v>
      </c>
      <c r="G1896" s="12" t="n">
        <f aca="false">Sens!$G$1895/Sens!$D$1895-1</f>
        <v>0.0970231980380869</v>
      </c>
      <c r="H1896" s="12" t="n">
        <f aca="false">Sens!$F$1896+(g_os-Sens!$F$1896)*1/4</f>
        <v>0.0860286601882206</v>
      </c>
      <c r="I1896" s="12" t="n">
        <f aca="false">Sens!$F$1896+(g_os-Sens!$F$1896)*2/4</f>
        <v>0.074019106792147</v>
      </c>
      <c r="J1896" s="12" t="n">
        <f aca="false">Sens!$F$1896+(g_os-Sens!$F$1896)*3/4</f>
        <v>0.0620095533960735</v>
      </c>
      <c r="K1896" s="12" t="n">
        <f aca="false">Sens!$F$1896+(g_os-Sens!$F$1896)*4/4</f>
        <v>0.05</v>
      </c>
      <c r="L1896" s="12" t="n">
        <f aca="false">g_os</f>
        <v>0.05</v>
      </c>
      <c r="M1896" s="12" t="n">
        <f aca="false">g_os</f>
        <v>0.05</v>
      </c>
      <c r="P1896" s="8" t="s">
        <v>624</v>
      </c>
    </row>
    <row r="1897" customFormat="false" ht="17.15" hidden="false" customHeight="false" outlineLevel="0" collapsed="false">
      <c r="A1897" s="0" t="s">
        <v>480</v>
      </c>
      <c r="B1897" s="0" t="s">
        <v>73</v>
      </c>
      <c r="C1897" s="38" t="n">
        <f aca="false">Q!$D$11</f>
        <v>21.215</v>
      </c>
      <c r="D1897" s="38" t="n">
        <f aca="false">Q!$E$11</f>
        <v>22.561</v>
      </c>
      <c r="E1897" s="38" t="n">
        <f aca="false">Q!$P$11</f>
        <v>11.579</v>
      </c>
      <c r="F1897" s="38" t="n">
        <f aca="false">Sens!$O$1897*(1+Sens!$F$1898)</f>
        <v>12.0952613121125</v>
      </c>
      <c r="G1897" s="38" t="n">
        <f aca="false">Sens!$E$1897+Sens!$F$1897</f>
        <v>23.6742613121125</v>
      </c>
      <c r="H1897" s="38" t="n">
        <f aca="false">Sens!$G$1897*(1+Sens!$H$1898)</f>
        <v>24.8803243963206</v>
      </c>
      <c r="I1897" s="38" t="n">
        <f aca="false">Sens!$H$1897*(1+Sens!$I$1898)</f>
        <v>25.9741308664154</v>
      </c>
      <c r="J1897" s="38" t="n">
        <f aca="false">Sens!$I$1897*(1+Sens!$J$1898)</f>
        <v>26.9346894124267</v>
      </c>
      <c r="K1897" s="38" t="n">
        <f aca="false">Sens!$J$1897*(1+Sens!$K$1898)</f>
        <v>27.7427300947995</v>
      </c>
      <c r="L1897" s="38" t="n">
        <f aca="false">Sens!$K$1897*(1+Sens!$L$1898)</f>
        <v>28.5750119976435</v>
      </c>
      <c r="M1897" s="38" t="n">
        <f aca="false">Sens!$L$1897*(1+Sens!$M$1898)</f>
        <v>29.4322623575728</v>
      </c>
      <c r="N1897" s="38" t="n">
        <f aca="false">Q!$N$11</f>
        <v>11.128</v>
      </c>
      <c r="O1897" s="38" t="n">
        <f aca="false">Q!$O$11</f>
        <v>11.433</v>
      </c>
      <c r="P1897" s="8" t="s">
        <v>622</v>
      </c>
    </row>
    <row r="1898" customFormat="false" ht="17.15" hidden="false" customHeight="false" outlineLevel="0" collapsed="false">
      <c r="A1898" s="0" t="s">
        <v>625</v>
      </c>
      <c r="B1898" s="0" t="s">
        <v>52</v>
      </c>
      <c r="E1898" s="12" t="n">
        <f aca="false">Sens!$E$1897/Sens!$N$1897-1</f>
        <v>0.0405283968368082</v>
      </c>
      <c r="F1898" s="12" t="n">
        <f aca="false">Sens!$O$1897/(Q!$F$11+Q!$G$11)-1</f>
        <v>0.0579254187100955</v>
      </c>
      <c r="G1898" s="12" t="n">
        <f aca="false">Sens!$G$1897/Sens!$D$1897-1</f>
        <v>0.0493445021103904</v>
      </c>
      <c r="H1898" s="12" t="n">
        <f aca="false">Sens!$F$1898+(g_ps-Sens!$F$1898)*1/4</f>
        <v>0.0509440640325716</v>
      </c>
      <c r="I1898" s="12" t="n">
        <f aca="false">Sens!$F$1898+(g_ps-Sens!$F$1898)*2/4</f>
        <v>0.0439627093550477</v>
      </c>
      <c r="J1898" s="12" t="n">
        <f aca="false">Sens!$F$1898+(g_ps-Sens!$F$1898)*3/4</f>
        <v>0.0369813546775239</v>
      </c>
      <c r="K1898" s="12" t="n">
        <f aca="false">Sens!$F$1898+(g_ps-Sens!$F$1898)*4/4</f>
        <v>0.03</v>
      </c>
      <c r="L1898" s="12" t="n">
        <f aca="false">g_ps</f>
        <v>0.03</v>
      </c>
      <c r="M1898" s="12" t="n">
        <f aca="false">g_ps</f>
        <v>0.03</v>
      </c>
      <c r="P1898" s="8" t="s">
        <v>626</v>
      </c>
    </row>
    <row r="1899" customFormat="false" ht="17.15" hidden="false" customHeight="false" outlineLevel="0" collapsed="false">
      <c r="A1899" s="0" t="s">
        <v>481</v>
      </c>
      <c r="B1899" s="0" t="s">
        <v>73</v>
      </c>
      <c r="C1899" s="38" t="n">
        <f aca="false">Q!$D$12</f>
        <v>156.146</v>
      </c>
      <c r="D1899" s="38" t="n">
        <f aca="false">Q!$E$12</f>
        <v>172.162</v>
      </c>
      <c r="E1899" s="38" t="n">
        <f aca="false">Q!$P$12</f>
        <v>88.358</v>
      </c>
      <c r="F1899" s="38" t="n">
        <f aca="false">Sens!$O$1899*(1+Sens!$F$1900)-pd_amt*Q!$O$12/(Q!$O$10+Q!$O$12)</f>
        <v>103.62028337149</v>
      </c>
      <c r="G1899" s="38" t="n">
        <f aca="false">Sens!$E$1899+Sens!$F$1899</f>
        <v>191.97828337149</v>
      </c>
      <c r="H1899" s="38" t="n">
        <f aca="false">Sens!$G$1899*(1+Sens!$H$1900)</f>
        <v>212.128608444755</v>
      </c>
      <c r="I1899" s="38" t="n">
        <f aca="false">Sens!$H$1899*(1+Sens!$I$1900)</f>
        <v>231.92183134134</v>
      </c>
      <c r="J1899" s="38" t="n">
        <f aca="false">Sens!$I$1899*(1+Sens!$J$1900)</f>
        <v>250.859136487863</v>
      </c>
      <c r="K1899" s="38" t="n">
        <f aca="false">Sens!$J$1899*(1+Sens!$K$1900)</f>
        <v>268.419276042014</v>
      </c>
      <c r="L1899" s="38" t="n">
        <f aca="false">Sens!$K$1899*(1+Sens!$L$1900)</f>
        <v>287.208625364954</v>
      </c>
      <c r="M1899" s="38" t="n">
        <f aca="false">Sens!$L$1899*(1+Sens!$M$1900)</f>
        <v>307.313229140501</v>
      </c>
      <c r="N1899" s="38" t="n">
        <f aca="false">Q!$N$12</f>
        <v>76.86</v>
      </c>
      <c r="O1899" s="38" t="n">
        <f aca="false">Q!$O$12</f>
        <v>95.302</v>
      </c>
      <c r="P1899" s="8" t="s">
        <v>622</v>
      </c>
    </row>
    <row r="1900" customFormat="false" ht="17.15" hidden="false" customHeight="false" outlineLevel="0" collapsed="false">
      <c r="A1900" s="0" t="s">
        <v>627</v>
      </c>
      <c r="B1900" s="0" t="s">
        <v>52</v>
      </c>
      <c r="E1900" s="12" t="n">
        <f aca="false">Sens!$E$1899/Sens!$N$1899-1</f>
        <v>0.1495966692688</v>
      </c>
      <c r="F1900" s="12" t="n">
        <f aca="false">Sens!$O$1899/(Q!$F$12+Q!$G$12)-1</f>
        <v>0.11661530890813</v>
      </c>
      <c r="G1900" s="12" t="n">
        <f aca="false">Sens!$G$1899/Sens!$D$1899-1</f>
        <v>0.115102539303041</v>
      </c>
      <c r="H1900" s="12" t="n">
        <f aca="false">Sens!$F$1900+(g_sp-Sens!$F$1900)*1/4</f>
        <v>0.104961481681098</v>
      </c>
      <c r="I1900" s="12" t="n">
        <f aca="false">Sens!$F$1900+(g_sp-Sens!$F$1900)*2/4</f>
        <v>0.0933076544540651</v>
      </c>
      <c r="J1900" s="12" t="n">
        <f aca="false">Sens!$F$1900+(g_sp-Sens!$F$1900)*3/4</f>
        <v>0.0816538272270325</v>
      </c>
      <c r="K1900" s="12" t="n">
        <f aca="false">Sens!$F$1900+(g_sp-Sens!$F$1900)*4/4</f>
        <v>0.07</v>
      </c>
      <c r="L1900" s="12" t="n">
        <f aca="false">g_sp</f>
        <v>0.07</v>
      </c>
      <c r="M1900" s="12" t="n">
        <f aca="false">g_sp</f>
        <v>0.07</v>
      </c>
      <c r="P1900" s="8" t="s">
        <v>628</v>
      </c>
    </row>
    <row r="1901" customFormat="false" ht="17.15" hidden="false" customHeight="false" outlineLevel="0" collapsed="false">
      <c r="A1901" s="0" t="s">
        <v>482</v>
      </c>
      <c r="B1901" s="0" t="s">
        <v>73</v>
      </c>
      <c r="C1901" s="38" t="n">
        <f aca="false">Q!$D$13</f>
        <v>56.214</v>
      </c>
      <c r="D1901" s="38" t="n">
        <f aca="false">Q!$E$13</f>
        <v>68.635</v>
      </c>
      <c r="E1901" s="38" t="n">
        <f aca="false">Q!$P$13</f>
        <v>37.052</v>
      </c>
      <c r="F1901" s="38" t="n">
        <f aca="false">Sens!$O$1901*(1+Sens!$F$1902)</f>
        <v>48.1533381827382</v>
      </c>
      <c r="G1901" s="38" t="n">
        <f aca="false">Sens!$E$1901+Sens!$F$1901</f>
        <v>85.2053381827382</v>
      </c>
      <c r="H1901" s="38" t="n">
        <f aca="false">Sens!$G$1901*(1+Sens!$H$1902)</f>
        <v>102.29336185894</v>
      </c>
      <c r="I1901" s="38" t="n">
        <f aca="false">Sens!$H$1901*(1+Sens!$I$1902)</f>
        <v>119.379837585241</v>
      </c>
      <c r="J1901" s="38" t="n">
        <f aca="false">Sens!$I$1901*(1+Sens!$J$1902)</f>
        <v>135.319079048844</v>
      </c>
      <c r="K1901" s="38" t="n">
        <f aca="false">Sens!$J$1901*(1+Sens!$K$1902)</f>
        <v>148.850986953729</v>
      </c>
      <c r="L1901" s="38" t="n">
        <f aca="false">Sens!$K$1901*(1+Sens!$L$1902)</f>
        <v>163.736085649102</v>
      </c>
      <c r="M1901" s="38" t="n">
        <f aca="false">Sens!$L$1901*(1+Sens!$M$1902)</f>
        <v>180.109694214012</v>
      </c>
      <c r="N1901" s="38" t="n">
        <f aca="false">Q!$N$13</f>
        <v>29.615</v>
      </c>
      <c r="O1901" s="38" t="n">
        <f aca="false">Q!$O$13</f>
        <v>39.02</v>
      </c>
      <c r="P1901" s="8" t="s">
        <v>622</v>
      </c>
    </row>
    <row r="1902" customFormat="false" ht="17.15" hidden="false" customHeight="false" outlineLevel="0" collapsed="false">
      <c r="A1902" s="0" t="s">
        <v>629</v>
      </c>
      <c r="B1902" s="0" t="s">
        <v>52</v>
      </c>
      <c r="E1902" s="12" t="n">
        <f aca="false">Sens!$E$1901/Sens!$N$1901-1</f>
        <v>0.25112274185379</v>
      </c>
      <c r="F1902" s="12" t="n">
        <f aca="false">Sens!$O$1901/(Q!$F$13+Q!$G$13)-1</f>
        <v>0.234068123596572</v>
      </c>
      <c r="G1902" s="12" t="n">
        <f aca="false">Sens!$G$1901/Sens!$D$1901-1</f>
        <v>0.241426942270536</v>
      </c>
      <c r="H1902" s="12" t="n">
        <f aca="false">Sens!$F$1902+(g_ad-Sens!$F$1902)*1/4</f>
        <v>0.200551092697429</v>
      </c>
      <c r="I1902" s="12" t="n">
        <f aca="false">Sens!$F$1902+(g_ad-Sens!$F$1902)*2/4</f>
        <v>0.167034061798286</v>
      </c>
      <c r="J1902" s="12" t="n">
        <f aca="false">Sens!$F$1902+(g_ad-Sens!$F$1902)*3/4</f>
        <v>0.133517030899143</v>
      </c>
      <c r="K1902" s="12" t="n">
        <f aca="false">Sens!$F$1902+(g_ad-Sens!$F$1902)*4/4</f>
        <v>0.1</v>
      </c>
      <c r="L1902" s="12" t="n">
        <f aca="false">g_ad</f>
        <v>0.1</v>
      </c>
      <c r="M1902" s="12" t="n">
        <f aca="false">g_ad</f>
        <v>0.1</v>
      </c>
      <c r="P1902" s="8" t="s">
        <v>630</v>
      </c>
    </row>
    <row r="1903" customFormat="false" ht="17.15" hidden="false" customHeight="false" outlineLevel="0" collapsed="false">
      <c r="A1903" s="0" t="s">
        <v>483</v>
      </c>
      <c r="B1903" s="0" t="s">
        <v>73</v>
      </c>
      <c r="C1903" s="38" t="n">
        <f aca="false">Q!$D$14</f>
        <v>44.374</v>
      </c>
      <c r="D1903" s="38" t="n">
        <f aca="false">Q!$E$14</f>
        <v>49.619</v>
      </c>
      <c r="E1903" s="38" t="n">
        <f aca="false">Q!$P$14</f>
        <v>27.157</v>
      </c>
      <c r="F1903" s="38" t="n">
        <f aca="false">Sens!$O$1903*(1+Sens!$F$1904)</f>
        <v>28.9776360923374</v>
      </c>
      <c r="G1903" s="38" t="n">
        <f aca="false">Sens!$E$1903+Sens!$F$1903</f>
        <v>56.1346360923374</v>
      </c>
      <c r="H1903" s="38" t="n">
        <f aca="false">Sens!$G$1903*(1+Sens!$H$1904)</f>
        <v>62.4937078946075</v>
      </c>
      <c r="I1903" s="38" t="n">
        <f aca="false">Sens!$H$1903*(1+Sens!$I$1904)</f>
        <v>68.6715233062498</v>
      </c>
      <c r="J1903" s="38" t="n">
        <f aca="false">Sens!$I$1903*(1+Sens!$J$1904)</f>
        <v>74.4692882949818</v>
      </c>
      <c r="K1903" s="38" t="n">
        <f aca="false">Sens!$J$1903*(1+Sens!$K$1904)</f>
        <v>79.6821384756306</v>
      </c>
      <c r="L1903" s="38" t="n">
        <f aca="false">Sens!$K$1903*(1+Sens!$L$1904)</f>
        <v>85.2598881689247</v>
      </c>
      <c r="M1903" s="38" t="n">
        <f aca="false">Sens!$L$1903*(1+Sens!$M$1904)</f>
        <v>91.2280803407494</v>
      </c>
      <c r="N1903" s="38" t="n">
        <f aca="false">Q!$N$14</f>
        <v>23.923</v>
      </c>
      <c r="O1903" s="38" t="n">
        <f aca="false">Q!$O$14</f>
        <v>25.696</v>
      </c>
      <c r="P1903" s="8" t="s">
        <v>622</v>
      </c>
    </row>
    <row r="1904" customFormat="false" ht="17.15" hidden="false" customHeight="false" outlineLevel="0" collapsed="false">
      <c r="A1904" s="0" t="s">
        <v>631</v>
      </c>
      <c r="B1904" s="0" t="s">
        <v>52</v>
      </c>
      <c r="E1904" s="12" t="n">
        <f aca="false">Sens!$E$1903/Sens!$N$1903-1</f>
        <v>0.135183714417088</v>
      </c>
      <c r="F1904" s="12" t="n">
        <f aca="false">Sens!$O$1903/(Q!$F$14+Q!$G$14)-1</f>
        <v>0.127709997366804</v>
      </c>
      <c r="G1904" s="12" t="n">
        <f aca="false">Sens!$G$1903/Sens!$D$1903-1</f>
        <v>0.131313329416905</v>
      </c>
      <c r="H1904" s="12" t="n">
        <f aca="false">Sens!$F$1904+(g_sub-Sens!$F$1904)*1/4</f>
        <v>0.113282498025103</v>
      </c>
      <c r="I1904" s="12" t="n">
        <f aca="false">Sens!$F$1904+(g_sub-Sens!$F$1904)*2/4</f>
        <v>0.0988549986834021</v>
      </c>
      <c r="J1904" s="12" t="n">
        <f aca="false">Sens!$F$1904+(g_sub-Sens!$F$1904)*3/4</f>
        <v>0.084427499341701</v>
      </c>
      <c r="K1904" s="12" t="n">
        <f aca="false">Sens!$F$1904+(g_sub-Sens!$F$1904)*4/4</f>
        <v>0.07</v>
      </c>
      <c r="L1904" s="12" t="n">
        <f aca="false">g_sub</f>
        <v>0.07</v>
      </c>
      <c r="M1904" s="12" t="n">
        <f aca="false">g_sub</f>
        <v>0.07</v>
      </c>
      <c r="P1904" s="8" t="s">
        <v>632</v>
      </c>
    </row>
    <row r="1905" customFormat="false" ht="17.15" hidden="false" customHeight="false" outlineLevel="0" collapsed="false">
      <c r="A1905" s="0" t="s">
        <v>484</v>
      </c>
      <c r="B1905" s="0" t="s">
        <v>73</v>
      </c>
      <c r="C1905" s="38" t="n">
        <f aca="false">Q!$D$15</f>
        <v>5.425</v>
      </c>
      <c r="D1905" s="38" t="n">
        <f aca="false">Q!$E$15</f>
        <v>5.935</v>
      </c>
      <c r="E1905" s="38" t="n">
        <f aca="false">Q!$P$15</f>
        <v>3.474</v>
      </c>
      <c r="F1905" s="38" t="n">
        <f aca="false">Sens!$O$1905*(1+Sens!$F$1906)</f>
        <v>3.36182431966931</v>
      </c>
      <c r="G1905" s="38" t="n">
        <f aca="false">Sens!$E$1905+Sens!$F$1905</f>
        <v>6.83582431966931</v>
      </c>
      <c r="H1905" s="38" t="n">
        <f aca="false">Sens!$G$1905*(1+Sens!$H$1906)</f>
        <v>7.31157108370141</v>
      </c>
      <c r="I1905" s="38" t="n">
        <f aca="false">Sens!$H$1905*(1+Sens!$I$1906)</f>
        <v>7.77266852639815</v>
      </c>
      <c r="J1905" s="38" t="n">
        <f aca="false">Sens!$I$1905*(1+Sens!$J$1906)</f>
        <v>8.2120733019884</v>
      </c>
      <c r="K1905" s="38" t="n">
        <f aca="false">Sens!$J$1905*(1+Sens!$K$1906)</f>
        <v>8.62267696708783</v>
      </c>
      <c r="L1905" s="38" t="n">
        <f aca="false">Sens!$K$1905*(1+Sens!$L$1906)</f>
        <v>9.05381081544222</v>
      </c>
      <c r="M1905" s="38" t="n">
        <f aca="false">Sens!$L$1905*(1+Sens!$M$1906)</f>
        <v>9.50650135621433</v>
      </c>
      <c r="N1905" s="38" t="n">
        <f aca="false">Q!$N$15</f>
        <v>2.811</v>
      </c>
      <c r="O1905" s="38" t="n">
        <f aca="false">Q!$O$15</f>
        <v>3.124</v>
      </c>
      <c r="P1905" s="8" t="s">
        <v>622</v>
      </c>
    </row>
    <row r="1906" customFormat="false" ht="17.15" hidden="false" customHeight="false" outlineLevel="0" collapsed="false">
      <c r="A1906" s="0" t="s">
        <v>633</v>
      </c>
      <c r="B1906" s="0" t="s">
        <v>52</v>
      </c>
      <c r="E1906" s="12" t="n">
        <f aca="false">Sens!$E$1905/Sens!$N$1905-1</f>
        <v>0.235859124866596</v>
      </c>
      <c r="F1906" s="12" t="n">
        <f aca="false">Sens!$O$1905/(Q!$F$15+Q!$G$15)-1</f>
        <v>0.0761281433000345</v>
      </c>
      <c r="G1906" s="12" t="n">
        <f aca="false">Sens!$G$1905/Sens!$D$1905-1</f>
        <v>0.151781688234087</v>
      </c>
      <c r="H1906" s="12" t="n">
        <f aca="false">Sens!$F$1906+(g_ot-Sens!$F$1906)*1/4</f>
        <v>0.0695961074750259</v>
      </c>
      <c r="I1906" s="12" t="n">
        <f aca="false">Sens!$F$1906+(g_ot-Sens!$F$1906)*2/4</f>
        <v>0.0630640716500172</v>
      </c>
      <c r="J1906" s="12" t="n">
        <f aca="false">Sens!$F$1906+(g_ot-Sens!$F$1906)*3/4</f>
        <v>0.0565320358250086</v>
      </c>
      <c r="K1906" s="12" t="n">
        <f aca="false">Sens!$F$1906+(g_ot-Sens!$F$1906)*4/4</f>
        <v>0.05</v>
      </c>
      <c r="L1906" s="12" t="n">
        <f aca="false">g_ot</f>
        <v>0.05</v>
      </c>
      <c r="M1906" s="12" t="n">
        <f aca="false">g_ot</f>
        <v>0.05</v>
      </c>
      <c r="P1906" s="8" t="s">
        <v>634</v>
      </c>
    </row>
    <row r="1907" customFormat="false" ht="17.15" hidden="false" customHeight="false" outlineLevel="0" collapsed="false">
      <c r="A1907" s="3" t="s">
        <v>635</v>
      </c>
      <c r="B1907" s="8" t="s">
        <v>73</v>
      </c>
      <c r="C1907" s="38" t="n">
        <f aca="false">Sens!$C$1895+Sens!$C$1897+Sens!$C$1899+Sens!$C$1901+Sens!$C$1903+Sens!$C$1905</f>
        <v>530.403</v>
      </c>
      <c r="D1907" s="38" t="n">
        <f aca="false">Sens!$D$1895+Sens!$D$1897+Sens!$D$1899+Sens!$D$1901+Sens!$D$1903+Sens!$D$1905</f>
        <v>588.199</v>
      </c>
      <c r="E1907" s="38" t="n">
        <f aca="false">Sens!$E$1895+Sens!$E$1897+Sens!$E$1899+Sens!$E$1901+Sens!$E$1903+Sens!$E$1905</f>
        <v>302.306</v>
      </c>
      <c r="F1907" s="38" t="n">
        <f aca="false">Sens!$F$1895+Sens!$F$1897+Sens!$F$1899+Sens!$F$1901+Sens!$F$1903+Sens!$F$1905</f>
        <v>356.93642920843</v>
      </c>
      <c r="G1907" s="38" t="n">
        <f aca="false">Sens!$G$1895+Sens!$G$1897+Sens!$G$1899+Sens!$G$1901+Sens!$G$1903+Sens!$G$1905</f>
        <v>659.24242920843</v>
      </c>
      <c r="H1907" s="38" t="n">
        <f aca="false">Sens!$H$1895+Sens!$H$1897+Sens!$H$1899+Sens!$H$1901+Sens!$H$1903+Sens!$H$1905</f>
        <v>729.935737621701</v>
      </c>
      <c r="I1907" s="38" t="n">
        <f aca="false">Sens!$I$1895+Sens!$I$1897+Sens!$I$1899+Sens!$I$1901+Sens!$I$1903+Sens!$I$1905</f>
        <v>798.295569697873</v>
      </c>
      <c r="J1907" s="38" t="n">
        <f aca="false">Sens!$J$1895+Sens!$J$1897+Sens!$J$1899+Sens!$J$1901+Sens!$J$1903+Sens!$J$1905</f>
        <v>861.736822325785</v>
      </c>
      <c r="K1907" s="38" t="n">
        <f aca="false">Sens!$K$1895+Sens!$K$1897+Sens!$K$1899+Sens!$K$1901+Sens!$K$1903+Sens!$K$1905</f>
        <v>917.557492101925</v>
      </c>
      <c r="L1907" s="38" t="n">
        <f aca="false">Sens!$L$1895+Sens!$L$1897+Sens!$L$1899+Sens!$L$1901+Sens!$L$1903+Sens!$L$1905</f>
        <v>977.285089743165</v>
      </c>
      <c r="M1907" s="38" t="n">
        <f aca="false">Sens!$M$1895+Sens!$M$1897+Sens!$M$1899+Sens!$M$1901+Sens!$M$1903+Sens!$M$1905</f>
        <v>1041.2140185435</v>
      </c>
      <c r="N1907" s="38" t="n">
        <f aca="false">Sens!$N$1895+Sens!$N$1897+Sens!$N$1899+Sens!$N$1901+Sens!$N$1903+Sens!$N$1905</f>
        <v>263.229</v>
      </c>
      <c r="O1907" s="38" t="n">
        <f aca="false">Sens!$O$1895+Sens!$O$1897+Sens!$O$1899+Sens!$O$1901+Sens!$O$1903+Sens!$O$1905</f>
        <v>324.97</v>
      </c>
    </row>
    <row r="1908" customFormat="false" ht="17.15" hidden="false" customHeight="false" outlineLevel="0" collapsed="false">
      <c r="A1908" s="5" t="s">
        <v>636</v>
      </c>
      <c r="B1908" s="0" t="s">
        <v>52</v>
      </c>
      <c r="C1908" s="12" t="n">
        <f aca="false">Q!$D$5/(Q!$D$5+Q!$D$6)</f>
        <v>0.730570905519011</v>
      </c>
      <c r="D1908" s="12" t="n">
        <f aca="false">Q!$E$5/(Q!$E$5+Q!$E$6)</f>
        <v>0.724763217890544</v>
      </c>
      <c r="E1908" s="12" t="n">
        <f aca="false">Q!$P$5/(Q!$P$5+Q!$P$6)</f>
        <v>0.728797972914861</v>
      </c>
      <c r="F1908" s="12" t="n">
        <f aca="false">Sens!$O$1908</f>
        <v>0.718066283041511</v>
      </c>
      <c r="G1908" s="12" t="n">
        <f aca="false">Sens!$G$1909/Sens!$G$1907</f>
        <v>0.722987468473627</v>
      </c>
      <c r="H1908" s="12" t="n">
        <f aca="false">Sens!$G$1908</f>
        <v>0.722987468473627</v>
      </c>
      <c r="I1908" s="12" t="n">
        <f aca="false">Sens!$G$1908</f>
        <v>0.722987468473627</v>
      </c>
      <c r="J1908" s="12" t="n">
        <f aca="false">Sens!$G$1908</f>
        <v>0.722987468473627</v>
      </c>
      <c r="K1908" s="12" t="n">
        <f aca="false">Sens!$G$1908</f>
        <v>0.722987468473627</v>
      </c>
      <c r="L1908" s="12" t="n">
        <f aca="false">Sens!$G$1908</f>
        <v>0.722987468473627</v>
      </c>
      <c r="M1908" s="12" t="n">
        <f aca="false">Sens!$G$1908</f>
        <v>0.722987468473627</v>
      </c>
      <c r="N1908" s="12" t="n">
        <f aca="false">Q!$N$5/(Q!$N$5+Q!$N$6)</f>
        <v>0.733030935041352</v>
      </c>
      <c r="O1908" s="12" t="n">
        <f aca="false">Q!$O$5/(Q!$O$5+Q!$O$6)</f>
        <v>0.718066283041511</v>
      </c>
      <c r="P1908" s="8" t="s">
        <v>637</v>
      </c>
    </row>
    <row r="1909" customFormat="false" ht="17.15" hidden="false" customHeight="false" outlineLevel="0" collapsed="false">
      <c r="A1909" s="1" t="s">
        <v>472</v>
      </c>
      <c r="B1909" s="8" t="s">
        <v>73</v>
      </c>
      <c r="C1909" s="38" t="n">
        <f aca="false">Q!$D$5</f>
        <v>387.497</v>
      </c>
      <c r="D1909" s="38" t="n">
        <f aca="false">Q!$E$5</f>
        <v>426.305</v>
      </c>
      <c r="E1909" s="38" t="n">
        <f aca="false">Q!$P$5</f>
        <v>220.32</v>
      </c>
      <c r="F1909" s="38" t="n">
        <f aca="false">Sens!$F$1907*Sens!$F$1908</f>
        <v>256.304015003807</v>
      </c>
      <c r="G1909" s="38" t="n">
        <f aca="false">Sens!$E$1909+Sens!$F$1909</f>
        <v>476.624015003807</v>
      </c>
      <c r="H1909" s="38" t="n">
        <f aca="false">Sens!$H$1907*Sens!$H$1908</f>
        <v>527.734391091543</v>
      </c>
      <c r="I1909" s="38" t="n">
        <f aca="false">Sens!$I$1907*Sens!$I$1908</f>
        <v>577.157693029577</v>
      </c>
      <c r="J1909" s="38" t="n">
        <f aca="false">Sens!$J$1907*Sens!$J$1908</f>
        <v>623.024923663827</v>
      </c>
      <c r="K1909" s="38" t="n">
        <f aca="false">Sens!$K$1907*Sens!$K$1908</f>
        <v>663.382568393781</v>
      </c>
      <c r="L1909" s="38" t="n">
        <f aca="false">Sens!$L$1907*Sens!$L$1908</f>
        <v>706.564873010432</v>
      </c>
      <c r="M1909" s="38" t="n">
        <f aca="false">Sens!$M$1907*Sens!$M$1908</f>
        <v>752.784687406019</v>
      </c>
      <c r="N1909" s="38" t="n">
        <f aca="false">Q!$N$5</f>
        <v>192.955</v>
      </c>
      <c r="O1909" s="38" t="n">
        <f aca="false">Q!$O$5</f>
        <v>233.35</v>
      </c>
      <c r="P1909" s="5" t="s">
        <v>638</v>
      </c>
    </row>
    <row r="1910" customFormat="false" ht="17.15" hidden="false" customHeight="false" outlineLevel="0" collapsed="false">
      <c r="A1910" s="1" t="s">
        <v>475</v>
      </c>
      <c r="B1910" s="8" t="s">
        <v>73</v>
      </c>
      <c r="C1910" s="38" t="n">
        <f aca="false">Q!$D$6</f>
        <v>142.906</v>
      </c>
      <c r="D1910" s="38" t="n">
        <f aca="false">Q!$E$6</f>
        <v>161.894</v>
      </c>
      <c r="E1910" s="38" t="n">
        <f aca="false">Q!$P$6</f>
        <v>81.986</v>
      </c>
      <c r="F1910" s="38" t="n">
        <f aca="false">Sens!$F$1907*(1-Sens!$F$1908)</f>
        <v>100.632414204623</v>
      </c>
      <c r="G1910" s="38" t="n">
        <f aca="false">Sens!$E$1910+Sens!$F$1910</f>
        <v>182.618414204623</v>
      </c>
      <c r="H1910" s="38" t="n">
        <f aca="false">Sens!$H$1907*(1-Sens!$H$1908)</f>
        <v>202.201346530158</v>
      </c>
      <c r="I1910" s="38" t="n">
        <f aca="false">Sens!$I$1907*(1-Sens!$I$1908)</f>
        <v>221.137876668296</v>
      </c>
      <c r="J1910" s="38" t="n">
        <f aca="false">Sens!$J$1907*(1-Sens!$J$1908)</f>
        <v>238.711898661958</v>
      </c>
      <c r="K1910" s="38" t="n">
        <f aca="false">Sens!$K$1907*(1-Sens!$K$1908)</f>
        <v>254.174923708144</v>
      </c>
      <c r="L1910" s="38" t="n">
        <f aca="false">Sens!$L$1907*(1-Sens!$L$1908)</f>
        <v>270.720216732733</v>
      </c>
      <c r="M1910" s="38" t="n">
        <f aca="false">Sens!$M$1907*(1-Sens!$M$1908)</f>
        <v>288.429331137484</v>
      </c>
      <c r="N1910" s="38" t="n">
        <f aca="false">Q!$N$6</f>
        <v>70.274</v>
      </c>
      <c r="O1910" s="38" t="n">
        <f aca="false">Q!$O$6</f>
        <v>91.62</v>
      </c>
      <c r="P1910" s="5" t="s">
        <v>639</v>
      </c>
    </row>
    <row r="1911" customFormat="false" ht="17.15" hidden="false" customHeight="false" outlineLevel="0" collapsed="false">
      <c r="A1911" s="5" t="s">
        <v>640</v>
      </c>
      <c r="B1911" s="0" t="s">
        <v>73</v>
      </c>
      <c r="C1911" s="38" t="n">
        <f aca="false">Sens!$C$1901*Sens!$C$1908</f>
        <v>41.0683128828457</v>
      </c>
      <c r="D1911" s="38" t="n">
        <f aca="false">Sens!$D$1901*Sens!$D$1908</f>
        <v>49.7441234599175</v>
      </c>
      <c r="E1911" s="38" t="n">
        <f aca="false">Sens!$E$1901*Sens!$E$1908</f>
        <v>27.0034224924414</v>
      </c>
      <c r="F1911" s="38" t="n">
        <f aca="false">Sens!$F$1901*Sens!$F$1908</f>
        <v>34.5772885649197</v>
      </c>
      <c r="G1911" s="38" t="n">
        <f aca="false">Sens!$G$1901*Sens!$G$1908</f>
        <v>61.6023917531772</v>
      </c>
      <c r="H1911" s="38" t="n">
        <f aca="false">Sens!$H$1901*Sens!$H$1908</f>
        <v>73.9568187320519</v>
      </c>
      <c r="I1911" s="38" t="n">
        <f aca="false">Sens!$I$1901*Sens!$I$1908</f>
        <v>86.3101265625461</v>
      </c>
      <c r="J1911" s="38" t="n">
        <f aca="false">Sens!$J$1901*Sens!$J$1908</f>
        <v>97.8339983977065</v>
      </c>
      <c r="K1911" s="38" t="n">
        <f aca="false">Sens!$K$1901*Sens!$K$1908</f>
        <v>107.617398237477</v>
      </c>
      <c r="L1911" s="38" t="n">
        <f aca="false">Sens!$L$1901*Sens!$L$1908</f>
        <v>118.379138061225</v>
      </c>
      <c r="M1911" s="38" t="n">
        <f aca="false">Sens!$M$1901*Sens!$M$1908</f>
        <v>130.217051867347</v>
      </c>
      <c r="N1911" s="38" t="n">
        <f aca="false">Sens!$N$1901*Sens!$N$1908</f>
        <v>21.7087111412496</v>
      </c>
      <c r="O1911" s="38" t="n">
        <f aca="false">Sens!$O$1901*Sens!$O$1908</f>
        <v>28.0189463642798</v>
      </c>
      <c r="P1911" s="5" t="s">
        <v>641</v>
      </c>
    </row>
    <row r="1912" customFormat="false" ht="15" hidden="false" customHeight="false" outlineLevel="0" collapsed="false">
      <c r="A1912" s="5" t="s">
        <v>642</v>
      </c>
      <c r="B1912" s="0" t="s">
        <v>73</v>
      </c>
      <c r="C1912" s="38" t="n">
        <f aca="false">Sens!$C$1901-Sens!$C$1911</f>
        <v>15.1456871171543</v>
      </c>
      <c r="D1912" s="38" t="n">
        <f aca="false">Sens!$D$1901-Sens!$D$1911</f>
        <v>18.8908765400825</v>
      </c>
      <c r="E1912" s="38" t="n">
        <f aca="false">Sens!$E$1901-Sens!$E$1911</f>
        <v>10.0485775075586</v>
      </c>
      <c r="F1912" s="38" t="n">
        <f aca="false">Sens!$F$1901-Sens!$F$1911</f>
        <v>13.5760496178185</v>
      </c>
      <c r="G1912" s="38" t="n">
        <f aca="false">Sens!$G$1901-Sens!$G$1911</f>
        <v>23.6029464295611</v>
      </c>
      <c r="H1912" s="38" t="n">
        <f aca="false">Sens!$H$1901-Sens!$H$1911</f>
        <v>28.3365431268884</v>
      </c>
      <c r="I1912" s="38" t="n">
        <f aca="false">Sens!$I$1901-Sens!$I$1911</f>
        <v>33.0697110226949</v>
      </c>
      <c r="J1912" s="38" t="n">
        <f aca="false">Sens!$J$1901-Sens!$J$1911</f>
        <v>37.4850806511378</v>
      </c>
      <c r="K1912" s="38" t="n">
        <f aca="false">Sens!$K$1901-Sens!$K$1911</f>
        <v>41.2335887162515</v>
      </c>
      <c r="L1912" s="38" t="n">
        <f aca="false">Sens!$L$1901-Sens!$L$1911</f>
        <v>45.3569475878767</v>
      </c>
      <c r="M1912" s="38" t="n">
        <f aca="false">Sens!$M$1901-Sens!$M$1911</f>
        <v>49.8926423466644</v>
      </c>
      <c r="N1912" s="38" t="n">
        <f aca="false">Sens!$N$1901-Sens!$N$1911</f>
        <v>7.90628885875037</v>
      </c>
      <c r="O1912" s="38" t="n">
        <f aca="false">Sens!$O$1901-Sens!$O$1911</f>
        <v>11.0010536357202</v>
      </c>
    </row>
    <row r="1913" customFormat="false" ht="19.4" hidden="false" customHeight="false" outlineLevel="0" collapsed="false">
      <c r="A1913" s="31" t="s">
        <v>1086</v>
      </c>
    </row>
    <row r="1914" customFormat="false" ht="17.15" hidden="false" customHeight="false" outlineLevel="0" collapsed="false">
      <c r="A1914" s="6" t="s">
        <v>16</v>
      </c>
      <c r="B1914" s="6" t="s">
        <v>17</v>
      </c>
      <c r="C1914" s="20" t="s">
        <v>457</v>
      </c>
      <c r="D1914" s="20" t="s">
        <v>458</v>
      </c>
      <c r="E1914" s="20" t="s">
        <v>540</v>
      </c>
      <c r="F1914" s="20" t="s">
        <v>541</v>
      </c>
      <c r="G1914" s="20" t="s">
        <v>542</v>
      </c>
      <c r="H1914" s="20" t="s">
        <v>543</v>
      </c>
      <c r="I1914" s="20" t="s">
        <v>544</v>
      </c>
      <c r="J1914" s="20" t="s">
        <v>545</v>
      </c>
      <c r="K1914" s="20" t="s">
        <v>546</v>
      </c>
      <c r="L1914" s="20" t="s">
        <v>547</v>
      </c>
      <c r="M1914" s="20" t="s">
        <v>548</v>
      </c>
      <c r="N1914" s="20" t="s">
        <v>549</v>
      </c>
      <c r="O1914" s="20" t="s">
        <v>550</v>
      </c>
      <c r="P1914" s="6" t="s">
        <v>23</v>
      </c>
      <c r="R1914" s="20" t="n">
        <v>2023</v>
      </c>
      <c r="S1914" s="20" t="n">
        <v>2024</v>
      </c>
      <c r="T1914" s="20" t="n">
        <v>2025</v>
      </c>
      <c r="U1914" s="20" t="n">
        <v>2026</v>
      </c>
      <c r="V1914" s="20" t="n">
        <v>2027</v>
      </c>
      <c r="W1914" s="20" t="n">
        <v>2028</v>
      </c>
      <c r="X1914" s="20" t="n">
        <v>2029</v>
      </c>
      <c r="Y1914" s="20" t="n">
        <v>2030</v>
      </c>
      <c r="Z1914" s="20" t="n">
        <v>2031</v>
      </c>
      <c r="AA1914" s="20" t="n">
        <v>2032</v>
      </c>
    </row>
    <row r="1915" customFormat="false" ht="17.15" hidden="false" customHeight="false" outlineLevel="0" collapsed="false">
      <c r="A1915" s="1" t="s">
        <v>551</v>
      </c>
    </row>
    <row r="1916" customFormat="false" ht="17.15" hidden="false" customHeight="false" outlineLevel="0" collapsed="false">
      <c r="A1916" s="14" t="s">
        <v>552</v>
      </c>
      <c r="B1916" s="13" t="s">
        <v>108</v>
      </c>
      <c r="C1916" s="32" t="n">
        <f aca="false">mw_ye24</f>
        <v>360</v>
      </c>
      <c r="D1916" s="32" t="n">
        <f aca="false">mw_ye25</f>
        <v>1440</v>
      </c>
      <c r="E1916" s="32" t="n">
        <f aca="false">mw_open</f>
        <v>2080</v>
      </c>
      <c r="F1916" s="32" t="n">
        <f aca="false">Sens!$E$1916+pace_B*0.5</f>
        <v>3897.15</v>
      </c>
      <c r="G1916" s="32" t="n">
        <f aca="false">Sens!$F$1916</f>
        <v>3897.15</v>
      </c>
      <c r="H1916" s="32" t="n">
        <f aca="false">Sens!$G$1916+pace_B</f>
        <v>7531.45</v>
      </c>
      <c r="I1916" s="32" t="n">
        <f aca="false">Sens!$H$1916+pace_B</f>
        <v>11165.75</v>
      </c>
      <c r="J1916" s="32" t="n">
        <f aca="false">Sens!$I$1916+pace_B</f>
        <v>14800.05</v>
      </c>
      <c r="K1916" s="32" t="n">
        <f aca="false">Sens!$J$1916+pace_B</f>
        <v>18434.35</v>
      </c>
      <c r="L1916" s="32" t="n">
        <f aca="false">Sens!$K$1916+pace_B</f>
        <v>22068.65</v>
      </c>
      <c r="M1916" s="32" t="n">
        <f aca="false">Sens!$L$1916+pace_B</f>
        <v>25702.95</v>
      </c>
      <c r="N1916" s="32" t="n">
        <f aca="false">(mw_ye24+mw_ye25)/2</f>
        <v>900</v>
      </c>
      <c r="O1916" s="32" t="n">
        <f aca="false">mw_ye25</f>
        <v>1440</v>
      </c>
      <c r="P1916" s="5" t="s">
        <v>553</v>
      </c>
    </row>
    <row r="1917" customFormat="false" ht="17.15" hidden="false" customHeight="false" outlineLevel="0" collapsed="false">
      <c r="A1917" s="5" t="s">
        <v>554</v>
      </c>
      <c r="B1917" s="0" t="s">
        <v>108</v>
      </c>
      <c r="C1917" s="33" t="n">
        <f aca="false">(mw_ye23+mw_ye24)/2</f>
        <v>240</v>
      </c>
      <c r="D1917" s="33" t="n">
        <f aca="false">(Sens!$C$1916+Sens!$D$1916)/2</f>
        <v>900</v>
      </c>
      <c r="E1917" s="33" t="n">
        <f aca="false">(Sens!$D$1916+Sens!$E$1916)/2</f>
        <v>1760</v>
      </c>
      <c r="F1917" s="33" t="n">
        <f aca="false">(Sens!$E$1916+Sens!$F$1916)/2</f>
        <v>2988.575</v>
      </c>
      <c r="G1917" s="33" t="n">
        <f aca="false">(Sens!$E$1917+Sens!$F$1917)/2</f>
        <v>2374.2875</v>
      </c>
      <c r="H1917" s="33" t="n">
        <f aca="false">(Sens!$G$1916+Sens!$H$1916)/2</f>
        <v>5714.3</v>
      </c>
      <c r="I1917" s="33" t="n">
        <f aca="false">(Sens!$H$1916+Sens!$I$1916)/2</f>
        <v>9348.6</v>
      </c>
      <c r="J1917" s="33" t="n">
        <f aca="false">(Sens!$I$1916+Sens!$J$1916)/2</f>
        <v>12982.9</v>
      </c>
      <c r="K1917" s="33" t="n">
        <f aca="false">(Sens!$J$1916+Sens!$K$1916)/2</f>
        <v>16617.2</v>
      </c>
      <c r="L1917" s="33" t="n">
        <f aca="false">(Sens!$K$1916+Sens!$L$1916)/2</f>
        <v>20251.5</v>
      </c>
      <c r="M1917" s="33" t="n">
        <f aca="false">(Sens!$L$1916+Sens!$M$1916)/2</f>
        <v>23885.8</v>
      </c>
      <c r="N1917" s="33" t="n">
        <f aca="false">(Sens!$C$1916+Sens!$N$1916)/2</f>
        <v>630</v>
      </c>
      <c r="O1917" s="33" t="n">
        <f aca="false">(Sens!$N$1916+Sens!$O$1916)/2</f>
        <v>1170</v>
      </c>
    </row>
    <row r="1918" customFormat="false" ht="15" hidden="false" customHeight="false" outlineLevel="0" collapsed="false">
      <c r="A1918" s="5" t="s">
        <v>555</v>
      </c>
      <c r="B1918" s="5" t="s">
        <v>102</v>
      </c>
      <c r="C1918" s="34" t="n">
        <v>1</v>
      </c>
      <c r="D1918" s="34" t="n">
        <v>1</v>
      </c>
      <c r="E1918" s="34" t="n">
        <v>0.5</v>
      </c>
      <c r="F1918" s="34" t="n">
        <v>0.5</v>
      </c>
      <c r="G1918" s="34" t="n">
        <v>1</v>
      </c>
      <c r="H1918" s="34" t="n">
        <v>1</v>
      </c>
      <c r="I1918" s="34" t="n">
        <v>1</v>
      </c>
      <c r="J1918" s="34" t="n">
        <v>1</v>
      </c>
      <c r="K1918" s="34" t="n">
        <v>1</v>
      </c>
      <c r="L1918" s="34" t="n">
        <v>1</v>
      </c>
      <c r="M1918" s="34" t="n">
        <v>1</v>
      </c>
      <c r="N1918" s="34" t="n">
        <v>0.5</v>
      </c>
      <c r="O1918" s="34" t="n">
        <v>0.5</v>
      </c>
    </row>
    <row r="1919" customFormat="false" ht="17.15" hidden="false" customHeight="false" outlineLevel="0" collapsed="false">
      <c r="A1919" s="5" t="s">
        <v>556</v>
      </c>
      <c r="B1919" s="0" t="s">
        <v>108</v>
      </c>
      <c r="C1919" s="33" t="n">
        <f aca="false">Sens!$C$1916-mw_ye23</f>
        <v>240</v>
      </c>
      <c r="D1919" s="33" t="n">
        <f aca="false">Sens!$D$1916-Sens!$C$1916</f>
        <v>1080</v>
      </c>
      <c r="E1919" s="33" t="n">
        <f aca="false">Sens!$E$1916-Sens!$D$1916</f>
        <v>640</v>
      </c>
      <c r="F1919" s="33" t="n">
        <f aca="false">Sens!$F$1916-Sens!$E$1916</f>
        <v>1817.15</v>
      </c>
      <c r="G1919" s="33" t="n">
        <f aca="false">Sens!$E$1919+Sens!$F$1919</f>
        <v>2457.15</v>
      </c>
      <c r="H1919" s="33" t="n">
        <f aca="false">Sens!$H$1916-Sens!$G$1916</f>
        <v>3634.3</v>
      </c>
      <c r="I1919" s="33" t="n">
        <f aca="false">Sens!$I$1916-Sens!$H$1916</f>
        <v>3634.3</v>
      </c>
      <c r="J1919" s="33" t="n">
        <f aca="false">Sens!$J$1916-Sens!$I$1916</f>
        <v>3634.3</v>
      </c>
      <c r="K1919" s="33" t="n">
        <f aca="false">Sens!$K$1916-Sens!$J$1916</f>
        <v>3634.3</v>
      </c>
      <c r="L1919" s="33" t="n">
        <f aca="false">Sens!$L$1916-Sens!$K$1916</f>
        <v>3634.3</v>
      </c>
      <c r="M1919" s="33" t="n">
        <f aca="false">Sens!$M$1916-Sens!$L$1916</f>
        <v>3634.3</v>
      </c>
      <c r="N1919" s="33" t="n">
        <f aca="false">Sens!$N$1916-Sens!$C$1916</f>
        <v>540</v>
      </c>
      <c r="O1919" s="33" t="n">
        <f aca="false">Sens!$O$1916-Sens!$N$1916</f>
        <v>540</v>
      </c>
    </row>
    <row r="1920" customFormat="false" ht="17.15" hidden="false" customHeight="false" outlineLevel="0" collapsed="false">
      <c r="A1920" s="5" t="s">
        <v>557</v>
      </c>
      <c r="B1920" s="0" t="s">
        <v>108</v>
      </c>
      <c r="C1920" s="33" t="n">
        <f aca="false">Sens!$C$1919/ext_sh</f>
        <v>300</v>
      </c>
      <c r="D1920" s="33" t="n">
        <f aca="false">Sens!$D$1919/ext_sh</f>
        <v>1350</v>
      </c>
      <c r="E1920" s="33" t="n">
        <f aca="false">Sens!$E$1919/ext_sh</f>
        <v>800</v>
      </c>
      <c r="F1920" s="33" t="n">
        <f aca="false">Sens!$F$1919/ext_sh</f>
        <v>2271.4375</v>
      </c>
      <c r="G1920" s="33" t="n">
        <f aca="false">Sens!$G$1919/ext_sh</f>
        <v>3071.4375</v>
      </c>
      <c r="H1920" s="33" t="n">
        <f aca="false">Sens!$H$1919/ext_sh</f>
        <v>4542.875</v>
      </c>
      <c r="I1920" s="33" t="n">
        <f aca="false">Sens!$I$1919/ext_sh</f>
        <v>4542.875</v>
      </c>
      <c r="J1920" s="33" t="n">
        <f aca="false">Sens!$J$1919/ext_sh</f>
        <v>4542.875</v>
      </c>
      <c r="K1920" s="33" t="n">
        <f aca="false">Sens!$K$1919/ext_sh</f>
        <v>4542.875</v>
      </c>
      <c r="L1920" s="33" t="n">
        <f aca="false">Sens!$L$1919/ext_sh</f>
        <v>4542.875</v>
      </c>
      <c r="M1920" s="33" t="n">
        <f aca="false">Sens!$M$1919/ext_sh</f>
        <v>4542.875</v>
      </c>
      <c r="N1920" s="33" t="n">
        <f aca="false">Sens!$N$1919/ext_sh</f>
        <v>675</v>
      </c>
      <c r="O1920" s="33" t="n">
        <f aca="false">Sens!$O$1919/ext_sh</f>
        <v>675</v>
      </c>
      <c r="P1920" s="8" t="s">
        <v>558</v>
      </c>
      <c r="R1920" s="33" t="n">
        <f aca="false">mw_ye23/ext_sh</f>
        <v>150</v>
      </c>
      <c r="S1920" s="33" t="n">
        <f aca="false">Sens!$C$1920</f>
        <v>300</v>
      </c>
      <c r="T1920" s="33" t="n">
        <f aca="false">Sens!$D$1920</f>
        <v>1350</v>
      </c>
      <c r="U1920" s="33" t="n">
        <f aca="false">Sens!$G$1920</f>
        <v>3071.4375</v>
      </c>
      <c r="V1920" s="33" t="n">
        <f aca="false">Sens!$H$1920</f>
        <v>4542.875</v>
      </c>
      <c r="W1920" s="33" t="n">
        <f aca="false">Sens!$I$1920</f>
        <v>4542.875</v>
      </c>
      <c r="X1920" s="33" t="n">
        <f aca="false">Sens!$J$1920</f>
        <v>4542.875</v>
      </c>
      <c r="Y1920" s="33" t="n">
        <f aca="false">Sens!$K$1920</f>
        <v>4542.875</v>
      </c>
      <c r="Z1920" s="33" t="n">
        <f aca="false">Sens!$L$1920</f>
        <v>4542.875</v>
      </c>
      <c r="AA1920" s="33" t="n">
        <f aca="false">Sens!$M$1920</f>
        <v>4542.875</v>
      </c>
    </row>
    <row r="1921" customFormat="false" ht="17.15" hidden="false" customHeight="false" outlineLevel="0" collapsed="false">
      <c r="A1921" s="1" t="s">
        <v>559</v>
      </c>
    </row>
    <row r="1922" customFormat="false" ht="17.15" hidden="false" customHeight="false" outlineLevel="0" collapsed="false">
      <c r="A1922" s="0" t="s">
        <v>560</v>
      </c>
      <c r="B1922" s="0" t="s">
        <v>52</v>
      </c>
      <c r="F1922" s="35" t="n">
        <f aca="false">na_vr26</f>
        <v>0</v>
      </c>
      <c r="G1922" s="35" t="n">
        <f aca="false">na_vr26</f>
        <v>0</v>
      </c>
      <c r="H1922" s="35" t="n">
        <f aca="false">na_vr27</f>
        <v>0.5</v>
      </c>
      <c r="I1922" s="35" t="n">
        <f aca="false">na_vr28</f>
        <v>1</v>
      </c>
      <c r="J1922" s="35" t="n">
        <f aca="false">na_vr28</f>
        <v>1</v>
      </c>
      <c r="K1922" s="35" t="n">
        <f aca="false">na_vr28</f>
        <v>1</v>
      </c>
      <c r="L1922" s="35" t="n">
        <f aca="false">na_vr28</f>
        <v>1</v>
      </c>
      <c r="M1922" s="35" t="n">
        <f aca="false">na_vr28</f>
        <v>1</v>
      </c>
    </row>
    <row r="1923" customFormat="false" ht="17.15" hidden="false" customHeight="false" outlineLevel="0" collapsed="false">
      <c r="A1923" s="5" t="s">
        <v>561</v>
      </c>
      <c r="B1923" s="0" t="s">
        <v>151</v>
      </c>
      <c r="F1923" s="36" t="n">
        <f aca="false">cust_sh*tk_he_gb300*cf_chip+(1-cust_sh)*((1-Sens!$F$1922)*tk_he_gb300+Sens!$F$1922*tk_he_vr200)</f>
        <v>10.8864110021101</v>
      </c>
      <c r="G1923" s="36" t="n">
        <f aca="false">cust_sh*tk_he_gb300*cf_chip+(1-cust_sh)*((1-Sens!$G$1922)*tk_he_gb300+Sens!$G$1922*tk_he_vr200)</f>
        <v>10.8864110021101</v>
      </c>
      <c r="H1923" s="36" t="n">
        <f aca="false">cust_sh*tk_he_gb300*cf_chip+(1-cust_sh)*((1-Sens!$H$1922)*tk_he_gb300+Sens!$H$1922*tk_he_vr200)</f>
        <v>11.2211760027286</v>
      </c>
      <c r="I1923" s="36" t="n">
        <f aca="false">cust_sh*tk_he_gb300*cf_chip+(1-cust_sh)*((1-Sens!$I$1922)*tk_he_gb300+Sens!$I$1922*tk_he_vr200)</f>
        <v>11.5559410033471</v>
      </c>
      <c r="J1923" s="36" t="n">
        <f aca="false">cust_sh*tk_he_gb300*cf_chip+(1-cust_sh)*((1-Sens!$J$1922)*tk_he_gb300+Sens!$J$1922*tk_he_vr200)</f>
        <v>11.5559410033471</v>
      </c>
      <c r="K1923" s="36" t="n">
        <f aca="false">cust_sh*tk_he_gb300*cf_chip+(1-cust_sh)*((1-Sens!$K$1922)*tk_he_gb300+Sens!$K$1922*tk_he_vr200)</f>
        <v>11.5559410033471</v>
      </c>
      <c r="L1923" s="36" t="n">
        <f aca="false">cust_sh*tk_he_gb300*cf_chip+(1-cust_sh)*((1-Sens!$L$1922)*tk_he_gb300+Sens!$L$1922*tk_he_vr200)</f>
        <v>11.5559410033471</v>
      </c>
      <c r="M1923" s="36" t="n">
        <f aca="false">cust_sh*tk_he_gb300*cf_chip+(1-cust_sh)*((1-Sens!$M$1922)*tk_he_gb300+Sens!$M$1922*tk_he_vr200)</f>
        <v>11.5559410033471</v>
      </c>
    </row>
    <row r="1924" customFormat="false" ht="17.15" hidden="false" customHeight="false" outlineLevel="0" collapsed="false">
      <c r="A1924" s="5" t="s">
        <v>562</v>
      </c>
      <c r="B1924" s="0" t="s">
        <v>151</v>
      </c>
      <c r="F1924" s="36" t="n">
        <f aca="false">cust_sh*tk_ox_gb300+(1-cust_sh)*((1-Sens!$F$1922)*tk_ox_gb300+Sens!$F$1922*tk_ox_vr200)</f>
        <v>1.98263481314457</v>
      </c>
      <c r="G1924" s="36" t="n">
        <f aca="false">cust_sh*tk_ox_gb300+(1-cust_sh)*((1-Sens!$G$1922)*tk_ox_gb300+Sens!$G$1922*tk_ox_vr200)</f>
        <v>1.98263481314457</v>
      </c>
      <c r="H1924" s="36" t="n">
        <f aca="false">cust_sh*tk_ox_gb300+(1-cust_sh)*((1-Sens!$H$1922)*tk_ox_gb300+Sens!$H$1922*tk_ox_vr200)</f>
        <v>2.01034999693694</v>
      </c>
      <c r="I1924" s="36" t="n">
        <f aca="false">cust_sh*tk_ox_gb300+(1-cust_sh)*((1-Sens!$I$1922)*tk_ox_gb300+Sens!$I$1922*tk_ox_vr200)</f>
        <v>2.0380651807293</v>
      </c>
      <c r="J1924" s="36" t="n">
        <f aca="false">cust_sh*tk_ox_gb300+(1-cust_sh)*((1-Sens!$J$1922)*tk_ox_gb300+Sens!$J$1922*tk_ox_vr200)</f>
        <v>2.0380651807293</v>
      </c>
      <c r="K1924" s="36" t="n">
        <f aca="false">cust_sh*tk_ox_gb300+(1-cust_sh)*((1-Sens!$K$1922)*tk_ox_gb300+Sens!$K$1922*tk_ox_vr200)</f>
        <v>2.0380651807293</v>
      </c>
      <c r="L1924" s="36" t="n">
        <f aca="false">cust_sh*tk_ox_gb300+(1-cust_sh)*((1-Sens!$L$1922)*tk_ox_gb300+Sens!$L$1922*tk_ox_vr200)</f>
        <v>2.0380651807293</v>
      </c>
      <c r="M1924" s="36" t="n">
        <f aca="false">cust_sh*tk_ox_gb300+(1-cust_sh)*((1-Sens!$M$1922)*tk_ox_gb300+Sens!$M$1922*tk_ox_vr200)</f>
        <v>2.0380651807293</v>
      </c>
    </row>
    <row r="1925" customFormat="false" ht="17.15" hidden="false" customHeight="false" outlineLevel="0" collapsed="false">
      <c r="A1925" s="5" t="s">
        <v>563</v>
      </c>
      <c r="B1925" s="0" t="s">
        <v>170</v>
      </c>
      <c r="F1925" s="36" t="n">
        <f aca="false">cust_sh*tk_cx_gb300*cf_cx+(1-cust_sh)*((1-Sens!$F$1922)*tk_cx_gb300+Sens!$F$1922*tk_cx_vr200)</f>
        <v>32.237224</v>
      </c>
      <c r="G1925" s="36" t="n">
        <f aca="false">cust_sh*tk_cx_gb300*cf_cx+(1-cust_sh)*((1-Sens!$G$1922)*tk_cx_gb300+Sens!$G$1922*tk_cx_vr200)</f>
        <v>32.237224</v>
      </c>
      <c r="H1925" s="36" t="n">
        <f aca="false">cust_sh*tk_cx_gb300*cf_cx+(1-cust_sh)*((1-Sens!$H$1922)*tk_cx_gb300+Sens!$H$1922*tk_cx_vr200)</f>
        <v>33.574506</v>
      </c>
      <c r="I1925" s="36" t="n">
        <f aca="false">cust_sh*tk_cx_gb300*cf_cx+(1-cust_sh)*((1-Sens!$I$1922)*tk_cx_gb300+Sens!$I$1922*tk_cx_vr200)</f>
        <v>34.911788</v>
      </c>
      <c r="J1925" s="36" t="n">
        <f aca="false">cust_sh*tk_cx_gb300*cf_cx+(1-cust_sh)*((1-Sens!$J$1922)*tk_cx_gb300+Sens!$J$1922*tk_cx_vr200)</f>
        <v>34.911788</v>
      </c>
      <c r="K1925" s="36" t="n">
        <f aca="false">cust_sh*tk_cx_gb300*cf_cx+(1-cust_sh)*((1-Sens!$K$1922)*tk_cx_gb300+Sens!$K$1922*tk_cx_vr200)</f>
        <v>34.911788</v>
      </c>
      <c r="L1925" s="36" t="n">
        <f aca="false">cust_sh*tk_cx_gb300*cf_cx+(1-cust_sh)*((1-Sens!$L$1922)*tk_cx_gb300+Sens!$L$1922*tk_cx_vr200)</f>
        <v>34.911788</v>
      </c>
      <c r="M1925" s="36" t="n">
        <f aca="false">cust_sh*tk_cx_gb300*cf_cx+(1-cust_sh)*((1-Sens!$M$1922)*tk_cx_gb300+Sens!$M$1922*tk_cx_vr200)</f>
        <v>34.911788</v>
      </c>
    </row>
    <row r="1926" customFormat="false" ht="17.15" hidden="false" customHeight="false" outlineLevel="0" collapsed="false">
      <c r="A1926" s="5" t="s">
        <v>564</v>
      </c>
      <c r="B1926" s="0" t="s">
        <v>108</v>
      </c>
      <c r="F1926" s="33" t="n">
        <f aca="false">Sens!$F$1916-mw_open</f>
        <v>1817.15</v>
      </c>
      <c r="G1926" s="33" t="n">
        <f aca="false">Sens!$F$1926</f>
        <v>1817.15</v>
      </c>
      <c r="H1926" s="33" t="n">
        <f aca="false">Sens!$H$1916-mw_open</f>
        <v>5451.45</v>
      </c>
      <c r="I1926" s="33" t="n">
        <f aca="false">Sens!$I$1916-mw_open</f>
        <v>9085.75</v>
      </c>
      <c r="J1926" s="33" t="n">
        <f aca="false">Sens!$J$1916-mw_open</f>
        <v>12720.05</v>
      </c>
      <c r="K1926" s="33" t="n">
        <f aca="false">Sens!$K$1916-mw_open</f>
        <v>16354.35</v>
      </c>
      <c r="L1926" s="33" t="n">
        <f aca="false">Sens!$L$1916-mw_open</f>
        <v>19988.65</v>
      </c>
      <c r="M1926" s="33" t="n">
        <f aca="false">Sens!$M$1916-mw_open</f>
        <v>23622.95</v>
      </c>
    </row>
    <row r="1927" customFormat="false" ht="17.15" hidden="false" customHeight="false" outlineLevel="0" collapsed="false">
      <c r="A1927" s="0" t="s">
        <v>565</v>
      </c>
      <c r="B1927" s="0" t="s">
        <v>566</v>
      </c>
      <c r="F1927" s="33" t="n">
        <f aca="false">Sens!$F$1919*Sens!$F$1923</f>
        <v>19782.2417524844</v>
      </c>
      <c r="G1927" s="33" t="n">
        <f aca="false">Sens!$F$1927</f>
        <v>19782.2417524844</v>
      </c>
      <c r="H1927" s="33" t="n">
        <f aca="false">Sens!$G$1927+Sens!$H$1919*Sens!$H$1923</f>
        <v>60563.3616992009</v>
      </c>
      <c r="I1927" s="33" t="n">
        <f aca="false">Sens!$H$1927+Sens!$I$1919*Sens!$I$1923</f>
        <v>102561.118087665</v>
      </c>
      <c r="J1927" s="33" t="n">
        <f aca="false">Sens!$I$1927+Sens!$J$1919*Sens!$J$1923</f>
        <v>144558.87447613</v>
      </c>
      <c r="K1927" s="33" t="n">
        <f aca="false">Sens!$J$1927+Sens!$K$1919*Sens!$K$1923</f>
        <v>186556.630864594</v>
      </c>
      <c r="L1927" s="33" t="n">
        <f aca="false">Sens!$K$1927+Sens!$L$1919*Sens!$L$1923</f>
        <v>228554.387253058</v>
      </c>
      <c r="M1927" s="33" t="n">
        <f aca="false">Sens!$L$1927+Sens!$M$1919*Sens!$M$1923</f>
        <v>270552.143641523</v>
      </c>
    </row>
    <row r="1928" customFormat="false" ht="17.15" hidden="false" customHeight="false" outlineLevel="0" collapsed="false">
      <c r="A1928" s="0" t="s">
        <v>567</v>
      </c>
      <c r="B1928" s="0" t="s">
        <v>566</v>
      </c>
      <c r="F1928" s="33" t="n">
        <f aca="false">Sens!$F$1919*Sens!$F$1924</f>
        <v>3602.74485070566</v>
      </c>
      <c r="G1928" s="33" t="n">
        <f aca="false">Sens!$F$1928</f>
        <v>3602.74485070566</v>
      </c>
      <c r="H1928" s="33" t="n">
        <f aca="false">Sens!$G$1928+Sens!$H$1919*Sens!$H$1924</f>
        <v>10908.9598445736</v>
      </c>
      <c r="I1928" s="33" t="n">
        <f aca="false">Sens!$H$1928+Sens!$I$1919*Sens!$I$1924</f>
        <v>18315.9001308981</v>
      </c>
      <c r="J1928" s="33" t="n">
        <f aca="false">Sens!$I$1928+Sens!$J$1919*Sens!$J$1924</f>
        <v>25722.8404172225</v>
      </c>
      <c r="K1928" s="33" t="n">
        <f aca="false">Sens!$J$1928+Sens!$K$1919*Sens!$K$1924</f>
        <v>33129.780703547</v>
      </c>
      <c r="L1928" s="33" t="n">
        <f aca="false">Sens!$K$1928+Sens!$L$1919*Sens!$L$1924</f>
        <v>40536.7209898715</v>
      </c>
      <c r="M1928" s="33" t="n">
        <f aca="false">Sens!$L$1928+Sens!$M$1919*Sens!$M$1924</f>
        <v>47943.661276196</v>
      </c>
    </row>
    <row r="1929" customFormat="false" ht="17.15" hidden="false" customHeight="false" outlineLevel="0" collapsed="false">
      <c r="A1929" s="5" t="s">
        <v>568</v>
      </c>
      <c r="B1929" s="0" t="s">
        <v>151</v>
      </c>
      <c r="F1929" s="36" t="n">
        <f aca="false">IF(Sens!$F$1926&gt;0,Sens!$F$1927/Sens!$F$1926,Sens!$F$1923)</f>
        <v>10.8864110021101</v>
      </c>
      <c r="G1929" s="36" t="n">
        <f aca="false">IF(Sens!$G$1926&gt;0,Sens!$G$1927/Sens!$G$1926,Sens!$G$1923)</f>
        <v>10.8864110021101</v>
      </c>
      <c r="H1929" s="36" t="n">
        <f aca="false">IF(Sens!$H$1926&gt;0,Sens!$H$1927/Sens!$H$1926,Sens!$H$1923)</f>
        <v>11.1095876691891</v>
      </c>
      <c r="I1929" s="36" t="n">
        <f aca="false">IF(Sens!$I$1926&gt;0,Sens!$I$1927/Sens!$I$1926,Sens!$I$1923)</f>
        <v>11.2881290028523</v>
      </c>
      <c r="J1929" s="36" t="n">
        <f aca="false">IF(Sens!$J$1926&gt;0,Sens!$J$1927/Sens!$J$1926,Sens!$J$1923)</f>
        <v>11.3646467172794</v>
      </c>
      <c r="K1929" s="36" t="n">
        <f aca="false">IF(Sens!$K$1926&gt;0,Sens!$K$1927/Sens!$K$1926,Sens!$K$1923)</f>
        <v>11.4071565586278</v>
      </c>
      <c r="L1929" s="36" t="n">
        <f aca="false">IF(Sens!$L$1926&gt;0,Sens!$L$1927/Sens!$L$1926,Sens!$L$1923)</f>
        <v>11.4342082758495</v>
      </c>
      <c r="M1929" s="36" t="n">
        <f aca="false">IF(Sens!$M$1926&gt;0,Sens!$M$1927/Sens!$M$1926,Sens!$M$1923)</f>
        <v>11.4529363877722</v>
      </c>
    </row>
    <row r="1930" customFormat="false" ht="17.15" hidden="false" customHeight="false" outlineLevel="0" collapsed="false">
      <c r="A1930" s="5" t="s">
        <v>569</v>
      </c>
      <c r="B1930" s="0" t="s">
        <v>151</v>
      </c>
      <c r="F1930" s="36" t="n">
        <f aca="false">IF(Sens!$F$1926&gt;0,Sens!$F$1928/Sens!$F$1926,Sens!$F$1924)</f>
        <v>1.98263481314457</v>
      </c>
      <c r="G1930" s="36" t="n">
        <f aca="false">IF(Sens!$G$1926&gt;0,Sens!$G$1928/Sens!$G$1926,Sens!$G$1924)</f>
        <v>1.98263481314457</v>
      </c>
      <c r="H1930" s="36" t="n">
        <f aca="false">IF(Sens!$H$1926&gt;0,Sens!$H$1928/Sens!$H$1926,Sens!$H$1924)</f>
        <v>2.00111160233948</v>
      </c>
      <c r="I1930" s="36" t="n">
        <f aca="false">IF(Sens!$I$1926&gt;0,Sens!$I$1928/Sens!$I$1926,Sens!$I$1924)</f>
        <v>2.01589303369541</v>
      </c>
      <c r="J1930" s="36" t="n">
        <f aca="false">IF(Sens!$J$1926&gt;0,Sens!$J$1928/Sens!$J$1926,Sens!$J$1924)</f>
        <v>2.02222793284795</v>
      </c>
      <c r="K1930" s="36" t="n">
        <f aca="false">IF(Sens!$K$1926&gt;0,Sens!$K$1928/Sens!$K$1926,Sens!$K$1924)</f>
        <v>2.02574732126603</v>
      </c>
      <c r="L1930" s="36" t="n">
        <f aca="false">IF(Sens!$L$1926&gt;0,Sens!$L$1928/Sens!$L$1926,Sens!$L$1924)</f>
        <v>2.02798693207753</v>
      </c>
      <c r="M1930" s="36" t="n">
        <f aca="false">IF(Sens!$M$1926&gt;0,Sens!$M$1928/Sens!$M$1926,Sens!$M$1924)</f>
        <v>2.02953743187011</v>
      </c>
    </row>
    <row r="1931" customFormat="false" ht="17.15" hidden="false" customHeight="false" outlineLevel="0" collapsed="false">
      <c r="A1931" s="14" t="s">
        <v>570</v>
      </c>
      <c r="B1931" s="13" t="s">
        <v>151</v>
      </c>
      <c r="C1931" s="13"/>
      <c r="D1931" s="13"/>
      <c r="E1931" s="13"/>
      <c r="F1931" s="37" t="n">
        <f aca="false">Sens!$F$1929*k_B</f>
        <v>10.7987645808025</v>
      </c>
      <c r="G1931" s="37" t="n">
        <f aca="false">Sens!$G$1929*k_B</f>
        <v>10.7987645808025</v>
      </c>
      <c r="H1931" s="37" t="n">
        <f aca="false">Sens!$H$1929*k_B</f>
        <v>11.0201444540452</v>
      </c>
      <c r="I1931" s="37" t="n">
        <f aca="false">Sens!$I$1929*k_B</f>
        <v>11.1972483526393</v>
      </c>
      <c r="J1931" s="37" t="n">
        <f aca="false">Sens!$J$1929*k_B</f>
        <v>11.2731500234653</v>
      </c>
      <c r="K1931" s="37" t="n">
        <f aca="false">Sens!$K$1929*k_B</f>
        <v>11.3153176183687</v>
      </c>
      <c r="L1931" s="37" t="n">
        <f aca="false">Sens!$L$1929*k_B</f>
        <v>11.3421515423981</v>
      </c>
      <c r="M1931" s="37" t="n">
        <f aca="false">Sens!$M$1929*k_B</f>
        <v>11.3607288744184</v>
      </c>
      <c r="N1931" s="13"/>
      <c r="O1931" s="13"/>
      <c r="P1931" s="5" t="s">
        <v>571</v>
      </c>
    </row>
    <row r="1932" customFormat="false" ht="17.15" hidden="false" customHeight="false" outlineLevel="0" collapsed="false">
      <c r="A1932" s="5" t="s">
        <v>572</v>
      </c>
      <c r="B1932" s="0" t="s">
        <v>108</v>
      </c>
      <c r="F1932" s="33" t="n">
        <f aca="false">Sens!$F$1926/2</f>
        <v>908.575</v>
      </c>
      <c r="H1932" s="33" t="n">
        <f aca="false">(Sens!$G$1926+Sens!$H$1926)/2</f>
        <v>3634.3</v>
      </c>
      <c r="I1932" s="33" t="n">
        <f aca="false">(Sens!$H$1926+Sens!$I$1926)/2</f>
        <v>7268.6</v>
      </c>
      <c r="J1932" s="33" t="n">
        <f aca="false">(Sens!$I$1926+Sens!$J$1926)/2</f>
        <v>10902.9</v>
      </c>
      <c r="K1932" s="33" t="n">
        <f aca="false">(Sens!$J$1926+Sens!$K$1926)/2</f>
        <v>14537.2</v>
      </c>
      <c r="L1932" s="33" t="n">
        <f aca="false">(Sens!$K$1926+Sens!$L$1926)/2</f>
        <v>18171.5</v>
      </c>
      <c r="M1932" s="33" t="n">
        <f aca="false">(Sens!$L$1926+Sens!$M$1926)/2</f>
        <v>21805.8</v>
      </c>
    </row>
    <row r="1933" customFormat="false" ht="17.15" hidden="false" customHeight="false" outlineLevel="0" collapsed="false">
      <c r="A1933" s="1" t="s">
        <v>573</v>
      </c>
    </row>
    <row r="1934" customFormat="false" ht="17.15" hidden="false" customHeight="false" outlineLevel="0" collapsed="false">
      <c r="A1934" s="1" t="s">
        <v>574</v>
      </c>
      <c r="B1934" s="8" t="s">
        <v>73</v>
      </c>
      <c r="C1934" s="38" t="n">
        <f aca="false">Sens!$C$1917*rpm_open*Sens!$C$1918/1000</f>
        <v>2.32100535697364</v>
      </c>
      <c r="D1934" s="38" t="n">
        <f aca="false">Sens!$D$1917*rpm_open*Sens!$D$1918/1000</f>
        <v>8.70377008865116</v>
      </c>
      <c r="E1934" s="38" t="n">
        <f aca="false">Sens!$E$1917*rpm_open*Sens!$E$1918/1000</f>
        <v>8.51035297557002</v>
      </c>
      <c r="F1934" s="38" t="n">
        <f aca="false">(mw_open*rpm_open+Sens!$F$1932*Sens!$F$1931)*Sens!$F$1918/1000</f>
        <v>14.9634336447205</v>
      </c>
      <c r="G1934" s="38" t="n">
        <f aca="false">Sens!$E$1934+Sens!$F$1934</f>
        <v>23.4737866202905</v>
      </c>
      <c r="H1934" s="38" t="n">
        <f aca="false">(mw_open*rpm_open+Sens!$H$1932*Sens!$H$1931)/1000</f>
        <v>60.1658907497746</v>
      </c>
      <c r="I1934" s="38" t="n">
        <f aca="false">(mw_open*rpm_open+Sens!$I$1932*Sens!$I$1931)/1000</f>
        <v>101.503699136432</v>
      </c>
      <c r="J1934" s="38" t="n">
        <f aca="false">(mw_open*rpm_open+Sens!$J$1932*Sens!$J$1931)/1000</f>
        <v>143.025407151278</v>
      </c>
      <c r="K1934" s="38" t="n">
        <f aca="false">(mw_open*rpm_open+Sens!$K$1932*Sens!$K$1931)/1000</f>
        <v>184.608415042187</v>
      </c>
      <c r="L1934" s="38" t="n">
        <f aca="false">(mw_open*rpm_open+Sens!$L$1932*Sens!$L$1931)/1000</f>
        <v>226.219286513125</v>
      </c>
      <c r="M1934" s="38" t="n">
        <f aca="false">(mw_open*rpm_open+Sens!$M$1932*Sens!$M$1931)/1000</f>
        <v>267.845161450232</v>
      </c>
      <c r="N1934" s="38" t="n">
        <f aca="false">Sens!$N$1917*rpm_open*Sens!$N$1918/1000</f>
        <v>3.04631953102791</v>
      </c>
      <c r="O1934" s="38" t="n">
        <f aca="false">Sens!$O$1917*rpm_open*Sens!$O$1918/1000</f>
        <v>5.65745055762326</v>
      </c>
      <c r="P1934" s="5" t="s">
        <v>575</v>
      </c>
    </row>
    <row r="1935" customFormat="false" ht="17.15" hidden="false" customHeight="false" outlineLevel="0" collapsed="false">
      <c r="A1935" s="5" t="s">
        <v>576</v>
      </c>
      <c r="B1935" s="0" t="s">
        <v>151</v>
      </c>
      <c r="C1935" s="36" t="n">
        <f aca="false">Sens!$C$1934*1000/(Sens!$C$1917*Sens!$C$1918)</f>
        <v>9.67085565405685</v>
      </c>
      <c r="D1935" s="36" t="n">
        <f aca="false">Sens!$D$1934*1000/(Sens!$D$1917*Sens!$D$1918)</f>
        <v>9.67085565405685</v>
      </c>
      <c r="E1935" s="36" t="n">
        <f aca="false">Sens!$E$1934*1000/(Sens!$E$1917*Sens!$E$1918)</f>
        <v>9.67085565405685</v>
      </c>
      <c r="F1935" s="36" t="n">
        <f aca="false">Sens!$F$1934*1000/(Sens!$F$1917*Sens!$F$1918)</f>
        <v>10.0137581588017</v>
      </c>
      <c r="G1935" s="36" t="n">
        <f aca="false">Sens!$G$1934*1000/(Sens!$G$1917*Sens!$G$1918)</f>
        <v>9.88666562928478</v>
      </c>
      <c r="H1935" s="36" t="n">
        <f aca="false">Sens!$H$1934*1000/(Sens!$H$1917*Sens!$H$1918)</f>
        <v>10.5290045586992</v>
      </c>
      <c r="I1935" s="36" t="n">
        <f aca="false">Sens!$I$1934*1000/(Sens!$I$1917*Sens!$I$1918)</f>
        <v>10.8576363451674</v>
      </c>
      <c r="J1935" s="36" t="n">
        <f aca="false">Sens!$J$1934*1000/(Sens!$J$1917*Sens!$J$1918)</f>
        <v>11.0164452588619</v>
      </c>
      <c r="K1935" s="36" t="n">
        <f aca="false">Sens!$K$1934*1000/(Sens!$K$1917*Sens!$K$1918)</f>
        <v>11.1094778327388</v>
      </c>
      <c r="L1935" s="36" t="n">
        <f aca="false">Sens!$L$1934*1000/(Sens!$L$1917*Sens!$L$1918)</f>
        <v>11.1704953466718</v>
      </c>
      <c r="M1935" s="36" t="n">
        <f aca="false">Sens!$M$1934*1000/(Sens!$M$1917*Sens!$M$1918)</f>
        <v>11.2135729785158</v>
      </c>
      <c r="N1935" s="36" t="n">
        <f aca="false">Sens!$N$1934*1000/(Sens!$N$1917*Sens!$N$1918)</f>
        <v>9.67085565405685</v>
      </c>
      <c r="O1935" s="36" t="n">
        <f aca="false">Sens!$O$1934*1000/(Sens!$O$1917*Sens!$O$1918)</f>
        <v>9.67085565405685</v>
      </c>
    </row>
    <row r="1936" customFormat="false" ht="17.15" hidden="false" customHeight="false" outlineLevel="0" collapsed="false">
      <c r="A1936" s="0" t="s">
        <v>577</v>
      </c>
      <c r="B1936" s="0" t="s">
        <v>73</v>
      </c>
      <c r="C1936" s="38" t="n">
        <f aca="false">Sens!$C$1917/ext_sh*(ox_open+rent_mw)*Sens!$C$1918/1000</f>
        <v>0.642569210675032</v>
      </c>
      <c r="D1936" s="38" t="n">
        <f aca="false">Sens!$D$1917/ext_sh*(ox_open+rent_mw)*Sens!$D$1918/1000</f>
        <v>2.40963454003137</v>
      </c>
      <c r="E1936" s="38" t="n">
        <f aca="false">Sens!$E$1917/ext_sh*(ox_open+rent_mw)*Sens!$E$1918/1000</f>
        <v>2.35608710580845</v>
      </c>
      <c r="F1936" s="38" t="n">
        <f aca="false">((mw_open*ox_open+Sens!$F$1932*Sens!$F$1930)/ext_sh+Sens!$F$1917/ext_sh*rent_mw)*Sens!$F$1918/1000</f>
        <v>4.05421991106232</v>
      </c>
      <c r="G1936" s="38" t="n">
        <f aca="false">Sens!$E$1936+Sens!$F$1936</f>
        <v>6.41030701687077</v>
      </c>
      <c r="H1936" s="38" t="n">
        <f aca="false">((mw_open*ox_open+Sens!$H$1932*Sens!$H$1930)/ext_sh+Sens!$H$1917/ext_sh*rent_mw)*Sens!$H$1918/1000</f>
        <v>15.8108975546616</v>
      </c>
      <c r="I1936" s="38" t="n">
        <f aca="false">((mw_open*ox_open+Sens!$I$1932*Sens!$I$1930)/ext_sh+Sens!$I$1917/ext_sh*rent_mw)*Sens!$I$1918/1000</f>
        <v>26.1871623400817</v>
      </c>
      <c r="J1936" s="38" t="n">
        <f aca="false">((mw_open*ox_open+Sens!$J$1932*Sens!$J$1930)/ext_sh+Sens!$J$1917/ext_sh*rent_mw)*Sens!$J$1918/1000</f>
        <v>36.5826128954935</v>
      </c>
      <c r="K1936" s="38" t="n">
        <f aca="false">((mw_open*ox_open+Sens!$K$1932*Sens!$K$1930)/ext_sh+Sens!$K$1917/ext_sh*rent_mw)*Sens!$K$1918/1000</f>
        <v>46.9844587075692</v>
      </c>
      <c r="L1936" s="38" t="n">
        <f aca="false">((mw_open*ox_open+Sens!$L$1932*Sens!$L$1930)/ext_sh+Sens!$L$1917/ext_sh*rent_mw)*Sens!$L$1918/1000</f>
        <v>57.3892114544922</v>
      </c>
      <c r="M1936" s="38" t="n">
        <f aca="false">((mw_open*ox_open+Sens!$M$1932*Sens!$M$1930)/ext_sh+Sens!$M$1917/ext_sh*rent_mw)*Sens!$M$1918/1000</f>
        <v>67.7955294740252</v>
      </c>
      <c r="N1936" s="38" t="n">
        <f aca="false">Sens!$N$1917/ext_sh*(ox_open+rent_mw)*Sens!$N$1918/1000</f>
        <v>0.84337208901098</v>
      </c>
      <c r="O1936" s="38" t="n">
        <f aca="false">Sens!$O$1917/ext_sh*(ox_open+rent_mw)*Sens!$O$1918/1000</f>
        <v>1.56626245102039</v>
      </c>
    </row>
    <row r="1937" customFormat="false" ht="17.15" hidden="false" customHeight="false" outlineLevel="0" collapsed="false">
      <c r="A1937" s="0" t="s">
        <v>578</v>
      </c>
      <c r="B1937" s="0" t="s">
        <v>73</v>
      </c>
      <c r="C1937" s="38" t="n">
        <f aca="false">Q!$D$7</f>
        <v>107.556</v>
      </c>
      <c r="D1937" s="38" t="n">
        <f aca="false">Q!$E$7</f>
        <v>128.725</v>
      </c>
      <c r="E1937" s="38" t="n">
        <f aca="false">Q!$P$7</f>
        <v>79.819</v>
      </c>
      <c r="N1937" s="38" t="n">
        <f aca="false">Q!$N$7</f>
        <v>60.14</v>
      </c>
      <c r="O1937" s="38" t="n">
        <f aca="false">Q!$O$7</f>
        <v>68.585</v>
      </c>
    </row>
    <row r="1938" customFormat="false" ht="17.15" hidden="false" customHeight="false" outlineLevel="0" collapsed="false">
      <c r="A1938" s="1" t="s">
        <v>579</v>
      </c>
      <c r="B1938" s="8" t="s">
        <v>73</v>
      </c>
      <c r="C1938" s="38" t="n">
        <f aca="false">Sens!$C$1937-Sens!$C$1934</f>
        <v>105.234994643026</v>
      </c>
      <c r="D1938" s="38" t="n">
        <f aca="false">Sens!$D$1937-Sens!$D$1934</f>
        <v>120.021229911349</v>
      </c>
      <c r="E1938" s="38" t="n">
        <f aca="false">Sens!$E$1937-Sens!$E$1934</f>
        <v>71.30864702443</v>
      </c>
      <c r="F1938" s="38" t="n">
        <f aca="false">Sens!$O$1938*(1+Sens!$F$1939)</f>
        <v>78.5950104186653</v>
      </c>
      <c r="G1938" s="38" t="n">
        <f aca="false">Sens!$E$1938+Sens!$F$1938</f>
        <v>149.903657443095</v>
      </c>
      <c r="H1938" s="38" t="n">
        <f aca="false">Sens!$G$1938*(1+Sens!$H$1939)</f>
        <v>180.893560768142</v>
      </c>
      <c r="I1938" s="38" t="n">
        <f aca="false">Sens!$H$1938*(1+Sens!$I$1939)</f>
        <v>210.64839721501</v>
      </c>
      <c r="J1938" s="38" t="n">
        <f aca="false">Sens!$I$1938*(1+Sens!$J$1939)</f>
        <v>236.398909446495</v>
      </c>
      <c r="K1938" s="38" t="n">
        <f aca="false">Sens!$J$1938*(1+Sens!$K$1939)</f>
        <v>255.310822202215</v>
      </c>
      <c r="L1938" s="38" t="n">
        <f aca="false">Sens!$K$1938*(1+Sens!$L$1939)</f>
        <v>275.735687978392</v>
      </c>
      <c r="M1938" s="38" t="n">
        <f aca="false">Sens!$L$1938*(1+Sens!$M$1939)</f>
        <v>297.794543016663</v>
      </c>
      <c r="N1938" s="38" t="n">
        <f aca="false">Sens!$N$1937-Sens!$N$1934</f>
        <v>57.0936804689721</v>
      </c>
      <c r="O1938" s="38" t="n">
        <f aca="false">Sens!$O$1937-Sens!$O$1934</f>
        <v>62.9275494423768</v>
      </c>
      <c r="P1938" s="5" t="s">
        <v>580</v>
      </c>
    </row>
    <row r="1939" customFormat="false" ht="17.15" hidden="false" customHeight="false" outlineLevel="0" collapsed="false">
      <c r="A1939" s="0" t="s">
        <v>581</v>
      </c>
      <c r="B1939" s="0" t="s">
        <v>52</v>
      </c>
      <c r="E1939" s="12" t="n">
        <f aca="false">Sens!$E$1938/Sens!$N$1938-1</f>
        <v>0.248976181579029</v>
      </c>
      <c r="F1939" s="12" t="n">
        <f aca="false">Sens!$E$1939</f>
        <v>0.248976181579029</v>
      </c>
      <c r="G1939" s="12" t="n">
        <f aca="false">Sens!$G$1938/Sens!$D$1938-1</f>
        <v>0.248976181579029</v>
      </c>
      <c r="H1939" s="12" t="n">
        <f aca="false">Sens!$E$1939+(g_awso_lt-Sens!$E$1939)*1/4</f>
        <v>0.206732136184272</v>
      </c>
      <c r="I1939" s="12" t="n">
        <f aca="false">Sens!$E$1939+(g_awso_lt-Sens!$E$1939)*2/4</f>
        <v>0.164488090789515</v>
      </c>
      <c r="J1939" s="12" t="n">
        <f aca="false">Sens!$E$1939+(g_awso_lt-Sens!$E$1939)*3/4</f>
        <v>0.122244045394757</v>
      </c>
      <c r="K1939" s="12" t="n">
        <f aca="false">Sens!$E$1939+(g_awso_lt-Sens!$E$1939)*4/4</f>
        <v>0.08</v>
      </c>
      <c r="L1939" s="12" t="n">
        <f aca="false">g_awso_lt</f>
        <v>0.08</v>
      </c>
      <c r="M1939" s="12" t="n">
        <f aca="false">g_awso_lt</f>
        <v>0.08</v>
      </c>
      <c r="P1939" s="8" t="s">
        <v>582</v>
      </c>
    </row>
    <row r="1940" customFormat="false" ht="17.15" hidden="false" customHeight="false" outlineLevel="0" collapsed="false">
      <c r="A1940" s="1" t="s">
        <v>583</v>
      </c>
    </row>
    <row r="1941" customFormat="false" ht="17.15" hidden="false" customHeight="false" outlineLevel="0" collapsed="false">
      <c r="A1941" s="0" t="s">
        <v>584</v>
      </c>
      <c r="B1941" s="0" t="s">
        <v>73</v>
      </c>
      <c r="F1941" s="38" t="n">
        <f aca="false">cx_rt*Sens!$F$1907+cx_awso*Sens!$F$1938</f>
        <v>36.8045765066526</v>
      </c>
    </row>
    <row r="1942" customFormat="false" ht="17.15" hidden="false" customHeight="false" outlineLevel="0" collapsed="false">
      <c r="A1942" s="0" t="s">
        <v>585</v>
      </c>
      <c r="B1942" s="0" t="s">
        <v>52</v>
      </c>
      <c r="C1942" s="12" t="n">
        <f aca="false">tk_cx_h100/(tk_cx_h100+tk_fac*(1-colo_sh))</f>
        <v>0.730756458006641</v>
      </c>
      <c r="D1942" s="12" t="n">
        <f aca="false">tk_cx_h100/(tk_cx_h100+tk_fac*(1-colo_sh))</f>
        <v>0.730756458006641</v>
      </c>
      <c r="E1942" s="12" t="n">
        <f aca="false">Sens!$F$1942</f>
        <v>0.760792334328868</v>
      </c>
      <c r="F1942" s="12" t="n">
        <f aca="false">Sens!$F$1925/(Sens!$F$1925+tk_fac*(1-colo_sh))</f>
        <v>0.760792334328868</v>
      </c>
      <c r="G1942" s="12" t="n">
        <f aca="false">Sens!$G$1925/(Sens!$G$1925+tk_fac*(1-colo_sh))</f>
        <v>0.760792334328868</v>
      </c>
      <c r="H1942" s="12" t="n">
        <f aca="false">Sens!$H$1925/(Sens!$H$1925+tk_fac*(1-colo_sh))</f>
        <v>0.768110668862996</v>
      </c>
      <c r="I1942" s="12" t="n">
        <f aca="false">Sens!$I$1925/(Sens!$I$1925+tk_fac*(1-colo_sh))</f>
        <v>0.77499450139483</v>
      </c>
      <c r="J1942" s="12" t="n">
        <f aca="false">Sens!$J$1925/(Sens!$J$1925+tk_fac*(1-colo_sh))</f>
        <v>0.77499450139483</v>
      </c>
      <c r="K1942" s="12" t="n">
        <f aca="false">Sens!$K$1925/(Sens!$K$1925+tk_fac*(1-colo_sh))</f>
        <v>0.77499450139483</v>
      </c>
      <c r="L1942" s="12" t="n">
        <f aca="false">Sens!$L$1925/(Sens!$L$1925+tk_fac*(1-colo_sh))</f>
        <v>0.77499450139483</v>
      </c>
      <c r="M1942" s="12" t="n">
        <f aca="false">Sens!$M$1925/(Sens!$M$1925+tk_fac*(1-colo_sh))</f>
        <v>0.77499450139483</v>
      </c>
    </row>
    <row r="1943" customFormat="false" ht="17.15" hidden="false" customHeight="false" outlineLevel="0" collapsed="false">
      <c r="A1943" s="1" t="s">
        <v>586</v>
      </c>
      <c r="B1943" s="8" t="s">
        <v>73</v>
      </c>
      <c r="C1943" s="38" t="n">
        <f aca="false">Q!$D$46-cx_rt*Q!$D$16-cx_awso*Sens!$C$1938</f>
        <v>25.2781053077374</v>
      </c>
      <c r="D1943" s="38" t="n">
        <f aca="false">Q!$E$46-cx_rt*Q!$E$16-cx_awso*Sens!$D$1938</f>
        <v>69.5686316310026</v>
      </c>
      <c r="E1943" s="38" t="n">
        <f aca="false">Q!$P$46-cx_rt*Q!$P$16-cx_awso*Sens!$E$1938</f>
        <v>64.1899206485108</v>
      </c>
      <c r="F1943" s="38" t="n">
        <f aca="false">MAX(Sens!$F$1920*(Sens!$F$1925+tk_fac*(1-colo_sh))/1000,capex_g26-Q!$P$46-Sens!$F$1941)</f>
        <v>96.2481299895</v>
      </c>
      <c r="G1943" s="38" t="n">
        <f aca="false">Sens!$E$1943+Sens!$F$1943</f>
        <v>160.438050638011</v>
      </c>
      <c r="H1943" s="38" t="n">
        <f aca="false">Sens!$H$1920*(Sens!$H$1925+tk_fac*(1-colo_sh))/1000+Sens!$H$1944</f>
        <v>198.57136494475</v>
      </c>
      <c r="I1943" s="38" t="n">
        <f aca="false">Sens!$I$1920*(Sens!$I$1925+tk_fac*(1-colo_sh))/1000+Sens!$I$1944</f>
        <v>204.6464699105</v>
      </c>
      <c r="J1943" s="38" t="n">
        <f aca="false">Sens!$J$1920*(Sens!$J$1925+tk_fac*(1-colo_sh))/1000+Sens!$J$1944</f>
        <v>204.6464699105</v>
      </c>
      <c r="K1943" s="38" t="n">
        <f aca="false">Sens!$K$1920*(Sens!$K$1925+tk_fac*(1-colo_sh))/1000+Sens!$K$1944</f>
        <v>209.8832381105</v>
      </c>
      <c r="L1943" s="38" t="n">
        <f aca="false">Sens!$L$1920*(Sens!$L$1925+tk_fac*(1-colo_sh))/1000+Sens!$L$1944</f>
        <v>215.1200063105</v>
      </c>
      <c r="M1943" s="38" t="n">
        <f aca="false">Sens!$M$1920*(Sens!$M$1925+tk_fac*(1-colo_sh))/1000+Sens!$M$1944</f>
        <v>251.7773837105</v>
      </c>
      <c r="P1943" s="5" t="s">
        <v>587</v>
      </c>
      <c r="R1943" s="38" t="n">
        <f aca="false">Q!$C$46-cx_rt*Q!$C$16-cx_awso*(Q!$C$7-mw_ye23/2*rpm_open/1000)</f>
        <v>1.50429979529945</v>
      </c>
      <c r="S1943" s="38" t="n">
        <f aca="false">Sens!$C$1943</f>
        <v>25.2781053077374</v>
      </c>
      <c r="T1943" s="38" t="n">
        <f aca="false">Sens!$D$1943</f>
        <v>69.5686316310026</v>
      </c>
      <c r="U1943" s="38" t="n">
        <f aca="false">Sens!$G$1943</f>
        <v>160.438050638011</v>
      </c>
      <c r="V1943" s="38" t="n">
        <f aca="false">Sens!$H$1943</f>
        <v>198.57136494475</v>
      </c>
      <c r="W1943" s="38" t="n">
        <f aca="false">Sens!$I$1943</f>
        <v>204.6464699105</v>
      </c>
      <c r="X1943" s="38" t="n">
        <f aca="false">Sens!$J$1943</f>
        <v>204.6464699105</v>
      </c>
      <c r="Y1943" s="38" t="n">
        <f aca="false">Sens!$K$1943</f>
        <v>209.8832381105</v>
      </c>
      <c r="Z1943" s="38" t="n">
        <f aca="false">Sens!$L$1943</f>
        <v>215.1200063105</v>
      </c>
      <c r="AA1943" s="38" t="n">
        <f aca="false">Sens!$M$1943</f>
        <v>251.7773837105</v>
      </c>
    </row>
    <row r="1944" customFormat="false" ht="17.15" hidden="false" customHeight="false" outlineLevel="0" collapsed="false">
      <c r="A1944" s="0" t="s">
        <v>588</v>
      </c>
      <c r="B1944" s="0" t="s">
        <v>73</v>
      </c>
      <c r="H1944" s="38" t="n">
        <f aca="false">SUMPRODUCT(--(Sens!$R$1914:$AA$1914=2027-tk_life_hi),Sens!$R$1920:$AA$1920)*Sens!$H$1925/1000</f>
        <v>0</v>
      </c>
      <c r="I1944" s="38" t="n">
        <f aca="false">SUMPRODUCT(--(Sens!$R$1914:$AA$1914=2028-tk_life_hi),Sens!$R$1920:$AA$1920)*Sens!$I$1925/1000</f>
        <v>0</v>
      </c>
      <c r="J1944" s="38" t="n">
        <f aca="false">SUMPRODUCT(--(Sens!$R$1914:$AA$1914=2029-tk_life_hi),Sens!$R$1920:$AA$1920)*Sens!$J$1925/1000</f>
        <v>0</v>
      </c>
      <c r="K1944" s="38" t="n">
        <f aca="false">SUMPRODUCT(--(Sens!$R$1914:$AA$1914=2030-tk_life_hi),Sens!$R$1920:$AA$1920)*Sens!$K$1925/1000</f>
        <v>5.2367682</v>
      </c>
      <c r="L1944" s="38" t="n">
        <f aca="false">SUMPRODUCT(--(Sens!$R$1914:$AA$1914=2031-tk_life_hi),Sens!$R$1920:$AA$1920)*Sens!$L$1925/1000</f>
        <v>10.4735364</v>
      </c>
      <c r="M1944" s="38" t="n">
        <f aca="false">SUMPRODUCT(--(Sens!$R$1914:$AA$1914=2032-tk_life_hi),Sens!$R$1920:$AA$1920)*Sens!$M$1925/1000</f>
        <v>47.1309138</v>
      </c>
    </row>
    <row r="1945" customFormat="false" ht="17.15" hidden="false" customHeight="false" outlineLevel="0" collapsed="false">
      <c r="A1945" s="5" t="s">
        <v>589</v>
      </c>
      <c r="B1945" s="0" t="s">
        <v>73</v>
      </c>
      <c r="C1945" s="38" t="n">
        <f aca="false">Sens!$C$1943*Sens!$C$1942</f>
        <v>18.472138699801</v>
      </c>
      <c r="D1945" s="38" t="n">
        <f aca="false">Sens!$D$1943*Sens!$D$1942</f>
        <v>50.8377268390402</v>
      </c>
      <c r="E1945" s="38" t="n">
        <f aca="false">Sens!$E$1943*Sens!$E$1942</f>
        <v>48.8351995705653</v>
      </c>
      <c r="F1945" s="38" t="n">
        <f aca="false">Sens!$F$1943*Sens!$F$1942</f>
        <v>73.2248394895</v>
      </c>
      <c r="G1945" s="38" t="n">
        <f aca="false">Sens!$E$1945+Sens!$F$1945</f>
        <v>122.060039060065</v>
      </c>
      <c r="H1945" s="38" t="n">
        <f aca="false">(Sens!$H$1943-Sens!$H$1944)*Sens!$H$1942+Sens!$H$1944</f>
        <v>152.52478394475</v>
      </c>
      <c r="I1945" s="38" t="n">
        <f aca="false">(Sens!$I$1943-Sens!$I$1944)*Sens!$I$1942+Sens!$I$1944</f>
        <v>158.5998889105</v>
      </c>
      <c r="J1945" s="38" t="n">
        <f aca="false">(Sens!$J$1943-Sens!$J$1944)*Sens!$J$1942+Sens!$J$1944</f>
        <v>158.5998889105</v>
      </c>
      <c r="K1945" s="38" t="n">
        <f aca="false">(Sens!$K$1943-Sens!$K$1944)*Sens!$K$1942+Sens!$K$1944</f>
        <v>163.8366571105</v>
      </c>
      <c r="L1945" s="38" t="n">
        <f aca="false">(Sens!$L$1943-Sens!$L$1944)*Sens!$L$1942+Sens!$L$1944</f>
        <v>169.0734253105</v>
      </c>
      <c r="M1945" s="38" t="n">
        <f aca="false">(Sens!$M$1943-Sens!$M$1944)*Sens!$M$1942+Sens!$M$1944</f>
        <v>205.7308027105</v>
      </c>
      <c r="R1945" s="38" t="n">
        <f aca="false">Sens!$R$1943*Sens!$C$1942</f>
        <v>1.09927679019314</v>
      </c>
      <c r="S1945" s="38" t="n">
        <f aca="false">Sens!$C$1945</f>
        <v>18.472138699801</v>
      </c>
      <c r="T1945" s="38" t="n">
        <f aca="false">Sens!$D$1945</f>
        <v>50.8377268390402</v>
      </c>
      <c r="U1945" s="38" t="n">
        <f aca="false">Sens!$G$1945</f>
        <v>122.060039060065</v>
      </c>
      <c r="V1945" s="38" t="n">
        <f aca="false">Sens!$H$1945</f>
        <v>152.52478394475</v>
      </c>
      <c r="W1945" s="38" t="n">
        <f aca="false">Sens!$I$1945</f>
        <v>158.5998889105</v>
      </c>
      <c r="X1945" s="38" t="n">
        <f aca="false">Sens!$J$1945</f>
        <v>158.5998889105</v>
      </c>
      <c r="Y1945" s="38" t="n">
        <f aca="false">Sens!$K$1945</f>
        <v>163.8366571105</v>
      </c>
      <c r="Z1945" s="38" t="n">
        <f aca="false">Sens!$L$1945</f>
        <v>169.0734253105</v>
      </c>
      <c r="AA1945" s="38" t="n">
        <f aca="false">Sens!$M$1945</f>
        <v>205.7308027105</v>
      </c>
    </row>
    <row r="1946" customFormat="false" ht="15" hidden="false" customHeight="false" outlineLevel="0" collapsed="false">
      <c r="A1946" s="5" t="s">
        <v>590</v>
      </c>
      <c r="B1946" s="0" t="s">
        <v>73</v>
      </c>
      <c r="C1946" s="38" t="n">
        <f aca="false">Sens!$C$1943-Sens!$C$1945</f>
        <v>6.80596660793636</v>
      </c>
      <c r="D1946" s="38" t="n">
        <f aca="false">Sens!$D$1943-Sens!$D$1945</f>
        <v>18.7309047919624</v>
      </c>
      <c r="E1946" s="38" t="n">
        <f aca="false">Sens!$E$1943-Sens!$E$1945</f>
        <v>15.3547210779455</v>
      </c>
      <c r="F1946" s="38" t="n">
        <f aca="false">Sens!$F$1943-Sens!$F$1945</f>
        <v>23.0232905</v>
      </c>
      <c r="G1946" s="38" t="n">
        <f aca="false">Sens!$G$1943-Sens!$G$1945</f>
        <v>38.3780115779455</v>
      </c>
      <c r="H1946" s="38" t="n">
        <f aca="false">Sens!$H$1943-Sens!$H$1945</f>
        <v>46.046581</v>
      </c>
      <c r="I1946" s="38" t="n">
        <f aca="false">Sens!$I$1943-Sens!$I$1945</f>
        <v>46.046581</v>
      </c>
      <c r="J1946" s="38" t="n">
        <f aca="false">Sens!$J$1943-Sens!$J$1945</f>
        <v>46.046581</v>
      </c>
      <c r="K1946" s="38" t="n">
        <f aca="false">Sens!$K$1943-Sens!$K$1945</f>
        <v>46.046581</v>
      </c>
      <c r="L1946" s="38" t="n">
        <f aca="false">Sens!$L$1943-Sens!$L$1945</f>
        <v>46.046581</v>
      </c>
      <c r="M1946" s="38" t="n">
        <f aca="false">Sens!$M$1943-Sens!$M$1945</f>
        <v>46.046581</v>
      </c>
      <c r="R1946" s="38" t="n">
        <f aca="false">Sens!$R$1943-Sens!$R$1945</f>
        <v>0.405023005106309</v>
      </c>
      <c r="S1946" s="38" t="n">
        <f aca="false">Sens!$S$1943-Sens!$S$1945</f>
        <v>6.80596660793636</v>
      </c>
      <c r="T1946" s="38" t="n">
        <f aca="false">Sens!$T$1943-Sens!$T$1945</f>
        <v>18.7309047919624</v>
      </c>
      <c r="U1946" s="38" t="n">
        <f aca="false">Sens!$U$1943-Sens!$U$1945</f>
        <v>38.3780115779455</v>
      </c>
      <c r="V1946" s="38" t="n">
        <f aca="false">Sens!$V$1943-Sens!$V$1945</f>
        <v>46.046581</v>
      </c>
      <c r="W1946" s="38" t="n">
        <f aca="false">Sens!$W$1943-Sens!$W$1945</f>
        <v>46.046581</v>
      </c>
      <c r="X1946" s="38" t="n">
        <f aca="false">Sens!$X$1943-Sens!$X$1945</f>
        <v>46.046581</v>
      </c>
      <c r="Y1946" s="38" t="n">
        <f aca="false">Sens!$Y$1943-Sens!$Y$1945</f>
        <v>46.046581</v>
      </c>
      <c r="Z1946" s="38" t="n">
        <f aca="false">Sens!$Z$1943-Sens!$Z$1945</f>
        <v>46.046581</v>
      </c>
      <c r="AA1946" s="38" t="n">
        <f aca="false">Sens!$AA$1943-Sens!$AA$1945</f>
        <v>46.046581</v>
      </c>
    </row>
    <row r="1947" customFormat="false" ht="17.15" hidden="false" customHeight="false" outlineLevel="0" collapsed="false">
      <c r="A1947" s="0" t="s">
        <v>591</v>
      </c>
      <c r="B1947" s="0" t="s">
        <v>52</v>
      </c>
      <c r="C1947" s="12" t="n">
        <f aca="false">Sens!$C$1943/Sens!$C$2059</f>
        <v>0.325505489553393</v>
      </c>
      <c r="D1947" s="12" t="n">
        <f aca="false">Sens!$D$1943/Sens!$D$2059</f>
        <v>0.54214956071542</v>
      </c>
      <c r="E1947" s="12" t="n">
        <f aca="false">Sens!$E$1943/Sens!$E$2059</f>
        <v>0.666492790452817</v>
      </c>
      <c r="F1947" s="12" t="n">
        <f aca="false">Sens!$F$1943/Sens!$F$2059</f>
        <v>0.723383481058938</v>
      </c>
      <c r="G1947" s="12" t="n">
        <f aca="false">Sens!$G$1943/Sens!$G$2059</f>
        <v>0.699494931364102</v>
      </c>
      <c r="H1947" s="12" t="n">
        <f aca="false">Sens!$H$1943/Sens!$H$2059</f>
        <v>0.714619350171483</v>
      </c>
      <c r="I1947" s="12" t="n">
        <f aca="false">Sens!$I$1943/Sens!$I$2059</f>
        <v>0.696231624961614</v>
      </c>
      <c r="J1947" s="12" t="n">
        <f aca="false">Sens!$J$1943/Sens!$J$2059</f>
        <v>0.675774953610935</v>
      </c>
      <c r="K1947" s="12" t="n">
        <f aca="false">Sens!$K$1943/Sens!$K$2059</f>
        <v>0.665981043916127</v>
      </c>
      <c r="L1947" s="12" t="n">
        <f aca="false">Sens!$L$1943/Sens!$L$2059</f>
        <v>0.655855593717402</v>
      </c>
      <c r="M1947" s="12" t="n">
        <f aca="false">Sens!$M$1943/Sens!$M$2059</f>
        <v>0.675287527561939</v>
      </c>
    </row>
    <row r="1948" customFormat="false" ht="17.15" hidden="false" customHeight="false" outlineLevel="0" collapsed="false">
      <c r="A1948" s="0" t="s">
        <v>592</v>
      </c>
      <c r="B1948" s="0" t="s">
        <v>73</v>
      </c>
      <c r="C1948" s="38" t="n">
        <f aca="false">Sens!$S$1948</f>
        <v>0.157039541456163</v>
      </c>
      <c r="D1948" s="38" t="n">
        <f aca="false">Sens!$T$1948</f>
        <v>2.7959164985706</v>
      </c>
      <c r="E1948" s="38" t="n">
        <f aca="false">Sens!$G$1948/2</f>
        <v>5.02922445207389</v>
      </c>
      <c r="F1948" s="38" t="n">
        <f aca="false">Sens!$G$1948/2</f>
        <v>5.02922445207389</v>
      </c>
      <c r="G1948" s="38" t="n">
        <f aca="false">Sens!$U$1948</f>
        <v>10.0584489041478</v>
      </c>
      <c r="H1948" s="38" t="n">
        <f aca="false">Sens!$V$1948</f>
        <v>27.4955973413</v>
      </c>
      <c r="I1948" s="38" t="n">
        <f aca="false">Sens!$W$1948</f>
        <v>49.28485219055</v>
      </c>
      <c r="J1948" s="38" t="n">
        <f aca="false">Sens!$X$1948</f>
        <v>71.9419791777642</v>
      </c>
      <c r="K1948" s="38" t="n">
        <f aca="false">Sens!$Y$1948</f>
        <v>94.5991061649785</v>
      </c>
      <c r="L1948" s="38" t="n">
        <f aca="false">Sens!$Z$1948</f>
        <v>117.847303353594</v>
      </c>
      <c r="M1948" s="38" t="n">
        <f aca="false">Sens!$AA$1948</f>
        <v>139.361772869408</v>
      </c>
      <c r="N1948" s="38" t="n">
        <f aca="false">Sens!$D$1948/2</f>
        <v>1.3979582492853</v>
      </c>
      <c r="O1948" s="38" t="n">
        <f aca="false">Sens!$D$1948/2</f>
        <v>1.3979582492853</v>
      </c>
      <c r="R1948" s="38" t="n">
        <f aca="false">SUMPRODUCT(--(Sens!$R$1914:$AA$1914&lt;Sens!R$1914),--(Sens!$R$1914:$AA$1914&gt;=Sens!R$1914-tk_life_hi),Sens!$R$1945:$AA$1945)/tk_life_hi</f>
        <v>0</v>
      </c>
      <c r="S1948" s="38" t="n">
        <f aca="false">SUMPRODUCT(--(Sens!$R$1914:$AA$1914&lt;Sens!S$1914),--(Sens!$R$1914:$AA$1914&gt;=Sens!S$1914-tk_life_hi),Sens!$R$1945:$AA$1945)/tk_life_hi</f>
        <v>0.157039541456163</v>
      </c>
      <c r="T1948" s="38" t="n">
        <f aca="false">SUMPRODUCT(--(Sens!$R$1914:$AA$1914&lt;Sens!T$1914),--(Sens!$R$1914:$AA$1914&gt;=Sens!T$1914-tk_life_hi),Sens!$R$1945:$AA$1945)/tk_life_hi</f>
        <v>2.7959164985706</v>
      </c>
      <c r="U1948" s="38" t="n">
        <f aca="false">SUMPRODUCT(--(Sens!$R$1914:$AA$1914&lt;Sens!U$1914),--(Sens!$R$1914:$AA$1914&gt;=Sens!U$1914-tk_life_hi),Sens!$R$1945:$AA$1945)/tk_life_hi</f>
        <v>10.0584489041478</v>
      </c>
      <c r="V1948" s="38" t="n">
        <f aca="false">SUMPRODUCT(--(Sens!$R$1914:$AA$1914&lt;Sens!V$1914),--(Sens!$R$1914:$AA$1914&gt;=Sens!V$1914-tk_life_hi),Sens!$R$1945:$AA$1945)/tk_life_hi</f>
        <v>27.4955973413</v>
      </c>
      <c r="W1948" s="38" t="n">
        <f aca="false">SUMPRODUCT(--(Sens!$R$1914:$AA$1914&lt;Sens!W$1914),--(Sens!$R$1914:$AA$1914&gt;=Sens!W$1914-tk_life_hi),Sens!$R$1945:$AA$1945)/tk_life_hi</f>
        <v>49.28485219055</v>
      </c>
      <c r="X1948" s="38" t="n">
        <f aca="false">SUMPRODUCT(--(Sens!$R$1914:$AA$1914&lt;Sens!X$1914),--(Sens!$R$1914:$AA$1914&gt;=Sens!X$1914-tk_life_hi),Sens!$R$1945:$AA$1945)/tk_life_hi</f>
        <v>71.9419791777642</v>
      </c>
      <c r="Y1948" s="38" t="n">
        <f aca="false">SUMPRODUCT(--(Sens!$R$1914:$AA$1914&lt;Sens!Y$1914),--(Sens!$R$1914:$AA$1914&gt;=Sens!Y$1914-tk_life_hi),Sens!$R$1945:$AA$1945)/tk_life_hi</f>
        <v>94.5991061649785</v>
      </c>
      <c r="Z1948" s="38" t="n">
        <f aca="false">SUMPRODUCT(--(Sens!$R$1914:$AA$1914&lt;Sens!Z$1914),--(Sens!$R$1914:$AA$1914&gt;=Sens!Z$1914-tk_life_hi),Sens!$R$1945:$AA$1945)/tk_life_hi</f>
        <v>117.847303353594</v>
      </c>
      <c r="AA1948" s="38" t="n">
        <f aca="false">SUMPRODUCT(--(Sens!$R$1914:$AA$1914&lt;Sens!AA$1914),--(Sens!$R$1914:$AA$1914&gt;=Sens!AA$1914-tk_life_hi),Sens!$R$1945:$AA$1945)/tk_life_hi</f>
        <v>139.361772869408</v>
      </c>
    </row>
    <row r="1949" customFormat="false" ht="17.15" hidden="false" customHeight="false" outlineLevel="0" collapsed="false">
      <c r="A1949" s="0" t="s">
        <v>593</v>
      </c>
      <c r="B1949" s="0" t="s">
        <v>73</v>
      </c>
      <c r="C1949" s="38" t="n">
        <f aca="false">Sens!$S$1949</f>
        <v>0.0202511502553155</v>
      </c>
      <c r="D1949" s="38" t="n">
        <f aca="false">Sens!$T$1949</f>
        <v>0.360549480652134</v>
      </c>
      <c r="E1949" s="38" t="n">
        <f aca="false">Sens!$G$1949/2</f>
        <v>0.648547360125127</v>
      </c>
      <c r="F1949" s="38" t="n">
        <f aca="false">Sens!$G$1949/2</f>
        <v>0.648547360125127</v>
      </c>
      <c r="G1949" s="38" t="n">
        <f aca="false">Sens!$U$1949</f>
        <v>1.29709472025025</v>
      </c>
      <c r="H1949" s="38" t="n">
        <f aca="false">Sens!$V$1949</f>
        <v>3.21599529914753</v>
      </c>
      <c r="I1949" s="38" t="n">
        <f aca="false">Sens!$W$1949</f>
        <v>5.51832434914753</v>
      </c>
      <c r="J1949" s="38" t="n">
        <f aca="false">Sens!$X$1949</f>
        <v>7.82065339914753</v>
      </c>
      <c r="K1949" s="38" t="n">
        <f aca="false">Sens!$Y$1949</f>
        <v>10.1229824491475</v>
      </c>
      <c r="L1949" s="38" t="n">
        <f aca="false">Sens!$Z$1949</f>
        <v>12.4253114991475</v>
      </c>
      <c r="M1949" s="38" t="n">
        <f aca="false">Sens!$AA$1949</f>
        <v>14.7276405491475</v>
      </c>
      <c r="N1949" s="38" t="n">
        <f aca="false">Sens!$D$1949/2</f>
        <v>0.180274740326067</v>
      </c>
      <c r="O1949" s="38" t="n">
        <f aca="false">Sens!$D$1949/2</f>
        <v>0.180274740326067</v>
      </c>
      <c r="R1949" s="38" t="n">
        <f aca="false">SUMPRODUCT(--(Sens!$R$1914:$AA$1914&lt;Sens!R$1914),Sens!$R$1946:$AA$1946)/fac_life</f>
        <v>0</v>
      </c>
      <c r="S1949" s="38" t="n">
        <f aca="false">SUMPRODUCT(--(Sens!$R$1914:$AA$1914&lt;Sens!S$1914),Sens!$R$1946:$AA$1946)/fac_life</f>
        <v>0.0202511502553155</v>
      </c>
      <c r="T1949" s="38" t="n">
        <f aca="false">SUMPRODUCT(--(Sens!$R$1914:$AA$1914&lt;Sens!T$1914),Sens!$R$1946:$AA$1946)/fac_life</f>
        <v>0.360549480652134</v>
      </c>
      <c r="U1949" s="38" t="n">
        <f aca="false">SUMPRODUCT(--(Sens!$R$1914:$AA$1914&lt;Sens!U$1914),Sens!$R$1946:$AA$1946)/fac_life</f>
        <v>1.29709472025025</v>
      </c>
      <c r="V1949" s="38" t="n">
        <f aca="false">SUMPRODUCT(--(Sens!$R$1914:$AA$1914&lt;Sens!V$1914),Sens!$R$1946:$AA$1946)/fac_life</f>
        <v>3.21599529914753</v>
      </c>
      <c r="W1949" s="38" t="n">
        <f aca="false">SUMPRODUCT(--(Sens!$R$1914:$AA$1914&lt;Sens!W$1914),Sens!$R$1946:$AA$1946)/fac_life</f>
        <v>5.51832434914753</v>
      </c>
      <c r="X1949" s="38" t="n">
        <f aca="false">SUMPRODUCT(--(Sens!$R$1914:$AA$1914&lt;Sens!X$1914),Sens!$R$1946:$AA$1946)/fac_life</f>
        <v>7.82065339914753</v>
      </c>
      <c r="Y1949" s="38" t="n">
        <f aca="false">SUMPRODUCT(--(Sens!$R$1914:$AA$1914&lt;Sens!Y$1914),Sens!$R$1946:$AA$1946)/fac_life</f>
        <v>10.1229824491475</v>
      </c>
      <c r="Z1949" s="38" t="n">
        <f aca="false">SUMPRODUCT(--(Sens!$R$1914:$AA$1914&lt;Sens!Z$1914),Sens!$R$1946:$AA$1946)/fac_life</f>
        <v>12.4253114991475</v>
      </c>
      <c r="AA1949" s="38" t="n">
        <f aca="false">SUMPRODUCT(--(Sens!$R$1914:$AA$1914&lt;Sens!AA$1914),Sens!$R$1946:$AA$1946)/fac_life</f>
        <v>14.7276405491475</v>
      </c>
    </row>
    <row r="1950" customFormat="false" ht="17.15" hidden="false" customHeight="false" outlineLevel="0" collapsed="false">
      <c r="A1950" s="1" t="s">
        <v>594</v>
      </c>
      <c r="B1950" s="8" t="s">
        <v>73</v>
      </c>
      <c r="C1950" s="38" t="n">
        <f aca="false">Sens!$C$1948+Sens!$C$1949</f>
        <v>0.177290691711478</v>
      </c>
      <c r="D1950" s="38" t="n">
        <f aca="false">Sens!$D$1948+Sens!$D$1949</f>
        <v>3.15646597922273</v>
      </c>
      <c r="E1950" s="38" t="n">
        <f aca="false">Sens!$E$1948+Sens!$E$1949</f>
        <v>5.67777181219901</v>
      </c>
      <c r="F1950" s="38" t="n">
        <f aca="false">Sens!$F$1948+Sens!$F$1949</f>
        <v>5.67777181219901</v>
      </c>
      <c r="G1950" s="38" t="n">
        <f aca="false">Sens!$G$1948+Sens!$G$1949</f>
        <v>11.355543624398</v>
      </c>
      <c r="H1950" s="38" t="n">
        <f aca="false">Sens!$H$1948+Sens!$H$1949</f>
        <v>30.7115926404475</v>
      </c>
      <c r="I1950" s="38" t="n">
        <f aca="false">Sens!$I$1948+Sens!$I$1949</f>
        <v>54.8031765396975</v>
      </c>
      <c r="J1950" s="38" t="n">
        <f aca="false">Sens!$J$1948+Sens!$J$1949</f>
        <v>79.7626325769118</v>
      </c>
      <c r="K1950" s="38" t="n">
        <f aca="false">Sens!$K$1948+Sens!$K$1949</f>
        <v>104.722088614126</v>
      </c>
      <c r="L1950" s="38" t="n">
        <f aca="false">Sens!$L$1948+Sens!$L$1949</f>
        <v>130.272614852741</v>
      </c>
      <c r="M1950" s="38" t="n">
        <f aca="false">Sens!$M$1948+Sens!$M$1949</f>
        <v>154.089413418555</v>
      </c>
      <c r="N1950" s="38" t="n">
        <f aca="false">Sens!$N$1948+Sens!$N$1949</f>
        <v>1.57823298961137</v>
      </c>
      <c r="O1950" s="38" t="n">
        <f aca="false">Sens!$O$1948+Sens!$O$1949</f>
        <v>1.57823298961137</v>
      </c>
      <c r="R1950" s="38" t="n">
        <f aca="false">Sens!$R$1948+Sens!$R$1949</f>
        <v>0</v>
      </c>
      <c r="S1950" s="38" t="n">
        <f aca="false">Sens!$S$1948+Sens!$S$1949</f>
        <v>0.177290691711478</v>
      </c>
      <c r="T1950" s="38" t="n">
        <f aca="false">Sens!$T$1948+Sens!$T$1949</f>
        <v>3.15646597922273</v>
      </c>
      <c r="U1950" s="38" t="n">
        <f aca="false">Sens!$U$1948+Sens!$U$1949</f>
        <v>11.355543624398</v>
      </c>
      <c r="V1950" s="38" t="n">
        <f aca="false">Sens!$V$1948+Sens!$V$1949</f>
        <v>30.7115926404475</v>
      </c>
      <c r="W1950" s="38" t="n">
        <f aca="false">Sens!$W$1948+Sens!$W$1949</f>
        <v>54.8031765396975</v>
      </c>
      <c r="X1950" s="38" t="n">
        <f aca="false">Sens!$X$1948+Sens!$X$1949</f>
        <v>79.7626325769118</v>
      </c>
      <c r="Y1950" s="38" t="n">
        <f aca="false">Sens!$Y$1948+Sens!$Y$1949</f>
        <v>104.722088614126</v>
      </c>
      <c r="Z1950" s="38" t="n">
        <f aca="false">Sens!$Z$1948+Sens!$Z$1949</f>
        <v>130.272614852741</v>
      </c>
      <c r="AA1950" s="38" t="n">
        <f aca="false">Sens!$AA$1948+Sens!$AA$1949</f>
        <v>154.089413418555</v>
      </c>
    </row>
    <row r="1951" customFormat="false" ht="17.15" hidden="false" customHeight="false" outlineLevel="0" collapsed="false">
      <c r="A1951" s="0" t="s">
        <v>595</v>
      </c>
      <c r="B1951" s="0" t="s">
        <v>73</v>
      </c>
      <c r="C1951" s="38" t="n">
        <f aca="false">Sens!$S$1951</f>
        <v>26.6051144113254</v>
      </c>
      <c r="D1951" s="38" t="n">
        <f aca="false">Sens!$T$1951</f>
        <v>93.0172800631053</v>
      </c>
      <c r="G1951" s="38" t="n">
        <f aca="false">Sens!$U$1951</f>
        <v>242.099787076718</v>
      </c>
      <c r="H1951" s="38" t="n">
        <f aca="false">Sens!$V$1951</f>
        <v>409.959559381021</v>
      </c>
      <c r="I1951" s="38" t="n">
        <f aca="false">Sens!$W$1951</f>
        <v>559.802852751823</v>
      </c>
      <c r="J1951" s="38" t="n">
        <f aca="false">Sens!$X$1951</f>
        <v>684.686690085411</v>
      </c>
      <c r="K1951" s="38" t="n">
        <f aca="false">Sens!$Y$1951</f>
        <v>789.847839581785</v>
      </c>
      <c r="L1951" s="38" t="n">
        <f aca="false">Sens!$Z$1951</f>
        <v>874.695231039544</v>
      </c>
      <c r="M1951" s="38" t="n">
        <f aca="false">Sens!$AA$1951</f>
        <v>972.383201331489</v>
      </c>
      <c r="R1951" s="38" t="n">
        <f aca="false">SUM(Sens!$R$1943:$R$1943)-SUM(Sens!$R$1950:$R$1950)</f>
        <v>1.50429979529945</v>
      </c>
      <c r="S1951" s="38" t="n">
        <f aca="false">SUM(Sens!$R$1943:$S$1943)-SUM(Sens!$R$1950:$S$1950)</f>
        <v>26.6051144113254</v>
      </c>
      <c r="T1951" s="38" t="n">
        <f aca="false">SUM(Sens!$R$1943:$T$1943)-SUM(Sens!$R$1950:$T$1950)</f>
        <v>93.0172800631053</v>
      </c>
      <c r="U1951" s="38" t="n">
        <f aca="false">SUM(Sens!$R$1943:$U$1943)-SUM(Sens!$R$1950:$U$1950)</f>
        <v>242.099787076718</v>
      </c>
      <c r="V1951" s="38" t="n">
        <f aca="false">SUM(Sens!$R$1943:$V$1943)-SUM(Sens!$R$1950:$V$1950)</f>
        <v>409.959559381021</v>
      </c>
      <c r="W1951" s="38" t="n">
        <f aca="false">SUM(Sens!$R$1943:$W$1943)-SUM(Sens!$R$1950:$W$1950)</f>
        <v>559.802852751823</v>
      </c>
      <c r="X1951" s="38" t="n">
        <f aca="false">SUM(Sens!$R$1943:$X$1943)-SUM(Sens!$R$1950:$X$1950)</f>
        <v>684.686690085411</v>
      </c>
      <c r="Y1951" s="38" t="n">
        <f aca="false">SUM(Sens!$R$1943:$Y$1943)-SUM(Sens!$R$1950:$Y$1950)</f>
        <v>789.847839581785</v>
      </c>
      <c r="Z1951" s="38" t="n">
        <f aca="false">SUM(Sens!$R$1943:$Z$1943)-SUM(Sens!$R$1950:$Z$1950)</f>
        <v>874.695231039544</v>
      </c>
      <c r="AA1951" s="38" t="n">
        <f aca="false">SUM(Sens!$R$1943:$AA$1943)-SUM(Sens!$R$1950:$AA$1950)</f>
        <v>972.383201331489</v>
      </c>
    </row>
    <row r="1952" customFormat="false" ht="17.15" hidden="false" customHeight="false" outlineLevel="0" collapsed="false">
      <c r="A1952" s="1" t="s">
        <v>596</v>
      </c>
    </row>
    <row r="1953" customFormat="false" ht="17.15" hidden="false" customHeight="false" outlineLevel="0" collapsed="false">
      <c r="A1953" s="0" t="s">
        <v>597</v>
      </c>
      <c r="B1953" s="0" t="s">
        <v>73</v>
      </c>
      <c r="C1953" s="38" t="n">
        <f aca="false">Sens!$C$1934-ext_sh*Sens!$C$1936</f>
        <v>1.80694998843362</v>
      </c>
      <c r="D1953" s="38" t="n">
        <f aca="false">Sens!$D$1934-ext_sh*Sens!$D$1936</f>
        <v>6.77606245662607</v>
      </c>
      <c r="E1953" s="38" t="n">
        <f aca="false">Sens!$E$1934-ext_sh*Sens!$E$1936</f>
        <v>6.62548329092326</v>
      </c>
      <c r="F1953" s="38" t="n">
        <f aca="false">Sens!$F$1934-ext_sh*Sens!$F$1936</f>
        <v>11.7200577158706</v>
      </c>
      <c r="G1953" s="38" t="n">
        <f aca="false">Sens!$G$1934-ext_sh*Sens!$G$1936</f>
        <v>18.3455410067939</v>
      </c>
      <c r="H1953" s="38" t="n">
        <f aca="false">Sens!$H$1934-ext_sh*Sens!$H$1936</f>
        <v>47.5171727060453</v>
      </c>
      <c r="I1953" s="38" t="n">
        <f aca="false">Sens!$I$1934-ext_sh*Sens!$I$1936</f>
        <v>80.5539692643667</v>
      </c>
      <c r="J1953" s="38" t="n">
        <f aca="false">Sens!$J$1934-ext_sh*Sens!$J$1936</f>
        <v>113.759316834883</v>
      </c>
      <c r="K1953" s="38" t="n">
        <f aca="false">Sens!$K$1934-ext_sh*Sens!$K$1936</f>
        <v>147.020848076132</v>
      </c>
      <c r="L1953" s="38" t="n">
        <f aca="false">Sens!$L$1934-ext_sh*Sens!$L$1936</f>
        <v>180.307917349531</v>
      </c>
      <c r="M1953" s="38" t="n">
        <f aca="false">Sens!$M$1934-ext_sh*Sens!$M$1936</f>
        <v>213.608737871012</v>
      </c>
      <c r="N1953" s="38" t="n">
        <f aca="false">Sens!$N$1934-ext_sh*Sens!$N$1936</f>
        <v>2.37162185981912</v>
      </c>
      <c r="O1953" s="38" t="n">
        <f aca="false">Sens!$O$1934-ext_sh*Sens!$O$1936</f>
        <v>4.40444059680694</v>
      </c>
    </row>
    <row r="1954" customFormat="false" ht="17.15" hidden="false" customHeight="false" outlineLevel="0" collapsed="false">
      <c r="A1954" s="1" t="s">
        <v>598</v>
      </c>
      <c r="B1954" s="8" t="s">
        <v>73</v>
      </c>
      <c r="C1954" s="38" t="n">
        <f aca="false">Sens!$C$1953-ext_sh*Sens!$C$1950</f>
        <v>1.66511743506443</v>
      </c>
      <c r="D1954" s="38" t="n">
        <f aca="false">Sens!$D$1953-ext_sh*Sens!$D$1950</f>
        <v>4.25088967324788</v>
      </c>
      <c r="E1954" s="38" t="n">
        <f aca="false">Sens!$E$1953-ext_sh*Sens!$E$1950</f>
        <v>2.08326584116405</v>
      </c>
      <c r="F1954" s="38" t="n">
        <f aca="false">Sens!$F$1953-ext_sh*Sens!$F$1950</f>
        <v>7.17784026611138</v>
      </c>
      <c r="G1954" s="38" t="n">
        <f aca="false">Sens!$G$1953-ext_sh*Sens!$G$1950</f>
        <v>9.26110610727544</v>
      </c>
      <c r="H1954" s="38" t="n">
        <f aca="false">Sens!$H$1953-ext_sh*Sens!$H$1950</f>
        <v>22.9478985936873</v>
      </c>
      <c r="I1954" s="38" t="n">
        <f aca="false">Sens!$I$1953-ext_sh*Sens!$I$1950</f>
        <v>36.7114280326087</v>
      </c>
      <c r="J1954" s="38" t="n">
        <f aca="false">Sens!$J$1953-ext_sh*Sens!$J$1950</f>
        <v>49.949210773354</v>
      </c>
      <c r="K1954" s="38" t="n">
        <f aca="false">Sens!$K$1953-ext_sh*Sens!$K$1950</f>
        <v>63.243177184831</v>
      </c>
      <c r="L1954" s="38" t="n">
        <f aca="false">Sens!$L$1953-ext_sh*Sens!$L$1950</f>
        <v>76.089825467338</v>
      </c>
      <c r="M1954" s="38" t="n">
        <f aca="false">Sens!$M$1953-ext_sh*Sens!$M$1950</f>
        <v>90.3372071361673</v>
      </c>
      <c r="N1954" s="38" t="n">
        <f aca="false">Sens!$N$1953-ext_sh*Sens!$N$1950</f>
        <v>1.10903546813003</v>
      </c>
      <c r="O1954" s="38" t="n">
        <f aca="false">Sens!$O$1953-ext_sh*Sens!$O$1950</f>
        <v>3.14185420511785</v>
      </c>
    </row>
    <row r="1955" customFormat="false" ht="17.15" hidden="false" customHeight="false" outlineLevel="0" collapsed="false">
      <c r="A1955" s="0" t="s">
        <v>599</v>
      </c>
      <c r="B1955" s="0" t="s">
        <v>52</v>
      </c>
      <c r="C1955" s="12" t="n">
        <f aca="false">Sens!$C$1954/Sens!$C$1934</f>
        <v>0.717412146448287</v>
      </c>
      <c r="D1955" s="12" t="n">
        <f aca="false">Sens!$D$1954/Sens!$D$1934</f>
        <v>0.4883963650178</v>
      </c>
      <c r="E1955" s="12" t="n">
        <f aca="false">Sens!$E$1954/Sens!$E$1934</f>
        <v>0.244791943077369</v>
      </c>
      <c r="F1955" s="12" t="n">
        <f aca="false">Sens!$F$1954/Sens!$F$1934</f>
        <v>0.479692057086372</v>
      </c>
      <c r="G1955" s="12" t="n">
        <f aca="false">Sens!$G$1954/Sens!$G$1934</f>
        <v>0.394529704861091</v>
      </c>
      <c r="H1955" s="12" t="n">
        <f aca="false">Sens!$H$1954/Sens!$H$1934</f>
        <v>0.38141043550948</v>
      </c>
      <c r="I1955" s="12" t="n">
        <f aca="false">Sens!$I$1954/Sens!$I$1934</f>
        <v>0.361675764971526</v>
      </c>
      <c r="J1955" s="12" t="n">
        <f aca="false">Sens!$J$1954/Sens!$J$1934</f>
        <v>0.349233131149367</v>
      </c>
      <c r="K1955" s="12" t="n">
        <f aca="false">Sens!$K$1954/Sens!$K$1934</f>
        <v>0.342580142786982</v>
      </c>
      <c r="L1955" s="12" t="n">
        <f aca="false">Sens!$L$1954/Sens!$L$1934</f>
        <v>0.336354281017164</v>
      </c>
      <c r="M1955" s="12" t="n">
        <f aca="false">Sens!$M$1954/Sens!$M$1934</f>
        <v>0.337273993104978</v>
      </c>
      <c r="N1955" s="12" t="n">
        <f aca="false">Sens!$N$1954/Sens!$N$1934</f>
        <v>0.364057498510609</v>
      </c>
      <c r="O1955" s="12" t="n">
        <f aca="false">Sens!$O$1954/Sens!$O$1934</f>
        <v>0.555348062367826</v>
      </c>
    </row>
    <row r="1956" customFormat="false" ht="17.15" hidden="false" customHeight="false" outlineLevel="0" collapsed="false">
      <c r="A1956" s="5" t="s">
        <v>600</v>
      </c>
      <c r="B1956" s="0" t="s">
        <v>73</v>
      </c>
      <c r="C1956" s="38" t="n">
        <f aca="false">rd2*(1-ext_sh)/ext_sh*Sens!$C$1917*he_open*Sens!$C$1918/1000</f>
        <v>0</v>
      </c>
      <c r="D1956" s="38" t="n">
        <f aca="false">rd2*(1-ext_sh)/ext_sh*Sens!$D$1917*he_open*Sens!$D$1918/1000</f>
        <v>0</v>
      </c>
      <c r="E1956" s="38" t="n">
        <f aca="false">rd2*(1-ext_sh)/ext_sh*Sens!$E$1917*he_open*Sens!$E$1918/1000</f>
        <v>0</v>
      </c>
      <c r="F1956" s="38" t="n">
        <f aca="false">rd2*(1-ext_sh)/ext_sh*(mw_open*he_open+Sens!$F$1932*Sens!$F$1929)*Sens!$F$1918/1000</f>
        <v>0</v>
      </c>
      <c r="G1956" s="38" t="n">
        <f aca="false">Sens!$E$1956+Sens!$F$1956</f>
        <v>0</v>
      </c>
      <c r="H1956" s="38" t="n">
        <f aca="false">rd2*(1-ext_sh)/ext_sh*(mw_open*he_open+Sens!$H$1932*Sens!$H$1929)*Sens!$H$1918/1000</f>
        <v>0</v>
      </c>
      <c r="I1956" s="38" t="n">
        <f aca="false">rd2*(1-ext_sh)/ext_sh*(mw_open*he_open+Sens!$I$1932*Sens!$I$1929)*Sens!$I$1918/1000</f>
        <v>0</v>
      </c>
      <c r="J1956" s="38" t="n">
        <f aca="false">rd2*(1-ext_sh)/ext_sh*(mw_open*he_open+Sens!$J$1932*Sens!$J$1929)*Sens!$J$1918/1000</f>
        <v>0</v>
      </c>
      <c r="K1956" s="38" t="n">
        <f aca="false">rd2*(1-ext_sh)/ext_sh*(mw_open*he_open+Sens!$K$1932*Sens!$K$1929)*Sens!$K$1918/1000</f>
        <v>0</v>
      </c>
      <c r="L1956" s="38" t="n">
        <f aca="false">rd2*(1-ext_sh)/ext_sh*(mw_open*he_open+Sens!$L$1932*Sens!$L$1929)*Sens!$L$1918/1000</f>
        <v>0</v>
      </c>
      <c r="M1956" s="38" t="n">
        <f aca="false">rd2*(1-ext_sh)/ext_sh*(mw_open*he_open+Sens!$M$1932*Sens!$M$1929)*Sens!$M$1918/1000</f>
        <v>0</v>
      </c>
      <c r="N1956" s="38" t="n">
        <f aca="false">rd2*(1-ext_sh)/ext_sh*Sens!$N$1917*he_open*Sens!$N$1918/1000</f>
        <v>0</v>
      </c>
      <c r="O1956" s="38" t="n">
        <f aca="false">rd2*(1-ext_sh)/ext_sh*Sens!$O$1917*he_open*Sens!$O$1918/1000</f>
        <v>0</v>
      </c>
      <c r="P1956" s="8" t="s">
        <v>601</v>
      </c>
    </row>
    <row r="1957" customFormat="false" ht="17.15" hidden="false" customHeight="false" outlineLevel="0" collapsed="false">
      <c r="A1957" s="5" t="s">
        <v>602</v>
      </c>
      <c r="B1957" s="0" t="s">
        <v>73</v>
      </c>
      <c r="C1957" s="38" t="n">
        <f aca="false">(1-ext_sh)*(Sens!$C$1936+Sens!$C$1950)-Sens!$C$1956</f>
        <v>0.163971980477302</v>
      </c>
      <c r="D1957" s="38" t="n">
        <f aca="false">(1-ext_sh)*(Sens!$D$1936+Sens!$D$1950)-Sens!$D$1956</f>
        <v>1.11322010385082</v>
      </c>
      <c r="E1957" s="38" t="n">
        <f aca="false">(1-ext_sh)*(Sens!$E$1936+Sens!$E$1950)-Sens!$E$1956</f>
        <v>1.60677178360149</v>
      </c>
      <c r="F1957" s="38" t="n">
        <f aca="false">(1-ext_sh)*(Sens!$F$1936+Sens!$F$1950)-Sens!$F$1956</f>
        <v>1.94639834465227</v>
      </c>
      <c r="G1957" s="38" t="n">
        <f aca="false">(1-ext_sh)*(Sens!$G$1936+Sens!$G$1950)-Sens!$G$1956</f>
        <v>3.55317012825376</v>
      </c>
      <c r="H1957" s="38" t="n">
        <f aca="false">(1-ext_sh)*(Sens!$H$1936+Sens!$H$1950)-Sens!$H$1956</f>
        <v>9.30449803902181</v>
      </c>
      <c r="I1957" s="38" t="n">
        <f aca="false">(1-ext_sh)*(Sens!$I$1936+Sens!$I$1950)-Sens!$I$1956</f>
        <v>16.1980677759558</v>
      </c>
      <c r="J1957" s="38" t="n">
        <f aca="false">(1-ext_sh)*(Sens!$J$1936+Sens!$J$1950)-Sens!$J$1956</f>
        <v>23.269049094481</v>
      </c>
      <c r="K1957" s="38" t="n">
        <f aca="false">(1-ext_sh)*(Sens!$K$1936+Sens!$K$1950)-Sens!$K$1956</f>
        <v>30.341309464339</v>
      </c>
      <c r="L1957" s="38" t="n">
        <f aca="false">(1-ext_sh)*(Sens!$L$1936+Sens!$L$1950)-Sens!$L$1956</f>
        <v>37.5323652614467</v>
      </c>
      <c r="M1957" s="38" t="n">
        <f aca="false">(1-ext_sh)*(Sens!$M$1936+Sens!$M$1950)-Sens!$M$1956</f>
        <v>44.3769885785161</v>
      </c>
      <c r="N1957" s="38" t="n">
        <f aca="false">(1-ext_sh)*(Sens!$N$1936+Sens!$N$1950)-Sens!$N$1956</f>
        <v>0.484321015724469</v>
      </c>
      <c r="O1957" s="38" t="n">
        <f aca="false">(1-ext_sh)*(Sens!$O$1936+Sens!$O$1950)-Sens!$O$1956</f>
        <v>0.628899088126351</v>
      </c>
    </row>
    <row r="1958" customFormat="false" ht="17.15" hidden="false" customHeight="false" outlineLevel="0" collapsed="false">
      <c r="A1958" s="0" t="s">
        <v>603</v>
      </c>
      <c r="B1958" s="0" t="s">
        <v>73</v>
      </c>
      <c r="C1958" s="38" t="n">
        <f aca="false">Q!$D$24</f>
        <v>39.834</v>
      </c>
      <c r="D1958" s="38" t="n">
        <f aca="false">Q!$E$24</f>
        <v>45.606</v>
      </c>
      <c r="E1958" s="38" t="n">
        <f aca="false">Q!$P$24</f>
        <v>30.782</v>
      </c>
      <c r="N1958" s="38" t="n">
        <f aca="false">Q!$N$24</f>
        <v>21.707</v>
      </c>
      <c r="O1958" s="38" t="n">
        <f aca="false">Q!$O$24</f>
        <v>23.899</v>
      </c>
    </row>
    <row r="1959" customFormat="false" ht="17.15" hidden="false" customHeight="false" outlineLevel="0" collapsed="false">
      <c r="A1959" s="0" t="s">
        <v>604</v>
      </c>
      <c r="B1959" s="0" t="s">
        <v>73</v>
      </c>
      <c r="C1959" s="38" t="n">
        <f aca="false">Sens!$C$1958-Sens!$C$1954</f>
        <v>38.1688825649356</v>
      </c>
      <c r="D1959" s="38" t="n">
        <f aca="false">Sens!$D$1958-Sens!$D$1954</f>
        <v>41.3551103267521</v>
      </c>
      <c r="E1959" s="38" t="n">
        <f aca="false">Sens!$E$1958-Sens!$E$1954</f>
        <v>28.6987341588359</v>
      </c>
      <c r="F1959" s="38" t="n">
        <f aca="false">Sens!$F$1938*Sens!$F$1960</f>
        <v>28.9563135915274</v>
      </c>
      <c r="G1959" s="38" t="n">
        <f aca="false">Sens!$E$1959+Sens!$F$1959</f>
        <v>57.6550477503633</v>
      </c>
      <c r="H1959" s="38" t="n">
        <f aca="false">Sens!$H$1938*Sens!$H$1960</f>
        <v>66.6455878609613</v>
      </c>
      <c r="I1959" s="38" t="n">
        <f aca="false">Sens!$I$1938*Sens!$I$1960</f>
        <v>77.6079933677556</v>
      </c>
      <c r="J1959" s="38" t="n">
        <f aca="false">Sens!$J$1938*Sens!$J$1960</f>
        <v>87.0951084319996</v>
      </c>
      <c r="K1959" s="38" t="n">
        <f aca="false">Sens!$K$1938*Sens!$K$1960</f>
        <v>94.0627171065595</v>
      </c>
      <c r="L1959" s="38" t="n">
        <f aca="false">Sens!$L$1938*Sens!$L$1960</f>
        <v>101.587734475084</v>
      </c>
      <c r="M1959" s="38" t="n">
        <f aca="false">Sens!$M$1938*Sens!$M$1960</f>
        <v>109.714753233091</v>
      </c>
      <c r="N1959" s="38" t="n">
        <f aca="false">Sens!$N$1958-Sens!$N$1954</f>
        <v>20.59796453187</v>
      </c>
      <c r="O1959" s="38" t="n">
        <f aca="false">Sens!$O$1958-Sens!$O$1954</f>
        <v>20.7571457948822</v>
      </c>
      <c r="P1959" s="5" t="s">
        <v>605</v>
      </c>
    </row>
    <row r="1960" customFormat="false" ht="17.15" hidden="false" customHeight="false" outlineLevel="0" collapsed="false">
      <c r="A1960" s="0" t="s">
        <v>606</v>
      </c>
      <c r="B1960" s="0" t="s">
        <v>52</v>
      </c>
      <c r="C1960" s="12" t="n">
        <f aca="false">Sens!$C$1959/Sens!$C$1938</f>
        <v>0.362701425456526</v>
      </c>
      <c r="D1960" s="12" t="n">
        <f aca="false">Sens!$D$1959/Sens!$D$1938</f>
        <v>0.344564960359915</v>
      </c>
      <c r="E1960" s="12" t="n">
        <f aca="false">Sens!$E$1959/Sens!$E$1938</f>
        <v>0.402457981694757</v>
      </c>
      <c r="F1960" s="12" t="n">
        <f aca="false">(Sens!$O$1959+Sens!$E$1959)/(Sens!$O$1938+Sens!$E$1938)</f>
        <v>0.368424324105066</v>
      </c>
      <c r="G1960" s="12" t="n">
        <f aca="false">Sens!$G$1959/Sens!$G$1938</f>
        <v>0.38461401632078</v>
      </c>
      <c r="H1960" s="12" t="n">
        <f aca="false">Sens!$F$1960</f>
        <v>0.368424324105066</v>
      </c>
      <c r="I1960" s="12" t="n">
        <f aca="false">Sens!$F$1960</f>
        <v>0.368424324105066</v>
      </c>
      <c r="J1960" s="12" t="n">
        <f aca="false">Sens!$F$1960</f>
        <v>0.368424324105066</v>
      </c>
      <c r="K1960" s="12" t="n">
        <f aca="false">Sens!$F$1960</f>
        <v>0.368424324105066</v>
      </c>
      <c r="L1960" s="12" t="n">
        <f aca="false">Sens!$F$1960</f>
        <v>0.368424324105066</v>
      </c>
      <c r="M1960" s="12" t="n">
        <f aca="false">Sens!$F$1960</f>
        <v>0.368424324105066</v>
      </c>
      <c r="N1960" s="12" t="n">
        <f aca="false">Sens!$N$1959/Sens!$N$1938</f>
        <v>0.360774859190661</v>
      </c>
      <c r="O1960" s="12" t="n">
        <f aca="false">Sens!$O$1959/Sens!$O$1938</f>
        <v>0.329857844121034</v>
      </c>
      <c r="P1960" s="8" t="s">
        <v>607</v>
      </c>
    </row>
    <row r="1961" customFormat="false" ht="17.15" hidden="false" customHeight="false" outlineLevel="0" collapsed="false">
      <c r="A1961" s="0" t="s">
        <v>608</v>
      </c>
      <c r="B1961" s="0" t="s">
        <v>52</v>
      </c>
      <c r="D1961" s="12" t="n">
        <f aca="false">(Q!$E$31-ext_sh*Sens!$D$1950)/Sens!$D$1938</f>
        <v>0.157678997545686</v>
      </c>
    </row>
    <row r="1962" customFormat="false" ht="17.15" hidden="false" customHeight="false" outlineLevel="0" collapsed="false">
      <c r="A1962" s="0" t="s">
        <v>609</v>
      </c>
      <c r="B1962" s="0" t="s">
        <v>73</v>
      </c>
      <c r="C1962" s="38" t="n">
        <f aca="false">Q!$D$31</f>
        <v>13.32</v>
      </c>
      <c r="D1962" s="38" t="n">
        <f aca="false">Q!$E$31</f>
        <v>21.45</v>
      </c>
      <c r="E1962" s="38" t="n">
        <f aca="false">Q!$P$31</f>
        <v>15.353</v>
      </c>
      <c r="F1962" s="38" t="n">
        <f aca="false">ext_sh*Sens!$F$1950+Sens!$D$1961*Sens!$F$1938</f>
        <v>16.9349999046671</v>
      </c>
      <c r="G1962" s="38" t="n">
        <f aca="false">Sens!$E$1962+Sens!$F$1962</f>
        <v>32.2879999046671</v>
      </c>
      <c r="H1962" s="38" t="n">
        <f aca="false">ext_sh*Sens!$H$1950+Sens!$D$1961*Sens!$H$1938</f>
        <v>53.0923894367483</v>
      </c>
      <c r="I1962" s="38" t="n">
        <f aca="false">ext_sh*Sens!$I$1950+Sens!$D$1961*Sens!$I$1938</f>
        <v>77.0573693392263</v>
      </c>
      <c r="J1962" s="38" t="n">
        <f aca="false">ext_sh*Sens!$J$1950+Sens!$D$1961*Sens!$J$1938</f>
        <v>101.085249123946</v>
      </c>
      <c r="K1962" s="38" t="n">
        <f aca="false">ext_sh*Sens!$K$1950+Sens!$D$1961*Sens!$K$1938</f>
        <v>124.034825398711</v>
      </c>
      <c r="L1962" s="38" t="n">
        <f aca="false">ext_sh*Sens!$L$1950+Sens!$D$1961*Sens!$L$1938</f>
        <v>147.695818750196</v>
      </c>
      <c r="M1962" s="38" t="n">
        <f aca="false">ext_sh*Sens!$M$1950+Sens!$D$1961*Sens!$M$1938</f>
        <v>170.227475752288</v>
      </c>
      <c r="N1962" s="38" t="n">
        <f aca="false">Q!$N$31</f>
        <v>9.234</v>
      </c>
      <c r="O1962" s="38" t="n">
        <f aca="false">Q!$O$31</f>
        <v>12.216</v>
      </c>
    </row>
    <row r="1963" customFormat="false" ht="17.15" hidden="false" customHeight="false" outlineLevel="0" collapsed="false">
      <c r="A1963" s="1" t="s">
        <v>610</v>
      </c>
    </row>
    <row r="1964" customFormat="false" ht="17.15" hidden="false" customHeight="false" outlineLevel="0" collapsed="false">
      <c r="A1964" s="14" t="s">
        <v>611</v>
      </c>
      <c r="B1964" s="13" t="s">
        <v>52</v>
      </c>
      <c r="C1964" s="13"/>
      <c r="D1964" s="13"/>
      <c r="E1964" s="13"/>
      <c r="F1964" s="13"/>
      <c r="G1964" s="16" t="n">
        <f aca="false">Sens!$G$1954*(1-tax)/(ext_sh*(Sens!$D$1951+Sens!$G$1951)/2)</f>
        <v>0.0570958788594286</v>
      </c>
      <c r="H1964" s="16" t="n">
        <f aca="false">Sens!$H$1954*(1-tax)/(ext_sh*(Sens!$G$1951+Sens!$H$1951)/2)</f>
        <v>0.0727100170497439</v>
      </c>
      <c r="I1964" s="16" t="n">
        <f aca="false">Sens!$I$1954*(1-tax)/(ext_sh*(Sens!$H$1951+Sens!$I$1951)/2)</f>
        <v>0.0782121780459111</v>
      </c>
      <c r="J1964" s="16" t="n">
        <f aca="false">Sens!$J$1954*(1-tax)/(ext_sh*(Sens!$I$1951+Sens!$J$1951)/2)</f>
        <v>0.0829231569356109</v>
      </c>
      <c r="K1964" s="16" t="n">
        <f aca="false">Sens!$K$1954*(1-tax)/(ext_sh*(Sens!$J$1951+Sens!$K$1951)/2)</f>
        <v>0.0886129472718905</v>
      </c>
      <c r="L1964" s="16" t="n">
        <f aca="false">Sens!$L$1954*(1-tax)/(ext_sh*(Sens!$K$1951+Sens!$L$1951)/2)</f>
        <v>0.0944430490306292</v>
      </c>
      <c r="M1964" s="16" t="n">
        <f aca="false">Sens!$M$1954*(1-tax)/(ext_sh*(Sens!$L$1951+Sens!$M$1951)/2)</f>
        <v>0.101046150085972</v>
      </c>
      <c r="N1964" s="13"/>
      <c r="O1964" s="13"/>
      <c r="P1964" s="8" t="s">
        <v>612</v>
      </c>
    </row>
    <row r="1965" customFormat="false" ht="17.15" hidden="false" customHeight="false" outlineLevel="0" collapsed="false">
      <c r="A1965" s="5" t="s">
        <v>613</v>
      </c>
      <c r="B1965" s="0" t="s">
        <v>57</v>
      </c>
      <c r="H1965" s="36" t="n">
        <f aca="false">Sens!$H$1934*1000/(mw_open*he_open+Sens!$H$1932*Sens!$H$1929)</f>
        <v>0.991949006767191</v>
      </c>
      <c r="I1965" s="36" t="n">
        <f aca="false">Sens!$I$1934*1000/(mw_open*he_open+Sens!$I$1932*Sens!$I$1929)</f>
        <v>0.991949006767191</v>
      </c>
      <c r="J1965" s="36" t="n">
        <f aca="false">Sens!$J$1934*1000/(mw_open*he_open+Sens!$J$1932*Sens!$J$1929)</f>
        <v>0.991949006767191</v>
      </c>
      <c r="K1965" s="36" t="n">
        <f aca="false">Sens!$K$1934*1000/(mw_open*he_open+Sens!$K$1932*Sens!$K$1929)</f>
        <v>0.991949006767191</v>
      </c>
      <c r="L1965" s="36" t="n">
        <f aca="false">Sens!$L$1934*1000/(mw_open*he_open+Sens!$L$1932*Sens!$L$1929)</f>
        <v>0.991949006767191</v>
      </c>
      <c r="M1965" s="36" t="n">
        <f aca="false">Sens!$M$1934*1000/(mw_open*he_open+Sens!$M$1932*Sens!$M$1929)</f>
        <v>0.991949006767192</v>
      </c>
    </row>
    <row r="1966" customFormat="false" ht="17.15" hidden="false" customHeight="false" outlineLevel="0" collapsed="false">
      <c r="A1966" s="5" t="s">
        <v>614</v>
      </c>
      <c r="B1966" s="0" t="s">
        <v>57</v>
      </c>
      <c r="H1966" s="36" t="n">
        <f aca="false">Sens!$H$1965*(Sens!$H$1934+wacc*ext_sh*(Sens!$G$1951+Sens!$H$1951)/2/(1-tax)-Sens!$H$1954)/Sens!$H$1934</f>
        <v>1.26342487495819</v>
      </c>
      <c r="I1966" s="36" t="n">
        <f aca="false">Sens!$I$1965*(Sens!$I$1934+wacc*ext_sh*(Sens!$H$1951+Sens!$I$1951)/2/(1-tax)-Sens!$I$1954)/Sens!$I$1934</f>
        <v>1.20602968275762</v>
      </c>
      <c r="J1966" s="36" t="n">
        <f aca="false">Sens!$J$1965*(Sens!$J$1934+wacc*ext_sh*(Sens!$I$1951+Sens!$J$1951)/2/(1-tax)-Sens!$J$1954)/Sens!$J$1934</f>
        <v>1.16724023741139</v>
      </c>
      <c r="K1966" s="36" t="n">
        <f aca="false">Sens!$K$1965*(Sens!$K$1934+wacc*ext_sh*(Sens!$J$1951+Sens!$K$1951)/2/(1-tax)-Sens!$K$1954)/Sens!$K$1934</f>
        <v>1.13104015899799</v>
      </c>
      <c r="L1966" s="36" t="n">
        <f aca="false">Sens!$L$1965*(Sens!$L$1934+wacc*ext_sh*(Sens!$K$1951+Sens!$L$1951)/2/(1-tax)-Sens!$L$1954)/Sens!$L$1934</f>
        <v>1.0994856908879</v>
      </c>
      <c r="M1966" s="36" t="n">
        <f aca="false">Sens!$M$1965*(Sens!$M$1934+wacc*ext_sh*(Sens!$L$1951+Sens!$M$1951)/2/(1-tax)-Sens!$M$1954)/Sens!$M$1934</f>
        <v>1.07087075121144</v>
      </c>
    </row>
    <row r="1967" customFormat="false" ht="17.15" hidden="false" customHeight="false" outlineLevel="0" collapsed="false">
      <c r="A1967" s="5" t="s">
        <v>615</v>
      </c>
      <c r="B1967" s="0" t="s">
        <v>52</v>
      </c>
      <c r="C1967" s="12" t="n">
        <f aca="false">Sens!$C$1935/tk_pq</f>
        <v>0.195316432429398</v>
      </c>
      <c r="D1967" s="12" t="n">
        <f aca="false">Sens!$D$1935/tk_pq</f>
        <v>0.195316432429398</v>
      </c>
      <c r="E1967" s="12" t="n">
        <f aca="false">Sens!$E$1935/tk_pq</f>
        <v>0.195316432429398</v>
      </c>
      <c r="F1967" s="12" t="n">
        <f aca="false">Sens!$F$1935/tk_pq</f>
        <v>0.202241827274866</v>
      </c>
      <c r="G1967" s="12" t="n">
        <f aca="false">Sens!$G$1935/tk_pq</f>
        <v>0.199675016194063</v>
      </c>
      <c r="H1967" s="12" t="n">
        <f aca="false">Sens!$H$1935/tk_pq</f>
        <v>0.212647947710325</v>
      </c>
      <c r="I1967" s="12" t="n">
        <f aca="false">Sens!$I$1935/tk_pq</f>
        <v>0.219285125475351</v>
      </c>
      <c r="J1967" s="12" t="n">
        <f aca="false">Sens!$J$1935/tk_pq</f>
        <v>0.222492493217189</v>
      </c>
      <c r="K1967" s="12" t="n">
        <f aca="false">Sens!$K$1935/tk_pq</f>
        <v>0.224371415939166</v>
      </c>
      <c r="L1967" s="12" t="n">
        <f aca="false">Sens!$L$1935/tk_pq</f>
        <v>0.225603749825993</v>
      </c>
      <c r="M1967" s="12" t="n">
        <f aca="false">Sens!$M$1935/tk_pq</f>
        <v>0.22647376274628</v>
      </c>
      <c r="N1967" s="12" t="n">
        <f aca="false">Sens!$N$1935/tk_pq</f>
        <v>0.195316432429398</v>
      </c>
      <c r="O1967" s="12" t="n">
        <f aca="false">Sens!$O$1935/tk_pq</f>
        <v>0.195316432429398</v>
      </c>
      <c r="P1967" s="5" t="s">
        <v>616</v>
      </c>
    </row>
    <row r="1970" customFormat="false" ht="17.15" hidden="false" customHeight="false" outlineLevel="0" collapsed="false">
      <c r="A1970" s="1" t="s">
        <v>643</v>
      </c>
    </row>
    <row r="1971" customFormat="false" ht="17.15" hidden="false" customHeight="false" outlineLevel="0" collapsed="false">
      <c r="A1971" s="0" t="s">
        <v>644</v>
      </c>
      <c r="B1971" s="0" t="s">
        <v>73</v>
      </c>
      <c r="C1971" s="38" t="n">
        <f aca="false">Sens!$C$1934</f>
        <v>2.32100535697364</v>
      </c>
      <c r="D1971" s="38" t="n">
        <f aca="false">Sens!$D$1934</f>
        <v>8.70377008865116</v>
      </c>
      <c r="E1971" s="38" t="n">
        <f aca="false">Sens!$E$1934</f>
        <v>8.51035297557002</v>
      </c>
      <c r="F1971" s="38" t="n">
        <f aca="false">Sens!$F$1934</f>
        <v>14.9634336447205</v>
      </c>
      <c r="G1971" s="38" t="n">
        <f aca="false">Sens!$G$1934</f>
        <v>23.4737866202905</v>
      </c>
      <c r="H1971" s="38" t="n">
        <f aca="false">Sens!$H$1934</f>
        <v>60.1658907497746</v>
      </c>
      <c r="I1971" s="38" t="n">
        <f aca="false">Sens!$I$1934</f>
        <v>101.503699136432</v>
      </c>
      <c r="J1971" s="38" t="n">
        <f aca="false">Sens!$J$1934</f>
        <v>143.025407151278</v>
      </c>
      <c r="K1971" s="38" t="n">
        <f aca="false">Sens!$K$1934</f>
        <v>184.608415042187</v>
      </c>
      <c r="L1971" s="38" t="n">
        <f aca="false">Sens!$L$1934</f>
        <v>226.219286513125</v>
      </c>
      <c r="M1971" s="38" t="n">
        <f aca="false">Sens!$M$1934</f>
        <v>267.845161450232</v>
      </c>
      <c r="N1971" s="38" t="n">
        <f aca="false">Sens!$N$1934</f>
        <v>3.04631953102791</v>
      </c>
      <c r="O1971" s="38" t="n">
        <f aca="false">Sens!$O$1934</f>
        <v>5.65745055762326</v>
      </c>
      <c r="P1971" s="8" t="s">
        <v>645</v>
      </c>
    </row>
    <row r="1972" customFormat="false" ht="17.15" hidden="false" customHeight="false" outlineLevel="0" collapsed="false">
      <c r="A1972" s="0" t="s">
        <v>646</v>
      </c>
      <c r="B1972" s="0" t="s">
        <v>73</v>
      </c>
      <c r="C1972" s="38" t="n">
        <f aca="false">Sens!$C$1938</f>
        <v>105.234994643026</v>
      </c>
      <c r="D1972" s="38" t="n">
        <f aca="false">Sens!$D$1938</f>
        <v>120.021229911349</v>
      </c>
      <c r="E1972" s="38" t="n">
        <f aca="false">Sens!$E$1938</f>
        <v>71.30864702443</v>
      </c>
      <c r="F1972" s="38" t="n">
        <f aca="false">Sens!$F$1938</f>
        <v>78.5950104186653</v>
      </c>
      <c r="G1972" s="38" t="n">
        <f aca="false">Sens!$G$1938</f>
        <v>149.903657443095</v>
      </c>
      <c r="H1972" s="38" t="n">
        <f aca="false">Sens!$H$1938</f>
        <v>180.893560768142</v>
      </c>
      <c r="I1972" s="38" t="n">
        <f aca="false">Sens!$I$1938</f>
        <v>210.64839721501</v>
      </c>
      <c r="J1972" s="38" t="n">
        <f aca="false">Sens!$J$1938</f>
        <v>236.398909446495</v>
      </c>
      <c r="K1972" s="38" t="n">
        <f aca="false">Sens!$K$1938</f>
        <v>255.310822202215</v>
      </c>
      <c r="L1972" s="38" t="n">
        <f aca="false">Sens!$L$1938</f>
        <v>275.735687978392</v>
      </c>
      <c r="M1972" s="38" t="n">
        <f aca="false">Sens!$M$1938</f>
        <v>297.794543016663</v>
      </c>
      <c r="N1972" s="38" t="n">
        <f aca="false">Sens!$N$1938</f>
        <v>57.0936804689721</v>
      </c>
      <c r="O1972" s="38" t="n">
        <f aca="false">Sens!$O$1938</f>
        <v>62.9275494423768</v>
      </c>
      <c r="P1972" s="8" t="s">
        <v>645</v>
      </c>
    </row>
    <row r="1973" customFormat="false" ht="17.15" hidden="false" customHeight="false" outlineLevel="0" collapsed="false">
      <c r="A1973" s="1" t="s">
        <v>476</v>
      </c>
      <c r="B1973" s="8" t="s">
        <v>73</v>
      </c>
      <c r="C1973" s="38" t="n">
        <f aca="false">Q!$D$7</f>
        <v>107.556</v>
      </c>
      <c r="D1973" s="38" t="n">
        <f aca="false">Q!$E$7</f>
        <v>128.725</v>
      </c>
      <c r="E1973" s="38" t="n">
        <f aca="false">Q!$P$7</f>
        <v>79.819</v>
      </c>
      <c r="F1973" s="38" t="n">
        <f aca="false">Sens!$F$1971+Sens!$F$1972</f>
        <v>93.5584440633857</v>
      </c>
      <c r="G1973" s="38" t="n">
        <f aca="false">Sens!$G$1971+Sens!$G$1972</f>
        <v>173.377444063386</v>
      </c>
      <c r="H1973" s="38" t="n">
        <f aca="false">Sens!$H$1971+Sens!$H$1972</f>
        <v>241.059451517916</v>
      </c>
      <c r="I1973" s="38" t="n">
        <f aca="false">Sens!$I$1971+Sens!$I$1972</f>
        <v>312.152096351442</v>
      </c>
      <c r="J1973" s="38" t="n">
        <f aca="false">Sens!$J$1971+Sens!$J$1972</f>
        <v>379.424316597773</v>
      </c>
      <c r="K1973" s="38" t="n">
        <f aca="false">Sens!$K$1971+Sens!$K$1972</f>
        <v>439.919237244402</v>
      </c>
      <c r="L1973" s="38" t="n">
        <f aca="false">Sens!$L$1971+Sens!$L$1972</f>
        <v>501.954974491517</v>
      </c>
      <c r="M1973" s="38" t="n">
        <f aca="false">Sens!$M$1971+Sens!$M$1972</f>
        <v>565.639704466895</v>
      </c>
      <c r="N1973" s="38" t="n">
        <f aca="false">Q!$N$7</f>
        <v>60.14</v>
      </c>
      <c r="O1973" s="38" t="n">
        <f aca="false">Q!$O$7</f>
        <v>68.585</v>
      </c>
      <c r="P1973" s="5" t="s">
        <v>647</v>
      </c>
    </row>
    <row r="1974" customFormat="false" ht="15" hidden="false" customHeight="false" outlineLevel="0" collapsed="false">
      <c r="A1974" s="3" t="s">
        <v>648</v>
      </c>
      <c r="B1974" s="8" t="s">
        <v>73</v>
      </c>
      <c r="C1974" s="38" t="n">
        <f aca="false">Q!$D$8</f>
        <v>637.959</v>
      </c>
      <c r="D1974" s="38" t="n">
        <f aca="false">Q!$E$8</f>
        <v>716.924</v>
      </c>
      <c r="E1974" s="38" t="n">
        <f aca="false">Q!$P$8</f>
        <v>382.125</v>
      </c>
      <c r="F1974" s="38" t="n">
        <f aca="false">Sens!$F$1907+Sens!$F$1973</f>
        <v>450.494873271816</v>
      </c>
      <c r="G1974" s="38" t="n">
        <f aca="false">Sens!$G$1907+Sens!$G$1973</f>
        <v>832.619873271816</v>
      </c>
      <c r="H1974" s="38" t="n">
        <f aca="false">Sens!$H$1907+Sens!$H$1973</f>
        <v>970.995189139617</v>
      </c>
      <c r="I1974" s="38" t="n">
        <f aca="false">Sens!$I$1907+Sens!$I$1973</f>
        <v>1110.44766604932</v>
      </c>
      <c r="J1974" s="38" t="n">
        <f aca="false">Sens!$J$1907+Sens!$J$1973</f>
        <v>1241.16113892356</v>
      </c>
      <c r="K1974" s="38" t="n">
        <f aca="false">Sens!$K$1907+Sens!$K$1973</f>
        <v>1357.47672934633</v>
      </c>
      <c r="L1974" s="38" t="n">
        <f aca="false">Sens!$L$1907+Sens!$L$1973</f>
        <v>1479.24006423468</v>
      </c>
      <c r="M1974" s="38" t="n">
        <f aca="false">Sens!$M$1907+Sens!$M$1973</f>
        <v>1606.8537230104</v>
      </c>
      <c r="N1974" s="38" t="n">
        <f aca="false">Q!$N$8</f>
        <v>323.369</v>
      </c>
      <c r="O1974" s="38" t="n">
        <f aca="false">Q!$O$8</f>
        <v>393.555</v>
      </c>
    </row>
    <row r="1975" customFormat="false" ht="17.15" hidden="false" customHeight="false" outlineLevel="0" collapsed="false">
      <c r="A1975" s="24" t="s">
        <v>656</v>
      </c>
      <c r="B1975" s="25" t="s">
        <v>73</v>
      </c>
      <c r="C1975" s="39" t="n">
        <f aca="false">Sens!$C$1907-(Sens!$C$1909+Sens!$C$1910)</f>
        <v>0</v>
      </c>
      <c r="D1975" s="39" t="n">
        <f aca="false">Sens!$D$1907-(Sens!$D$1909+Sens!$D$1910)</f>
        <v>0</v>
      </c>
      <c r="E1975" s="39" t="n">
        <f aca="false">Sens!$E$1907-(Sens!$E$1909+Sens!$E$1910)</f>
        <v>0</v>
      </c>
      <c r="F1975" s="39" t="n">
        <f aca="false">Sens!$F$1907-(Sens!$F$1909+Sens!$F$1910)</f>
        <v>0</v>
      </c>
      <c r="G1975" s="39" t="n">
        <f aca="false">Sens!$G$1907-(Sens!$G$1909+Sens!$G$1910)</f>
        <v>0</v>
      </c>
      <c r="H1975" s="39" t="n">
        <f aca="false">Sens!$H$1907-(Sens!$H$1909+Sens!$H$1910)</f>
        <v>0</v>
      </c>
      <c r="I1975" s="39" t="n">
        <f aca="false">Sens!$I$1907-(Sens!$I$1909+Sens!$I$1910)</f>
        <v>0</v>
      </c>
      <c r="J1975" s="39" t="n">
        <f aca="false">Sens!$J$1907-(Sens!$J$1909+Sens!$J$1910)</f>
        <v>0</v>
      </c>
      <c r="K1975" s="39" t="n">
        <f aca="false">Sens!$K$1907-(Sens!$K$1909+Sens!$K$1910)</f>
        <v>0</v>
      </c>
      <c r="L1975" s="39" t="n">
        <f aca="false">Sens!$L$1907-(Sens!$L$1909+Sens!$L$1910)</f>
        <v>0</v>
      </c>
      <c r="M1975" s="39" t="n">
        <f aca="false">Sens!$M$1907-(Sens!$M$1909+Sens!$M$1910)</f>
        <v>0</v>
      </c>
      <c r="N1975" s="39" t="n">
        <f aca="false">Sens!$N$1907-(Sens!$N$1909+Sens!$N$1910)</f>
        <v>0</v>
      </c>
      <c r="O1975" s="39" t="n">
        <f aca="false">Sens!$O$1907-(Sens!$O$1909+Sens!$O$1910)</f>
        <v>0</v>
      </c>
    </row>
    <row r="1976" customFormat="false" ht="17.15" hidden="false" customHeight="false" outlineLevel="0" collapsed="false">
      <c r="A1976" s="24" t="s">
        <v>657</v>
      </c>
      <c r="B1976" s="25" t="s">
        <v>73</v>
      </c>
      <c r="C1976" s="39" t="n">
        <f aca="false">Sens!$C$1971+Sens!$C$1972-Sens!$C$1973</f>
        <v>0</v>
      </c>
      <c r="D1976" s="39" t="n">
        <f aca="false">Sens!$D$1971+Sens!$D$1972-Sens!$D$1973</f>
        <v>0</v>
      </c>
      <c r="E1976" s="39" t="n">
        <f aca="false">Sens!$E$1971+Sens!$E$1972-Sens!$E$1973</f>
        <v>0</v>
      </c>
      <c r="F1976" s="39" t="n">
        <f aca="false">Sens!$F$1971+Sens!$F$1972-Sens!$F$1973</f>
        <v>0</v>
      </c>
      <c r="G1976" s="39" t="n">
        <f aca="false">Sens!$G$1971+Sens!$G$1972-Sens!$G$1973</f>
        <v>0</v>
      </c>
      <c r="H1976" s="39" t="n">
        <f aca="false">Sens!$H$1971+Sens!$H$1972-Sens!$H$1973</f>
        <v>0</v>
      </c>
      <c r="I1976" s="39" t="n">
        <f aca="false">Sens!$I$1971+Sens!$I$1972-Sens!$I$1973</f>
        <v>0</v>
      </c>
      <c r="J1976" s="39" t="n">
        <f aca="false">Sens!$J$1971+Sens!$J$1972-Sens!$J$1973</f>
        <v>0</v>
      </c>
      <c r="K1976" s="39" t="n">
        <f aca="false">Sens!$K$1971+Sens!$K$1972-Sens!$K$1973</f>
        <v>0</v>
      </c>
      <c r="L1976" s="39" t="n">
        <f aca="false">Sens!$L$1971+Sens!$L$1972-Sens!$L$1973</f>
        <v>0</v>
      </c>
      <c r="M1976" s="39" t="n">
        <f aca="false">Sens!$M$1971+Sens!$M$1972-Sens!$M$1973</f>
        <v>0</v>
      </c>
      <c r="N1976" s="39" t="n">
        <f aca="false">Sens!$N$1971+Sens!$N$1972-Sens!$N$1973</f>
        <v>0</v>
      </c>
      <c r="O1976" s="39" t="n">
        <f aca="false">Sens!$O$1971+Sens!$O$1972-Sens!$O$1973</f>
        <v>0</v>
      </c>
    </row>
    <row r="1977" customFormat="false" ht="17.15" hidden="false" customHeight="false" outlineLevel="0" collapsed="false">
      <c r="A1977" s="24" t="s">
        <v>658</v>
      </c>
      <c r="B1977" s="25" t="s">
        <v>73</v>
      </c>
      <c r="C1977" s="39" t="n">
        <f aca="false">Sens!$C$1909+Sens!$C$1910+Sens!$C$1973-Sens!$C$1974</f>
        <v>0</v>
      </c>
      <c r="D1977" s="39" t="n">
        <f aca="false">Sens!$D$1909+Sens!$D$1910+Sens!$D$1973-Sens!$D$1974</f>
        <v>0</v>
      </c>
      <c r="E1977" s="39" t="n">
        <f aca="false">Sens!$E$1909+Sens!$E$1910+Sens!$E$1973-Sens!$E$1974</f>
        <v>0</v>
      </c>
      <c r="F1977" s="39" t="n">
        <f aca="false">Sens!$F$1909+Sens!$F$1910+Sens!$F$1973-Sens!$F$1974</f>
        <v>0</v>
      </c>
      <c r="G1977" s="39" t="n">
        <f aca="false">Sens!$G$1909+Sens!$G$1910+Sens!$G$1973-Sens!$G$1974</f>
        <v>0</v>
      </c>
      <c r="H1977" s="39" t="n">
        <f aca="false">Sens!$H$1909+Sens!$H$1910+Sens!$H$1973-Sens!$H$1974</f>
        <v>0</v>
      </c>
      <c r="I1977" s="39" t="n">
        <f aca="false">Sens!$I$1909+Sens!$I$1910+Sens!$I$1973-Sens!$I$1974</f>
        <v>0</v>
      </c>
      <c r="J1977" s="39" t="n">
        <f aca="false">Sens!$J$1909+Sens!$J$1910+Sens!$J$1973-Sens!$J$1974</f>
        <v>0</v>
      </c>
      <c r="K1977" s="39" t="n">
        <f aca="false">Sens!$K$1909+Sens!$K$1910+Sens!$K$1973-Sens!$K$1974</f>
        <v>0</v>
      </c>
      <c r="L1977" s="39" t="n">
        <f aca="false">Sens!$L$1909+Sens!$L$1910+Sens!$L$1973-Sens!$L$1974</f>
        <v>0</v>
      </c>
      <c r="M1977" s="39" t="n">
        <f aca="false">Sens!$M$1909+Sens!$M$1910+Sens!$M$1973-Sens!$M$1974</f>
        <v>0</v>
      </c>
      <c r="N1977" s="39" t="n">
        <f aca="false">Sens!$N$1909+Sens!$N$1910+Sens!$N$1973-Sens!$N$1974</f>
        <v>0</v>
      </c>
      <c r="O1977" s="39" t="n">
        <f aca="false">Sens!$O$1909+Sens!$O$1910+Sens!$O$1973-Sens!$O$1974</f>
        <v>0</v>
      </c>
    </row>
    <row r="1978" customFormat="false" ht="15" hidden="false" customHeight="false" outlineLevel="0" collapsed="false">
      <c r="A1978" s="5" t="s">
        <v>652</v>
      </c>
      <c r="B1978" s="0" t="s">
        <v>52</v>
      </c>
      <c r="G1978" s="12" t="n">
        <f aca="false">Sens!$G$1974/Sens!$D$1974-1</f>
        <v>0.161378156222718</v>
      </c>
      <c r="H1978" s="12" t="n">
        <f aca="false">Sens!$H$1974/Sens!$G$1974-1</f>
        <v>0.166192665236357</v>
      </c>
      <c r="I1978" s="12" t="n">
        <f aca="false">Sens!$I$1974/Sens!$H$1974-1</f>
        <v>0.143618092519351</v>
      </c>
      <c r="J1978" s="12" t="n">
        <f aca="false">Sens!$J$1974/Sens!$I$1974-1</f>
        <v>0.117712411733268</v>
      </c>
      <c r="K1978" s="12" t="n">
        <f aca="false">Sens!$K$1974/Sens!$J$1974-1</f>
        <v>0.0937151404237868</v>
      </c>
      <c r="L1978" s="12" t="n">
        <f aca="false">Sens!$L$1974/Sens!$K$1974-1</f>
        <v>0.0896982852494186</v>
      </c>
      <c r="M1978" s="12" t="n">
        <f aca="false">Sens!$M$1974/Sens!$L$1974-1</f>
        <v>0.0862697420528154</v>
      </c>
    </row>
    <row r="1979" customFormat="false" ht="17.15" hidden="false" customHeight="false" outlineLevel="0" collapsed="false">
      <c r="A1979" s="0" t="s">
        <v>653</v>
      </c>
      <c r="B1979" s="0" t="s">
        <v>52</v>
      </c>
      <c r="C1979" s="12" t="n">
        <f aca="false">Sens!$C$1973/Sens!$C$1974</f>
        <v>0.168593906504964</v>
      </c>
      <c r="D1979" s="12" t="n">
        <f aca="false">Sens!$D$1973/Sens!$D$1974</f>
        <v>0.179551807444025</v>
      </c>
      <c r="E1979" s="12" t="n">
        <f aca="false">Sens!$E$1973/Sens!$E$1974</f>
        <v>0.208881910369643</v>
      </c>
      <c r="F1979" s="12" t="n">
        <f aca="false">Sens!$F$1973/Sens!$F$1974</f>
        <v>0.207679264769203</v>
      </c>
      <c r="G1979" s="12" t="n">
        <f aca="false">Sens!$G$1973/Sens!$G$1974</f>
        <v>0.208231210458731</v>
      </c>
      <c r="H1979" s="12" t="n">
        <f aca="false">Sens!$H$1973/Sens!$H$1974</f>
        <v>0.248260191414043</v>
      </c>
      <c r="I1979" s="12" t="n">
        <f aca="false">Sens!$I$1973/Sens!$I$1974</f>
        <v>0.28110473450946</v>
      </c>
      <c r="J1979" s="12" t="n">
        <f aca="false">Sens!$J$1973/Sens!$J$1974</f>
        <v>0.30570109287086</v>
      </c>
      <c r="K1979" s="12" t="n">
        <f aca="false">Sens!$K$1973/Sens!$K$1974</f>
        <v>0.324071291782835</v>
      </c>
      <c r="L1979" s="12" t="n">
        <f aca="false">Sens!$L$1973/Sens!$L$1974</f>
        <v>0.339333003903741</v>
      </c>
      <c r="M1979" s="12" t="n">
        <f aca="false">Sens!$M$1973/Sens!$M$1974</f>
        <v>0.3520169237354</v>
      </c>
      <c r="N1979" s="12" t="n">
        <f aca="false">Sens!$N$1973/Sens!$N$1974</f>
        <v>0.185979484737251</v>
      </c>
      <c r="O1979" s="12" t="n">
        <f aca="false">Sens!$O$1973/Sens!$O$1974</f>
        <v>0.174270432341096</v>
      </c>
    </row>
    <row r="1980" customFormat="false" ht="17.15" hidden="false" customHeight="false" outlineLevel="0" collapsed="false">
      <c r="A1980" s="0" t="s">
        <v>654</v>
      </c>
      <c r="B1980" s="0" t="s">
        <v>52</v>
      </c>
      <c r="C1980" s="12" t="n">
        <f aca="false">Sens!$C$1971/Sens!$C$1973</f>
        <v>0.0215795060896058</v>
      </c>
      <c r="D1980" s="12" t="n">
        <f aca="false">Sens!$D$1971/Sens!$D$1973</f>
        <v>0.0676152269462122</v>
      </c>
      <c r="E1980" s="12" t="n">
        <f aca="false">Sens!$E$1971/Sens!$E$1973</f>
        <v>0.106620641395783</v>
      </c>
      <c r="F1980" s="12" t="n">
        <f aca="false">Sens!$F$1971/Sens!$F$1973</f>
        <v>0.159936751776064</v>
      </c>
      <c r="G1980" s="12" t="n">
        <f aca="false">Sens!$G$1971/Sens!$G$1973</f>
        <v>0.135391237003751</v>
      </c>
      <c r="H1980" s="12" t="n">
        <f aca="false">Sens!$H$1971/Sens!$H$1973</f>
        <v>0.249589428545194</v>
      </c>
      <c r="I1980" s="12" t="n">
        <f aca="false">Sens!$I$1971/Sens!$I$1973</f>
        <v>0.325173850577483</v>
      </c>
      <c r="J1980" s="12" t="n">
        <f aca="false">Sens!$J$1971/Sens!$J$1973</f>
        <v>0.376953718817392</v>
      </c>
      <c r="K1980" s="12" t="n">
        <f aca="false">Sens!$K$1971/Sens!$K$1973</f>
        <v>0.419641605578676</v>
      </c>
      <c r="L1980" s="12" t="n">
        <f aca="false">Sens!$L$1971/Sens!$L$1973</f>
        <v>0.450676451094615</v>
      </c>
      <c r="M1980" s="12" t="n">
        <f aca="false">Sens!$M$1971/Sens!$M$1973</f>
        <v>0.473526096798086</v>
      </c>
      <c r="N1980" s="12" t="n">
        <f aca="false">Sens!$N$1971/Sens!$N$1973</f>
        <v>0.0506537999838362</v>
      </c>
      <c r="O1980" s="12" t="n">
        <f aca="false">Sens!$O$1971/Sens!$O$1973</f>
        <v>0.0824881615167056</v>
      </c>
    </row>
    <row r="1983" customFormat="false" ht="19.4" hidden="false" customHeight="false" outlineLevel="0" collapsed="false">
      <c r="A1983" s="31" t="s">
        <v>1087</v>
      </c>
    </row>
    <row r="1984" customFormat="false" ht="17.15" hidden="false" customHeight="false" outlineLevel="0" collapsed="false">
      <c r="A1984" s="6" t="s">
        <v>16</v>
      </c>
      <c r="B1984" s="6" t="s">
        <v>17</v>
      </c>
      <c r="C1984" s="20" t="s">
        <v>457</v>
      </c>
      <c r="D1984" s="20" t="s">
        <v>458</v>
      </c>
      <c r="E1984" s="20" t="s">
        <v>540</v>
      </c>
      <c r="F1984" s="20" t="s">
        <v>541</v>
      </c>
      <c r="G1984" s="20" t="s">
        <v>542</v>
      </c>
      <c r="H1984" s="20" t="s">
        <v>543</v>
      </c>
      <c r="I1984" s="20" t="s">
        <v>544</v>
      </c>
      <c r="J1984" s="20" t="s">
        <v>545</v>
      </c>
      <c r="K1984" s="20" t="s">
        <v>546</v>
      </c>
      <c r="L1984" s="20" t="s">
        <v>547</v>
      </c>
      <c r="M1984" s="20" t="s">
        <v>548</v>
      </c>
      <c r="N1984" s="20" t="s">
        <v>549</v>
      </c>
      <c r="O1984" s="20" t="s">
        <v>550</v>
      </c>
      <c r="P1984" s="6" t="s">
        <v>23</v>
      </c>
      <c r="R1984" s="20" t="n">
        <v>2023</v>
      </c>
      <c r="S1984" s="20" t="n">
        <v>2024</v>
      </c>
      <c r="T1984" s="20" t="n">
        <v>2025</v>
      </c>
      <c r="U1984" s="20" t="n">
        <v>2026</v>
      </c>
      <c r="V1984" s="20" t="n">
        <v>2027</v>
      </c>
      <c r="W1984" s="20" t="n">
        <v>2028</v>
      </c>
      <c r="X1984" s="20" t="n">
        <v>2029</v>
      </c>
      <c r="Y1984" s="20" t="n">
        <v>2030</v>
      </c>
      <c r="Z1984" s="20" t="n">
        <v>2031</v>
      </c>
      <c r="AA1984" s="20" t="n">
        <v>2032</v>
      </c>
    </row>
    <row r="1985" customFormat="false" ht="17.15" hidden="false" customHeight="false" outlineLevel="0" collapsed="false">
      <c r="A1985" s="1" t="s">
        <v>669</v>
      </c>
    </row>
    <row r="1986" customFormat="false" ht="15" hidden="false" customHeight="false" outlineLevel="0" collapsed="false">
      <c r="A1986" s="0" t="s">
        <v>479</v>
      </c>
      <c r="B1986" s="0" t="s">
        <v>73</v>
      </c>
      <c r="C1986" s="38" t="n">
        <f aca="false">Sens!$C$1895</f>
        <v>247.029</v>
      </c>
      <c r="D1986" s="38" t="n">
        <f aca="false">Sens!$D$1895</f>
        <v>269.287</v>
      </c>
      <c r="E1986" s="38" t="n">
        <f aca="false">Sens!$E$1895</f>
        <v>134.686</v>
      </c>
      <c r="F1986" s="38" t="n">
        <f aca="false">Sens!$F$1895</f>
        <v>160.728085930082</v>
      </c>
      <c r="G1986" s="38" t="n">
        <f aca="false">Sens!$G$1895</f>
        <v>295.414085930082</v>
      </c>
      <c r="H1986" s="38" t="n">
        <f aca="false">Sens!$H$1895</f>
        <v>320.828163943375</v>
      </c>
      <c r="I1986" s="38" t="n">
        <f aca="false">Sens!$I$1895</f>
        <v>344.575578072228</v>
      </c>
      <c r="J1986" s="38" t="n">
        <f aca="false">Sens!$J$1895</f>
        <v>365.942555779681</v>
      </c>
      <c r="K1986" s="38" t="n">
        <f aca="false">Sens!$K$1895</f>
        <v>384.239683568665</v>
      </c>
      <c r="L1986" s="38" t="n">
        <f aca="false">Sens!$L$1895</f>
        <v>403.451667747098</v>
      </c>
      <c r="M1986" s="38" t="n">
        <f aca="false">Sens!$M$1895</f>
        <v>423.624251134453</v>
      </c>
      <c r="N1986" s="38" t="n">
        <f aca="false">Sens!$N$1895</f>
        <v>118.892</v>
      </c>
      <c r="O1986" s="38" t="n">
        <f aca="false">Sens!$O$1895</f>
        <v>150.395</v>
      </c>
    </row>
    <row r="1987" customFormat="false" ht="15" hidden="false" customHeight="false" outlineLevel="0" collapsed="false">
      <c r="A1987" s="0" t="s">
        <v>480</v>
      </c>
      <c r="B1987" s="0" t="s">
        <v>73</v>
      </c>
      <c r="C1987" s="38" t="n">
        <f aca="false">Sens!$C$1897</f>
        <v>21.215</v>
      </c>
      <c r="D1987" s="38" t="n">
        <f aca="false">Sens!$D$1897</f>
        <v>22.561</v>
      </c>
      <c r="E1987" s="38" t="n">
        <f aca="false">Sens!$E$1897</f>
        <v>11.579</v>
      </c>
      <c r="F1987" s="38" t="n">
        <f aca="false">Sens!$F$1897</f>
        <v>12.0952613121125</v>
      </c>
      <c r="G1987" s="38" t="n">
        <f aca="false">Sens!$G$1897</f>
        <v>23.6742613121125</v>
      </c>
      <c r="H1987" s="38" t="n">
        <f aca="false">Sens!$H$1897</f>
        <v>24.8803243963206</v>
      </c>
      <c r="I1987" s="38" t="n">
        <f aca="false">Sens!$I$1897</f>
        <v>25.9741308664154</v>
      </c>
      <c r="J1987" s="38" t="n">
        <f aca="false">Sens!$J$1897</f>
        <v>26.9346894124267</v>
      </c>
      <c r="K1987" s="38" t="n">
        <f aca="false">Sens!$K$1897</f>
        <v>27.7427300947995</v>
      </c>
      <c r="L1987" s="38" t="n">
        <f aca="false">Sens!$L$1897</f>
        <v>28.5750119976435</v>
      </c>
      <c r="M1987" s="38" t="n">
        <f aca="false">Sens!$M$1897</f>
        <v>29.4322623575728</v>
      </c>
      <c r="N1987" s="38" t="n">
        <f aca="false">Sens!$N$1897</f>
        <v>11.128</v>
      </c>
      <c r="O1987" s="38" t="n">
        <f aca="false">Sens!$O$1897</f>
        <v>11.433</v>
      </c>
    </row>
    <row r="1988" customFormat="false" ht="15" hidden="false" customHeight="false" outlineLevel="0" collapsed="false">
      <c r="A1988" s="0" t="s">
        <v>481</v>
      </c>
      <c r="B1988" s="0" t="s">
        <v>73</v>
      </c>
      <c r="C1988" s="38" t="n">
        <f aca="false">Sens!$C$1899</f>
        <v>156.146</v>
      </c>
      <c r="D1988" s="38" t="n">
        <f aca="false">Sens!$D$1899</f>
        <v>172.162</v>
      </c>
      <c r="E1988" s="38" t="n">
        <f aca="false">Sens!$E$1899</f>
        <v>88.358</v>
      </c>
      <c r="F1988" s="38" t="n">
        <f aca="false">Sens!$F$1899</f>
        <v>103.62028337149</v>
      </c>
      <c r="G1988" s="38" t="n">
        <f aca="false">Sens!$G$1899</f>
        <v>191.97828337149</v>
      </c>
      <c r="H1988" s="38" t="n">
        <f aca="false">Sens!$H$1899</f>
        <v>212.128608444755</v>
      </c>
      <c r="I1988" s="38" t="n">
        <f aca="false">Sens!$I$1899</f>
        <v>231.92183134134</v>
      </c>
      <c r="J1988" s="38" t="n">
        <f aca="false">Sens!$J$1899</f>
        <v>250.859136487863</v>
      </c>
      <c r="K1988" s="38" t="n">
        <f aca="false">Sens!$K$1899</f>
        <v>268.419276042014</v>
      </c>
      <c r="L1988" s="38" t="n">
        <f aca="false">Sens!$L$1899</f>
        <v>287.208625364954</v>
      </c>
      <c r="M1988" s="38" t="n">
        <f aca="false">Sens!$M$1899</f>
        <v>307.313229140501</v>
      </c>
      <c r="N1988" s="38" t="n">
        <f aca="false">Sens!$N$1899</f>
        <v>76.86</v>
      </c>
      <c r="O1988" s="38" t="n">
        <f aca="false">Sens!$O$1899</f>
        <v>95.302</v>
      </c>
    </row>
    <row r="1989" customFormat="false" ht="15" hidden="false" customHeight="false" outlineLevel="0" collapsed="false">
      <c r="A1989" s="0" t="s">
        <v>482</v>
      </c>
      <c r="B1989" s="0" t="s">
        <v>73</v>
      </c>
      <c r="C1989" s="38" t="n">
        <f aca="false">Sens!$C$1901</f>
        <v>56.214</v>
      </c>
      <c r="D1989" s="38" t="n">
        <f aca="false">Sens!$D$1901</f>
        <v>68.635</v>
      </c>
      <c r="E1989" s="38" t="n">
        <f aca="false">Sens!$E$1901</f>
        <v>37.052</v>
      </c>
      <c r="F1989" s="38" t="n">
        <f aca="false">Sens!$F$1901</f>
        <v>48.1533381827382</v>
      </c>
      <c r="G1989" s="38" t="n">
        <f aca="false">Sens!$G$1901</f>
        <v>85.2053381827382</v>
      </c>
      <c r="H1989" s="38" t="n">
        <f aca="false">Sens!$H$1901</f>
        <v>102.29336185894</v>
      </c>
      <c r="I1989" s="38" t="n">
        <f aca="false">Sens!$I$1901</f>
        <v>119.379837585241</v>
      </c>
      <c r="J1989" s="38" t="n">
        <f aca="false">Sens!$J$1901</f>
        <v>135.319079048844</v>
      </c>
      <c r="K1989" s="38" t="n">
        <f aca="false">Sens!$K$1901</f>
        <v>148.850986953729</v>
      </c>
      <c r="L1989" s="38" t="n">
        <f aca="false">Sens!$L$1901</f>
        <v>163.736085649102</v>
      </c>
      <c r="M1989" s="38" t="n">
        <f aca="false">Sens!$M$1901</f>
        <v>180.109694214012</v>
      </c>
      <c r="N1989" s="38" t="n">
        <f aca="false">Sens!$N$1901</f>
        <v>29.615</v>
      </c>
      <c r="O1989" s="38" t="n">
        <f aca="false">Sens!$O$1901</f>
        <v>39.02</v>
      </c>
    </row>
    <row r="1990" customFormat="false" ht="15" hidden="false" customHeight="false" outlineLevel="0" collapsed="false">
      <c r="A1990" s="0" t="s">
        <v>483</v>
      </c>
      <c r="B1990" s="0" t="s">
        <v>73</v>
      </c>
      <c r="C1990" s="38" t="n">
        <f aca="false">Sens!$C$1903</f>
        <v>44.374</v>
      </c>
      <c r="D1990" s="38" t="n">
        <f aca="false">Sens!$D$1903</f>
        <v>49.619</v>
      </c>
      <c r="E1990" s="38" t="n">
        <f aca="false">Sens!$E$1903</f>
        <v>27.157</v>
      </c>
      <c r="F1990" s="38" t="n">
        <f aca="false">Sens!$F$1903</f>
        <v>28.9776360923374</v>
      </c>
      <c r="G1990" s="38" t="n">
        <f aca="false">Sens!$G$1903</f>
        <v>56.1346360923374</v>
      </c>
      <c r="H1990" s="38" t="n">
        <f aca="false">Sens!$H$1903</f>
        <v>62.4937078946075</v>
      </c>
      <c r="I1990" s="38" t="n">
        <f aca="false">Sens!$I$1903</f>
        <v>68.6715233062498</v>
      </c>
      <c r="J1990" s="38" t="n">
        <f aca="false">Sens!$J$1903</f>
        <v>74.4692882949818</v>
      </c>
      <c r="K1990" s="38" t="n">
        <f aca="false">Sens!$K$1903</f>
        <v>79.6821384756306</v>
      </c>
      <c r="L1990" s="38" t="n">
        <f aca="false">Sens!$L$1903</f>
        <v>85.2598881689247</v>
      </c>
      <c r="M1990" s="38" t="n">
        <f aca="false">Sens!$M$1903</f>
        <v>91.2280803407494</v>
      </c>
      <c r="N1990" s="38" t="n">
        <f aca="false">Sens!$N$1903</f>
        <v>23.923</v>
      </c>
      <c r="O1990" s="38" t="n">
        <f aca="false">Sens!$O$1903</f>
        <v>25.696</v>
      </c>
    </row>
    <row r="1991" customFormat="false" ht="15" hidden="false" customHeight="false" outlineLevel="0" collapsed="false">
      <c r="A1991" s="0" t="s">
        <v>484</v>
      </c>
      <c r="B1991" s="0" t="s">
        <v>73</v>
      </c>
      <c r="C1991" s="38" t="n">
        <f aca="false">Sens!$C$1905</f>
        <v>5.425</v>
      </c>
      <c r="D1991" s="38" t="n">
        <f aca="false">Sens!$D$1905</f>
        <v>5.935</v>
      </c>
      <c r="E1991" s="38" t="n">
        <f aca="false">Sens!$E$1905</f>
        <v>3.474</v>
      </c>
      <c r="F1991" s="38" t="n">
        <f aca="false">Sens!$F$1905</f>
        <v>3.36182431966931</v>
      </c>
      <c r="G1991" s="38" t="n">
        <f aca="false">Sens!$G$1905</f>
        <v>6.83582431966931</v>
      </c>
      <c r="H1991" s="38" t="n">
        <f aca="false">Sens!$H$1905</f>
        <v>7.31157108370141</v>
      </c>
      <c r="I1991" s="38" t="n">
        <f aca="false">Sens!$I$1905</f>
        <v>7.77266852639815</v>
      </c>
      <c r="J1991" s="38" t="n">
        <f aca="false">Sens!$J$1905</f>
        <v>8.2120733019884</v>
      </c>
      <c r="K1991" s="38" t="n">
        <f aca="false">Sens!$K$1905</f>
        <v>8.62267696708783</v>
      </c>
      <c r="L1991" s="38" t="n">
        <f aca="false">Sens!$L$1905</f>
        <v>9.05381081544222</v>
      </c>
      <c r="M1991" s="38" t="n">
        <f aca="false">Sens!$M$1905</f>
        <v>9.50650135621433</v>
      </c>
      <c r="N1991" s="38" t="n">
        <f aca="false">Sens!$N$1905</f>
        <v>2.811</v>
      </c>
      <c r="O1991" s="38" t="n">
        <f aca="false">Sens!$O$1905</f>
        <v>3.124</v>
      </c>
    </row>
    <row r="1992" customFormat="false" ht="17.15" hidden="false" customHeight="false" outlineLevel="0" collapsed="false">
      <c r="A1992" s="0" t="s">
        <v>670</v>
      </c>
      <c r="B1992" s="0" t="s">
        <v>73</v>
      </c>
      <c r="C1992" s="38" t="n">
        <f aca="false">Sens!$C$1973</f>
        <v>107.556</v>
      </c>
      <c r="D1992" s="38" t="n">
        <f aca="false">Sens!$D$1973</f>
        <v>128.725</v>
      </c>
      <c r="E1992" s="38" t="n">
        <f aca="false">Sens!$E$1973</f>
        <v>79.819</v>
      </c>
      <c r="F1992" s="38" t="n">
        <f aca="false">Sens!$F$1973</f>
        <v>93.5584440633857</v>
      </c>
      <c r="G1992" s="38" t="n">
        <f aca="false">Sens!$G$1973</f>
        <v>173.377444063386</v>
      </c>
      <c r="H1992" s="38" t="n">
        <f aca="false">Sens!$H$1973</f>
        <v>241.059451517916</v>
      </c>
      <c r="I1992" s="38" t="n">
        <f aca="false">Sens!$I$1973</f>
        <v>312.152096351442</v>
      </c>
      <c r="J1992" s="38" t="n">
        <f aca="false">Sens!$J$1973</f>
        <v>379.424316597773</v>
      </c>
      <c r="K1992" s="38" t="n">
        <f aca="false">Sens!$K$1973</f>
        <v>439.919237244402</v>
      </c>
      <c r="L1992" s="38" t="n">
        <f aca="false">Sens!$L$1973</f>
        <v>501.954974491517</v>
      </c>
      <c r="M1992" s="38" t="n">
        <f aca="false">Sens!$M$1973</f>
        <v>565.639704466895</v>
      </c>
      <c r="N1992" s="38" t="n">
        <f aca="false">Sens!$N$1973</f>
        <v>60.14</v>
      </c>
      <c r="O1992" s="38" t="n">
        <f aca="false">Sens!$O$1973</f>
        <v>68.585</v>
      </c>
    </row>
    <row r="1993" customFormat="false" ht="15" hidden="false" customHeight="false" outlineLevel="0" collapsed="false">
      <c r="A1993" s="1" t="s">
        <v>472</v>
      </c>
      <c r="B1993" s="8" t="s">
        <v>73</v>
      </c>
      <c r="C1993" s="38" t="n">
        <f aca="false">Sens!$C$1909</f>
        <v>387.497</v>
      </c>
      <c r="D1993" s="38" t="n">
        <f aca="false">Sens!$D$1909</f>
        <v>426.305</v>
      </c>
      <c r="E1993" s="38" t="n">
        <f aca="false">Sens!$E$1909</f>
        <v>220.32</v>
      </c>
      <c r="F1993" s="38" t="n">
        <f aca="false">Sens!$F$1909</f>
        <v>256.304015003807</v>
      </c>
      <c r="G1993" s="38" t="n">
        <f aca="false">Sens!$G$1909</f>
        <v>476.624015003807</v>
      </c>
      <c r="H1993" s="38" t="n">
        <f aca="false">Sens!$H$1909</f>
        <v>527.734391091543</v>
      </c>
      <c r="I1993" s="38" t="n">
        <f aca="false">Sens!$I$1909</f>
        <v>577.157693029577</v>
      </c>
      <c r="J1993" s="38" t="n">
        <f aca="false">Sens!$J$1909</f>
        <v>623.024923663827</v>
      </c>
      <c r="K1993" s="38" t="n">
        <f aca="false">Sens!$K$1909</f>
        <v>663.382568393781</v>
      </c>
      <c r="L1993" s="38" t="n">
        <f aca="false">Sens!$L$1909</f>
        <v>706.564873010432</v>
      </c>
      <c r="M1993" s="38" t="n">
        <f aca="false">Sens!$M$1909</f>
        <v>752.784687406019</v>
      </c>
      <c r="N1993" s="38" t="n">
        <f aca="false">Sens!$N$1909</f>
        <v>192.955</v>
      </c>
      <c r="O1993" s="38" t="n">
        <f aca="false">Sens!$O$1909</f>
        <v>233.35</v>
      </c>
    </row>
    <row r="1994" customFormat="false" ht="15" hidden="false" customHeight="false" outlineLevel="0" collapsed="false">
      <c r="A1994" s="1" t="s">
        <v>475</v>
      </c>
      <c r="B1994" s="8" t="s">
        <v>73</v>
      </c>
      <c r="C1994" s="38" t="n">
        <f aca="false">Sens!$C$1910</f>
        <v>142.906</v>
      </c>
      <c r="D1994" s="38" t="n">
        <f aca="false">Sens!$D$1910</f>
        <v>161.894</v>
      </c>
      <c r="E1994" s="38" t="n">
        <f aca="false">Sens!$E$1910</f>
        <v>81.986</v>
      </c>
      <c r="F1994" s="38" t="n">
        <f aca="false">Sens!$F$1910</f>
        <v>100.632414204623</v>
      </c>
      <c r="G1994" s="38" t="n">
        <f aca="false">Sens!$G$1910</f>
        <v>182.618414204623</v>
      </c>
      <c r="H1994" s="38" t="n">
        <f aca="false">Sens!$H$1910</f>
        <v>202.201346530158</v>
      </c>
      <c r="I1994" s="38" t="n">
        <f aca="false">Sens!$I$1910</f>
        <v>221.137876668296</v>
      </c>
      <c r="J1994" s="38" t="n">
        <f aca="false">Sens!$J$1910</f>
        <v>238.711898661958</v>
      </c>
      <c r="K1994" s="38" t="n">
        <f aca="false">Sens!$K$1910</f>
        <v>254.174923708144</v>
      </c>
      <c r="L1994" s="38" t="n">
        <f aca="false">Sens!$L$1910</f>
        <v>270.720216732733</v>
      </c>
      <c r="M1994" s="38" t="n">
        <f aca="false">Sens!$M$1910</f>
        <v>288.429331137484</v>
      </c>
      <c r="N1994" s="38" t="n">
        <f aca="false">Sens!$N$1910</f>
        <v>70.274</v>
      </c>
      <c r="O1994" s="38" t="n">
        <f aca="false">Sens!$O$1910</f>
        <v>91.62</v>
      </c>
    </row>
    <row r="1995" customFormat="false" ht="15" hidden="false" customHeight="false" outlineLevel="0" collapsed="false">
      <c r="A1995" s="1" t="s">
        <v>476</v>
      </c>
      <c r="B1995" s="8" t="s">
        <v>73</v>
      </c>
      <c r="C1995" s="38" t="n">
        <f aca="false">Sens!$C$1973</f>
        <v>107.556</v>
      </c>
      <c r="D1995" s="38" t="n">
        <f aca="false">Sens!$D$1973</f>
        <v>128.725</v>
      </c>
      <c r="E1995" s="38" t="n">
        <f aca="false">Sens!$E$1973</f>
        <v>79.819</v>
      </c>
      <c r="F1995" s="38" t="n">
        <f aca="false">Sens!$F$1973</f>
        <v>93.5584440633857</v>
      </c>
      <c r="G1995" s="38" t="n">
        <f aca="false">Sens!$G$1973</f>
        <v>173.377444063386</v>
      </c>
      <c r="H1995" s="38" t="n">
        <f aca="false">Sens!$H$1973</f>
        <v>241.059451517916</v>
      </c>
      <c r="I1995" s="38" t="n">
        <f aca="false">Sens!$I$1973</f>
        <v>312.152096351442</v>
      </c>
      <c r="J1995" s="38" t="n">
        <f aca="false">Sens!$J$1973</f>
        <v>379.424316597773</v>
      </c>
      <c r="K1995" s="38" t="n">
        <f aca="false">Sens!$K$1973</f>
        <v>439.919237244402</v>
      </c>
      <c r="L1995" s="38" t="n">
        <f aca="false">Sens!$L$1973</f>
        <v>501.954974491517</v>
      </c>
      <c r="M1995" s="38" t="n">
        <f aca="false">Sens!$M$1973</f>
        <v>565.639704466895</v>
      </c>
      <c r="N1995" s="38" t="n">
        <f aca="false">Sens!$N$1973</f>
        <v>60.14</v>
      </c>
      <c r="O1995" s="38" t="n">
        <f aca="false">Sens!$O$1973</f>
        <v>68.585</v>
      </c>
    </row>
    <row r="1996" customFormat="false" ht="17.15" hidden="false" customHeight="false" outlineLevel="0" collapsed="false">
      <c r="A1996" s="0" t="s">
        <v>644</v>
      </c>
      <c r="B1996" s="0" t="s">
        <v>73</v>
      </c>
      <c r="C1996" s="38" t="n">
        <f aca="false">Sens!$C$1971</f>
        <v>2.32100535697364</v>
      </c>
      <c r="D1996" s="38" t="n">
        <f aca="false">Sens!$D$1971</f>
        <v>8.70377008865116</v>
      </c>
      <c r="E1996" s="38" t="n">
        <f aca="false">Sens!$E$1971</f>
        <v>8.51035297557002</v>
      </c>
      <c r="F1996" s="38" t="n">
        <f aca="false">Sens!$F$1971</f>
        <v>14.9634336447205</v>
      </c>
      <c r="G1996" s="38" t="n">
        <f aca="false">Sens!$G$1971</f>
        <v>23.4737866202905</v>
      </c>
      <c r="H1996" s="38" t="n">
        <f aca="false">Sens!$H$1971</f>
        <v>60.1658907497746</v>
      </c>
      <c r="I1996" s="38" t="n">
        <f aca="false">Sens!$I$1971</f>
        <v>101.503699136432</v>
      </c>
      <c r="J1996" s="38" t="n">
        <f aca="false">Sens!$J$1971</f>
        <v>143.025407151278</v>
      </c>
      <c r="K1996" s="38" t="n">
        <f aca="false">Sens!$K$1971</f>
        <v>184.608415042187</v>
      </c>
      <c r="L1996" s="38" t="n">
        <f aca="false">Sens!$L$1971</f>
        <v>226.219286513125</v>
      </c>
      <c r="M1996" s="38" t="n">
        <f aca="false">Sens!$M$1971</f>
        <v>267.845161450232</v>
      </c>
      <c r="N1996" s="38" t="n">
        <f aca="false">Sens!$N$1971</f>
        <v>3.04631953102791</v>
      </c>
      <c r="O1996" s="38" t="n">
        <f aca="false">Sens!$O$1971</f>
        <v>5.65745055762326</v>
      </c>
    </row>
    <row r="1997" customFormat="false" ht="17.15" hidden="false" customHeight="false" outlineLevel="0" collapsed="false">
      <c r="A1997" s="0" t="s">
        <v>646</v>
      </c>
      <c r="B1997" s="0" t="s">
        <v>73</v>
      </c>
      <c r="C1997" s="38" t="n">
        <f aca="false">Sens!$C$1972</f>
        <v>105.234994643026</v>
      </c>
      <c r="D1997" s="38" t="n">
        <f aca="false">Sens!$D$1972</f>
        <v>120.021229911349</v>
      </c>
      <c r="E1997" s="38" t="n">
        <f aca="false">Sens!$E$1972</f>
        <v>71.30864702443</v>
      </c>
      <c r="F1997" s="38" t="n">
        <f aca="false">Sens!$F$1972</f>
        <v>78.5950104186653</v>
      </c>
      <c r="G1997" s="38" t="n">
        <f aca="false">Sens!$G$1972</f>
        <v>149.903657443095</v>
      </c>
      <c r="H1997" s="38" t="n">
        <f aca="false">Sens!$H$1972</f>
        <v>180.893560768142</v>
      </c>
      <c r="I1997" s="38" t="n">
        <f aca="false">Sens!$I$1972</f>
        <v>210.64839721501</v>
      </c>
      <c r="J1997" s="38" t="n">
        <f aca="false">Sens!$J$1972</f>
        <v>236.398909446495</v>
      </c>
      <c r="K1997" s="38" t="n">
        <f aca="false">Sens!$K$1972</f>
        <v>255.310822202215</v>
      </c>
      <c r="L1997" s="38" t="n">
        <f aca="false">Sens!$L$1972</f>
        <v>275.735687978392</v>
      </c>
      <c r="M1997" s="38" t="n">
        <f aca="false">Sens!$M$1972</f>
        <v>297.794543016663</v>
      </c>
      <c r="N1997" s="38" t="n">
        <f aca="false">Sens!$N$1972</f>
        <v>57.0936804689721</v>
      </c>
      <c r="O1997" s="38" t="n">
        <f aca="false">Sens!$O$1972</f>
        <v>62.9275494423768</v>
      </c>
    </row>
    <row r="1998" customFormat="false" ht="15" hidden="false" customHeight="false" outlineLevel="0" collapsed="false">
      <c r="A1998" s="3" t="s">
        <v>477</v>
      </c>
      <c r="B1998" s="8" t="s">
        <v>73</v>
      </c>
      <c r="C1998" s="38" t="n">
        <f aca="false">Sens!$C$1974</f>
        <v>637.959</v>
      </c>
      <c r="D1998" s="38" t="n">
        <f aca="false">Sens!$D$1974</f>
        <v>716.924</v>
      </c>
      <c r="E1998" s="38" t="n">
        <f aca="false">Sens!$E$1974</f>
        <v>382.125</v>
      </c>
      <c r="F1998" s="38" t="n">
        <f aca="false">Sens!$F$1974</f>
        <v>450.494873271816</v>
      </c>
      <c r="G1998" s="38" t="n">
        <f aca="false">Sens!$G$1974</f>
        <v>832.619873271816</v>
      </c>
      <c r="H1998" s="38" t="n">
        <f aca="false">Sens!$H$1974</f>
        <v>970.995189139617</v>
      </c>
      <c r="I1998" s="38" t="n">
        <f aca="false">Sens!$I$1974</f>
        <v>1110.44766604932</v>
      </c>
      <c r="J1998" s="38" t="n">
        <f aca="false">Sens!$J$1974</f>
        <v>1241.16113892356</v>
      </c>
      <c r="K1998" s="38" t="n">
        <f aca="false">Sens!$K$1974</f>
        <v>1357.47672934633</v>
      </c>
      <c r="L1998" s="38" t="n">
        <f aca="false">Sens!$L$1974</f>
        <v>1479.24006423468</v>
      </c>
      <c r="M1998" s="38" t="n">
        <f aca="false">Sens!$M$1974</f>
        <v>1606.8537230104</v>
      </c>
      <c r="N1998" s="38" t="n">
        <f aca="false">Sens!$N$1974</f>
        <v>323.369</v>
      </c>
      <c r="O1998" s="38" t="n">
        <f aca="false">Sens!$O$1974</f>
        <v>393.555</v>
      </c>
    </row>
    <row r="1999" customFormat="false" ht="17.15" hidden="false" customHeight="false" outlineLevel="0" collapsed="false">
      <c r="A1999" s="24" t="s">
        <v>656</v>
      </c>
      <c r="B1999" s="25" t="s">
        <v>73</v>
      </c>
      <c r="C1999" s="39" t="n">
        <f aca="false">Sens!$C$1986+Sens!$C$1987+Sens!$C$1988+Sens!$C$1989+Sens!$C$1990+Sens!$C$1991-(Sens!$C$1993+Sens!$C$1994)</f>
        <v>0</v>
      </c>
      <c r="D1999" s="39" t="n">
        <f aca="false">Sens!$D$1986+Sens!$D$1987+Sens!$D$1988+Sens!$D$1989+Sens!$D$1990+Sens!$D$1991-(Sens!$D$1993+Sens!$D$1994)</f>
        <v>0</v>
      </c>
      <c r="E1999" s="39" t="n">
        <f aca="false">Sens!$E$1986+Sens!$E$1987+Sens!$E$1988+Sens!$E$1989+Sens!$E$1990+Sens!$E$1991-(Sens!$E$1993+Sens!$E$1994)</f>
        <v>0</v>
      </c>
      <c r="F1999" s="39" t="n">
        <f aca="false">Sens!$F$1986+Sens!$F$1987+Sens!$F$1988+Sens!$F$1989+Sens!$F$1990+Sens!$F$1991-(Sens!$F$1993+Sens!$F$1994)</f>
        <v>0</v>
      </c>
      <c r="G1999" s="39" t="n">
        <f aca="false">Sens!$G$1986+Sens!$G$1987+Sens!$G$1988+Sens!$G$1989+Sens!$G$1990+Sens!$G$1991-(Sens!$G$1993+Sens!$G$1994)</f>
        <v>0</v>
      </c>
      <c r="H1999" s="39" t="n">
        <f aca="false">Sens!$H$1986+Sens!$H$1987+Sens!$H$1988+Sens!$H$1989+Sens!$H$1990+Sens!$H$1991-(Sens!$H$1993+Sens!$H$1994)</f>
        <v>0</v>
      </c>
      <c r="I1999" s="39" t="n">
        <f aca="false">Sens!$I$1986+Sens!$I$1987+Sens!$I$1988+Sens!$I$1989+Sens!$I$1990+Sens!$I$1991-(Sens!$I$1993+Sens!$I$1994)</f>
        <v>0</v>
      </c>
      <c r="J1999" s="39" t="n">
        <f aca="false">Sens!$J$1986+Sens!$J$1987+Sens!$J$1988+Sens!$J$1989+Sens!$J$1990+Sens!$J$1991-(Sens!$J$1993+Sens!$J$1994)</f>
        <v>0</v>
      </c>
      <c r="K1999" s="39" t="n">
        <f aca="false">Sens!$K$1986+Sens!$K$1987+Sens!$K$1988+Sens!$K$1989+Sens!$K$1990+Sens!$K$1991-(Sens!$K$1993+Sens!$K$1994)</f>
        <v>0</v>
      </c>
      <c r="L1999" s="39" t="n">
        <f aca="false">Sens!$L$1986+Sens!$L$1987+Sens!$L$1988+Sens!$L$1989+Sens!$L$1990+Sens!$L$1991-(Sens!$L$1993+Sens!$L$1994)</f>
        <v>0</v>
      </c>
      <c r="M1999" s="39" t="n">
        <f aca="false">Sens!$M$1986+Sens!$M$1987+Sens!$M$1988+Sens!$M$1989+Sens!$M$1990+Sens!$M$1991-(Sens!$M$1993+Sens!$M$1994)</f>
        <v>0</v>
      </c>
      <c r="N1999" s="39" t="n">
        <f aca="false">Sens!$N$1986+Sens!$N$1987+Sens!$N$1988+Sens!$N$1989+Sens!$N$1990+Sens!$N$1991-(Sens!$N$1993+Sens!$N$1994)</f>
        <v>0</v>
      </c>
      <c r="O1999" s="39" t="n">
        <f aca="false">Sens!$O$1986+Sens!$O$1987+Sens!$O$1988+Sens!$O$1989+Sens!$O$1990+Sens!$O$1991-(Sens!$O$1993+Sens!$O$1994)</f>
        <v>0</v>
      </c>
    </row>
    <row r="2000" customFormat="false" ht="17.15" hidden="false" customHeight="false" outlineLevel="0" collapsed="false">
      <c r="A2000" s="24" t="s">
        <v>657</v>
      </c>
      <c r="B2000" s="25" t="s">
        <v>73</v>
      </c>
      <c r="C2000" s="39" t="n">
        <f aca="false">Sens!$C$1996+Sens!$C$1997-Sens!$C$1995</f>
        <v>0</v>
      </c>
      <c r="D2000" s="39" t="n">
        <f aca="false">Sens!$D$1996+Sens!$D$1997-Sens!$D$1995</f>
        <v>0</v>
      </c>
      <c r="E2000" s="39" t="n">
        <f aca="false">Sens!$E$1996+Sens!$E$1997-Sens!$E$1995</f>
        <v>0</v>
      </c>
      <c r="F2000" s="39" t="n">
        <f aca="false">Sens!$F$1996+Sens!$F$1997-Sens!$F$1995</f>
        <v>0</v>
      </c>
      <c r="G2000" s="39" t="n">
        <f aca="false">Sens!$G$1996+Sens!$G$1997-Sens!$G$1995</f>
        <v>0</v>
      </c>
      <c r="H2000" s="39" t="n">
        <f aca="false">Sens!$H$1996+Sens!$H$1997-Sens!$H$1995</f>
        <v>0</v>
      </c>
      <c r="I2000" s="39" t="n">
        <f aca="false">Sens!$I$1996+Sens!$I$1997-Sens!$I$1995</f>
        <v>0</v>
      </c>
      <c r="J2000" s="39" t="n">
        <f aca="false">Sens!$J$1996+Sens!$J$1997-Sens!$J$1995</f>
        <v>0</v>
      </c>
      <c r="K2000" s="39" t="n">
        <f aca="false">Sens!$K$1996+Sens!$K$1997-Sens!$K$1995</f>
        <v>0</v>
      </c>
      <c r="L2000" s="39" t="n">
        <f aca="false">Sens!$L$1996+Sens!$L$1997-Sens!$L$1995</f>
        <v>0</v>
      </c>
      <c r="M2000" s="39" t="n">
        <f aca="false">Sens!$M$1996+Sens!$M$1997-Sens!$M$1995</f>
        <v>0</v>
      </c>
      <c r="N2000" s="39" t="n">
        <f aca="false">Sens!$N$1996+Sens!$N$1997-Sens!$N$1995</f>
        <v>0</v>
      </c>
      <c r="O2000" s="39" t="n">
        <f aca="false">Sens!$O$1996+Sens!$O$1997-Sens!$O$1995</f>
        <v>0</v>
      </c>
    </row>
    <row r="2001" customFormat="false" ht="17.15" hidden="false" customHeight="false" outlineLevel="0" collapsed="false">
      <c r="A2001" s="24" t="s">
        <v>711</v>
      </c>
      <c r="B2001" s="25" t="s">
        <v>73</v>
      </c>
      <c r="C2001" s="39" t="n">
        <f aca="false">Sens!$C$1986+Sens!$C$1987+Sens!$C$1988+Sens!$C$1989+Sens!$C$1990+Sens!$C$1991+Sens!$C$1992-Sens!$C$1998</f>
        <v>0</v>
      </c>
      <c r="D2001" s="39" t="n">
        <f aca="false">Sens!$D$1986+Sens!$D$1987+Sens!$D$1988+Sens!$D$1989+Sens!$D$1990+Sens!$D$1991+Sens!$D$1992-Sens!$D$1998</f>
        <v>0</v>
      </c>
      <c r="E2001" s="39" t="n">
        <f aca="false">Sens!$E$1986+Sens!$E$1987+Sens!$E$1988+Sens!$E$1989+Sens!$E$1990+Sens!$E$1991+Sens!$E$1992-Sens!$E$1998</f>
        <v>0</v>
      </c>
      <c r="F2001" s="39" t="n">
        <f aca="false">Sens!$F$1986+Sens!$F$1987+Sens!$F$1988+Sens!$F$1989+Sens!$F$1990+Sens!$F$1991+Sens!$F$1992-Sens!$F$1998</f>
        <v>0</v>
      </c>
      <c r="G2001" s="39" t="n">
        <f aca="false">Sens!$G$1986+Sens!$G$1987+Sens!$G$1988+Sens!$G$1989+Sens!$G$1990+Sens!$G$1991+Sens!$G$1992-Sens!$G$1998</f>
        <v>0</v>
      </c>
      <c r="H2001" s="39" t="n">
        <f aca="false">Sens!$H$1986+Sens!$H$1987+Sens!$H$1988+Sens!$H$1989+Sens!$H$1990+Sens!$H$1991+Sens!$H$1992-Sens!$H$1998</f>
        <v>0</v>
      </c>
      <c r="I2001" s="39" t="n">
        <f aca="false">Sens!$I$1986+Sens!$I$1987+Sens!$I$1988+Sens!$I$1989+Sens!$I$1990+Sens!$I$1991+Sens!$I$1992-Sens!$I$1998</f>
        <v>0</v>
      </c>
      <c r="J2001" s="39" t="n">
        <f aca="false">Sens!$J$1986+Sens!$J$1987+Sens!$J$1988+Sens!$J$1989+Sens!$J$1990+Sens!$J$1991+Sens!$J$1992-Sens!$J$1998</f>
        <v>0</v>
      </c>
      <c r="K2001" s="39" t="n">
        <f aca="false">Sens!$K$1986+Sens!$K$1987+Sens!$K$1988+Sens!$K$1989+Sens!$K$1990+Sens!$K$1991+Sens!$K$1992-Sens!$K$1998</f>
        <v>0</v>
      </c>
      <c r="L2001" s="39" t="n">
        <f aca="false">Sens!$L$1986+Sens!$L$1987+Sens!$L$1988+Sens!$L$1989+Sens!$L$1990+Sens!$L$1991+Sens!$L$1992-Sens!$L$1998</f>
        <v>0</v>
      </c>
      <c r="M2001" s="39" t="n">
        <f aca="false">Sens!$M$1986+Sens!$M$1987+Sens!$M$1988+Sens!$M$1989+Sens!$M$1990+Sens!$M$1991+Sens!$M$1992-Sens!$M$1998</f>
        <v>0</v>
      </c>
      <c r="N2001" s="39" t="n">
        <f aca="false">Sens!$N$1986+Sens!$N$1987+Sens!$N$1988+Sens!$N$1989+Sens!$N$1990+Sens!$N$1991+Sens!$N$1992-Sens!$N$1998</f>
        <v>0</v>
      </c>
      <c r="O2001" s="39" t="n">
        <f aca="false">Sens!$O$1986+Sens!$O$1987+Sens!$O$1988+Sens!$O$1989+Sens!$O$1990+Sens!$O$1991+Sens!$O$1992-Sens!$O$1998</f>
        <v>0</v>
      </c>
    </row>
    <row r="2002" customFormat="false" ht="17.15" hidden="false" customHeight="false" outlineLevel="0" collapsed="false">
      <c r="A2002" s="24" t="s">
        <v>658</v>
      </c>
      <c r="B2002" s="25" t="s">
        <v>73</v>
      </c>
      <c r="C2002" s="39" t="n">
        <f aca="false">Sens!$C$1993+Sens!$C$1994+Sens!$C$1995-Sens!$C$1998</f>
        <v>0</v>
      </c>
      <c r="D2002" s="39" t="n">
        <f aca="false">Sens!$D$1993+Sens!$D$1994+Sens!$D$1995-Sens!$D$1998</f>
        <v>0</v>
      </c>
      <c r="E2002" s="39" t="n">
        <f aca="false">Sens!$E$1993+Sens!$E$1994+Sens!$E$1995-Sens!$E$1998</f>
        <v>0</v>
      </c>
      <c r="F2002" s="39" t="n">
        <f aca="false">Sens!$F$1993+Sens!$F$1994+Sens!$F$1995-Sens!$F$1998</f>
        <v>0</v>
      </c>
      <c r="G2002" s="39" t="n">
        <f aca="false">Sens!$G$1993+Sens!$G$1994+Sens!$G$1995-Sens!$G$1998</f>
        <v>0</v>
      </c>
      <c r="H2002" s="39" t="n">
        <f aca="false">Sens!$H$1993+Sens!$H$1994+Sens!$H$1995-Sens!$H$1998</f>
        <v>0</v>
      </c>
      <c r="I2002" s="39" t="n">
        <f aca="false">Sens!$I$1993+Sens!$I$1994+Sens!$I$1995-Sens!$I$1998</f>
        <v>0</v>
      </c>
      <c r="J2002" s="39" t="n">
        <f aca="false">Sens!$J$1993+Sens!$J$1994+Sens!$J$1995-Sens!$J$1998</f>
        <v>0</v>
      </c>
      <c r="K2002" s="39" t="n">
        <f aca="false">Sens!$K$1993+Sens!$K$1994+Sens!$K$1995-Sens!$K$1998</f>
        <v>0</v>
      </c>
      <c r="L2002" s="39" t="n">
        <f aca="false">Sens!$L$1993+Sens!$L$1994+Sens!$L$1995-Sens!$L$1998</f>
        <v>0</v>
      </c>
      <c r="M2002" s="39" t="n">
        <f aca="false">Sens!$M$1993+Sens!$M$1994+Sens!$M$1995-Sens!$M$1998</f>
        <v>0</v>
      </c>
      <c r="N2002" s="39" t="n">
        <f aca="false">Sens!$N$1993+Sens!$N$1994+Sens!$N$1995-Sens!$N$1998</f>
        <v>0</v>
      </c>
      <c r="O2002" s="39" t="n">
        <f aca="false">Sens!$O$1993+Sens!$O$1994+Sens!$O$1995-Sens!$O$1998</f>
        <v>0</v>
      </c>
    </row>
    <row r="2003" customFormat="false" ht="17.15" hidden="false" customHeight="false" outlineLevel="0" collapsed="false">
      <c r="A2003" s="1" t="s">
        <v>672</v>
      </c>
    </row>
    <row r="2004" customFormat="false" ht="17.15" hidden="false" customHeight="false" outlineLevel="0" collapsed="false">
      <c r="A2004" s="0" t="s">
        <v>673</v>
      </c>
      <c r="B2004" s="0" t="s">
        <v>73</v>
      </c>
      <c r="C2004" s="38" t="n">
        <f aca="false">Sens!$C$1911*m_ad</f>
        <v>20.5341564414228</v>
      </c>
      <c r="D2004" s="38" t="n">
        <f aca="false">Sens!$D$1911*m_ad</f>
        <v>24.8720617299587</v>
      </c>
      <c r="E2004" s="38" t="n">
        <f aca="false">Sens!$E$1911*m_ad</f>
        <v>13.5017112462207</v>
      </c>
      <c r="F2004" s="38" t="n">
        <f aca="false">Sens!$F$1911*m_ad</f>
        <v>17.2886442824599</v>
      </c>
      <c r="G2004" s="38" t="n">
        <f aca="false">Sens!$G$1911*m_ad</f>
        <v>30.8011958765886</v>
      </c>
      <c r="H2004" s="38" t="n">
        <f aca="false">Sens!$H$1911*m_ad</f>
        <v>36.978409366026</v>
      </c>
      <c r="I2004" s="38" t="n">
        <f aca="false">Sens!$I$1911*m_ad</f>
        <v>43.155063281273</v>
      </c>
      <c r="J2004" s="38" t="n">
        <f aca="false">Sens!$J$1911*m_ad</f>
        <v>48.9169991988532</v>
      </c>
      <c r="K2004" s="38" t="n">
        <f aca="false">Sens!$K$1911*m_ad</f>
        <v>53.8086991187386</v>
      </c>
      <c r="L2004" s="38" t="n">
        <f aca="false">Sens!$L$1911*m_ad</f>
        <v>59.1895690306124</v>
      </c>
      <c r="M2004" s="38" t="n">
        <f aca="false">Sens!$M$1911*m_ad</f>
        <v>65.1085259336737</v>
      </c>
      <c r="N2004" s="38" t="n">
        <f aca="false">Sens!$N$1911*m_ad</f>
        <v>10.8543555706248</v>
      </c>
      <c r="O2004" s="38" t="n">
        <f aca="false">Sens!$O$1911*m_ad</f>
        <v>14.0094731821399</v>
      </c>
    </row>
    <row r="2005" customFormat="false" ht="17.15" hidden="false" customHeight="false" outlineLevel="0" collapsed="false">
      <c r="A2005" s="0" t="s">
        <v>674</v>
      </c>
      <c r="B2005" s="0" t="s">
        <v>73</v>
      </c>
      <c r="C2005" s="38" t="n">
        <f aca="false">Sens!$C$1909-Sens!$C$1911</f>
        <v>346.428687117154</v>
      </c>
      <c r="D2005" s="38" t="n">
        <f aca="false">Sens!$D$1909-Sens!$D$1911</f>
        <v>376.560876540083</v>
      </c>
      <c r="E2005" s="38" t="n">
        <f aca="false">Sens!$E$1909-Sens!$E$1911</f>
        <v>193.316577507559</v>
      </c>
      <c r="F2005" s="38" t="n">
        <f aca="false">Sens!$F$1909-Sens!$F$1911</f>
        <v>221.726726438887</v>
      </c>
      <c r="G2005" s="38" t="n">
        <f aca="false">Sens!$G$1909-Sens!$G$1911</f>
        <v>415.02162325063</v>
      </c>
      <c r="H2005" s="38" t="n">
        <f aca="false">Sens!$H$1909-Sens!$H$1911</f>
        <v>453.777572359491</v>
      </c>
      <c r="I2005" s="38" t="n">
        <f aca="false">Sens!$I$1909-Sens!$I$1911</f>
        <v>490.847566467031</v>
      </c>
      <c r="J2005" s="38" t="n">
        <f aca="false">Sens!$J$1909-Sens!$J$1911</f>
        <v>525.190925266121</v>
      </c>
      <c r="K2005" s="38" t="n">
        <f aca="false">Sens!$K$1909-Sens!$K$1911</f>
        <v>555.765170156304</v>
      </c>
      <c r="L2005" s="38" t="n">
        <f aca="false">Sens!$L$1909-Sens!$L$1911</f>
        <v>588.185734949207</v>
      </c>
      <c r="M2005" s="38" t="n">
        <f aca="false">Sens!$M$1909-Sens!$M$1911</f>
        <v>622.567635538672</v>
      </c>
      <c r="N2005" s="38" t="n">
        <f aca="false">Sens!$N$1909-Sens!$N$1911</f>
        <v>171.24628885875</v>
      </c>
      <c r="O2005" s="38" t="n">
        <f aca="false">Sens!$O$1909-Sens!$O$1911</f>
        <v>205.33105363572</v>
      </c>
    </row>
    <row r="2006" customFormat="false" ht="17.15" hidden="false" customHeight="false" outlineLevel="0" collapsed="false">
      <c r="A2006" s="0" t="s">
        <v>675</v>
      </c>
      <c r="B2006" s="0" t="s">
        <v>73</v>
      </c>
      <c r="C2006" s="38" t="n">
        <f aca="false">Sens!$C$1957*Sens!$C$1908</f>
        <v>0.119793158257048</v>
      </c>
      <c r="D2006" s="38" t="n">
        <f aca="false">Sens!$D$1957*Sens!$D$1908</f>
        <v>0.806820984687366</v>
      </c>
      <c r="E2006" s="38" t="n">
        <f aca="false">Sens!$E$1957*Sens!$E$1908</f>
        <v>1.17101201882556</v>
      </c>
      <c r="F2006" s="38" t="n">
        <f aca="false">Sens!$F$1957*Sens!$F$1908</f>
        <v>1.3976430246626</v>
      </c>
      <c r="G2006" s="38" t="n">
        <f aca="false">Sens!$G$1957*Sens!$G$1908</f>
        <v>2.5688974760823</v>
      </c>
      <c r="H2006" s="38" t="n">
        <f aca="false">Sens!$H$1957*Sens!$H$1908</f>
        <v>6.7270354826502</v>
      </c>
      <c r="I2006" s="38" t="n">
        <f aca="false">Sens!$I$1957*Sens!$I$1908</f>
        <v>11.7110000155025</v>
      </c>
      <c r="J2006" s="38" t="n">
        <f aca="false">Sens!$J$1957*Sens!$J$1908</f>
        <v>16.8232308986074</v>
      </c>
      <c r="K2006" s="38" t="n">
        <f aca="false">Sens!$K$1957*Sens!$K$1908</f>
        <v>21.9363865197974</v>
      </c>
      <c r="L2006" s="38" t="n">
        <f aca="false">Sens!$L$1957*Sens!$L$1908</f>
        <v>27.1354297462008</v>
      </c>
      <c r="M2006" s="38" t="n">
        <f aca="false">Sens!$M$1957*Sens!$M$1908</f>
        <v>32.0840066308644</v>
      </c>
      <c r="N2006" s="38" t="n">
        <f aca="false">Sens!$N$1957*Sens!$N$1908</f>
        <v>0.355022287016685</v>
      </c>
      <c r="O2006" s="38" t="n">
        <f aca="false">Sens!$O$1957*Sens!$O$1908</f>
        <v>0.451591230619085</v>
      </c>
    </row>
    <row r="2007" customFormat="false" ht="17.15" hidden="false" customHeight="false" outlineLevel="0" collapsed="false">
      <c r="A2007" s="0" t="s">
        <v>676</v>
      </c>
      <c r="B2007" s="0" t="s">
        <v>52</v>
      </c>
      <c r="C2007" s="28" t="n">
        <f aca="false">(Sens!$C$2008-Sens!$C$2004+Sens!$C$2006)/Sens!$C$2005</f>
        <v>0.0131416273713343</v>
      </c>
      <c r="D2007" s="28" t="n">
        <f aca="false">(Sens!$D$2008-Sens!$D$2004+Sens!$D$2006)/Sens!$D$2005</f>
        <v>0.014748635879961</v>
      </c>
      <c r="E2007" s="28" t="n">
        <f aca="false">(Sens!$E$2008-Sens!$E$2004+Sens!$E$2006)/Sens!$E$2005</f>
        <v>0.0261710652952514</v>
      </c>
      <c r="F2007" s="28" t="n">
        <f aca="false">Sens!$O$2007+(Sens!$E$2007-Sens!$N$2007)</f>
        <v>0.0226424413172865</v>
      </c>
      <c r="G2007" s="28" t="n">
        <f aca="false">(Sens!$G$2008-Sens!$G$2004+Sens!$G$2006)/Sens!$G$2005</f>
        <v>0.0242617171854605</v>
      </c>
      <c r="H2007" s="28" t="n">
        <f aca="false">Sens!$G$2007+step_na</f>
        <v>0.0272617171854605</v>
      </c>
      <c r="I2007" s="28" t="n">
        <f aca="false">Sens!$H$2007+step_na</f>
        <v>0.0302617171854605</v>
      </c>
      <c r="J2007" s="28" t="n">
        <f aca="false">Sens!$I$2007+step_na</f>
        <v>0.0332617171854605</v>
      </c>
      <c r="K2007" s="28" t="n">
        <f aca="false">Sens!$J$2007+step_na</f>
        <v>0.0362617171854605</v>
      </c>
      <c r="L2007" s="28" t="n">
        <f aca="false">Sens!$K$2007</f>
        <v>0.0362617171854605</v>
      </c>
      <c r="M2007" s="28" t="n">
        <f aca="false">Sens!$L$2007</f>
        <v>0.0362617171854605</v>
      </c>
      <c r="N2007" s="28" t="n">
        <f aca="false">(Sens!$N$2008-Sens!$N$2004+Sens!$N$2006)/Sens!$N$2005</f>
        <v>0.0166933060882259</v>
      </c>
      <c r="O2007" s="28" t="n">
        <f aca="false">(Sens!$O$2008-Sens!$O$2004+Sens!$O$2006)/Sens!$O$2005</f>
        <v>0.0131646821102609</v>
      </c>
      <c r="P2007" s="8" t="s">
        <v>677</v>
      </c>
    </row>
    <row r="2008" customFormat="false" ht="17.15" hidden="false" customHeight="false" outlineLevel="0" collapsed="false">
      <c r="A2008" s="1" t="s">
        <v>678</v>
      </c>
      <c r="B2008" s="8" t="s">
        <v>73</v>
      </c>
      <c r="C2008" s="38" t="n">
        <f aca="false">Q!$D$22</f>
        <v>24.967</v>
      </c>
      <c r="D2008" s="38" t="n">
        <f aca="false">Q!$E$22</f>
        <v>29.619</v>
      </c>
      <c r="E2008" s="38" t="n">
        <f aca="false">Q!$P$22</f>
        <v>17.39</v>
      </c>
      <c r="F2008" s="38" t="n">
        <f aca="false">Sens!$F$2004+Sens!$F$2005*Sens!$F$2007-Sens!$F$2006</f>
        <v>20.9114356496638</v>
      </c>
      <c r="G2008" s="38" t="n">
        <f aca="false">Sens!$E$2008+Sens!$F$2008</f>
        <v>38.3014356496638</v>
      </c>
      <c r="H2008" s="38" t="n">
        <f aca="false">Sens!$H$2004+Sens!$H$2005*Sens!$H$2007-Sens!$H$2006</f>
        <v>42.622129726145</v>
      </c>
      <c r="I2008" s="38" t="n">
        <f aca="false">Sens!$I$2004+Sens!$I$2005*Sens!$I$2007-Sens!$I$2006</f>
        <v>46.2979535033673</v>
      </c>
      <c r="J2008" s="38" t="n">
        <f aca="false">Sens!$J$2004+Sens!$J$2005*Sens!$J$2007-Sens!$J$2006</f>
        <v>49.5625203248179</v>
      </c>
      <c r="K2008" s="38" t="n">
        <f aca="false">Sens!$K$2004+Sens!$K$2005*Sens!$K$2007-Sens!$K$2006</f>
        <v>52.0253120206784</v>
      </c>
      <c r="L2008" s="38" t="n">
        <f aca="false">Sens!$L$2004+Sens!$L$2005*Sens!$L$2007-Sens!$L$2006</f>
        <v>53.382764057662</v>
      </c>
      <c r="M2008" s="38" t="n">
        <f aca="false">Sens!$M$2004+Sens!$M$2005*Sens!$M$2007-Sens!$M$2006</f>
        <v>55.5998908315334</v>
      </c>
      <c r="N2008" s="38" t="n">
        <f aca="false">Q!$N$22</f>
        <v>13.358</v>
      </c>
      <c r="O2008" s="38" t="n">
        <f aca="false">Q!$O$22</f>
        <v>16.261</v>
      </c>
    </row>
    <row r="2009" customFormat="false" ht="17.15" hidden="false" customHeight="false" outlineLevel="0" collapsed="false">
      <c r="A2009" s="0" t="s">
        <v>679</v>
      </c>
      <c r="B2009" s="0" t="s">
        <v>73</v>
      </c>
      <c r="C2009" s="38" t="n">
        <f aca="false">Sens!$C$1912*m_ad</f>
        <v>7.57284355857716</v>
      </c>
      <c r="D2009" s="38" t="n">
        <f aca="false">Sens!$D$1912*m_ad</f>
        <v>9.44543827004127</v>
      </c>
      <c r="E2009" s="38" t="n">
        <f aca="false">Sens!$E$1912*m_ad</f>
        <v>5.02428875377928</v>
      </c>
      <c r="F2009" s="38" t="n">
        <f aca="false">Sens!$F$1912*m_ad</f>
        <v>6.78802480890925</v>
      </c>
      <c r="G2009" s="38" t="n">
        <f aca="false">Sens!$G$1912*m_ad</f>
        <v>11.8014732147805</v>
      </c>
      <c r="H2009" s="38" t="n">
        <f aca="false">Sens!$H$1912*m_ad</f>
        <v>14.1682715634442</v>
      </c>
      <c r="I2009" s="38" t="n">
        <f aca="false">Sens!$I$1912*m_ad</f>
        <v>16.5348555113474</v>
      </c>
      <c r="J2009" s="38" t="n">
        <f aca="false">Sens!$J$1912*m_ad</f>
        <v>18.7425403255689</v>
      </c>
      <c r="K2009" s="38" t="n">
        <f aca="false">Sens!$K$1912*m_ad</f>
        <v>20.6167943581258</v>
      </c>
      <c r="L2009" s="38" t="n">
        <f aca="false">Sens!$L$1912*m_ad</f>
        <v>22.6784737939383</v>
      </c>
      <c r="M2009" s="38" t="n">
        <f aca="false">Sens!$M$1912*m_ad</f>
        <v>24.9463211733322</v>
      </c>
      <c r="N2009" s="38" t="n">
        <f aca="false">Sens!$N$1912*m_ad</f>
        <v>3.95314442937518</v>
      </c>
      <c r="O2009" s="38" t="n">
        <f aca="false">Sens!$O$1912*m_ad</f>
        <v>5.50052681786011</v>
      </c>
    </row>
    <row r="2010" customFormat="false" ht="17.15" hidden="false" customHeight="false" outlineLevel="0" collapsed="false">
      <c r="A2010" s="0" t="s">
        <v>680</v>
      </c>
      <c r="B2010" s="0" t="s">
        <v>73</v>
      </c>
      <c r="C2010" s="38" t="n">
        <f aca="false">Sens!$C$1910-Sens!$C$1912</f>
        <v>127.760312882846</v>
      </c>
      <c r="D2010" s="38" t="n">
        <f aca="false">Sens!$D$1910-Sens!$D$1912</f>
        <v>143.003123459917</v>
      </c>
      <c r="E2010" s="38" t="n">
        <f aca="false">Sens!$E$1910-Sens!$E$1912</f>
        <v>71.9374224924414</v>
      </c>
      <c r="F2010" s="38" t="n">
        <f aca="false">Sens!$F$1910-Sens!$F$1912</f>
        <v>87.0563645868046</v>
      </c>
      <c r="G2010" s="38" t="n">
        <f aca="false">Sens!$G$1910-Sens!$G$1912</f>
        <v>159.015467775062</v>
      </c>
      <c r="H2010" s="38" t="n">
        <f aca="false">Sens!$H$1910-Sens!$H$1912</f>
        <v>173.864803403269</v>
      </c>
      <c r="I2010" s="38" t="n">
        <f aca="false">Sens!$I$1910-Sens!$I$1912</f>
        <v>188.068165645601</v>
      </c>
      <c r="J2010" s="38" t="n">
        <f aca="false">Sens!$J$1910-Sens!$J$1912</f>
        <v>201.22681801082</v>
      </c>
      <c r="K2010" s="38" t="n">
        <f aca="false">Sens!$K$1910-Sens!$K$1912</f>
        <v>212.941334991893</v>
      </c>
      <c r="L2010" s="38" t="n">
        <f aca="false">Sens!$L$1910-Sens!$L$1912</f>
        <v>225.363269144856</v>
      </c>
      <c r="M2010" s="38" t="n">
        <f aca="false">Sens!$M$1910-Sens!$M$1912</f>
        <v>238.536688790819</v>
      </c>
      <c r="N2010" s="38" t="n">
        <f aca="false">Sens!$N$1910-Sens!$N$1912</f>
        <v>62.3677111412496</v>
      </c>
      <c r="O2010" s="38" t="n">
        <f aca="false">Sens!$O$1910-Sens!$O$1912</f>
        <v>80.6189463642798</v>
      </c>
    </row>
    <row r="2011" customFormat="false" ht="17.15" hidden="false" customHeight="false" outlineLevel="0" collapsed="false">
      <c r="A2011" s="0" t="s">
        <v>681</v>
      </c>
      <c r="B2011" s="0" t="s">
        <v>73</v>
      </c>
      <c r="C2011" s="38" t="n">
        <f aca="false">Sens!$C$1957*(1-Sens!$C$1908)</f>
        <v>0.0441788222202539</v>
      </c>
      <c r="D2011" s="38" t="n">
        <f aca="false">Sens!$D$1957*(1-Sens!$D$1908)</f>
        <v>0.306399119163454</v>
      </c>
      <c r="E2011" s="38" t="n">
        <f aca="false">Sens!$E$1957*(1-Sens!$E$1908)</f>
        <v>0.435759764775929</v>
      </c>
      <c r="F2011" s="38" t="n">
        <f aca="false">Sens!$F$1957*(1-Sens!$F$1908)</f>
        <v>0.548755319989663</v>
      </c>
      <c r="G2011" s="38" t="n">
        <f aca="false">Sens!$G$1957*(1-Sens!$G$1908)</f>
        <v>0.984272652171462</v>
      </c>
      <c r="H2011" s="38" t="n">
        <f aca="false">Sens!$H$1957*(1-Sens!$H$1908)</f>
        <v>2.57746255637161</v>
      </c>
      <c r="I2011" s="38" t="n">
        <f aca="false">Sens!$I$1957*(1-Sens!$I$1908)</f>
        <v>4.48706776045329</v>
      </c>
      <c r="J2011" s="38" t="n">
        <f aca="false">Sens!$J$1957*(1-Sens!$J$1908)</f>
        <v>6.44581819587366</v>
      </c>
      <c r="K2011" s="38" t="n">
        <f aca="false">Sens!$K$1957*(1-Sens!$K$1908)</f>
        <v>8.40492294454167</v>
      </c>
      <c r="L2011" s="38" t="n">
        <f aca="false">Sens!$L$1957*(1-Sens!$L$1908)</f>
        <v>10.3969355152459</v>
      </c>
      <c r="M2011" s="38" t="n">
        <f aca="false">Sens!$M$1957*(1-Sens!$M$1908)</f>
        <v>12.2929819476517</v>
      </c>
      <c r="N2011" s="38" t="n">
        <f aca="false">Sens!$N$1957*(1-Sens!$N$1908)</f>
        <v>0.129298728707784</v>
      </c>
      <c r="O2011" s="38" t="n">
        <f aca="false">Sens!$O$1957*(1-Sens!$O$1908)</f>
        <v>0.177307857507266</v>
      </c>
    </row>
    <row r="2012" customFormat="false" ht="17.15" hidden="false" customHeight="false" outlineLevel="0" collapsed="false">
      <c r="A2012" s="0" t="s">
        <v>682</v>
      </c>
      <c r="B2012" s="0" t="s">
        <v>52</v>
      </c>
      <c r="C2012" s="28" t="n">
        <f aca="false">(Sens!$C$2013-Sens!$C$2009+Sens!$C$2011)/Sens!$C$2010</f>
        <v>-0.0292474607492811</v>
      </c>
      <c r="D2012" s="28" t="n">
        <f aca="false">(Sens!$D$2013-Sens!$D$2009+Sens!$D$2011)/Sens!$D$2010</f>
        <v>-0.0306919110903757</v>
      </c>
      <c r="E2012" s="28" t="n">
        <f aca="false">(Sens!$E$2013-Sens!$E$2009+Sens!$E$2011)/Sens!$E$2010</f>
        <v>-0.0201220580172364</v>
      </c>
      <c r="F2012" s="28" t="n">
        <f aca="false">Sens!$O$2012+(Sens!$E$2012-Sens!$N$2012)</f>
        <v>-0.0373287227786323</v>
      </c>
      <c r="G2012" s="28" t="n">
        <f aca="false">(Sens!$G$2013-Sens!$G$2009+Sens!$G$2011)/Sens!$G$2010</f>
        <v>-0.0294728182046756</v>
      </c>
      <c r="H2012" s="28" t="n">
        <f aca="false">Sens!$G$2012+step_in</f>
        <v>-0.0294728182046756</v>
      </c>
      <c r="I2012" s="28" t="n">
        <f aca="false">Sens!$H$2012+step_in</f>
        <v>-0.0294728182046756</v>
      </c>
      <c r="J2012" s="28" t="n">
        <f aca="false">Sens!$I$2012+step_in</f>
        <v>-0.0294728182046756</v>
      </c>
      <c r="K2012" s="28" t="n">
        <f aca="false">Sens!$J$2012+step_in</f>
        <v>-0.0294728182046756</v>
      </c>
      <c r="L2012" s="28" t="n">
        <f aca="false">Sens!$K$2012</f>
        <v>-0.0294728182046756</v>
      </c>
      <c r="M2012" s="28" t="n">
        <f aca="false">Sens!$L$2012</f>
        <v>-0.0294728182046756</v>
      </c>
      <c r="N2012" s="28" t="n">
        <f aca="false">(Sens!$N$2013-Sens!$N$2009+Sens!$N$2011)/Sens!$N$2010</f>
        <v>-0.0210500862809296</v>
      </c>
      <c r="O2012" s="28" t="n">
        <f aca="false">(Sens!$O$2013-Sens!$O$2009+Sens!$O$2011)/Sens!$O$2010</f>
        <v>-0.0382567510423255</v>
      </c>
      <c r="P2012" s="8" t="s">
        <v>677</v>
      </c>
    </row>
    <row r="2013" customFormat="false" ht="17.15" hidden="false" customHeight="false" outlineLevel="0" collapsed="false">
      <c r="A2013" s="1" t="s">
        <v>683</v>
      </c>
      <c r="B2013" s="8" t="s">
        <v>73</v>
      </c>
      <c r="C2013" s="38" t="n">
        <f aca="false">Q!$D$23</f>
        <v>3.792</v>
      </c>
      <c r="D2013" s="38" t="n">
        <f aca="false">Q!$E$23</f>
        <v>4.75</v>
      </c>
      <c r="E2013" s="38" t="n">
        <f aca="false">Q!$P$23</f>
        <v>3.141</v>
      </c>
      <c r="F2013" s="38" t="n">
        <f aca="false">Sens!$F$2009+Sens!$F$2010*Sens!$F$2012-Sens!$F$2011</f>
        <v>2.98956658914321</v>
      </c>
      <c r="G2013" s="38" t="n">
        <f aca="false">Sens!$E$2013+Sens!$F$2013</f>
        <v>6.13056658914321</v>
      </c>
      <c r="H2013" s="38" t="n">
        <f aca="false">Sens!$H$2009+Sens!$H$2010*Sens!$H$2012-Sens!$H$2011</f>
        <v>6.46652326417637</v>
      </c>
      <c r="I2013" s="38" t="n">
        <f aca="false">Sens!$I$2009+Sens!$I$2010*Sens!$I$2012-Sens!$I$2011</f>
        <v>6.50488889473452</v>
      </c>
      <c r="J2013" s="38" t="n">
        <f aca="false">Sens!$J$2009+Sens!$J$2010*Sens!$J$2012-Sens!$J$2011</f>
        <v>6.36600070455697</v>
      </c>
      <c r="K2013" s="38" t="n">
        <f aca="false">Sens!$K$2009+Sens!$K$2010*Sens!$K$2012-Sens!$K$2011</f>
        <v>5.93589015910711</v>
      </c>
      <c r="L2013" s="38" t="n">
        <f aca="false">Sens!$L$2009+Sens!$L$2010*Sens!$L$2012-Sens!$L$2011</f>
        <v>5.63944761717475</v>
      </c>
      <c r="M2013" s="38" t="n">
        <f aca="false">Sens!$M$2009+Sens!$M$2010*Sens!$M$2012-Sens!$M$2011</f>
        <v>5.62299076180338</v>
      </c>
      <c r="N2013" s="38" t="n">
        <f aca="false">Q!$N$23</f>
        <v>2.511</v>
      </c>
      <c r="O2013" s="38" t="n">
        <f aca="false">Q!$O$23</f>
        <v>2.239</v>
      </c>
    </row>
    <row r="2014" customFormat="false" ht="17.15" hidden="false" customHeight="false" outlineLevel="0" collapsed="false">
      <c r="A2014" s="0" t="s">
        <v>684</v>
      </c>
      <c r="B2014" s="0" t="s">
        <v>73</v>
      </c>
      <c r="C2014" s="38" t="n">
        <f aca="false">Sens!$C$1954</f>
        <v>1.66511743506443</v>
      </c>
      <c r="D2014" s="38" t="n">
        <f aca="false">Sens!$D$1954</f>
        <v>4.25088967324788</v>
      </c>
      <c r="E2014" s="38" t="n">
        <f aca="false">Sens!$E$1954</f>
        <v>2.08326584116405</v>
      </c>
      <c r="F2014" s="38" t="n">
        <f aca="false">Sens!$F$1954</f>
        <v>7.17784026611138</v>
      </c>
      <c r="G2014" s="38" t="n">
        <f aca="false">Sens!$G$1954</f>
        <v>9.26110610727544</v>
      </c>
      <c r="H2014" s="38" t="n">
        <f aca="false">Sens!$H$1954</f>
        <v>22.9478985936873</v>
      </c>
      <c r="I2014" s="38" t="n">
        <f aca="false">Sens!$I$1954</f>
        <v>36.7114280326087</v>
      </c>
      <c r="J2014" s="38" t="n">
        <f aca="false">Sens!$J$1954</f>
        <v>49.949210773354</v>
      </c>
      <c r="K2014" s="38" t="n">
        <f aca="false">Sens!$K$1954</f>
        <v>63.243177184831</v>
      </c>
      <c r="L2014" s="38" t="n">
        <f aca="false">Sens!$L$1954</f>
        <v>76.089825467338</v>
      </c>
      <c r="M2014" s="38" t="n">
        <f aca="false">Sens!$M$1954</f>
        <v>90.3372071361673</v>
      </c>
      <c r="N2014" s="38" t="n">
        <f aca="false">Sens!$N$1954</f>
        <v>1.10903546813003</v>
      </c>
      <c r="O2014" s="38" t="n">
        <f aca="false">Sens!$O$1954</f>
        <v>3.14185420511785</v>
      </c>
    </row>
    <row r="2015" customFormat="false" ht="17.15" hidden="false" customHeight="false" outlineLevel="0" collapsed="false">
      <c r="A2015" s="0" t="s">
        <v>604</v>
      </c>
      <c r="B2015" s="0" t="s">
        <v>73</v>
      </c>
      <c r="C2015" s="38" t="n">
        <f aca="false">Sens!$C$1959</f>
        <v>38.1688825649356</v>
      </c>
      <c r="D2015" s="38" t="n">
        <f aca="false">Sens!$D$1959</f>
        <v>41.3551103267521</v>
      </c>
      <c r="E2015" s="38" t="n">
        <f aca="false">Sens!$E$1959</f>
        <v>28.6987341588359</v>
      </c>
      <c r="F2015" s="38" t="n">
        <f aca="false">Sens!$F$1959</f>
        <v>28.9563135915274</v>
      </c>
      <c r="G2015" s="38" t="n">
        <f aca="false">Sens!$G$1959</f>
        <v>57.6550477503633</v>
      </c>
      <c r="H2015" s="38" t="n">
        <f aca="false">Sens!$H$1959</f>
        <v>66.6455878609613</v>
      </c>
      <c r="I2015" s="38" t="n">
        <f aca="false">Sens!$I$1959</f>
        <v>77.6079933677556</v>
      </c>
      <c r="J2015" s="38" t="n">
        <f aca="false">Sens!$J$1959</f>
        <v>87.0951084319996</v>
      </c>
      <c r="K2015" s="38" t="n">
        <f aca="false">Sens!$K$1959</f>
        <v>94.0627171065595</v>
      </c>
      <c r="L2015" s="38" t="n">
        <f aca="false">Sens!$L$1959</f>
        <v>101.587734475084</v>
      </c>
      <c r="M2015" s="38" t="n">
        <f aca="false">Sens!$M$1959</f>
        <v>109.714753233091</v>
      </c>
      <c r="N2015" s="38" t="n">
        <f aca="false">Sens!$N$1959</f>
        <v>20.59796453187</v>
      </c>
      <c r="O2015" s="38" t="n">
        <f aca="false">Sens!$O$1959</f>
        <v>20.7571457948822</v>
      </c>
    </row>
    <row r="2016" customFormat="false" ht="17.15" hidden="false" customHeight="false" outlineLevel="0" collapsed="false">
      <c r="A2016" s="1" t="s">
        <v>685</v>
      </c>
      <c r="B2016" s="8" t="s">
        <v>73</v>
      </c>
      <c r="C2016" s="38" t="n">
        <f aca="false">Q!$D$24</f>
        <v>39.834</v>
      </c>
      <c r="D2016" s="38" t="n">
        <f aca="false">Q!$E$24</f>
        <v>45.606</v>
      </c>
      <c r="E2016" s="38" t="n">
        <f aca="false">Q!$P$24</f>
        <v>30.782</v>
      </c>
      <c r="F2016" s="38" t="n">
        <f aca="false">Sens!$F$2014+Sens!$F$2015</f>
        <v>36.1341538576388</v>
      </c>
      <c r="G2016" s="38" t="n">
        <f aca="false">Sens!$G$2014+Sens!$G$2015</f>
        <v>66.9161538576388</v>
      </c>
      <c r="H2016" s="38" t="n">
        <f aca="false">Sens!$H$2014+Sens!$H$2015</f>
        <v>89.5934864546486</v>
      </c>
      <c r="I2016" s="38" t="n">
        <f aca="false">Sens!$I$2014+Sens!$I$2015</f>
        <v>114.319421400364</v>
      </c>
      <c r="J2016" s="38" t="n">
        <f aca="false">Sens!$J$2014+Sens!$J$2015</f>
        <v>137.044319205354</v>
      </c>
      <c r="K2016" s="38" t="n">
        <f aca="false">Sens!$K$2014+Sens!$K$2015</f>
        <v>157.305894291391</v>
      </c>
      <c r="L2016" s="38" t="n">
        <f aca="false">Sens!$L$2014+Sens!$L$2015</f>
        <v>177.677559942422</v>
      </c>
      <c r="M2016" s="38" t="n">
        <f aca="false">Sens!$M$2014+Sens!$M$2015</f>
        <v>200.051960369258</v>
      </c>
      <c r="N2016" s="38" t="n">
        <f aca="false">Q!$N$24</f>
        <v>21.707</v>
      </c>
      <c r="O2016" s="38" t="n">
        <f aca="false">Q!$O$24</f>
        <v>23.899</v>
      </c>
    </row>
    <row r="2017" customFormat="false" ht="17.15" hidden="false" customHeight="false" outlineLevel="0" collapsed="false">
      <c r="A2017" s="5" t="s">
        <v>686</v>
      </c>
      <c r="B2017" s="0" t="s">
        <v>73</v>
      </c>
      <c r="C2017" s="38" t="n">
        <f aca="false">Q!$D$26</f>
        <v>0</v>
      </c>
      <c r="D2017" s="38" t="n">
        <f aca="false">Q!$E$26</f>
        <v>0</v>
      </c>
      <c r="E2017" s="38" t="n">
        <f aca="false">Q!$P$26</f>
        <v>0</v>
      </c>
      <c r="F2017" s="41" t="n">
        <v>0</v>
      </c>
      <c r="G2017" s="38" t="n">
        <f aca="false">Sens!$E$2017+Sens!$F$2017</f>
        <v>0</v>
      </c>
      <c r="H2017" s="41" t="n">
        <v>0</v>
      </c>
      <c r="I2017" s="41" t="n">
        <v>0</v>
      </c>
      <c r="J2017" s="41" t="n">
        <v>0</v>
      </c>
      <c r="K2017" s="41" t="n">
        <v>0</v>
      </c>
      <c r="L2017" s="41" t="n">
        <v>0</v>
      </c>
      <c r="M2017" s="41" t="n">
        <v>0</v>
      </c>
      <c r="N2017" s="38" t="n">
        <f aca="false">Q!$N$26</f>
        <v>0</v>
      </c>
      <c r="O2017" s="38" t="n">
        <f aca="false">Q!$O$26</f>
        <v>0</v>
      </c>
    </row>
    <row r="2018" customFormat="false" ht="15" hidden="false" customHeight="false" outlineLevel="0" collapsed="false">
      <c r="A2018" s="3" t="s">
        <v>494</v>
      </c>
      <c r="B2018" s="8" t="s">
        <v>73</v>
      </c>
      <c r="C2018" s="38" t="n">
        <f aca="false">Q!$D$25</f>
        <v>68.593</v>
      </c>
      <c r="D2018" s="38" t="n">
        <f aca="false">Q!$E$25</f>
        <v>79.975</v>
      </c>
      <c r="E2018" s="38" t="n">
        <f aca="false">Q!$P$25</f>
        <v>51.313</v>
      </c>
      <c r="F2018" s="38" t="n">
        <f aca="false">Sens!$F$2008+Sens!$F$2013+Sens!$F$2016+Sens!$F$2017</f>
        <v>60.0351560964458</v>
      </c>
      <c r="G2018" s="38" t="n">
        <f aca="false">Sens!$G$2008+Sens!$G$2013+Sens!$G$2016+Sens!$G$2017</f>
        <v>111.348156096446</v>
      </c>
      <c r="H2018" s="38" t="n">
        <f aca="false">Sens!$H$2008+Sens!$H$2013+Sens!$H$2016+Sens!$H$2017</f>
        <v>138.68213944497</v>
      </c>
      <c r="I2018" s="38" t="n">
        <f aca="false">Sens!$I$2008+Sens!$I$2013+Sens!$I$2016+Sens!$I$2017</f>
        <v>167.122263798466</v>
      </c>
      <c r="J2018" s="38" t="n">
        <f aca="false">Sens!$J$2008+Sens!$J$2013+Sens!$J$2016+Sens!$J$2017</f>
        <v>192.972840234728</v>
      </c>
      <c r="K2018" s="38" t="n">
        <f aca="false">Sens!$K$2008+Sens!$K$2013+Sens!$K$2016+Sens!$K$2017</f>
        <v>215.267096471176</v>
      </c>
      <c r="L2018" s="38" t="n">
        <f aca="false">Sens!$L$2008+Sens!$L$2013+Sens!$L$2016+Sens!$L$2017</f>
        <v>236.699771617259</v>
      </c>
      <c r="M2018" s="38" t="n">
        <f aca="false">Sens!$M$2008+Sens!$M$2013+Sens!$M$2016+Sens!$M$2017</f>
        <v>261.274841962595</v>
      </c>
      <c r="N2018" s="38" t="n">
        <f aca="false">Q!$N$25</f>
        <v>37.576</v>
      </c>
      <c r="O2018" s="38" t="n">
        <f aca="false">Q!$O$25</f>
        <v>42.399</v>
      </c>
    </row>
    <row r="2019" customFormat="false" ht="17.15" hidden="false" customHeight="false" outlineLevel="0" collapsed="false">
      <c r="A2019" s="24" t="s">
        <v>712</v>
      </c>
      <c r="B2019" s="25" t="s">
        <v>73</v>
      </c>
      <c r="C2019" s="39" t="n">
        <f aca="false">Sens!$C$2008+Sens!$C$2013+Sens!$C$2016+Sens!$C$2017-Sens!$C$2018</f>
        <v>0</v>
      </c>
      <c r="D2019" s="39" t="n">
        <f aca="false">Sens!$D$2008+Sens!$D$2013+Sens!$D$2016+Sens!$D$2017-Sens!$D$2018</f>
        <v>0</v>
      </c>
      <c r="E2019" s="39" t="n">
        <f aca="false">Sens!$E$2008+Sens!$E$2013+Sens!$E$2016+Sens!$E$2017-Sens!$E$2018</f>
        <v>0</v>
      </c>
      <c r="F2019" s="39" t="n">
        <f aca="false">Sens!$F$2008+Sens!$F$2013+Sens!$F$2016+Sens!$F$2017-Sens!$F$2018</f>
        <v>0</v>
      </c>
      <c r="G2019" s="39" t="n">
        <f aca="false">Sens!$G$2008+Sens!$G$2013+Sens!$G$2016+Sens!$G$2017-Sens!$G$2018</f>
        <v>0</v>
      </c>
      <c r="H2019" s="39" t="n">
        <f aca="false">Sens!$H$2008+Sens!$H$2013+Sens!$H$2016+Sens!$H$2017-Sens!$H$2018</f>
        <v>0</v>
      </c>
      <c r="I2019" s="39" t="n">
        <f aca="false">Sens!$I$2008+Sens!$I$2013+Sens!$I$2016+Sens!$I$2017-Sens!$I$2018</f>
        <v>0</v>
      </c>
      <c r="J2019" s="39" t="n">
        <f aca="false">Sens!$J$2008+Sens!$J$2013+Sens!$J$2016+Sens!$J$2017-Sens!$J$2018</f>
        <v>0</v>
      </c>
      <c r="K2019" s="39" t="n">
        <f aca="false">Sens!$K$2008+Sens!$K$2013+Sens!$K$2016+Sens!$K$2017-Sens!$K$2018</f>
        <v>0</v>
      </c>
      <c r="L2019" s="39" t="n">
        <f aca="false">Sens!$L$2008+Sens!$L$2013+Sens!$L$2016+Sens!$L$2017-Sens!$L$2018</f>
        <v>0</v>
      </c>
      <c r="M2019" s="39" t="n">
        <f aca="false">Sens!$M$2008+Sens!$M$2013+Sens!$M$2016+Sens!$M$2017-Sens!$M$2018</f>
        <v>0</v>
      </c>
      <c r="N2019" s="39" t="n">
        <f aca="false">Sens!$N$2008+Sens!$N$2013+Sens!$N$2016+Sens!$N$2017-Sens!$N$2018</f>
        <v>0</v>
      </c>
      <c r="O2019" s="39" t="n">
        <f aca="false">Sens!$O$2008+Sens!$O$2013+Sens!$O$2016+Sens!$O$2017-Sens!$O$2018</f>
        <v>0</v>
      </c>
    </row>
    <row r="2020" customFormat="false" ht="17.15" hidden="false" customHeight="false" outlineLevel="0" collapsed="false">
      <c r="A2020" s="0" t="s">
        <v>688</v>
      </c>
      <c r="B2020" s="0" t="s">
        <v>52</v>
      </c>
      <c r="C2020" s="12" t="n">
        <f aca="false">Sens!$C$2008/Sens!$C$1993</f>
        <v>0.0644314665661928</v>
      </c>
      <c r="D2020" s="12" t="n">
        <f aca="false">Sens!$D$2008/Sens!$D$1993</f>
        <v>0.0694784250712518</v>
      </c>
      <c r="E2020" s="12" t="n">
        <f aca="false">Sens!$E$2008/Sens!$E$1993</f>
        <v>0.0789306463326071</v>
      </c>
      <c r="F2020" s="12" t="n">
        <f aca="false">Sens!$F$2008/Sens!$F$1993</f>
        <v>0.0815884044943783</v>
      </c>
      <c r="G2020" s="12" t="n">
        <f aca="false">Sens!$G$2008/Sens!$G$1993</f>
        <v>0.0803598527223977</v>
      </c>
      <c r="H2020" s="12" t="n">
        <f aca="false">Sens!$H$2008/Sens!$H$1993</f>
        <v>0.0807643588244974</v>
      </c>
      <c r="I2020" s="12" t="n">
        <f aca="false">Sens!$I$2008/Sens!$I$1993</f>
        <v>0.0802171643253047</v>
      </c>
      <c r="J2020" s="12" t="n">
        <f aca="false">Sens!$J$2008/Sens!$J$1993</f>
        <v>0.0795514247381231</v>
      </c>
      <c r="K2020" s="12" t="n">
        <f aca="false">Sens!$K$2008/Sens!$K$1993</f>
        <v>0.0784242976818716</v>
      </c>
      <c r="L2020" s="12" t="n">
        <f aca="false">Sens!$L$2008/Sens!$L$1993</f>
        <v>0.0755525304141093</v>
      </c>
      <c r="M2020" s="12" t="n">
        <f aca="false">Sens!$M$2008/Sens!$M$1993</f>
        <v>0.0738589556372648</v>
      </c>
      <c r="N2020" s="12" t="n">
        <f aca="false">Sens!$N$2008/Sens!$N$1993</f>
        <v>0.069228576611127</v>
      </c>
      <c r="O2020" s="12" t="n">
        <f aca="false">Sens!$O$2008/Sens!$O$1993</f>
        <v>0.069685022498393</v>
      </c>
    </row>
    <row r="2021" customFormat="false" ht="17.15" hidden="false" customHeight="false" outlineLevel="0" collapsed="false">
      <c r="A2021" s="0" t="s">
        <v>689</v>
      </c>
      <c r="B2021" s="0" t="s">
        <v>52</v>
      </c>
      <c r="C2021" s="12" t="n">
        <f aca="false">Sens!$C$2013/Sens!$C$1994</f>
        <v>0.026534925055631</v>
      </c>
      <c r="D2021" s="12" t="n">
        <f aca="false">Sens!$D$2013/Sens!$D$1994</f>
        <v>0.0293401855535103</v>
      </c>
      <c r="E2021" s="12" t="n">
        <f aca="false">Sens!$E$2013/Sens!$E$1994</f>
        <v>0.03831141902276</v>
      </c>
      <c r="F2021" s="12" t="n">
        <f aca="false">Sens!$F$2013/Sens!$F$1994</f>
        <v>0.0297077896100586</v>
      </c>
      <c r="G2021" s="12" t="n">
        <f aca="false">Sens!$G$2013/Sens!$G$1994</f>
        <v>0.0335703637327282</v>
      </c>
      <c r="H2021" s="12" t="n">
        <f aca="false">Sens!$H$2013/Sens!$H$1994</f>
        <v>0.031980614249826</v>
      </c>
      <c r="I2021" s="12" t="n">
        <f aca="false">Sens!$I$2013/Sens!$I$1994</f>
        <v>0.0294155347457359</v>
      </c>
      <c r="J2021" s="12" t="n">
        <f aca="false">Sens!$J$2013/Sens!$J$1994</f>
        <v>0.0266681331774413</v>
      </c>
      <c r="K2021" s="12" t="n">
        <f aca="false">Sens!$K$2013/Sens!$K$1994</f>
        <v>0.0233535632567868</v>
      </c>
      <c r="L2021" s="12" t="n">
        <f aca="false">Sens!$L$2013/Sens!$L$1994</f>
        <v>0.0208312762350596</v>
      </c>
      <c r="M2021" s="12" t="n">
        <f aca="false">Sens!$M$2013/Sens!$M$1994</f>
        <v>0.0194952113213587</v>
      </c>
      <c r="N2021" s="12" t="n">
        <f aca="false">Sens!$N$2013/Sens!$N$1994</f>
        <v>0.0357315650169337</v>
      </c>
      <c r="O2021" s="12" t="n">
        <f aca="false">Sens!$O$2013/Sens!$O$1994</f>
        <v>0.0244378956559703</v>
      </c>
    </row>
    <row r="2022" customFormat="false" ht="17.15" hidden="false" customHeight="false" outlineLevel="0" collapsed="false">
      <c r="A2022" s="13" t="s">
        <v>690</v>
      </c>
      <c r="B2022" s="13" t="s">
        <v>52</v>
      </c>
      <c r="C2022" s="16" t="n">
        <f aca="false">Sens!$C$2016/Sens!$C$1995</f>
        <v>0.370355907620217</v>
      </c>
      <c r="D2022" s="16" t="n">
        <f aca="false">Sens!$D$2016/Sens!$D$1995</f>
        <v>0.35429015342785</v>
      </c>
      <c r="E2022" s="16" t="n">
        <f aca="false">Sens!$E$2016/Sens!$E$1995</f>
        <v>0.385647527531039</v>
      </c>
      <c r="F2022" s="16" t="n">
        <f aca="false">Sens!$F$2016/Sens!$F$1995</f>
        <v>0.386220123895582</v>
      </c>
      <c r="G2022" s="16" t="n">
        <f aca="false">Sens!$G$2016/Sens!$G$1995</f>
        <v>0.385956513657997</v>
      </c>
      <c r="H2022" s="16" t="n">
        <f aca="false">Sens!$H$2016/Sens!$H$1995</f>
        <v>0.371665520229518</v>
      </c>
      <c r="I2022" s="16" t="n">
        <f aca="false">Sens!$I$2016/Sens!$I$1995</f>
        <v>0.366229869145763</v>
      </c>
      <c r="J2022" s="16" t="n">
        <f aca="false">Sens!$J$2016/Sens!$J$1995</f>
        <v>0.361190132551873</v>
      </c>
      <c r="K2022" s="16" t="n">
        <f aca="false">Sens!$K$2016/Sens!$K$1995</f>
        <v>0.357579030361879</v>
      </c>
      <c r="L2022" s="16" t="n">
        <f aca="false">Sens!$L$2016/Sens!$L$1995</f>
        <v>0.353971110899759</v>
      </c>
      <c r="M2022" s="16" t="n">
        <f aca="false">Sens!$M$2016/Sens!$M$1995</f>
        <v>0.353673829452626</v>
      </c>
      <c r="N2022" s="16" t="n">
        <f aca="false">Sens!$N$2016/Sens!$N$1995</f>
        <v>0.360941137346192</v>
      </c>
      <c r="O2022" s="16" t="n">
        <f aca="false">Sens!$O$2016/Sens!$O$1995</f>
        <v>0.348458117664212</v>
      </c>
    </row>
    <row r="2023" customFormat="false" ht="17.15" hidden="false" customHeight="false" outlineLevel="0" collapsed="false">
      <c r="A2023" s="0" t="s">
        <v>691</v>
      </c>
      <c r="B2023" s="0" t="s">
        <v>52</v>
      </c>
      <c r="C2023" s="12" t="n">
        <f aca="false">Sens!$C$2014/Sens!$C$1996</f>
        <v>0.717412146448287</v>
      </c>
      <c r="D2023" s="12" t="n">
        <f aca="false">Sens!$D$2014/Sens!$D$1996</f>
        <v>0.4883963650178</v>
      </c>
      <c r="E2023" s="12" t="n">
        <f aca="false">Sens!$E$2014/Sens!$E$1996</f>
        <v>0.244791943077369</v>
      </c>
      <c r="F2023" s="12" t="n">
        <f aca="false">Sens!$F$2014/Sens!$F$1996</f>
        <v>0.479692057086372</v>
      </c>
      <c r="G2023" s="12" t="n">
        <f aca="false">Sens!$G$2014/Sens!$G$1996</f>
        <v>0.394529704861091</v>
      </c>
      <c r="H2023" s="12" t="n">
        <f aca="false">Sens!$H$2014/Sens!$H$1996</f>
        <v>0.38141043550948</v>
      </c>
      <c r="I2023" s="12" t="n">
        <f aca="false">Sens!$I$2014/Sens!$I$1996</f>
        <v>0.361675764971526</v>
      </c>
      <c r="J2023" s="12" t="n">
        <f aca="false">Sens!$J$2014/Sens!$J$1996</f>
        <v>0.349233131149367</v>
      </c>
      <c r="K2023" s="12" t="n">
        <f aca="false">Sens!$K$2014/Sens!$K$1996</f>
        <v>0.342580142786982</v>
      </c>
      <c r="L2023" s="12" t="n">
        <f aca="false">Sens!$L$2014/Sens!$L$1996</f>
        <v>0.336354281017164</v>
      </c>
      <c r="M2023" s="12" t="n">
        <f aca="false">Sens!$M$2014/Sens!$M$1996</f>
        <v>0.337273993104978</v>
      </c>
      <c r="N2023" s="12" t="n">
        <f aca="false">Sens!$N$2014/Sens!$N$1996</f>
        <v>0.364057498510609</v>
      </c>
      <c r="O2023" s="12" t="n">
        <f aca="false">Sens!$O$2014/Sens!$O$1996</f>
        <v>0.555348062367826</v>
      </c>
    </row>
    <row r="2024" customFormat="false" ht="15" hidden="false" customHeight="false" outlineLevel="0" collapsed="false">
      <c r="A2024" s="5" t="s">
        <v>692</v>
      </c>
      <c r="B2024" s="0" t="s">
        <v>52</v>
      </c>
      <c r="C2024" s="12" t="n">
        <f aca="false">Sens!$C$2018/Sens!$C$1998</f>
        <v>0.107519448742004</v>
      </c>
      <c r="D2024" s="12" t="n">
        <f aca="false">Sens!$D$2018/Sens!$D$1998</f>
        <v>0.111552967957552</v>
      </c>
      <c r="E2024" s="12" t="n">
        <f aca="false">Sens!$E$2018/Sens!$E$1998</f>
        <v>0.13428328426562</v>
      </c>
      <c r="F2024" s="12" t="n">
        <f aca="false">Sens!$F$2018/Sens!$F$1998</f>
        <v>0.133264904127382</v>
      </c>
      <c r="G2024" s="12" t="n">
        <f aca="false">Sens!$G$2018/Sens!$G$1998</f>
        <v>0.133732282486723</v>
      </c>
      <c r="H2024" s="12" t="n">
        <f aca="false">Sens!$H$2018/Sens!$H$1998</f>
        <v>0.142824744134782</v>
      </c>
      <c r="I2024" s="12" t="n">
        <f aca="false">Sens!$I$2018/Sens!$I$1998</f>
        <v>0.150499900993123</v>
      </c>
      <c r="J2024" s="12" t="n">
        <f aca="false">Sens!$J$2018/Sens!$J$1998</f>
        <v>0.155477668598367</v>
      </c>
      <c r="K2024" s="12" t="n">
        <f aca="false">Sens!$K$2018/Sens!$K$1998</f>
        <v>0.158578848401206</v>
      </c>
      <c r="L2024" s="12" t="n">
        <f aca="false">Sens!$L$2018/Sens!$L$1998</f>
        <v>0.160014440752537</v>
      </c>
      <c r="M2024" s="12" t="n">
        <f aca="false">Sens!$M$2018/Sens!$M$1998</f>
        <v>0.16260026548845</v>
      </c>
      <c r="N2024" s="12" t="n">
        <f aca="false">Sens!$N$2018/Sens!$N$1998</f>
        <v>0.116201614873411</v>
      </c>
      <c r="O2024" s="12" t="n">
        <f aca="false">Sens!$O$2018/Sens!$O$1998</f>
        <v>0.107733353660861</v>
      </c>
    </row>
    <row r="2025" customFormat="false" ht="17.15" hidden="false" customHeight="false" outlineLevel="0" collapsed="false">
      <c r="A2025" s="1" t="s">
        <v>693</v>
      </c>
    </row>
    <row r="2026" customFormat="false" ht="17.15" hidden="false" customHeight="false" outlineLevel="0" collapsed="false">
      <c r="A2026" s="5" t="s">
        <v>694</v>
      </c>
      <c r="B2026" s="0" t="s">
        <v>52</v>
      </c>
      <c r="D2026" s="28" t="n">
        <f aca="false">(Q!$E$29+Q!$E$30-(1-ext_sh)*Sens!$D$1950)/Sens!$D$1907</f>
        <v>0.033625876283631</v>
      </c>
    </row>
    <row r="2027" customFormat="false" ht="17.15" hidden="false" customHeight="false" outlineLevel="0" collapsed="false">
      <c r="A2027" s="0" t="s">
        <v>498</v>
      </c>
      <c r="B2027" s="0" t="s">
        <v>73</v>
      </c>
      <c r="C2027" s="38" t="n">
        <f aca="false">Q!$D$29</f>
        <v>14.285</v>
      </c>
      <c r="D2027" s="38" t="n">
        <f aca="false">Q!$E$29</f>
        <v>15.503</v>
      </c>
      <c r="E2027" s="38" t="n">
        <f aca="false">Q!$P$29</f>
        <v>8.78</v>
      </c>
      <c r="F2027" s="38" t="n">
        <f aca="false">(Sens!$D$2026*Sens!$F$1907+(1-ext_sh)*Sens!$F$1950)*Sens!$F$1908</f>
        <v>9.43385039974463</v>
      </c>
      <c r="G2027" s="38" t="n">
        <f aca="false">Sens!$E$2027+Sens!$F$2027</f>
        <v>18.2138503997446</v>
      </c>
      <c r="H2027" s="38" t="n">
        <f aca="false">(Sens!$D$2026*Sens!$H$1907+(1-ext_sh)*Sens!$H$1950)*Sens!$H$1908</f>
        <v>22.1863506686436</v>
      </c>
      <c r="I2027" s="38" t="n">
        <f aca="false">(Sens!$D$2026*Sens!$I$1907+(1-ext_sh)*Sens!$I$1950)*Sens!$I$1908</f>
        <v>27.3318351561082</v>
      </c>
      <c r="J2027" s="38" t="n">
        <f aca="false">(Sens!$D$2026*Sens!$J$1907+(1-ext_sh)*Sens!$J$1950)*Sens!$J$1908</f>
        <v>32.4832357658532</v>
      </c>
      <c r="K2027" s="38" t="n">
        <f aca="false">(Sens!$D$2026*Sens!$K$1907+(1-ext_sh)*Sens!$K$1950)*Sens!$K$1908</f>
        <v>37.4493717216062</v>
      </c>
      <c r="L2027" s="38" t="n">
        <f aca="false">(Sens!$D$2026*Sens!$L$1907+(1-ext_sh)*Sens!$L$1950)*Sens!$L$1908</f>
        <v>42.5959566109729</v>
      </c>
      <c r="M2027" s="38" t="n">
        <f aca="false">(Sens!$D$2026*Sens!$M$1907+(1-ext_sh)*Sens!$M$1950)*Sens!$M$1908</f>
        <v>47.5939877521401</v>
      </c>
      <c r="N2027" s="38" t="n">
        <f aca="false">Q!$N$29</f>
        <v>7.272</v>
      </c>
      <c r="O2027" s="38" t="n">
        <f aca="false">Q!$O$29</f>
        <v>8.231</v>
      </c>
    </row>
    <row r="2028" customFormat="false" ht="17.15" hidden="false" customHeight="false" outlineLevel="0" collapsed="false">
      <c r="A2028" s="0" t="s">
        <v>500</v>
      </c>
      <c r="B2028" s="0" t="s">
        <v>73</v>
      </c>
      <c r="C2028" s="38" t="n">
        <f aca="false">Q!$D$30</f>
        <v>4.462</v>
      </c>
      <c r="D2028" s="38" t="n">
        <f aca="false">Q!$E$30</f>
        <v>4.907</v>
      </c>
      <c r="E2028" s="38" t="n">
        <f aca="false">Q!$P$30</f>
        <v>2.57</v>
      </c>
      <c r="F2028" s="38" t="n">
        <f aca="false">(Sens!$D$2026*Sens!$F$1907+(1-ext_sh)*Sens!$F$1950)*(1-Sens!$F$1908)</f>
        <v>3.70400417237884</v>
      </c>
      <c r="G2028" s="38" t="n">
        <f aca="false">Sens!$E$2028+Sens!$F$2028</f>
        <v>6.27400417237884</v>
      </c>
      <c r="H2028" s="38" t="n">
        <f aca="false">(Sens!$D$2026*Sens!$H$1907+(1-ext_sh)*Sens!$H$1950)*(1-Sens!$H$1908)</f>
        <v>8.5006966677141</v>
      </c>
      <c r="I2028" s="38" t="n">
        <f aca="false">(Sens!$D$2026*Sens!$I$1907+(1-ext_sh)*Sens!$I$1950)*(1-Sens!$I$1908)</f>
        <v>10.4721882162626</v>
      </c>
      <c r="J2028" s="38" t="n">
        <f aca="false">(Sens!$D$2026*Sens!$J$1907+(1-ext_sh)*Sens!$J$1950)*(1-Sens!$J$1908)</f>
        <v>12.4459465261053</v>
      </c>
      <c r="K2028" s="38" t="n">
        <f aca="false">(Sens!$D$2026*Sens!$K$1907+(1-ext_sh)*Sens!$K$1950)*(1-Sens!$K$1908)</f>
        <v>14.3487207137571</v>
      </c>
      <c r="L2028" s="38" t="n">
        <f aca="false">(Sens!$D$2026*Sens!$L$1907+(1-ext_sh)*Sens!$L$1950)*(1-Sens!$L$1908)</f>
        <v>16.3206338811163</v>
      </c>
      <c r="M2028" s="38" t="n">
        <f aca="false">(Sens!$D$2026*Sens!$M$1907+(1-ext_sh)*Sens!$M$1950)*(1-Sens!$M$1908)</f>
        <v>18.235628703897</v>
      </c>
      <c r="N2028" s="38" t="n">
        <f aca="false">Q!$N$30</f>
        <v>2.316</v>
      </c>
      <c r="O2028" s="38" t="n">
        <f aca="false">Q!$O$30</f>
        <v>2.591</v>
      </c>
    </row>
    <row r="2029" customFormat="false" ht="17.15" hidden="false" customHeight="false" outlineLevel="0" collapsed="false">
      <c r="A2029" s="0" t="s">
        <v>501</v>
      </c>
      <c r="B2029" s="0" t="s">
        <v>73</v>
      </c>
      <c r="C2029" s="38" t="n">
        <f aca="false">Sens!$C$1962</f>
        <v>13.32</v>
      </c>
      <c r="D2029" s="38" t="n">
        <f aca="false">Sens!$D$1962</f>
        <v>21.45</v>
      </c>
      <c r="E2029" s="38" t="n">
        <f aca="false">Sens!$E$1962</f>
        <v>15.353</v>
      </c>
      <c r="F2029" s="38" t="n">
        <f aca="false">Sens!$F$1962</f>
        <v>16.9349999046671</v>
      </c>
      <c r="G2029" s="38" t="n">
        <f aca="false">Sens!$G$1962</f>
        <v>32.2879999046671</v>
      </c>
      <c r="H2029" s="38" t="n">
        <f aca="false">Sens!$H$1962</f>
        <v>53.0923894367483</v>
      </c>
      <c r="I2029" s="38" t="n">
        <f aca="false">Sens!$I$1962</f>
        <v>77.0573693392263</v>
      </c>
      <c r="J2029" s="38" t="n">
        <f aca="false">Sens!$J$1962</f>
        <v>101.085249123946</v>
      </c>
      <c r="K2029" s="38" t="n">
        <f aca="false">Sens!$K$1962</f>
        <v>124.034825398711</v>
      </c>
      <c r="L2029" s="38" t="n">
        <f aca="false">Sens!$L$1962</f>
        <v>147.695818750196</v>
      </c>
      <c r="M2029" s="38" t="n">
        <f aca="false">Sens!$M$1962</f>
        <v>170.227475752288</v>
      </c>
      <c r="N2029" s="38" t="n">
        <f aca="false">Sens!$N$1962</f>
        <v>9.234</v>
      </c>
      <c r="O2029" s="38" t="n">
        <f aca="false">Sens!$O$1962</f>
        <v>12.216</v>
      </c>
    </row>
    <row r="2030" customFormat="false" ht="17.15" hidden="false" customHeight="false" outlineLevel="0" collapsed="false">
      <c r="A2030" s="5" t="s">
        <v>695</v>
      </c>
      <c r="B2030" s="0" t="s">
        <v>73</v>
      </c>
      <c r="C2030" s="38" t="n">
        <f aca="false">Sens!$C$2027+Sens!$C$2028+Sens!$C$2029</f>
        <v>32.067</v>
      </c>
      <c r="D2030" s="38" t="n">
        <f aca="false">Sens!$D$2027+Sens!$D$2028+Sens!$D$2029</f>
        <v>41.86</v>
      </c>
      <c r="E2030" s="38" t="n">
        <f aca="false">Sens!$E$2027+Sens!$E$2028+Sens!$E$2029</f>
        <v>26.703</v>
      </c>
      <c r="F2030" s="38" t="n">
        <f aca="false">Sens!$F$2027+Sens!$F$2028+Sens!$F$2029</f>
        <v>30.0728544767906</v>
      </c>
      <c r="G2030" s="38" t="n">
        <f aca="false">Sens!$G$2027+Sens!$G$2028+Sens!$G$2029</f>
        <v>56.7758544767906</v>
      </c>
      <c r="H2030" s="38" t="n">
        <f aca="false">Sens!$H$2027+Sens!$H$2028+Sens!$H$2029</f>
        <v>83.779436773106</v>
      </c>
      <c r="I2030" s="38" t="n">
        <f aca="false">Sens!$I$2027+Sens!$I$2028+Sens!$I$2029</f>
        <v>114.861392711597</v>
      </c>
      <c r="J2030" s="38" t="n">
        <f aca="false">Sens!$J$2027+Sens!$J$2028+Sens!$J$2029</f>
        <v>146.014431415905</v>
      </c>
      <c r="K2030" s="38" t="n">
        <f aca="false">Sens!$K$2027+Sens!$K$2028+Sens!$K$2029</f>
        <v>175.832917834074</v>
      </c>
      <c r="L2030" s="38" t="n">
        <f aca="false">Sens!$L$2027+Sens!$L$2028+Sens!$L$2029</f>
        <v>206.612409242285</v>
      </c>
      <c r="M2030" s="38" t="n">
        <f aca="false">Sens!$M$2027+Sens!$M$2028+Sens!$M$2029</f>
        <v>236.057092208325</v>
      </c>
      <c r="N2030" s="38" t="n">
        <f aca="false">Sens!$N$2027+Sens!$N$2028+Sens!$N$2029</f>
        <v>18.822</v>
      </c>
      <c r="O2030" s="38" t="n">
        <f aca="false">Sens!$O$2027+Sens!$O$2028+Sens!$O$2029</f>
        <v>23.038</v>
      </c>
    </row>
    <row r="2031" customFormat="false" ht="17.15" hidden="false" customHeight="false" outlineLevel="0" collapsed="false">
      <c r="A2031" s="0" t="s">
        <v>696</v>
      </c>
      <c r="B2031" s="0" t="s">
        <v>73</v>
      </c>
      <c r="C2031" s="38" t="n">
        <f aca="false">Sens!$C$2004+Sens!$C$2009</f>
        <v>28.107</v>
      </c>
      <c r="D2031" s="38" t="n">
        <f aca="false">Sens!$D$2004+Sens!$D$2009</f>
        <v>34.3175</v>
      </c>
      <c r="E2031" s="38" t="n">
        <f aca="false">Sens!$E$2004+Sens!$E$2009</f>
        <v>18.526</v>
      </c>
      <c r="F2031" s="38" t="n">
        <f aca="false">Sens!$F$2004+Sens!$F$2009</f>
        <v>24.0766690913691</v>
      </c>
      <c r="G2031" s="38" t="n">
        <f aca="false">Sens!$G$2004+Sens!$G$2009</f>
        <v>42.6026690913691</v>
      </c>
      <c r="H2031" s="38" t="n">
        <f aca="false">Sens!$H$2004+Sens!$H$2009</f>
        <v>51.1466809294702</v>
      </c>
      <c r="I2031" s="38" t="n">
        <f aca="false">Sens!$I$2004+Sens!$I$2009</f>
        <v>59.6899187926205</v>
      </c>
      <c r="J2031" s="38" t="n">
        <f aca="false">Sens!$J$2004+Sens!$J$2009</f>
        <v>67.6595395244221</v>
      </c>
      <c r="K2031" s="38" t="n">
        <f aca="false">Sens!$K$2004+Sens!$K$2009</f>
        <v>74.4254934768643</v>
      </c>
      <c r="L2031" s="38" t="n">
        <f aca="false">Sens!$L$2004+Sens!$L$2009</f>
        <v>81.8680428245508</v>
      </c>
      <c r="M2031" s="38" t="n">
        <f aca="false">Sens!$M$2004+Sens!$M$2009</f>
        <v>90.0548471070059</v>
      </c>
      <c r="N2031" s="38" t="n">
        <f aca="false">Sens!$N$2004+Sens!$N$2009</f>
        <v>14.8075</v>
      </c>
      <c r="O2031" s="38" t="n">
        <f aca="false">Sens!$O$2004+Sens!$O$2009</f>
        <v>19.51</v>
      </c>
    </row>
    <row r="2032" customFormat="false" ht="17.15" hidden="false" customHeight="false" outlineLevel="0" collapsed="false">
      <c r="A2032" s="0" t="s">
        <v>697</v>
      </c>
      <c r="B2032" s="0" t="s">
        <v>73</v>
      </c>
      <c r="C2032" s="38" t="n">
        <f aca="false">Sens!$C$2008+Sens!$C$2013+Sens!$C$2027+Sens!$C$2028-Sens!$C$2031</f>
        <v>19.399</v>
      </c>
      <c r="D2032" s="38" t="n">
        <f aca="false">Sens!$D$2008+Sens!$D$2013+Sens!$D$2027+Sens!$D$2028-Sens!$D$2031</f>
        <v>20.4615</v>
      </c>
      <c r="E2032" s="38" t="n">
        <f aca="false">Sens!$E$2008+Sens!$E$2013+Sens!$E$2027+Sens!$E$2028-Sens!$E$2031</f>
        <v>13.355</v>
      </c>
      <c r="F2032" s="38" t="n">
        <f aca="false">Sens!$F$2008+Sens!$F$2013+Sens!$F$2027+Sens!$F$2028-Sens!$F$2031</f>
        <v>12.9621877195614</v>
      </c>
      <c r="G2032" s="38" t="n">
        <f aca="false">Sens!$G$2008+Sens!$G$2013+Sens!$G$2027+Sens!$G$2028-Sens!$G$2031</f>
        <v>26.3171877195614</v>
      </c>
      <c r="H2032" s="38" t="n">
        <f aca="false">Sens!$H$2008+Sens!$H$2013+Sens!$H$2027+Sens!$H$2028-Sens!$H$2031</f>
        <v>28.6290193972089</v>
      </c>
      <c r="I2032" s="38" t="n">
        <f aca="false">Sens!$I$2008+Sens!$I$2013+Sens!$I$2027+Sens!$I$2028-Sens!$I$2031</f>
        <v>30.9169469778522</v>
      </c>
      <c r="J2032" s="38" t="n">
        <f aca="false">Sens!$J$2008+Sens!$J$2013+Sens!$J$2027+Sens!$J$2028-Sens!$J$2031</f>
        <v>33.1981637969112</v>
      </c>
      <c r="K2032" s="38" t="n">
        <f aca="false">Sens!$K$2008+Sens!$K$2013+Sens!$K$2027+Sens!$K$2028-Sens!$K$2031</f>
        <v>35.3338011382844</v>
      </c>
      <c r="L2032" s="38" t="n">
        <f aca="false">Sens!$L$2008+Sens!$L$2013+Sens!$L$2027+Sens!$L$2028-Sens!$L$2031</f>
        <v>36.0707593423751</v>
      </c>
      <c r="M2032" s="38" t="n">
        <f aca="false">Sens!$M$2008+Sens!$M$2013+Sens!$M$2027+Sens!$M$2028-Sens!$M$2031</f>
        <v>36.9976509423681</v>
      </c>
      <c r="N2032" s="38" t="n">
        <f aca="false">Sens!$N$2008+Sens!$N$2013+Sens!$N$2027+Sens!$N$2028-Sens!$N$2031</f>
        <v>10.6495</v>
      </c>
      <c r="O2032" s="38" t="n">
        <f aca="false">Sens!$O$2008+Sens!$O$2013+Sens!$O$2027+Sens!$O$2028-Sens!$O$2031</f>
        <v>9.81200000000001</v>
      </c>
    </row>
    <row r="2033" customFormat="false" ht="17.15" hidden="false" customHeight="false" outlineLevel="0" collapsed="false">
      <c r="A2033" s="0" t="s">
        <v>698</v>
      </c>
      <c r="B2033" s="0" t="s">
        <v>73</v>
      </c>
      <c r="C2033" s="38" t="n">
        <f aca="false">Sens!$C$2015+Sens!$C$2029-ext_sh*Sens!$C$1950</f>
        <v>51.3470500115664</v>
      </c>
      <c r="D2033" s="38" t="n">
        <f aca="false">Sens!$D$2015+Sens!$D$2029-ext_sh*Sens!$D$1950</f>
        <v>60.2799375433739</v>
      </c>
      <c r="E2033" s="38" t="n">
        <f aca="false">Sens!$E$2015+Sens!$E$2029-ext_sh*Sens!$E$1950</f>
        <v>39.5095167090767</v>
      </c>
      <c r="F2033" s="38" t="n">
        <f aca="false">Sens!$F$2015+Sens!$F$2029-ext_sh*Sens!$F$1950</f>
        <v>41.3490960464353</v>
      </c>
      <c r="G2033" s="38" t="n">
        <f aca="false">Sens!$G$2015+Sens!$G$2029-ext_sh*Sens!$G$1950</f>
        <v>80.858612755512</v>
      </c>
      <c r="H2033" s="38" t="n">
        <f aca="false">Sens!$H$2015+Sens!$H$2029-ext_sh*Sens!$H$1950</f>
        <v>95.1687031853515</v>
      </c>
      <c r="I2033" s="38" t="n">
        <f aca="false">Sens!$I$2015+Sens!$I$2029-ext_sh*Sens!$I$1950</f>
        <v>110.822821475224</v>
      </c>
      <c r="J2033" s="38" t="n">
        <f aca="false">Sens!$J$2015+Sens!$J$2029-ext_sh*Sens!$J$1950</f>
        <v>124.370251494416</v>
      </c>
      <c r="K2033" s="38" t="n">
        <f aca="false">Sens!$K$2015+Sens!$K$2029-ext_sh*Sens!$K$1950</f>
        <v>134.31987161397</v>
      </c>
      <c r="L2033" s="38" t="n">
        <f aca="false">Sens!$L$2015+Sens!$L$2029-ext_sh*Sens!$L$1950</f>
        <v>145.065461343087</v>
      </c>
      <c r="M2033" s="38" t="n">
        <f aca="false">Sens!$M$2015+Sens!$M$2029-ext_sh*Sens!$M$1950</f>
        <v>156.670698250534</v>
      </c>
      <c r="N2033" s="38" t="n">
        <f aca="false">Sens!$N$2015+Sens!$N$2029-ext_sh*Sens!$N$1950</f>
        <v>28.5693781401809</v>
      </c>
      <c r="O2033" s="38" t="n">
        <f aca="false">Sens!$O$2015+Sens!$O$2029-ext_sh*Sens!$O$1950</f>
        <v>31.7105594031931</v>
      </c>
    </row>
    <row r="2034" customFormat="false" ht="17.15" hidden="false" customHeight="false" outlineLevel="0" collapsed="false">
      <c r="A2034" s="0" t="s">
        <v>699</v>
      </c>
      <c r="B2034" s="0" t="s">
        <v>73</v>
      </c>
      <c r="C2034" s="38" t="n">
        <f aca="false">Sens!$C$1953</f>
        <v>1.80694998843362</v>
      </c>
      <c r="D2034" s="38" t="n">
        <f aca="false">Sens!$D$1953</f>
        <v>6.77606245662607</v>
      </c>
      <c r="E2034" s="38" t="n">
        <f aca="false">Sens!$E$1953</f>
        <v>6.62548329092326</v>
      </c>
      <c r="F2034" s="38" t="n">
        <f aca="false">Sens!$F$1953</f>
        <v>11.7200577158706</v>
      </c>
      <c r="G2034" s="38" t="n">
        <f aca="false">Sens!$G$1953</f>
        <v>18.3455410067939</v>
      </c>
      <c r="H2034" s="38" t="n">
        <f aca="false">Sens!$H$1953</f>
        <v>47.5171727060453</v>
      </c>
      <c r="I2034" s="38" t="n">
        <f aca="false">Sens!$I$1953</f>
        <v>80.5539692643667</v>
      </c>
      <c r="J2034" s="38" t="n">
        <f aca="false">Sens!$J$1953</f>
        <v>113.759316834883</v>
      </c>
      <c r="K2034" s="38" t="n">
        <f aca="false">Sens!$K$1953</f>
        <v>147.020848076132</v>
      </c>
      <c r="L2034" s="38" t="n">
        <f aca="false">Sens!$L$1953</f>
        <v>180.307917349531</v>
      </c>
      <c r="M2034" s="38" t="n">
        <f aca="false">Sens!$M$1953</f>
        <v>213.608737871012</v>
      </c>
      <c r="N2034" s="38" t="n">
        <f aca="false">Sens!$N$1953</f>
        <v>2.37162185981912</v>
      </c>
      <c r="O2034" s="38" t="n">
        <f aca="false">Sens!$O$1953</f>
        <v>4.40444059680694</v>
      </c>
    </row>
    <row r="2035" customFormat="false" ht="17.15" hidden="false" customHeight="false" outlineLevel="0" collapsed="false">
      <c r="A2035" s="0" t="s">
        <v>700</v>
      </c>
      <c r="B2035" s="0" t="s">
        <v>73</v>
      </c>
      <c r="C2035" s="38" t="n">
        <f aca="false">Sens!$C$2018+Sens!$C$2030</f>
        <v>100.66</v>
      </c>
      <c r="D2035" s="38" t="n">
        <f aca="false">Sens!$D$2018+Sens!$D$2030</f>
        <v>121.835</v>
      </c>
      <c r="E2035" s="38" t="n">
        <f aca="false">Sens!$E$2018+Sens!$E$2030</f>
        <v>78.016</v>
      </c>
      <c r="F2035" s="38" t="n">
        <f aca="false">Sens!$F$2018+Sens!$F$2030</f>
        <v>90.1080105732363</v>
      </c>
      <c r="G2035" s="38" t="n">
        <f aca="false">Sens!$G$2018+Sens!$G$2030</f>
        <v>168.124010573236</v>
      </c>
      <c r="H2035" s="38" t="n">
        <f aca="false">Sens!$H$2018+Sens!$H$2030</f>
        <v>222.461576218076</v>
      </c>
      <c r="I2035" s="38" t="n">
        <f aca="false">Sens!$I$2018+Sens!$I$2030</f>
        <v>281.983656510063</v>
      </c>
      <c r="J2035" s="38" t="n">
        <f aca="false">Sens!$J$2018+Sens!$J$2030</f>
        <v>338.987271650633</v>
      </c>
      <c r="K2035" s="38" t="n">
        <f aca="false">Sens!$K$2018+Sens!$K$2030</f>
        <v>391.10001430525</v>
      </c>
      <c r="L2035" s="38" t="n">
        <f aca="false">Sens!$L$2018+Sens!$L$2030</f>
        <v>443.312180859544</v>
      </c>
      <c r="M2035" s="38" t="n">
        <f aca="false">Sens!$M$2018+Sens!$M$2030</f>
        <v>497.33193417092</v>
      </c>
      <c r="N2035" s="38" t="n">
        <f aca="false">Sens!$N$2018+Sens!$N$2030</f>
        <v>56.398</v>
      </c>
      <c r="O2035" s="38" t="n">
        <f aca="false">Sens!$O$2018+Sens!$O$2030</f>
        <v>65.437</v>
      </c>
    </row>
    <row r="2036" customFormat="false" ht="17.15" hidden="false" customHeight="false" outlineLevel="0" collapsed="false">
      <c r="A2036" s="1" t="s">
        <v>701</v>
      </c>
    </row>
    <row r="2037" customFormat="false" ht="15" hidden="false" customHeight="false" outlineLevel="0" collapsed="false">
      <c r="A2037" s="5" t="s">
        <v>504</v>
      </c>
      <c r="B2037" s="0" t="s">
        <v>73</v>
      </c>
      <c r="C2037" s="38" t="n">
        <f aca="false">Q!$D$34</f>
        <v>2.406</v>
      </c>
      <c r="D2037" s="38" t="n">
        <f aca="false">Q!$E$34</f>
        <v>2.274</v>
      </c>
      <c r="E2037" s="38" t="n">
        <f aca="false">Q!$P$34</f>
        <v>2.114</v>
      </c>
      <c r="F2037" s="38" t="n">
        <f aca="false">Sens!$F$2073</f>
        <v>3.24888964316061</v>
      </c>
      <c r="G2037" s="38" t="n">
        <f aca="false">Sens!$E$2037+Sens!$F$2037</f>
        <v>5.36288964316061</v>
      </c>
      <c r="H2037" s="38" t="n">
        <f aca="false">Sens!$H$2073</f>
        <v>7.42354178632123</v>
      </c>
      <c r="I2037" s="38" t="n">
        <f aca="false">Sens!$I$2073</f>
        <v>7.63320972609351</v>
      </c>
      <c r="J2037" s="38" t="n">
        <f aca="false">Sens!$J$2073</f>
        <v>8.02381665366443</v>
      </c>
      <c r="K2037" s="38" t="n">
        <f aca="false">Sens!$K$2073</f>
        <v>8.02381665366443</v>
      </c>
      <c r="L2037" s="38" t="n">
        <f aca="false">Sens!$L$2073</f>
        <v>8.02381665366443</v>
      </c>
      <c r="M2037" s="38" t="n">
        <f aca="false">Sens!$M$2073</f>
        <v>8.02381665366443</v>
      </c>
      <c r="N2037" s="38" t="n">
        <f aca="false">Q!$N$34</f>
        <v>1.057</v>
      </c>
      <c r="O2037" s="38" t="n">
        <f aca="false">Q!$O$34</f>
        <v>1.217</v>
      </c>
    </row>
    <row r="2038" customFormat="false" ht="15" hidden="false" customHeight="false" outlineLevel="0" collapsed="false">
      <c r="A2038" s="5" t="s">
        <v>702</v>
      </c>
      <c r="B2038" s="0" t="s">
        <v>73</v>
      </c>
      <c r="F2038" s="38" t="n">
        <f aca="false">Sens!$F$2074</f>
        <v>2.59</v>
      </c>
      <c r="H2038" s="38" t="n">
        <f aca="false">Sens!$H$2074</f>
        <v>3.99238712627317</v>
      </c>
      <c r="I2038" s="38" t="n">
        <f aca="false">Sens!$I$2074</f>
        <v>2.10589651022864</v>
      </c>
      <c r="J2038" s="38" t="n">
        <f aca="false">Sens!$J$2074</f>
        <v>2.10589651022864</v>
      </c>
      <c r="K2038" s="38" t="n">
        <f aca="false">Sens!$K$2074</f>
        <v>3.87258571860566</v>
      </c>
      <c r="L2038" s="38" t="n">
        <f aca="false">Sens!$L$2074</f>
        <v>7.3945954282301</v>
      </c>
      <c r="M2038" s="38" t="n">
        <f aca="false">Sens!$M$2074</f>
        <v>12.729507264774</v>
      </c>
    </row>
    <row r="2039" customFormat="false" ht="17.15" hidden="false" customHeight="false" outlineLevel="0" collapsed="false">
      <c r="A2039" s="5" t="s">
        <v>703</v>
      </c>
      <c r="B2039" s="0" t="s">
        <v>73</v>
      </c>
      <c r="C2039" s="38" t="n">
        <f aca="false">Q!$D$39</f>
        <v>2.427</v>
      </c>
      <c r="D2039" s="38" t="n">
        <f aca="false">Q!$E$39</f>
        <v>19.61</v>
      </c>
      <c r="E2039" s="38" t="n">
        <f aca="false">Q!$P$39</f>
        <v>71.492</v>
      </c>
      <c r="F2039" s="41" t="n">
        <v>0</v>
      </c>
      <c r="G2039" s="38" t="n">
        <f aca="false">Sens!$E$2039+Sens!$F$2039</f>
        <v>71.492</v>
      </c>
      <c r="H2039" s="41" t="n">
        <v>0</v>
      </c>
      <c r="I2039" s="41" t="n">
        <v>0</v>
      </c>
      <c r="J2039" s="41" t="n">
        <v>0</v>
      </c>
      <c r="K2039" s="41" t="n">
        <v>0</v>
      </c>
      <c r="L2039" s="41" t="n">
        <v>0</v>
      </c>
      <c r="M2039" s="41" t="n">
        <v>0</v>
      </c>
      <c r="N2039" s="38" t="n">
        <f aca="false">Q!$N$39</f>
        <v>6.017</v>
      </c>
      <c r="O2039" s="38" t="n">
        <f aca="false">Q!$O$39</f>
        <v>13.593</v>
      </c>
      <c r="P2039" s="5" t="s">
        <v>704</v>
      </c>
    </row>
    <row r="2040" customFormat="false" ht="15" hidden="false" customHeight="false" outlineLevel="0" collapsed="false">
      <c r="A2040" s="5" t="s">
        <v>507</v>
      </c>
      <c r="B2040" s="0" t="s">
        <v>73</v>
      </c>
      <c r="C2040" s="38" t="n">
        <f aca="false">Q!$D$36</f>
        <v>68.614</v>
      </c>
      <c r="D2040" s="38" t="n">
        <f aca="false">Q!$E$36</f>
        <v>97.311</v>
      </c>
      <c r="E2040" s="38" t="n">
        <f aca="false">Q!$P$36</f>
        <v>120.691</v>
      </c>
      <c r="F2040" s="38" t="n">
        <f aca="false">Sens!$F$2018-Sens!$F$2037+Sens!$F$2038+Sens!$F$2039</f>
        <v>59.3762664532851</v>
      </c>
      <c r="G2040" s="38" t="n">
        <f aca="false">Sens!$E$2040+Sens!$F$2040</f>
        <v>180.067266453285</v>
      </c>
      <c r="H2040" s="38" t="n">
        <f aca="false">Sens!$H$2018-Sens!$H$2037+Sens!$H$2038+Sens!$H$2039</f>
        <v>135.250984784922</v>
      </c>
      <c r="I2040" s="38" t="n">
        <f aca="false">Sens!$I$2018-Sens!$I$2037+Sens!$I$2038+Sens!$I$2039</f>
        <v>161.594950582601</v>
      </c>
      <c r="J2040" s="38" t="n">
        <f aca="false">Sens!$J$2018-Sens!$J$2037+Sens!$J$2038+Sens!$J$2039</f>
        <v>187.054920091293</v>
      </c>
      <c r="K2040" s="38" t="n">
        <f aca="false">Sens!$K$2018-Sens!$K$2037+Sens!$K$2038+Sens!$K$2039</f>
        <v>211.115865536117</v>
      </c>
      <c r="L2040" s="38" t="n">
        <f aca="false">Sens!$L$2018-Sens!$L$2037+Sens!$L$2038+Sens!$L$2039</f>
        <v>236.070550391825</v>
      </c>
      <c r="M2040" s="38" t="n">
        <f aca="false">Sens!$M$2018-Sens!$M$2037+Sens!$M$2038+Sens!$M$2039</f>
        <v>265.980532573705</v>
      </c>
      <c r="N2040" s="38" t="n">
        <f aca="false">Q!$N$36</f>
        <v>42.536</v>
      </c>
      <c r="O2040" s="38" t="n">
        <f aca="false">Q!$O$36</f>
        <v>54.775</v>
      </c>
    </row>
    <row r="2041" customFormat="false" ht="15" hidden="false" customHeight="false" outlineLevel="0" collapsed="false">
      <c r="A2041" s="5" t="s">
        <v>508</v>
      </c>
      <c r="B2041" s="0" t="s">
        <v>73</v>
      </c>
      <c r="C2041" s="38" t="n">
        <f aca="false">Q!$D$37</f>
        <v>9.265</v>
      </c>
      <c r="D2041" s="38" t="n">
        <f aca="false">Q!$E$37</f>
        <v>19.087</v>
      </c>
      <c r="E2041" s="38" t="n">
        <f aca="false">Q!$P$37</f>
        <v>27.759</v>
      </c>
      <c r="F2041" s="38" t="n">
        <f aca="false">Sens!$F$2040*tax</f>
        <v>10.3068011048174</v>
      </c>
      <c r="G2041" s="38" t="n">
        <f aca="false">Sens!$E$2041+Sens!$F$2041</f>
        <v>38.0658011048174</v>
      </c>
      <c r="H2041" s="38" t="n">
        <f aca="false">Sens!$H$2040*tax</f>
        <v>23.4774781689182</v>
      </c>
      <c r="I2041" s="38" t="n">
        <f aca="false">Sens!$I$2040*tax</f>
        <v>28.0503830012289</v>
      </c>
      <c r="J2041" s="38" t="n">
        <f aca="false">Sens!$J$2040*tax</f>
        <v>32.4698397561808</v>
      </c>
      <c r="K2041" s="38" t="n">
        <f aca="false">Sens!$K$2040*tax</f>
        <v>36.6464475812751</v>
      </c>
      <c r="L2041" s="38" t="n">
        <f aca="false">Sens!$L$2040*tax</f>
        <v>40.9781947389299</v>
      </c>
      <c r="M2041" s="38" t="n">
        <f aca="false">Sens!$M$2040*tax</f>
        <v>46.1701048372149</v>
      </c>
      <c r="N2041" s="38" t="n">
        <f aca="false">Q!$N$37</f>
        <v>7.231</v>
      </c>
      <c r="O2041" s="38" t="n">
        <f aca="false">Q!$O$37</f>
        <v>11.856</v>
      </c>
    </row>
    <row r="2042" customFormat="false" ht="15" hidden="false" customHeight="false" outlineLevel="0" collapsed="false">
      <c r="A2042" s="3" t="s">
        <v>509</v>
      </c>
      <c r="B2042" s="8" t="s">
        <v>73</v>
      </c>
      <c r="C2042" s="38" t="n">
        <f aca="false">Q!$D$38</f>
        <v>59.248</v>
      </c>
      <c r="D2042" s="38" t="n">
        <f aca="false">Q!$E$38</f>
        <v>77.67</v>
      </c>
      <c r="E2042" s="38" t="n">
        <f aca="false">Q!$P$38</f>
        <v>92.902</v>
      </c>
      <c r="F2042" s="38" t="n">
        <f aca="false">Sens!$F$2040-Sens!$F$2041</f>
        <v>49.0694653484677</v>
      </c>
      <c r="G2042" s="38" t="n">
        <f aca="false">Sens!$E$2042+Sens!$F$2042</f>
        <v>141.971465348468</v>
      </c>
      <c r="H2042" s="38" t="n">
        <f aca="false">Sens!$H$2040-Sens!$H$2041</f>
        <v>111.773506616004</v>
      </c>
      <c r="I2042" s="38" t="n">
        <f aca="false">Sens!$I$2040-Sens!$I$2041</f>
        <v>133.544567581372</v>
      </c>
      <c r="J2042" s="38" t="n">
        <f aca="false">Sens!$J$2040-Sens!$J$2041</f>
        <v>154.585080335112</v>
      </c>
      <c r="K2042" s="38" t="n">
        <f aca="false">Sens!$K$2040-Sens!$K$2041</f>
        <v>174.469417954842</v>
      </c>
      <c r="L2042" s="38" t="n">
        <f aca="false">Sens!$L$2040-Sens!$L$2041</f>
        <v>195.092355652895</v>
      </c>
      <c r="M2042" s="38" t="n">
        <f aca="false">Sens!$M$2040-Sens!$M$2041</f>
        <v>219.81042773649</v>
      </c>
      <c r="N2042" s="38" t="n">
        <f aca="false">Q!$N$38</f>
        <v>35.291</v>
      </c>
      <c r="O2042" s="38" t="n">
        <f aca="false">Q!$O$38</f>
        <v>42.379</v>
      </c>
    </row>
    <row r="2043" customFormat="false" ht="17.15" hidden="false" customHeight="false" outlineLevel="0" collapsed="false">
      <c r="A2043" s="5" t="s">
        <v>512</v>
      </c>
      <c r="B2043" s="5" t="s">
        <v>33</v>
      </c>
      <c r="C2043" s="22" t="n">
        <f aca="false">Q!$D$41</f>
        <v>10.721</v>
      </c>
      <c r="D2043" s="22" t="n">
        <f aca="false">Q!$E$41</f>
        <v>10.827</v>
      </c>
      <c r="E2043" s="22" t="n">
        <f aca="false">(Q!$L$41+Q!$M$41)/2</f>
        <v>10.8885</v>
      </c>
      <c r="F2043" s="22" t="n">
        <f aca="false">Sens!$G$2043</f>
        <v>10.924806</v>
      </c>
      <c r="G2043" s="22" t="n">
        <f aca="false">Q!$M$41*(1+sh_g*0.25)</f>
        <v>10.924806</v>
      </c>
      <c r="H2043" s="22" t="n">
        <f aca="false">Sens!$G$2043*(1+sh_g)</f>
        <v>11.012204448</v>
      </c>
      <c r="I2043" s="22" t="n">
        <f aca="false">Sens!$H$2043*(1+sh_g)</f>
        <v>11.100302083584</v>
      </c>
      <c r="J2043" s="22" t="n">
        <f aca="false">Sens!$I$2043*(1+sh_g)</f>
        <v>11.1891045002527</v>
      </c>
      <c r="K2043" s="22" t="n">
        <f aca="false">Sens!$J$2043*(1+sh_g)</f>
        <v>11.2786173362547</v>
      </c>
      <c r="L2043" s="22" t="n">
        <f aca="false">Sens!$K$2043*(1+sh_g)</f>
        <v>11.3688462749447</v>
      </c>
      <c r="M2043" s="22" t="n">
        <f aca="false">Sens!$L$2043*(1+sh_g)</f>
        <v>11.4597970451443</v>
      </c>
      <c r="P2043" s="5" t="s">
        <v>705</v>
      </c>
    </row>
    <row r="2044" customFormat="false" ht="17.15" hidden="false" customHeight="false" outlineLevel="0" collapsed="false">
      <c r="A2044" s="42" t="s">
        <v>706</v>
      </c>
      <c r="B2044" s="13" t="s">
        <v>27</v>
      </c>
      <c r="C2044" s="43" t="n">
        <f aca="false">Sens!$C$2042/Sens!$C$2043</f>
        <v>5.52635015390355</v>
      </c>
      <c r="D2044" s="43" t="n">
        <f aca="false">Sens!$D$2042/Sens!$D$2043</f>
        <v>7.1737323358271</v>
      </c>
      <c r="E2044" s="43" t="n">
        <f aca="false">Sens!$E$2042/Sens!$E$2043</f>
        <v>8.53212104513937</v>
      </c>
      <c r="F2044" s="13"/>
      <c r="G2044" s="43" t="n">
        <f aca="false">Sens!$G$2042/Sens!$G$2043</f>
        <v>12.9953305668282</v>
      </c>
      <c r="H2044" s="43" t="n">
        <f aca="false">Sens!$H$2042/Sens!$H$2043</f>
        <v>10.149966534294</v>
      </c>
      <c r="I2044" s="43" t="n">
        <f aca="false">Sens!$I$2042/Sens!$I$2043</f>
        <v>12.0307147117076</v>
      </c>
      <c r="J2044" s="43" t="n">
        <f aca="false">Sens!$J$2042/Sens!$J$2043</f>
        <v>13.815679380921</v>
      </c>
      <c r="K2044" s="43" t="n">
        <f aca="false">Sens!$K$2042/Sens!$K$2043</f>
        <v>15.4690431241086</v>
      </c>
      <c r="L2044" s="43" t="n">
        <f aca="false">Sens!$L$2042/Sens!$L$2043</f>
        <v>17.1602597954772</v>
      </c>
      <c r="M2044" s="43" t="n">
        <f aca="false">Sens!$M$2042/Sens!$M$2043</f>
        <v>19.1810052892365</v>
      </c>
      <c r="N2044" s="13"/>
      <c r="O2044" s="13"/>
    </row>
    <row r="2045" customFormat="false" ht="17.15" hidden="false" customHeight="false" outlineLevel="0" collapsed="false">
      <c r="A2045" s="0" t="s">
        <v>707</v>
      </c>
      <c r="B2045" s="0" t="s">
        <v>27</v>
      </c>
      <c r="C2045" s="30" t="n">
        <f aca="false">(Sens!$C$2042-Sens!$C$2039*(1-tax))/Sens!$C$2043</f>
        <v>5.33926775917445</v>
      </c>
      <c r="D2045" s="30" t="n">
        <f aca="false">(Sens!$D$2042-Sens!$D$2039*(1-tax))/Sens!$D$2043</f>
        <v>5.67691812755503</v>
      </c>
      <c r="E2045" s="30" t="n">
        <f aca="false">(Sens!$E$2042-Sens!$E$2039*(1-tax))/Sens!$E$2043</f>
        <v>3.10602057006846</v>
      </c>
      <c r="G2045" s="30" t="n">
        <f aca="false">(Sens!$G$2042-Sens!$G$2039*(1-tax))/Sens!$G$2043</f>
        <v>7.58726244893119</v>
      </c>
      <c r="H2045" s="30" t="n">
        <f aca="false">(Sens!$H$2042-Sens!$H$2039*(1-tax))/Sens!$H$2043</f>
        <v>10.149966534294</v>
      </c>
      <c r="I2045" s="30" t="n">
        <f aca="false">(Sens!$I$2042-Sens!$I$2039*(1-tax))/Sens!$I$2043</f>
        <v>12.0307147117076</v>
      </c>
      <c r="J2045" s="30" t="n">
        <f aca="false">(Sens!$J$2042-Sens!$J$2039*(1-tax))/Sens!$J$2043</f>
        <v>13.815679380921</v>
      </c>
      <c r="K2045" s="30" t="n">
        <f aca="false">(Sens!$K$2042-Sens!$K$2039*(1-tax))/Sens!$K$2043</f>
        <v>15.4690431241086</v>
      </c>
      <c r="L2045" s="30" t="n">
        <f aca="false">(Sens!$L$2042-Sens!$L$2039*(1-tax))/Sens!$L$2043</f>
        <v>17.1602597954772</v>
      </c>
      <c r="M2045" s="30" t="n">
        <f aca="false">(Sens!$M$2042-Sens!$M$2039*(1-tax))/Sens!$M$2043</f>
        <v>19.1810052892365</v>
      </c>
      <c r="P2045" s="5" t="s">
        <v>708</v>
      </c>
    </row>
    <row r="2046" customFormat="false" ht="17.15" hidden="false" customHeight="false" outlineLevel="0" collapsed="false">
      <c r="A2046" s="0" t="s">
        <v>709</v>
      </c>
      <c r="B2046" s="0" t="s">
        <v>52</v>
      </c>
      <c r="H2046" s="12" t="n">
        <f aca="false">Sens!$H$2044/Sens!$G$2044-1</f>
        <v>-0.218952801385231</v>
      </c>
      <c r="I2046" s="12" t="n">
        <f aca="false">Sens!$I$2044/Sens!$H$2044-1</f>
        <v>0.185295997879306</v>
      </c>
      <c r="J2046" s="12" t="n">
        <f aca="false">Sens!$J$2044/Sens!$I$2044-1</f>
        <v>0.148367300861722</v>
      </c>
      <c r="K2046" s="12" t="n">
        <f aca="false">Sens!$K$2044/Sens!$J$2044-1</f>
        <v>0.119672995992563</v>
      </c>
      <c r="L2046" s="12" t="n">
        <f aca="false">Sens!$L$2044/Sens!$K$2044-1</f>
        <v>0.109329107030084</v>
      </c>
      <c r="M2046" s="12" t="n">
        <f aca="false">Sens!$M$2044/Sens!$L$2044-1</f>
        <v>0.117757278610195</v>
      </c>
    </row>
    <row r="2049" customFormat="false" ht="19.4" hidden="false" customHeight="false" outlineLevel="0" collapsed="false">
      <c r="A2049" s="31" t="s">
        <v>1088</v>
      </c>
    </row>
    <row r="2050" customFormat="false" ht="17.15" hidden="false" customHeight="false" outlineLevel="0" collapsed="false">
      <c r="A2050" s="6" t="s">
        <v>16</v>
      </c>
      <c r="B2050" s="6" t="s">
        <v>17</v>
      </c>
      <c r="C2050" s="20" t="s">
        <v>457</v>
      </c>
      <c r="D2050" s="20" t="s">
        <v>458</v>
      </c>
      <c r="E2050" s="20" t="s">
        <v>540</v>
      </c>
      <c r="F2050" s="20" t="s">
        <v>541</v>
      </c>
      <c r="G2050" s="20" t="s">
        <v>542</v>
      </c>
      <c r="H2050" s="20" t="s">
        <v>543</v>
      </c>
      <c r="I2050" s="20" t="s">
        <v>544</v>
      </c>
      <c r="J2050" s="20" t="s">
        <v>545</v>
      </c>
      <c r="K2050" s="20" t="s">
        <v>546</v>
      </c>
      <c r="L2050" s="20" t="s">
        <v>547</v>
      </c>
      <c r="M2050" s="20" t="s">
        <v>548</v>
      </c>
      <c r="N2050" s="20" t="s">
        <v>549</v>
      </c>
      <c r="O2050" s="20" t="s">
        <v>550</v>
      </c>
      <c r="P2050" s="6" t="s">
        <v>23</v>
      </c>
      <c r="R2050" s="20" t="n">
        <v>2023</v>
      </c>
      <c r="S2050" s="20" t="n">
        <v>2024</v>
      </c>
      <c r="T2050" s="20" t="n">
        <v>2025</v>
      </c>
      <c r="U2050" s="20" t="n">
        <v>2026</v>
      </c>
      <c r="V2050" s="20" t="n">
        <v>2027</v>
      </c>
      <c r="W2050" s="20" t="n">
        <v>2028</v>
      </c>
      <c r="X2050" s="20" t="n">
        <v>2029</v>
      </c>
      <c r="Y2050" s="20" t="n">
        <v>2030</v>
      </c>
      <c r="Z2050" s="20" t="n">
        <v>2031</v>
      </c>
      <c r="AA2050" s="20" t="n">
        <v>2032</v>
      </c>
    </row>
    <row r="2051" customFormat="false" ht="15" hidden="false" customHeight="false" outlineLevel="0" collapsed="false">
      <c r="A2051" s="5" t="s">
        <v>509</v>
      </c>
      <c r="B2051" s="0" t="s">
        <v>73</v>
      </c>
      <c r="C2051" s="38" t="n">
        <f aca="false">Sens!$C$2042</f>
        <v>59.248</v>
      </c>
      <c r="D2051" s="38" t="n">
        <f aca="false">Sens!$D$2042</f>
        <v>77.67</v>
      </c>
      <c r="E2051" s="38" t="n">
        <f aca="false">Sens!$E$2042</f>
        <v>92.902</v>
      </c>
      <c r="F2051" s="38" t="n">
        <f aca="false">Sens!$F$2042</f>
        <v>49.0694653484677</v>
      </c>
      <c r="G2051" s="38" t="n">
        <f aca="false">Sens!$G$2042</f>
        <v>141.971465348468</v>
      </c>
      <c r="H2051" s="38" t="n">
        <f aca="false">Sens!$H$2042</f>
        <v>111.773506616004</v>
      </c>
      <c r="I2051" s="38" t="n">
        <f aca="false">Sens!$I$2042</f>
        <v>133.544567581372</v>
      </c>
      <c r="J2051" s="38" t="n">
        <f aca="false">Sens!$J$2042</f>
        <v>154.585080335112</v>
      </c>
      <c r="K2051" s="38" t="n">
        <f aca="false">Sens!$K$2042</f>
        <v>174.469417954842</v>
      </c>
      <c r="L2051" s="38" t="n">
        <f aca="false">Sens!$L$2042</f>
        <v>195.092355652895</v>
      </c>
      <c r="M2051" s="38" t="n">
        <f aca="false">Sens!$M$2042</f>
        <v>219.81042773649</v>
      </c>
    </row>
    <row r="2052" customFormat="false" ht="17.15" hidden="false" customHeight="false" outlineLevel="0" collapsed="false">
      <c r="A2052" s="5" t="s">
        <v>731</v>
      </c>
      <c r="B2052" s="0" t="s">
        <v>73</v>
      </c>
      <c r="C2052" s="38" t="n">
        <f aca="false">Sens!$C$2030</f>
        <v>32.067</v>
      </c>
      <c r="D2052" s="38" t="n">
        <f aca="false">Sens!$D$2030</f>
        <v>41.86</v>
      </c>
      <c r="E2052" s="38" t="n">
        <f aca="false">Sens!$E$2030</f>
        <v>26.703</v>
      </c>
      <c r="F2052" s="38" t="n">
        <f aca="false">Sens!$F$2030</f>
        <v>30.0728544767906</v>
      </c>
      <c r="G2052" s="38" t="n">
        <f aca="false">Sens!$G$2030</f>
        <v>56.7758544767906</v>
      </c>
      <c r="H2052" s="38" t="n">
        <f aca="false">Sens!$H$2030</f>
        <v>83.779436773106</v>
      </c>
      <c r="I2052" s="38" t="n">
        <f aca="false">Sens!$I$2030</f>
        <v>114.861392711597</v>
      </c>
      <c r="J2052" s="38" t="n">
        <f aca="false">Sens!$J$2030</f>
        <v>146.014431415905</v>
      </c>
      <c r="K2052" s="38" t="n">
        <f aca="false">Sens!$K$2030</f>
        <v>175.832917834074</v>
      </c>
      <c r="L2052" s="38" t="n">
        <f aca="false">Sens!$L$2030</f>
        <v>206.612409242285</v>
      </c>
      <c r="M2052" s="38" t="n">
        <f aca="false">Sens!$M$2030</f>
        <v>236.057092208325</v>
      </c>
    </row>
    <row r="2053" customFormat="false" ht="15" hidden="false" customHeight="false" outlineLevel="0" collapsed="false">
      <c r="A2053" s="5" t="s">
        <v>732</v>
      </c>
      <c r="B2053" s="0" t="s">
        <v>73</v>
      </c>
      <c r="C2053" s="38" t="n">
        <f aca="false">Q!$D$48</f>
        <v>22.011</v>
      </c>
      <c r="D2053" s="38" t="n">
        <f aca="false">Q!$E$48</f>
        <v>19.467</v>
      </c>
      <c r="E2053" s="38" t="n">
        <f aca="false">Q!$P$48</f>
        <v>10.07</v>
      </c>
      <c r="F2053" s="38" t="n">
        <f aca="false">sbc_r*Sens!$F$1974</f>
        <v>11.2170714500462</v>
      </c>
      <c r="G2053" s="38" t="n">
        <f aca="false">Sens!$E$2053+Sens!$F$2053</f>
        <v>21.2870714500462</v>
      </c>
      <c r="H2053" s="38" t="n">
        <f aca="false">sbc_r*Sens!$H$1974</f>
        <v>24.1772394325528</v>
      </c>
      <c r="I2053" s="38" t="n">
        <f aca="false">sbc_r*Sens!$I$1974</f>
        <v>27.6495284422397</v>
      </c>
      <c r="J2053" s="38" t="n">
        <f aca="false">sbc_r*Sens!$J$1974</f>
        <v>30.9042211184633</v>
      </c>
      <c r="K2053" s="38" t="n">
        <f aca="false">sbc_r*Sens!$K$1974</f>
        <v>33.8004145402678</v>
      </c>
      <c r="L2053" s="38" t="n">
        <f aca="false">sbc_r*Sens!$L$1974</f>
        <v>36.8322537652494</v>
      </c>
      <c r="M2053" s="38" t="n">
        <f aca="false">sbc_r*Sens!$M$1974</f>
        <v>40.0097627968013</v>
      </c>
    </row>
    <row r="2054" customFormat="false" ht="17.15" hidden="false" customHeight="false" outlineLevel="0" collapsed="false">
      <c r="A2054" s="5" t="s">
        <v>733</v>
      </c>
      <c r="B2054" s="0" t="s">
        <v>73</v>
      </c>
      <c r="C2054" s="38" t="n">
        <f aca="false">Q!$D$44-Sens!$C$2051-Sens!$C$2052-Sens!$C$2053</f>
        <v>2.551</v>
      </c>
      <c r="D2054" s="38" t="n">
        <f aca="false">Q!$E$44-Sens!$D$2051-Sens!$D$2052-Sens!$D$2053</f>
        <v>0.51700000000001</v>
      </c>
      <c r="E2054" s="38" t="n">
        <f aca="false">Q!$P$44-Sens!$E$2051-Sens!$E$2052-Sens!$E$2053</f>
        <v>-58.256</v>
      </c>
      <c r="F2054" s="38" t="n">
        <f aca="false">wc_2h26+oth_r*Sens!$F$1974</f>
        <v>7.34599241893378</v>
      </c>
      <c r="G2054" s="38" t="n">
        <f aca="false">Sens!$E$2054+Sens!$F$2054</f>
        <v>-50.9100075810662</v>
      </c>
      <c r="H2054" s="38" t="n">
        <f aca="false">oth_r*Sens!$H$1974</f>
        <v>11.6369707537667</v>
      </c>
      <c r="I2054" s="38" t="n">
        <f aca="false">oth_r*Sens!$I$1974</f>
        <v>13.3082502961262</v>
      </c>
      <c r="J2054" s="38" t="n">
        <f aca="false">oth_r*Sens!$J$1974</f>
        <v>14.8747965344332</v>
      </c>
      <c r="K2054" s="38" t="n">
        <f aca="false">oth_r*Sens!$K$1974</f>
        <v>16.2687901804328</v>
      </c>
      <c r="L2054" s="38" t="n">
        <f aca="false">oth_r*Sens!$L$1974</f>
        <v>17.7280727627002</v>
      </c>
      <c r="M2054" s="38" t="n">
        <f aca="false">oth_r*Sens!$M$1974</f>
        <v>19.2574690270319</v>
      </c>
      <c r="P2054" s="8" t="s">
        <v>734</v>
      </c>
    </row>
    <row r="2055" customFormat="false" ht="15" hidden="false" customHeight="false" outlineLevel="0" collapsed="false">
      <c r="A2055" s="3" t="s">
        <v>515</v>
      </c>
      <c r="B2055" s="8" t="s">
        <v>73</v>
      </c>
      <c r="C2055" s="38" t="n">
        <f aca="false">Q!$D$44</f>
        <v>115.877</v>
      </c>
      <c r="D2055" s="38" t="n">
        <f aca="false">Q!$E$44</f>
        <v>139.514</v>
      </c>
      <c r="E2055" s="38" t="n">
        <f aca="false">Q!$P$44</f>
        <v>71.419</v>
      </c>
      <c r="F2055" s="38" t="n">
        <f aca="false">Sens!$F$2051+Sens!$F$2052+Sens!$F$2053+Sens!$F$2054</f>
        <v>97.7053836942384</v>
      </c>
      <c r="G2055" s="38" t="n">
        <f aca="false">Sens!$E$2055+Sens!$F$2055</f>
        <v>169.124383694238</v>
      </c>
      <c r="H2055" s="38" t="n">
        <f aca="false">Sens!$H$2051+Sens!$H$2052+Sens!$H$2053+Sens!$H$2054</f>
        <v>231.367153575429</v>
      </c>
      <c r="I2055" s="38" t="n">
        <f aca="false">Sens!$I$2051+Sens!$I$2052+Sens!$I$2053+Sens!$I$2054</f>
        <v>289.363739031335</v>
      </c>
      <c r="J2055" s="38" t="n">
        <f aca="false">Sens!$J$2051+Sens!$J$2052+Sens!$J$2053+Sens!$J$2054</f>
        <v>346.378529403913</v>
      </c>
      <c r="K2055" s="38" t="n">
        <f aca="false">Sens!$K$2051+Sens!$K$2052+Sens!$K$2053+Sens!$K$2054</f>
        <v>400.371540509617</v>
      </c>
      <c r="L2055" s="38" t="n">
        <f aca="false">Sens!$L$2051+Sens!$L$2052+Sens!$L$2053+Sens!$L$2054</f>
        <v>456.26509142313</v>
      </c>
      <c r="M2055" s="38" t="n">
        <f aca="false">Sens!$M$2051+Sens!$M$2052+Sens!$M$2053+Sens!$M$2054</f>
        <v>515.134751768648</v>
      </c>
    </row>
    <row r="2056" customFormat="false" ht="17.15" hidden="false" customHeight="false" outlineLevel="0" collapsed="false">
      <c r="A2056" s="5" t="s">
        <v>735</v>
      </c>
      <c r="B2056" s="0" t="s">
        <v>73</v>
      </c>
      <c r="C2056" s="38" t="n">
        <f aca="false">Sens!$C$1943</f>
        <v>25.2781053077374</v>
      </c>
      <c r="D2056" s="38" t="n">
        <f aca="false">Sens!$D$1943</f>
        <v>69.5686316310026</v>
      </c>
      <c r="E2056" s="38" t="n">
        <f aca="false">Sens!$E$1943</f>
        <v>64.1899206485108</v>
      </c>
      <c r="F2056" s="38" t="n">
        <f aca="false">Sens!$F$1943</f>
        <v>96.2481299895</v>
      </c>
      <c r="G2056" s="38" t="n">
        <f aca="false">Sens!$G$1943</f>
        <v>160.438050638011</v>
      </c>
      <c r="H2056" s="38" t="n">
        <f aca="false">Sens!$H$1943</f>
        <v>198.57136494475</v>
      </c>
      <c r="I2056" s="38" t="n">
        <f aca="false">Sens!$I$1943</f>
        <v>204.6464699105</v>
      </c>
      <c r="J2056" s="38" t="n">
        <f aca="false">Sens!$J$1943</f>
        <v>204.6464699105</v>
      </c>
      <c r="K2056" s="38" t="n">
        <f aca="false">Sens!$K$1943</f>
        <v>209.8832381105</v>
      </c>
      <c r="L2056" s="38" t="n">
        <f aca="false">Sens!$L$1943</f>
        <v>215.1200063105</v>
      </c>
      <c r="M2056" s="38" t="n">
        <f aca="false">Sens!$M$1943</f>
        <v>251.7773837105</v>
      </c>
    </row>
    <row r="2057" customFormat="false" ht="17.15" hidden="false" customHeight="false" outlineLevel="0" collapsed="false">
      <c r="A2057" s="5" t="s">
        <v>736</v>
      </c>
      <c r="B2057" s="0" t="s">
        <v>73</v>
      </c>
      <c r="C2057" s="38" t="n">
        <f aca="false">cx_awso*Sens!$C$1972</f>
        <v>21.0469989286053</v>
      </c>
      <c r="D2057" s="38" t="n">
        <f aca="false">cx_awso*Sens!$D$1972</f>
        <v>24.0042459822698</v>
      </c>
      <c r="E2057" s="38" t="n">
        <f aca="false">cx_awso*Sens!$E$1972</f>
        <v>14.261729404886</v>
      </c>
      <c r="F2057" s="38" t="n">
        <f aca="false">cx_awso*Sens!$F$1972</f>
        <v>15.7190020837331</v>
      </c>
      <c r="G2057" s="38" t="n">
        <f aca="false">Sens!$E$2057+Sens!$F$2057</f>
        <v>29.9807314886191</v>
      </c>
      <c r="H2057" s="38" t="n">
        <f aca="false">cx_awso*Sens!$H$1972</f>
        <v>36.1787121536283</v>
      </c>
      <c r="I2057" s="38" t="n">
        <f aca="false">cx_awso*Sens!$I$1972</f>
        <v>42.1296794430021</v>
      </c>
      <c r="J2057" s="38" t="n">
        <f aca="false">cx_awso*Sens!$J$1972</f>
        <v>47.279781889299</v>
      </c>
      <c r="K2057" s="38" t="n">
        <f aca="false">cx_awso*Sens!$K$1972</f>
        <v>51.0621644404429</v>
      </c>
      <c r="L2057" s="38" t="n">
        <f aca="false">cx_awso*Sens!$L$1972</f>
        <v>55.1471375956783</v>
      </c>
      <c r="M2057" s="38" t="n">
        <f aca="false">cx_awso*Sens!$M$1972</f>
        <v>59.5589086033326</v>
      </c>
    </row>
    <row r="2058" customFormat="false" ht="17.15" hidden="false" customHeight="false" outlineLevel="0" collapsed="false">
      <c r="A2058" s="5" t="s">
        <v>737</v>
      </c>
      <c r="B2058" s="0" t="s">
        <v>73</v>
      </c>
      <c r="C2058" s="38" t="n">
        <f aca="false">Q!$D$46-Sens!$C$2056-Sens!$C$2057</f>
        <v>31.3328957636573</v>
      </c>
      <c r="D2058" s="38" t="n">
        <f aca="false">Q!$E$46-Sens!$D$2056-Sens!$D$2057</f>
        <v>34.7471223867276</v>
      </c>
      <c r="E2058" s="38" t="n">
        <f aca="false">Q!$P$46-Sens!$E$2056-Sens!$E$2057</f>
        <v>17.8583499466032</v>
      </c>
      <c r="F2058" s="38" t="n">
        <f aca="false">cx_rt*Sens!$F$1907</f>
        <v>21.0855744229195</v>
      </c>
      <c r="G2058" s="38" t="n">
        <f aca="false">Sens!$E$2058+Sens!$F$2058</f>
        <v>38.9439243695228</v>
      </c>
      <c r="H2058" s="38" t="n">
        <f aca="false">cx_rt*Sens!$H$1907</f>
        <v>43.1200434029767</v>
      </c>
      <c r="I2058" s="38" t="n">
        <f aca="false">cx_rt*Sens!$I$1907</f>
        <v>47.1583152318763</v>
      </c>
      <c r="J2058" s="38" t="n">
        <f aca="false">cx_rt*Sens!$J$1907</f>
        <v>50.9060281137911</v>
      </c>
      <c r="K2058" s="38" t="n">
        <f aca="false">cx_rt*Sens!$K$1907</f>
        <v>54.2035645673053</v>
      </c>
      <c r="L2058" s="38" t="n">
        <f aca="false">cx_rt*Sens!$L$1907</f>
        <v>57.7318979121519</v>
      </c>
      <c r="M2058" s="38" t="n">
        <f aca="false">cx_rt*Sens!$M$1907</f>
        <v>61.5084196557756</v>
      </c>
    </row>
    <row r="2059" customFormat="false" ht="15" hidden="false" customHeight="false" outlineLevel="0" collapsed="false">
      <c r="A2059" s="3" t="s">
        <v>738</v>
      </c>
      <c r="B2059" s="8" t="s">
        <v>73</v>
      </c>
      <c r="C2059" s="38" t="n">
        <f aca="false">Q!$D$46</f>
        <v>77.658</v>
      </c>
      <c r="D2059" s="38" t="n">
        <f aca="false">Q!$E$46</f>
        <v>128.32</v>
      </c>
      <c r="E2059" s="38" t="n">
        <f aca="false">Q!$P$46</f>
        <v>96.31</v>
      </c>
      <c r="F2059" s="38" t="n">
        <f aca="false">Sens!$F$2056+Sens!$F$2057+Sens!$F$2058</f>
        <v>133.052706496153</v>
      </c>
      <c r="G2059" s="38" t="n">
        <f aca="false">Sens!$E$2059+Sens!$F$2059</f>
        <v>229.362706496153</v>
      </c>
      <c r="H2059" s="38" t="n">
        <f aca="false">Sens!$H$2056+Sens!$H$2057+Sens!$H$2058</f>
        <v>277.870120501355</v>
      </c>
      <c r="I2059" s="38" t="n">
        <f aca="false">Sens!$I$2056+Sens!$I$2057+Sens!$I$2058</f>
        <v>293.934464585378</v>
      </c>
      <c r="J2059" s="38" t="n">
        <f aca="false">Sens!$J$2056+Sens!$J$2057+Sens!$J$2058</f>
        <v>302.83227991359</v>
      </c>
      <c r="K2059" s="38" t="n">
        <f aca="false">Sens!$K$2056+Sens!$K$2057+Sens!$K$2058</f>
        <v>315.148967118248</v>
      </c>
      <c r="L2059" s="38" t="n">
        <f aca="false">Sens!$L$2056+Sens!$L$2057+Sens!$L$2058</f>
        <v>327.99904181833</v>
      </c>
      <c r="M2059" s="38" t="n">
        <f aca="false">Sens!$M$2056+Sens!$M$2057+Sens!$M$2058</f>
        <v>372.844711969608</v>
      </c>
    </row>
    <row r="2060" customFormat="false" ht="17.15" hidden="false" customHeight="false" outlineLevel="0" collapsed="false">
      <c r="A2060" s="5" t="s">
        <v>523</v>
      </c>
      <c r="B2060" s="0" t="s">
        <v>73</v>
      </c>
      <c r="C2060" s="38" t="n">
        <f aca="false">Q!$D$50</f>
        <v>2.043</v>
      </c>
      <c r="D2060" s="38" t="n">
        <f aca="false">Q!$E$50</f>
        <v>1.557</v>
      </c>
      <c r="E2060" s="38" t="n">
        <f aca="false">lease_pr/2</f>
        <v>0.8</v>
      </c>
      <c r="F2060" s="38" t="n">
        <f aca="false">lease_pr/2</f>
        <v>0.8</v>
      </c>
      <c r="G2060" s="38" t="n">
        <f aca="false">Sens!$E$2060+Sens!$F$2060</f>
        <v>1.6</v>
      </c>
      <c r="H2060" s="38" t="n">
        <f aca="false">lease_pr</f>
        <v>1.6</v>
      </c>
      <c r="I2060" s="38" t="n">
        <f aca="false">lease_pr</f>
        <v>1.6</v>
      </c>
      <c r="J2060" s="38" t="n">
        <f aca="false">lease_pr</f>
        <v>1.6</v>
      </c>
      <c r="K2060" s="38" t="n">
        <f aca="false">lease_pr</f>
        <v>1.6</v>
      </c>
      <c r="L2060" s="38" t="n">
        <f aca="false">lease_pr</f>
        <v>1.6</v>
      </c>
      <c r="M2060" s="38" t="n">
        <f aca="false">lease_pr</f>
        <v>1.6</v>
      </c>
      <c r="P2060" s="8" t="s">
        <v>739</v>
      </c>
    </row>
    <row r="2061" customFormat="false" ht="15" hidden="false" customHeight="false" outlineLevel="0" collapsed="false">
      <c r="A2061" s="46" t="s">
        <v>740</v>
      </c>
      <c r="B2061" s="13" t="s">
        <v>73</v>
      </c>
      <c r="C2061" s="47" t="n">
        <f aca="false">Sens!$C$2055-Sens!$C$2059-Sens!$C$2060</f>
        <v>36.176</v>
      </c>
      <c r="D2061" s="47" t="n">
        <f aca="false">Sens!$D$2055-Sens!$D$2059-Sens!$D$2060</f>
        <v>9.63700000000002</v>
      </c>
      <c r="E2061" s="47" t="n">
        <f aca="false">Sens!$E$2055-Sens!$E$2059-Sens!$E$2060</f>
        <v>-25.691</v>
      </c>
      <c r="F2061" s="47" t="n">
        <f aca="false">Sens!$F$2055-Sens!$F$2059-Sens!$F$2060</f>
        <v>-36.1473228019142</v>
      </c>
      <c r="G2061" s="47" t="n">
        <f aca="false">Sens!$G$2055-Sens!$G$2059-Sens!$G$2060</f>
        <v>-61.8383228019142</v>
      </c>
      <c r="H2061" s="47" t="n">
        <f aca="false">Sens!$H$2055-Sens!$H$2059-Sens!$H$2060</f>
        <v>-48.102966925926</v>
      </c>
      <c r="I2061" s="47" t="n">
        <f aca="false">Sens!$I$2055-Sens!$I$2059-Sens!$I$2060</f>
        <v>-6.17072555404289</v>
      </c>
      <c r="J2061" s="47" t="n">
        <f aca="false">Sens!$J$2055-Sens!$J$2059-Sens!$J$2060</f>
        <v>41.9462494903229</v>
      </c>
      <c r="K2061" s="47" t="n">
        <f aca="false">Sens!$K$2055-Sens!$K$2059-Sens!$K$2060</f>
        <v>83.6225733913689</v>
      </c>
      <c r="L2061" s="47" t="n">
        <f aca="false">Sens!$L$2055-Sens!$L$2059-Sens!$L$2060</f>
        <v>126.666049604799</v>
      </c>
      <c r="M2061" s="47" t="n">
        <f aca="false">Sens!$M$2055-Sens!$M$2059-Sens!$M$2060</f>
        <v>140.69003979904</v>
      </c>
      <c r="N2061" s="13"/>
      <c r="O2061" s="13"/>
    </row>
    <row r="2062" customFormat="false" ht="17.15" hidden="false" customHeight="false" outlineLevel="0" collapsed="false">
      <c r="A2062" s="5" t="s">
        <v>741</v>
      </c>
      <c r="B2062" s="0" t="s">
        <v>73</v>
      </c>
      <c r="C2062" s="38" t="n">
        <f aca="false">dps*Sens!$C$2043</f>
        <v>0</v>
      </c>
      <c r="D2062" s="38" t="n">
        <f aca="false">dps*Sens!$D$2043</f>
        <v>0</v>
      </c>
      <c r="E2062" s="38" t="n">
        <f aca="false">dps*Sens!$E$2043</f>
        <v>0</v>
      </c>
      <c r="F2062" s="38" t="n">
        <f aca="false">0</f>
        <v>0</v>
      </c>
      <c r="G2062" s="38" t="n">
        <f aca="false">dps*Sens!$G$2043</f>
        <v>0</v>
      </c>
      <c r="H2062" s="38" t="n">
        <f aca="false">dps*Sens!$H$2043</f>
        <v>0</v>
      </c>
      <c r="I2062" s="38" t="n">
        <f aca="false">dps*Sens!$I$2043</f>
        <v>0</v>
      </c>
      <c r="J2062" s="38" t="n">
        <f aca="false">dps*Sens!$J$2043</f>
        <v>0</v>
      </c>
      <c r="K2062" s="38" t="n">
        <f aca="false">dps*Sens!$K$2043</f>
        <v>0</v>
      </c>
      <c r="L2062" s="38" t="n">
        <f aca="false">dps*Sens!$L$2043</f>
        <v>0</v>
      </c>
      <c r="M2062" s="38" t="n">
        <f aca="false">dps*Sens!$M$2043</f>
        <v>0</v>
      </c>
      <c r="P2062" s="8" t="s">
        <v>742</v>
      </c>
    </row>
    <row r="2063" customFormat="false" ht="17.15" hidden="false" customHeight="false" outlineLevel="0" collapsed="false">
      <c r="A2063" s="5" t="s">
        <v>743</v>
      </c>
      <c r="B2063" s="0" t="s">
        <v>73</v>
      </c>
      <c r="C2063" s="38" t="n">
        <f aca="false">0</f>
        <v>0</v>
      </c>
      <c r="D2063" s="38" t="n">
        <f aca="false">0</f>
        <v>0</v>
      </c>
      <c r="E2063" s="38" t="n">
        <f aca="false">0</f>
        <v>0</v>
      </c>
      <c r="F2063" s="38" t="n">
        <f aca="false">0</f>
        <v>0</v>
      </c>
      <c r="G2063" s="38" t="n">
        <f aca="false">0</f>
        <v>0</v>
      </c>
      <c r="H2063" s="38" t="n">
        <f aca="false">0</f>
        <v>0</v>
      </c>
      <c r="I2063" s="38" t="n">
        <f aca="false">0</f>
        <v>0</v>
      </c>
      <c r="J2063" s="38" t="n">
        <f aca="false">0</f>
        <v>0</v>
      </c>
      <c r="K2063" s="38" t="n">
        <f aca="false">0</f>
        <v>0</v>
      </c>
      <c r="L2063" s="38" t="n">
        <f aca="false">0</f>
        <v>0</v>
      </c>
      <c r="M2063" s="38" t="n">
        <f aca="false">0</f>
        <v>0</v>
      </c>
      <c r="P2063" s="8" t="s">
        <v>744</v>
      </c>
    </row>
    <row r="2064" customFormat="false" ht="15" hidden="false" customHeight="false" outlineLevel="0" collapsed="false">
      <c r="A2064" s="3" t="s">
        <v>745</v>
      </c>
      <c r="B2064" s="8" t="s">
        <v>73</v>
      </c>
      <c r="C2064" s="38" t="n">
        <f aca="false">Sens!$C$2061-Sens!$C$2062</f>
        <v>36.176</v>
      </c>
      <c r="D2064" s="38" t="n">
        <f aca="false">Sens!$D$2061-Sens!$D$2062</f>
        <v>9.63700000000002</v>
      </c>
      <c r="E2064" s="38" t="n">
        <f aca="false">Sens!$E$2061-Sens!$E$2062</f>
        <v>-25.691</v>
      </c>
      <c r="F2064" s="38" t="n">
        <f aca="false">Sens!$F$2061-Sens!$F$2062</f>
        <v>-36.1473228019142</v>
      </c>
      <c r="G2064" s="38" t="n">
        <f aca="false">Sens!$G$2061-Sens!$G$2062</f>
        <v>-61.8383228019142</v>
      </c>
      <c r="H2064" s="38" t="n">
        <f aca="false">Sens!$H$2061-Sens!$H$2062</f>
        <v>-48.102966925926</v>
      </c>
      <c r="I2064" s="38" t="n">
        <f aca="false">Sens!$I$2061-Sens!$I$2062</f>
        <v>-6.17072555404289</v>
      </c>
      <c r="J2064" s="38" t="n">
        <f aca="false">Sens!$J$2061-Sens!$J$2062</f>
        <v>41.9462494903229</v>
      </c>
      <c r="K2064" s="38" t="n">
        <f aca="false">Sens!$K$2061-Sens!$K$2062</f>
        <v>83.6225733913689</v>
      </c>
      <c r="L2064" s="38" t="n">
        <f aca="false">Sens!$L$2061-Sens!$L$2062</f>
        <v>126.666049604799</v>
      </c>
      <c r="M2064" s="38" t="n">
        <f aca="false">Sens!$M$2061-Sens!$M$2062</f>
        <v>140.69003979904</v>
      </c>
    </row>
    <row r="2065" customFormat="false" ht="17.15" hidden="false" customHeight="false" outlineLevel="0" collapsed="false">
      <c r="A2065" s="5" t="s">
        <v>746</v>
      </c>
      <c r="B2065" s="0" t="s">
        <v>73</v>
      </c>
      <c r="E2065" s="38" t="n">
        <f aca="false">Q!$P$53</f>
        <v>39.767</v>
      </c>
      <c r="F2065" s="38" t="n">
        <f aca="false">inv_2h26</f>
        <v>21.3</v>
      </c>
      <c r="G2065" s="38" t="n">
        <f aca="false">Sens!$E$2065+Sens!$F$2065</f>
        <v>61.067</v>
      </c>
      <c r="H2065" s="41" t="n">
        <v>0</v>
      </c>
      <c r="I2065" s="41" t="n">
        <v>0</v>
      </c>
      <c r="J2065" s="41" t="n">
        <v>0</v>
      </c>
      <c r="K2065" s="41" t="n">
        <v>0</v>
      </c>
      <c r="L2065" s="41" t="n">
        <v>0</v>
      </c>
      <c r="M2065" s="41" t="n">
        <v>0</v>
      </c>
    </row>
    <row r="2066" customFormat="false" ht="17.15" hidden="false" customHeight="false" outlineLevel="0" collapsed="false">
      <c r="A2066" s="5" t="s">
        <v>747</v>
      </c>
      <c r="B2066" s="0" t="s">
        <v>73</v>
      </c>
      <c r="F2066" s="38" t="n">
        <f aca="false">iss_2h26</f>
        <v>29.25</v>
      </c>
      <c r="G2066" s="38" t="n">
        <f aca="false">Sens!$F$2066</f>
        <v>29.25</v>
      </c>
      <c r="H2066" s="41" t="n">
        <v>0</v>
      </c>
      <c r="I2066" s="41" t="n">
        <v>0</v>
      </c>
      <c r="J2066" s="41" t="n">
        <v>0</v>
      </c>
      <c r="K2066" s="41" t="n">
        <v>0</v>
      </c>
      <c r="L2066" s="41" t="n">
        <v>0</v>
      </c>
      <c r="M2066" s="41" t="n">
        <v>0</v>
      </c>
    </row>
    <row r="2067" customFormat="false" ht="17.15" hidden="false" customHeight="false" outlineLevel="0" collapsed="false">
      <c r="A2067" s="5" t="s">
        <v>748</v>
      </c>
      <c r="B2067" s="0" t="s">
        <v>73</v>
      </c>
      <c r="F2067" s="38" t="n">
        <f aca="false">cash_q2</f>
        <v>122.988</v>
      </c>
      <c r="G2067" s="38" t="n">
        <f aca="false">cash_q2</f>
        <v>122.988</v>
      </c>
      <c r="H2067" s="38" t="n">
        <f aca="false">Sens!$G$2070</f>
        <v>94.7906771980858</v>
      </c>
      <c r="I2067" s="38" t="n">
        <f aca="false">Sens!$H$2070</f>
        <v>50</v>
      </c>
      <c r="J2067" s="38" t="n">
        <f aca="false">Sens!$I$2070</f>
        <v>50</v>
      </c>
      <c r="K2067" s="38" t="n">
        <f aca="false">Sens!$J$2070</f>
        <v>91.9462494903229</v>
      </c>
      <c r="L2067" s="38" t="n">
        <f aca="false">Sens!$K$2070</f>
        <v>175.568822881692</v>
      </c>
      <c r="M2067" s="38" t="n">
        <f aca="false">Sens!$L$2070</f>
        <v>302.234872486491</v>
      </c>
    </row>
    <row r="2068" customFormat="false" ht="15" hidden="false" customHeight="false" outlineLevel="0" collapsed="false">
      <c r="A2068" s="5" t="s">
        <v>749</v>
      </c>
      <c r="B2068" s="0" t="s">
        <v>73</v>
      </c>
      <c r="F2068" s="38" t="n">
        <f aca="false">Sens!$F$2067+Sens!$F$2064-Sens!$F$2063-Sens!$F$2065+Sens!$F$2066</f>
        <v>94.7906771980858</v>
      </c>
      <c r="H2068" s="38" t="n">
        <f aca="false">Sens!$H$2067+Sens!$H$2064-Sens!$H$2063-Sens!$H$2065+Sens!$H$2066</f>
        <v>46.6877102721598</v>
      </c>
      <c r="I2068" s="38" t="n">
        <f aca="false">Sens!$I$2067+Sens!$I$2064-Sens!$I$2063-Sens!$I$2065+Sens!$I$2066</f>
        <v>43.8292744459571</v>
      </c>
      <c r="J2068" s="38" t="n">
        <f aca="false">Sens!$J$2067+Sens!$J$2064-Sens!$J$2063-Sens!$J$2065+Sens!$J$2066</f>
        <v>91.9462494903229</v>
      </c>
      <c r="K2068" s="38" t="n">
        <f aca="false">Sens!$K$2067+Sens!$K$2064-Sens!$K$2063-Sens!$K$2065+Sens!$K$2066</f>
        <v>175.568822881692</v>
      </c>
      <c r="L2068" s="38" t="n">
        <f aca="false">Sens!$L$2067+Sens!$L$2064-Sens!$L$2063-Sens!$L$2065+Sens!$L$2066</f>
        <v>302.234872486491</v>
      </c>
      <c r="M2068" s="38" t="n">
        <f aca="false">Sens!$M$2067+Sens!$M$2064-Sens!$M$2063-Sens!$M$2065+Sens!$M$2066</f>
        <v>442.924912285531</v>
      </c>
    </row>
    <row r="2069" customFormat="false" ht="17.15" hidden="false" customHeight="false" outlineLevel="0" collapsed="false">
      <c r="A2069" s="5" t="s">
        <v>750</v>
      </c>
      <c r="B2069" s="0" t="s">
        <v>73</v>
      </c>
      <c r="F2069" s="38" t="n">
        <f aca="false">MAX(0,min_cash-Sens!$F$2068)</f>
        <v>0</v>
      </c>
      <c r="G2069" s="38" t="n">
        <f aca="false">Sens!$F$2069</f>
        <v>0</v>
      </c>
      <c r="H2069" s="38" t="n">
        <f aca="false">MAX(0,min_cash-Sens!$H$2068)</f>
        <v>3.31228972784019</v>
      </c>
      <c r="I2069" s="38" t="n">
        <f aca="false">MAX(0,min_cash-Sens!$I$2068)</f>
        <v>6.1707255540429</v>
      </c>
      <c r="J2069" s="38" t="n">
        <f aca="false">MAX(0,min_cash-Sens!$J$2068)</f>
        <v>0</v>
      </c>
      <c r="K2069" s="38" t="n">
        <f aca="false">MAX(0,min_cash-Sens!$K$2068)</f>
        <v>0</v>
      </c>
      <c r="L2069" s="38" t="n">
        <f aca="false">MAX(0,min_cash-Sens!$L$2068)</f>
        <v>0</v>
      </c>
      <c r="M2069" s="38" t="n">
        <f aca="false">MAX(0,min_cash-Sens!$M$2068)</f>
        <v>0</v>
      </c>
      <c r="P2069" s="5" t="s">
        <v>751</v>
      </c>
    </row>
    <row r="2070" customFormat="false" ht="15" hidden="false" customHeight="false" outlineLevel="0" collapsed="false">
      <c r="A2070" s="5" t="s">
        <v>752</v>
      </c>
      <c r="B2070" s="0" t="s">
        <v>73</v>
      </c>
      <c r="D2070" s="38" t="n">
        <f aca="false">Q!$E$61</f>
        <v>123.029</v>
      </c>
      <c r="E2070" s="38" t="n">
        <f aca="false">Q!$M$61</f>
        <v>122.988</v>
      </c>
      <c r="F2070" s="38" t="n">
        <f aca="false">Sens!$F$2068+Sens!$F$2069</f>
        <v>94.7906771980858</v>
      </c>
      <c r="G2070" s="38" t="n">
        <f aca="false">Sens!$F$2070</f>
        <v>94.7906771980858</v>
      </c>
      <c r="H2070" s="38" t="n">
        <f aca="false">Sens!$H$2068+Sens!$H$2069</f>
        <v>50</v>
      </c>
      <c r="I2070" s="38" t="n">
        <f aca="false">Sens!$I$2068+Sens!$I$2069</f>
        <v>50</v>
      </c>
      <c r="J2070" s="38" t="n">
        <f aca="false">Sens!$J$2068+Sens!$J$2069</f>
        <v>91.9462494903229</v>
      </c>
      <c r="K2070" s="38" t="n">
        <f aca="false">Sens!$K$2068+Sens!$K$2069</f>
        <v>175.568822881692</v>
      </c>
      <c r="L2070" s="38" t="n">
        <f aca="false">Sens!$L$2068+Sens!$L$2069</f>
        <v>302.234872486491</v>
      </c>
      <c r="M2070" s="38" t="n">
        <f aca="false">Sens!$M$2068+Sens!$M$2069</f>
        <v>442.924912285531</v>
      </c>
    </row>
    <row r="2071" customFormat="false" ht="15" hidden="false" customHeight="false" outlineLevel="0" collapsed="false">
      <c r="A2071" s="5" t="s">
        <v>753</v>
      </c>
      <c r="B2071" s="0" t="s">
        <v>73</v>
      </c>
      <c r="D2071" s="38" t="n">
        <f aca="false">Q!$E$62</f>
        <v>68.836</v>
      </c>
      <c r="E2071" s="38" t="n">
        <f aca="false">Q!$M$62</f>
        <v>132.995</v>
      </c>
      <c r="F2071" s="38" t="n">
        <f aca="false">debt_q2+Sens!$F$2066+Sens!$F$2069</f>
        <v>162.245</v>
      </c>
      <c r="G2071" s="38" t="n">
        <f aca="false">Sens!$F$2071</f>
        <v>162.245</v>
      </c>
      <c r="H2071" s="38" t="n">
        <f aca="false">Sens!$G$2071+Sens!$H$2069</f>
        <v>165.55728972784</v>
      </c>
      <c r="I2071" s="38" t="n">
        <f aca="false">Sens!$H$2071+Sens!$I$2069</f>
        <v>171.728015281883</v>
      </c>
      <c r="J2071" s="38" t="n">
        <f aca="false">Sens!$I$2071+Sens!$J$2069</f>
        <v>171.728015281883</v>
      </c>
      <c r="K2071" s="38" t="n">
        <f aca="false">Sens!$J$2071+Sens!$K$2069</f>
        <v>171.728015281883</v>
      </c>
      <c r="L2071" s="38" t="n">
        <f aca="false">Sens!$K$2071+Sens!$L$2069</f>
        <v>171.728015281883</v>
      </c>
      <c r="M2071" s="38" t="n">
        <f aca="false">Sens!$L$2071+Sens!$M$2069</f>
        <v>171.728015281883</v>
      </c>
    </row>
    <row r="2072" customFormat="false" ht="15" hidden="false" customHeight="false" outlineLevel="0" collapsed="false">
      <c r="A2072" s="5" t="s">
        <v>754</v>
      </c>
      <c r="B2072" s="0" t="s">
        <v>73</v>
      </c>
      <c r="D2072" s="38" t="n">
        <f aca="false">Sens!$D$2071-Sens!$D$2070</f>
        <v>-54.193</v>
      </c>
      <c r="E2072" s="38" t="n">
        <f aca="false">Sens!$E$2071-Sens!$E$2070</f>
        <v>10.007</v>
      </c>
      <c r="F2072" s="38" t="n">
        <f aca="false">Sens!$F$2071-Sens!$F$2070</f>
        <v>67.4543228019142</v>
      </c>
      <c r="G2072" s="38" t="n">
        <f aca="false">Sens!$G$2071-Sens!$G$2070</f>
        <v>67.4543228019142</v>
      </c>
      <c r="H2072" s="38" t="n">
        <f aca="false">Sens!$H$2071-Sens!$H$2070</f>
        <v>115.55728972784</v>
      </c>
      <c r="I2072" s="38" t="n">
        <f aca="false">Sens!$I$2071-Sens!$I$2070</f>
        <v>121.728015281883</v>
      </c>
      <c r="J2072" s="38" t="n">
        <f aca="false">Sens!$J$2071-Sens!$J$2070</f>
        <v>79.7817657915602</v>
      </c>
      <c r="K2072" s="38" t="n">
        <f aca="false">Sens!$K$2071-Sens!$K$2070</f>
        <v>-3.84080759980867</v>
      </c>
      <c r="L2072" s="38" t="n">
        <f aca="false">Sens!$L$2071-Sens!$L$2070</f>
        <v>-130.506857204608</v>
      </c>
      <c r="M2072" s="38" t="n">
        <f aca="false">Sens!$M$2071-Sens!$M$2070</f>
        <v>-271.196897003648</v>
      </c>
    </row>
    <row r="2073" customFormat="false" ht="17.15" hidden="false" customHeight="false" outlineLevel="0" collapsed="false">
      <c r="A2073" s="5" t="s">
        <v>755</v>
      </c>
      <c r="B2073" s="0" t="s">
        <v>73</v>
      </c>
      <c r="F2073" s="38" t="n">
        <f aca="false">debt_q2*kd_book*0.5+iss_2h26*kd_new*0.25</f>
        <v>3.24888964316061</v>
      </c>
      <c r="H2073" s="38" t="n">
        <f aca="false">debt_q2*kd_book+(Sens!$G$2071-debt_q2)*kd_new</f>
        <v>7.42354178632123</v>
      </c>
      <c r="I2073" s="38" t="n">
        <f aca="false">debt_q2*kd_book+(Sens!$H$2071-debt_q2)*kd_new</f>
        <v>7.63320972609351</v>
      </c>
      <c r="J2073" s="38" t="n">
        <f aca="false">debt_q2*kd_book+(Sens!$I$2071-debt_q2)*kd_new</f>
        <v>8.02381665366443</v>
      </c>
      <c r="K2073" s="38" t="n">
        <f aca="false">debt_q2*kd_book+(Sens!$J$2071-debt_q2)*kd_new</f>
        <v>8.02381665366443</v>
      </c>
      <c r="L2073" s="38" t="n">
        <f aca="false">debt_q2*kd_book+(Sens!$K$2071-debt_q2)*kd_new</f>
        <v>8.02381665366443</v>
      </c>
      <c r="M2073" s="38" t="n">
        <f aca="false">debt_q2*kd_book+(Sens!$L$2071-debt_q2)*kd_new</f>
        <v>8.02381665366443</v>
      </c>
    </row>
    <row r="2074" customFormat="false" ht="17.15" hidden="false" customHeight="false" outlineLevel="0" collapsed="false">
      <c r="A2074" s="5" t="s">
        <v>756</v>
      </c>
      <c r="B2074" s="0" t="s">
        <v>73</v>
      </c>
      <c r="F2074" s="38" t="n">
        <f aca="false">cash_q2*y_cash*0.5</f>
        <v>2.59</v>
      </c>
      <c r="H2074" s="38" t="n">
        <f aca="false">Sens!$G$2070*y_cash</f>
        <v>3.99238712627317</v>
      </c>
      <c r="I2074" s="38" t="n">
        <f aca="false">Sens!$H$2070*y_cash</f>
        <v>2.10589651022864</v>
      </c>
      <c r="J2074" s="38" t="n">
        <f aca="false">Sens!$I$2070*y_cash</f>
        <v>2.10589651022864</v>
      </c>
      <c r="K2074" s="38" t="n">
        <f aca="false">Sens!$J$2070*y_cash</f>
        <v>3.87258571860566</v>
      </c>
      <c r="L2074" s="38" t="n">
        <f aca="false">Sens!$K$2070*y_cash</f>
        <v>7.3945954282301</v>
      </c>
      <c r="M2074" s="38" t="n">
        <f aca="false">Sens!$L$2070*y_cash</f>
        <v>12.729507264774</v>
      </c>
    </row>
    <row r="2075" customFormat="false" ht="17.15" hidden="false" customHeight="false" outlineLevel="0" collapsed="false">
      <c r="A2075" s="46" t="s">
        <v>757</v>
      </c>
      <c r="B2075" s="13" t="s">
        <v>73</v>
      </c>
      <c r="C2075" s="13"/>
      <c r="D2075" s="13"/>
      <c r="E2075" s="13"/>
      <c r="F2075" s="13"/>
      <c r="G2075" s="47" t="n">
        <f aca="false">SUM(Sens!$G$2064:$K$2064)</f>
        <v>9.45680759980866</v>
      </c>
      <c r="H2075" s="13"/>
      <c r="I2075" s="13"/>
      <c r="J2075" s="13"/>
      <c r="K2075" s="13"/>
      <c r="L2075" s="13"/>
      <c r="M2075" s="13"/>
      <c r="N2075" s="13"/>
      <c r="O2075" s="13"/>
    </row>
    <row r="2076" customFormat="false" ht="17.15" hidden="false" customHeight="false" outlineLevel="0" collapsed="false">
      <c r="A2076" s="0" t="s">
        <v>724</v>
      </c>
      <c r="B2076" s="0" t="s">
        <v>73</v>
      </c>
      <c r="G2076" s="38" t="n">
        <f aca="false">SUM(Sens!$G$2069:$K$2069)</f>
        <v>9.48301528188308</v>
      </c>
    </row>
    <row r="2079" customFormat="false" ht="19.4" hidden="false" customHeight="false" outlineLevel="0" collapsed="false">
      <c r="A2079" s="31" t="s">
        <v>1089</v>
      </c>
    </row>
    <row r="2080" customFormat="false" ht="17.15" hidden="false" customHeight="false" outlineLevel="0" collapsed="false">
      <c r="A2080" s="6" t="s">
        <v>16</v>
      </c>
      <c r="B2080" s="6" t="s">
        <v>17</v>
      </c>
      <c r="C2080" s="20" t="s">
        <v>457</v>
      </c>
      <c r="D2080" s="20" t="s">
        <v>458</v>
      </c>
      <c r="E2080" s="20" t="s">
        <v>540</v>
      </c>
      <c r="F2080" s="20" t="s">
        <v>541</v>
      </c>
      <c r="G2080" s="20" t="s">
        <v>542</v>
      </c>
      <c r="H2080" s="20" t="s">
        <v>543</v>
      </c>
      <c r="I2080" s="20" t="s">
        <v>544</v>
      </c>
      <c r="J2080" s="20" t="s">
        <v>545</v>
      </c>
      <c r="K2080" s="20" t="s">
        <v>546</v>
      </c>
      <c r="L2080" s="20" t="s">
        <v>547</v>
      </c>
      <c r="M2080" s="20" t="s">
        <v>548</v>
      </c>
      <c r="N2080" s="20" t="s">
        <v>549</v>
      </c>
      <c r="O2080" s="20" t="s">
        <v>550</v>
      </c>
      <c r="P2080" s="6" t="s">
        <v>23</v>
      </c>
      <c r="R2080" s="20" t="n">
        <v>2023</v>
      </c>
      <c r="S2080" s="20" t="n">
        <v>2024</v>
      </c>
      <c r="T2080" s="20" t="n">
        <v>2025</v>
      </c>
      <c r="U2080" s="20" t="n">
        <v>2026</v>
      </c>
      <c r="V2080" s="20" t="n">
        <v>2027</v>
      </c>
      <c r="W2080" s="20" t="n">
        <v>2028</v>
      </c>
      <c r="X2080" s="20" t="n">
        <v>2029</v>
      </c>
      <c r="Y2080" s="20" t="n">
        <v>2030</v>
      </c>
      <c r="Z2080" s="20" t="n">
        <v>2031</v>
      </c>
      <c r="AA2080" s="20" t="n">
        <v>2032</v>
      </c>
    </row>
    <row r="2081" customFormat="false" ht="17.15" hidden="false" customHeight="false" outlineLevel="0" collapsed="false">
      <c r="A2081" s="1" t="s">
        <v>852</v>
      </c>
    </row>
    <row r="2082" customFormat="false" ht="17.15" hidden="false" customHeight="false" outlineLevel="0" collapsed="false">
      <c r="A2082" s="0" t="s">
        <v>853</v>
      </c>
      <c r="B2082" s="0" t="s">
        <v>73</v>
      </c>
      <c r="H2082" s="38" t="n">
        <f aca="false">Sens!$H$2018*(1-tax)</f>
        <v>114.609065918624</v>
      </c>
      <c r="I2082" s="38" t="n">
        <f aca="false">Sens!$I$2018*(1-tax)</f>
        <v>138.112424749175</v>
      </c>
      <c r="J2082" s="38" t="n">
        <f aca="false">Sens!$J$2018*(1-tax)</f>
        <v>159.475741111868</v>
      </c>
      <c r="K2082" s="38" t="n">
        <f aca="false">Sens!$K$2018*(1-tax)</f>
        <v>177.900059433144</v>
      </c>
      <c r="L2082" s="38" t="n">
        <f aca="false">Sens!$L$2018*(1-tax)</f>
        <v>195.612353809772</v>
      </c>
      <c r="M2082" s="38" t="n">
        <f aca="false">Sens!$M$2018*(1-tax)</f>
        <v>215.921572202535</v>
      </c>
    </row>
    <row r="2083" customFormat="false" ht="15" hidden="false" customHeight="false" outlineLevel="0" collapsed="false">
      <c r="A2083" s="5" t="s">
        <v>854</v>
      </c>
      <c r="B2083" s="0" t="s">
        <v>73</v>
      </c>
      <c r="H2083" s="38" t="n">
        <f aca="false">Sens!$H$2030</f>
        <v>83.779436773106</v>
      </c>
      <c r="I2083" s="38" t="n">
        <f aca="false">Sens!$I$2030</f>
        <v>114.861392711597</v>
      </c>
      <c r="J2083" s="38" t="n">
        <f aca="false">Sens!$J$2030</f>
        <v>146.014431415905</v>
      </c>
      <c r="K2083" s="38" t="n">
        <f aca="false">Sens!$K$2030</f>
        <v>175.832917834074</v>
      </c>
      <c r="L2083" s="38" t="n">
        <f aca="false">Sens!$L$2030</f>
        <v>206.612409242285</v>
      </c>
      <c r="M2083" s="38" t="n">
        <f aca="false">Sens!$M$2030</f>
        <v>236.057092208325</v>
      </c>
    </row>
    <row r="2084" customFormat="false" ht="15" hidden="false" customHeight="false" outlineLevel="0" collapsed="false">
      <c r="A2084" s="5" t="s">
        <v>855</v>
      </c>
      <c r="B2084" s="0" t="s">
        <v>73</v>
      </c>
      <c r="H2084" s="38" t="n">
        <f aca="false">Sens!$H$2059</f>
        <v>277.870120501355</v>
      </c>
      <c r="I2084" s="38" t="n">
        <f aca="false">Sens!$I$2059</f>
        <v>293.934464585378</v>
      </c>
      <c r="J2084" s="38" t="n">
        <f aca="false">Sens!$J$2059</f>
        <v>302.83227991359</v>
      </c>
      <c r="K2084" s="38" t="n">
        <f aca="false">Sens!$K$2059</f>
        <v>315.148967118248</v>
      </c>
      <c r="L2084" s="38" t="n">
        <f aca="false">Sens!$L$2059</f>
        <v>327.99904181833</v>
      </c>
      <c r="M2084" s="38" t="n">
        <f aca="false">Sens!$M$2059</f>
        <v>372.844711969608</v>
      </c>
    </row>
    <row r="2085" customFormat="false" ht="15" hidden="false" customHeight="false" outlineLevel="0" collapsed="false">
      <c r="A2085" s="5" t="s">
        <v>856</v>
      </c>
      <c r="B2085" s="0" t="s">
        <v>73</v>
      </c>
      <c r="H2085" s="38" t="n">
        <f aca="false">Sens!$H$2060</f>
        <v>1.6</v>
      </c>
      <c r="I2085" s="38" t="n">
        <f aca="false">Sens!$I$2060</f>
        <v>1.6</v>
      </c>
      <c r="J2085" s="38" t="n">
        <f aca="false">Sens!$J$2060</f>
        <v>1.6</v>
      </c>
      <c r="K2085" s="38" t="n">
        <f aca="false">Sens!$K$2060</f>
        <v>1.6</v>
      </c>
      <c r="L2085" s="38" t="n">
        <f aca="false">Sens!$L$2060</f>
        <v>1.6</v>
      </c>
      <c r="M2085" s="38" t="n">
        <f aca="false">Sens!$M$2060</f>
        <v>1.6</v>
      </c>
    </row>
    <row r="2086" customFormat="false" ht="15" hidden="false" customHeight="false" outlineLevel="0" collapsed="false">
      <c r="A2086" s="5" t="s">
        <v>857</v>
      </c>
      <c r="B2086" s="0" t="s">
        <v>73</v>
      </c>
      <c r="H2086" s="38" t="n">
        <f aca="false">Sens!$H$2054</f>
        <v>11.6369707537667</v>
      </c>
      <c r="I2086" s="38" t="n">
        <f aca="false">Sens!$I$2054</f>
        <v>13.3082502961262</v>
      </c>
      <c r="J2086" s="38" t="n">
        <f aca="false">Sens!$J$2054</f>
        <v>14.8747965344332</v>
      </c>
      <c r="K2086" s="38" t="n">
        <f aca="false">Sens!$K$2054</f>
        <v>16.2687901804328</v>
      </c>
      <c r="L2086" s="38" t="n">
        <f aca="false">Sens!$L$2054</f>
        <v>17.7280727627002</v>
      </c>
      <c r="M2086" s="38" t="n">
        <f aca="false">Sens!$M$2054</f>
        <v>19.2574690270319</v>
      </c>
    </row>
    <row r="2087" customFormat="false" ht="17.15" hidden="false" customHeight="false" outlineLevel="0" collapsed="false">
      <c r="A2087" s="1" t="s">
        <v>858</v>
      </c>
      <c r="B2087" s="8" t="s">
        <v>73</v>
      </c>
      <c r="H2087" s="38" t="n">
        <f aca="false">Sens!$H$2082+Sens!$H$2083-Sens!$H$2084-Sens!$H$2085+Sens!$H$2086</f>
        <v>-69.4446470558587</v>
      </c>
      <c r="I2087" s="38" t="n">
        <f aca="false">Sens!$I$2082+Sens!$I$2083-Sens!$I$2084-Sens!$I$2085+Sens!$I$2086</f>
        <v>-29.2523968284798</v>
      </c>
      <c r="J2087" s="38" t="n">
        <f aca="false">Sens!$J$2082+Sens!$J$2083-Sens!$J$2084-Sens!$J$2085+Sens!$J$2086</f>
        <v>15.932689148616</v>
      </c>
      <c r="K2087" s="38" t="n">
        <f aca="false">Sens!$K$2082+Sens!$K$2083-Sens!$K$2084-Sens!$K$2085+Sens!$K$2086</f>
        <v>53.252800329403</v>
      </c>
      <c r="L2087" s="38" t="n">
        <f aca="false">Sens!$L$2082+Sens!$L$2083-Sens!$L$2084-Sens!$L$2085+Sens!$L$2086</f>
        <v>90.3537939964274</v>
      </c>
      <c r="M2087" s="38" t="n">
        <f aca="false">Sens!$M$2082+Sens!$M$2083-Sens!$M$2084-Sens!$M$2085+Sens!$M$2086</f>
        <v>96.7914214682832</v>
      </c>
    </row>
    <row r="2088" customFormat="false" ht="15" hidden="false" customHeight="false" outlineLevel="0" collapsed="false">
      <c r="A2088" s="5" t="s">
        <v>859</v>
      </c>
      <c r="B2088" s="0" t="s">
        <v>57</v>
      </c>
      <c r="H2088" s="51" t="n">
        <f aca="false">1/(1+wacc)^(2027-2026-0.5)</f>
        <v>0.942858177653364</v>
      </c>
      <c r="I2088" s="51" t="n">
        <f aca="false">1/(1+wacc)^(2028-2026-0.5)</f>
        <v>0.838183517758688</v>
      </c>
      <c r="J2088" s="51" t="n">
        <f aca="false">1/(1+wacc)^(2029-2026-0.5)</f>
        <v>0.745129677074952</v>
      </c>
      <c r="K2088" s="51" t="n">
        <f aca="false">1/(1+wacc)^(2030-2026-0.5)</f>
        <v>0.662406530186232</v>
      </c>
      <c r="L2088" s="51" t="n">
        <f aca="false">1/(1+wacc)^(2031-2026-0.5)</f>
        <v>0.588867179409399</v>
      </c>
      <c r="M2088" s="51" t="n">
        <f aca="false">1/(1+wacc)^(2032-2026-0.5)</f>
        <v>0.52349205387225</v>
      </c>
    </row>
    <row r="2089" customFormat="false" ht="15" hidden="false" customHeight="false" outlineLevel="0" collapsed="false">
      <c r="A2089" s="5" t="s">
        <v>860</v>
      </c>
      <c r="B2089" s="0" t="s">
        <v>73</v>
      </c>
      <c r="H2089" s="38" t="n">
        <f aca="false">Sens!$H$2087*Sens!$H$2088</f>
        <v>-65.4764533708679</v>
      </c>
      <c r="I2089" s="38" t="n">
        <f aca="false">Sens!$I$2087*Sens!$I$2088</f>
        <v>-24.5188768765683</v>
      </c>
      <c r="J2089" s="38" t="n">
        <f aca="false">Sens!$J$2087*Sens!$J$2088</f>
        <v>11.8719195202438</v>
      </c>
      <c r="K2089" s="38" t="n">
        <f aca="false">Sens!$K$2087*Sens!$K$2088</f>
        <v>35.2750026889001</v>
      </c>
      <c r="L2089" s="38" t="n">
        <f aca="false">Sens!$L$2087*Sens!$L$2088</f>
        <v>53.2063838196141</v>
      </c>
      <c r="M2089" s="38" t="n">
        <f aca="false">Sens!$M$2087*Sens!$M$2088</f>
        <v>50.6695400216462</v>
      </c>
    </row>
    <row r="2090" customFormat="false" ht="15" hidden="false" customHeight="false" outlineLevel="0" collapsed="false">
      <c r="A2090" s="5" t="s">
        <v>861</v>
      </c>
      <c r="B2090" s="0" t="s">
        <v>73</v>
      </c>
      <c r="C2090" s="38" t="n">
        <f aca="false">SUM(Sens!$H$2089:$M$2089)</f>
        <v>61.027515802968</v>
      </c>
    </row>
    <row r="2091" customFormat="false" ht="17.15" hidden="false" customHeight="false" outlineLevel="0" collapsed="false">
      <c r="A2091" s="5" t="s">
        <v>862</v>
      </c>
      <c r="B2091" s="0" t="s">
        <v>73</v>
      </c>
      <c r="C2091" s="38" t="n">
        <f aca="false">Sens!$M$2082*(1+tg)*(1-tg/ronic)/(wacc-tg)</f>
        <v>1780.86425334208</v>
      </c>
    </row>
    <row r="2092" customFormat="false" ht="15" hidden="false" customHeight="false" outlineLevel="0" collapsed="false">
      <c r="A2092" s="5" t="s">
        <v>863</v>
      </c>
      <c r="B2092" s="0" t="s">
        <v>73</v>
      </c>
      <c r="C2092" s="38" t="n">
        <f aca="false">Sens!$C$2091/(1+wacc)^6</f>
        <v>878.99677689172</v>
      </c>
    </row>
    <row r="2093" customFormat="false" ht="17.15" hidden="false" customHeight="false" outlineLevel="0" collapsed="false">
      <c r="A2093" s="5" t="s">
        <v>864</v>
      </c>
      <c r="B2093" s="0" t="s">
        <v>73</v>
      </c>
      <c r="C2093" s="38" t="n">
        <f aca="false">Sens!$C$2090+Sens!$C$2092</f>
        <v>940.024292694688</v>
      </c>
    </row>
    <row r="2094" customFormat="false" ht="17.15" hidden="false" customHeight="false" outlineLevel="0" collapsed="false">
      <c r="A2094" s="5" t="s">
        <v>865</v>
      </c>
      <c r="B2094" s="0" t="s">
        <v>52</v>
      </c>
      <c r="C2094" s="12" t="n">
        <f aca="false">Sens!$C$2092/Sens!$C$2093</f>
        <v>0.935078788625743</v>
      </c>
    </row>
    <row r="2095" customFormat="false" ht="17.15" hidden="false" customHeight="false" outlineLevel="0" collapsed="false">
      <c r="A2095" s="5" t="s">
        <v>866</v>
      </c>
      <c r="B2095" s="0" t="s">
        <v>73</v>
      </c>
      <c r="C2095" s="38" t="n">
        <f aca="false">Sens!$G$2072</f>
        <v>67.4543228019142</v>
      </c>
    </row>
    <row r="2096" customFormat="false" ht="17.15" hidden="false" customHeight="false" outlineLevel="0" collapsed="false">
      <c r="A2096" s="5" t="s">
        <v>867</v>
      </c>
      <c r="B2096" s="0" t="s">
        <v>73</v>
      </c>
      <c r="C2096" s="38" t="n">
        <f aca="false">(ant_val*ant_sh+oai_val*oai_sh)*(1-liq_disc)</f>
        <v>178.944</v>
      </c>
    </row>
    <row r="2097" customFormat="false" ht="15" hidden="false" customHeight="false" outlineLevel="0" collapsed="false">
      <c r="A2097" s="5" t="s">
        <v>868</v>
      </c>
      <c r="B2097" s="0" t="s">
        <v>73</v>
      </c>
      <c r="C2097" s="38" t="n">
        <f aca="false">Sens!$C$2093-Sens!$C$2095+Sens!$C$2096</f>
        <v>1051.51396989277</v>
      </c>
    </row>
    <row r="2098" customFormat="false" ht="17.15" hidden="false" customHeight="false" outlineLevel="0" collapsed="false">
      <c r="A2098" s="5" t="s">
        <v>869</v>
      </c>
      <c r="B2098" s="0" t="s">
        <v>27</v>
      </c>
      <c r="C2098" s="30" t="n">
        <f aca="false">Sens!$C$2097/sh_val</f>
        <v>95.3294683988845</v>
      </c>
    </row>
    <row r="2099" customFormat="false" ht="17.15" hidden="false" customHeight="false" outlineLevel="0" collapsed="false">
      <c r="A2099" s="1" t="s">
        <v>870</v>
      </c>
      <c r="B2099" s="8" t="s">
        <v>27</v>
      </c>
      <c r="C2099" s="30" t="n">
        <f aca="false">Sens!$C$2098*(1+ke)^tp_yf</f>
        <v>105.286147139702</v>
      </c>
    </row>
    <row r="2100" customFormat="false" ht="17.15" hidden="false" customHeight="false" outlineLevel="0" collapsed="false">
      <c r="A2100" s="3" t="s">
        <v>871</v>
      </c>
    </row>
    <row r="2101" customFormat="false" ht="17.15" hidden="false" customHeight="false" outlineLevel="0" collapsed="false">
      <c r="A2101" s="5" t="s">
        <v>872</v>
      </c>
      <c r="B2101" s="0" t="s">
        <v>73</v>
      </c>
      <c r="C2101" s="38" t="n">
        <f aca="false">0.25*Sens!$H$2031+0.75*Sens!$I$2031</f>
        <v>57.5541093268329</v>
      </c>
    </row>
    <row r="2102" customFormat="false" ht="15" hidden="false" customHeight="false" outlineLevel="0" collapsed="false">
      <c r="A2102" s="5" t="s">
        <v>873</v>
      </c>
      <c r="B2102" s="0" t="s">
        <v>57</v>
      </c>
      <c r="C2102" s="30" t="n">
        <f aca="false">m_ads*m_x</f>
        <v>9.11</v>
      </c>
    </row>
    <row r="2103" customFormat="false" ht="17.15" hidden="false" customHeight="false" outlineLevel="0" collapsed="false">
      <c r="A2103" s="5" t="s">
        <v>874</v>
      </c>
      <c r="B2103" s="0" t="s">
        <v>73</v>
      </c>
      <c r="C2103" s="38" t="n">
        <f aca="false">Sens!$C$2101*Sens!$C$2102</f>
        <v>524.317935967448</v>
      </c>
    </row>
    <row r="2104" customFormat="false" ht="17.15" hidden="false" customHeight="false" outlineLevel="0" collapsed="false">
      <c r="A2104" s="5" t="s">
        <v>875</v>
      </c>
      <c r="B2104" s="0" t="s">
        <v>73</v>
      </c>
      <c r="C2104" s="38" t="n">
        <f aca="false">0.25*Sens!$H$2032+0.75*Sens!$I$2032</f>
        <v>30.3449650826914</v>
      </c>
    </row>
    <row r="2105" customFormat="false" ht="15" hidden="false" customHeight="false" outlineLevel="0" collapsed="false">
      <c r="A2105" s="5" t="s">
        <v>876</v>
      </c>
      <c r="B2105" s="0" t="s">
        <v>57</v>
      </c>
      <c r="C2105" s="30" t="n">
        <f aca="false">m_retail*m_x</f>
        <v>17.72</v>
      </c>
    </row>
    <row r="2106" customFormat="false" ht="17.15" hidden="false" customHeight="false" outlineLevel="0" collapsed="false">
      <c r="A2106" s="5" t="s">
        <v>877</v>
      </c>
      <c r="B2106" s="0" t="s">
        <v>73</v>
      </c>
      <c r="C2106" s="38" t="n">
        <f aca="false">Sens!$C$2104*Sens!$C$2105</f>
        <v>537.712781265292</v>
      </c>
    </row>
    <row r="2107" customFormat="false" ht="17.15" hidden="false" customHeight="false" outlineLevel="0" collapsed="false">
      <c r="A2107" s="0" t="s">
        <v>878</v>
      </c>
      <c r="B2107" s="0" t="s">
        <v>73</v>
      </c>
      <c r="C2107" s="38" t="n">
        <f aca="false">0.25*Sens!$H$2033+0.75*Sens!$I$2033</f>
        <v>106.909291902756</v>
      </c>
    </row>
    <row r="2108" customFormat="false" ht="17.15" hidden="false" customHeight="false" outlineLevel="0" collapsed="false">
      <c r="A2108" s="0" t="s">
        <v>879</v>
      </c>
      <c r="B2108" s="0" t="s">
        <v>57</v>
      </c>
      <c r="C2108" s="30" t="n">
        <f aca="false">m_cloud*m_x</f>
        <v>13.82</v>
      </c>
    </row>
    <row r="2109" customFormat="false" ht="17.15" hidden="false" customHeight="false" outlineLevel="0" collapsed="false">
      <c r="A2109" s="0" t="s">
        <v>880</v>
      </c>
      <c r="B2109" s="0" t="s">
        <v>73</v>
      </c>
      <c r="C2109" s="38" t="n">
        <f aca="false">Sens!$C$2107*Sens!$C$2108</f>
        <v>1477.48641409609</v>
      </c>
    </row>
    <row r="2110" customFormat="false" ht="17.15" hidden="false" customHeight="false" outlineLevel="0" collapsed="false">
      <c r="A2110" s="0" t="s">
        <v>881</v>
      </c>
      <c r="B2110" s="0" t="s">
        <v>73</v>
      </c>
      <c r="C2110" s="38" t="n">
        <f aca="false">0.25*Sens!$H$2034+0.75*Sens!$I$2034</f>
        <v>72.2947701247864</v>
      </c>
    </row>
    <row r="2111" customFormat="false" ht="17.15" hidden="false" customHeight="false" outlineLevel="0" collapsed="false">
      <c r="A2111" s="0" t="s">
        <v>882</v>
      </c>
      <c r="B2111" s="0" t="s">
        <v>57</v>
      </c>
      <c r="C2111" s="30" t="n">
        <f aca="false">m_ai</f>
        <v>6</v>
      </c>
    </row>
    <row r="2112" customFormat="false" ht="17.15" hidden="false" customHeight="false" outlineLevel="0" collapsed="false">
      <c r="A2112" s="0" t="s">
        <v>883</v>
      </c>
      <c r="B2112" s="0" t="s">
        <v>73</v>
      </c>
      <c r="C2112" s="38" t="n">
        <f aca="false">Sens!$C$2110*Sens!$C$2111</f>
        <v>433.768620748718</v>
      </c>
    </row>
    <row r="2113" customFormat="false" ht="17.15" hidden="false" customHeight="false" outlineLevel="0" collapsed="false">
      <c r="A2113" s="5" t="s">
        <v>884</v>
      </c>
      <c r="B2113" s="0" t="s">
        <v>73</v>
      </c>
      <c r="C2113" s="38" t="n">
        <f aca="false">Sens!$C$2103+Sens!$C$2106+Sens!$C$2109+Sens!$C$2112</f>
        <v>2973.28575207754</v>
      </c>
    </row>
    <row r="2114" customFormat="false" ht="17.15" hidden="false" customHeight="false" outlineLevel="0" collapsed="false">
      <c r="A2114" s="5" t="s">
        <v>885</v>
      </c>
      <c r="B2114" s="0" t="s">
        <v>73</v>
      </c>
      <c r="C2114" s="38" t="n">
        <f aca="false">Sens!$H$2072</f>
        <v>115.55728972784</v>
      </c>
    </row>
    <row r="2115" customFormat="false" ht="15" hidden="false" customHeight="false" outlineLevel="0" collapsed="false">
      <c r="A2115" s="5" t="s">
        <v>886</v>
      </c>
      <c r="B2115" s="0" t="s">
        <v>73</v>
      </c>
      <c r="C2115" s="38" t="n">
        <f aca="false">Sens!$C$2113-Sens!$C$2114+Sens!$C$2096</f>
        <v>3036.6724623497</v>
      </c>
    </row>
    <row r="2116" customFormat="false" ht="15" hidden="false" customHeight="false" outlineLevel="0" collapsed="false">
      <c r="A2116" s="3" t="s">
        <v>887</v>
      </c>
      <c r="B2116" s="8" t="s">
        <v>27</v>
      </c>
      <c r="C2116" s="30" t="n">
        <f aca="false">Sens!$C$2115/sh_val</f>
        <v>275.302449445202</v>
      </c>
    </row>
    <row r="2117" customFormat="false" ht="17.15" hidden="false" customHeight="false" outlineLevel="0" collapsed="false">
      <c r="A2117" s="46" t="s">
        <v>888</v>
      </c>
      <c r="B2117" s="13" t="s">
        <v>27</v>
      </c>
      <c r="C2117" s="43" t="n">
        <f aca="false">w_dcf*Sens!$C$2099+(1-w_dcf)*Sens!$C$2116</f>
        <v>190.294298292452</v>
      </c>
      <c r="D2117" s="13"/>
      <c r="E2117" s="13"/>
      <c r="F2117" s="13"/>
      <c r="G2117" s="13"/>
      <c r="H2117" s="13"/>
      <c r="I2117" s="13"/>
      <c r="J2117" s="13"/>
      <c r="K2117" s="13"/>
      <c r="L2117" s="13"/>
      <c r="M2117" s="13"/>
      <c r="N2117" s="13"/>
      <c r="O2117" s="13"/>
    </row>
    <row r="2118" customFormat="false" ht="17.15" hidden="false" customHeight="false" outlineLevel="0" collapsed="false">
      <c r="A2118" s="5" t="s">
        <v>889</v>
      </c>
      <c r="B2118" s="0" t="s">
        <v>27</v>
      </c>
      <c r="C2118" s="30" t="n">
        <f aca="false">0.45*Sens!$C$2099+0.55*Sens!$C$2116</f>
        <v>198.795113407727</v>
      </c>
    </row>
    <row r="2121" customFormat="false" ht="19.4" hidden="false" customHeight="false" outlineLevel="0" collapsed="false">
      <c r="A2121" s="31" t="s">
        <v>1090</v>
      </c>
    </row>
    <row r="2122" customFormat="false" ht="17.15" hidden="false" customHeight="false" outlineLevel="0" collapsed="false">
      <c r="A2122" s="6" t="s">
        <v>16</v>
      </c>
      <c r="B2122" s="6" t="s">
        <v>17</v>
      </c>
      <c r="C2122" s="20" t="s">
        <v>457</v>
      </c>
      <c r="D2122" s="20" t="s">
        <v>458</v>
      </c>
      <c r="E2122" s="20" t="s">
        <v>540</v>
      </c>
      <c r="F2122" s="20" t="s">
        <v>541</v>
      </c>
      <c r="G2122" s="20" t="s">
        <v>542</v>
      </c>
      <c r="H2122" s="20" t="s">
        <v>543</v>
      </c>
      <c r="I2122" s="20" t="s">
        <v>544</v>
      </c>
      <c r="J2122" s="20" t="s">
        <v>545</v>
      </c>
      <c r="K2122" s="20" t="s">
        <v>546</v>
      </c>
      <c r="L2122" s="20" t="s">
        <v>547</v>
      </c>
      <c r="M2122" s="20" t="s">
        <v>548</v>
      </c>
      <c r="N2122" s="20" t="s">
        <v>549</v>
      </c>
      <c r="O2122" s="20" t="s">
        <v>550</v>
      </c>
      <c r="P2122" s="6" t="s">
        <v>23</v>
      </c>
      <c r="R2122" s="20" t="n">
        <v>2023</v>
      </c>
      <c r="S2122" s="20" t="n">
        <v>2024</v>
      </c>
      <c r="T2122" s="20" t="n">
        <v>2025</v>
      </c>
      <c r="U2122" s="20" t="n">
        <v>2026</v>
      </c>
      <c r="V2122" s="20" t="n">
        <v>2027</v>
      </c>
      <c r="W2122" s="20" t="n">
        <v>2028</v>
      </c>
      <c r="X2122" s="20" t="n">
        <v>2029</v>
      </c>
      <c r="Y2122" s="20" t="n">
        <v>2030</v>
      </c>
      <c r="Z2122" s="20" t="n">
        <v>2031</v>
      </c>
      <c r="AA2122" s="20" t="n">
        <v>2032</v>
      </c>
    </row>
    <row r="2123" customFormat="false" ht="17.15" hidden="false" customHeight="false" outlineLevel="0" collapsed="false">
      <c r="A2123" s="1" t="s">
        <v>621</v>
      </c>
    </row>
    <row r="2124" customFormat="false" ht="17.15" hidden="false" customHeight="false" outlineLevel="0" collapsed="false">
      <c r="A2124" s="0" t="s">
        <v>479</v>
      </c>
      <c r="B2124" s="0" t="s">
        <v>73</v>
      </c>
      <c r="C2124" s="38" t="n">
        <f aca="false">Q!$D$10</f>
        <v>247.029</v>
      </c>
      <c r="D2124" s="38" t="n">
        <f aca="false">Q!$E$10</f>
        <v>269.287</v>
      </c>
      <c r="E2124" s="38" t="n">
        <f aca="false">Q!$P$10</f>
        <v>134.686</v>
      </c>
      <c r="F2124" s="38" t="n">
        <f aca="false">Sens!$O$2124*(1+Sens!$F$2125)-pd_amt*Q!$O$10/(Q!$O$10+Q!$O$12)</f>
        <v>160.728085930082</v>
      </c>
      <c r="G2124" s="38" t="n">
        <f aca="false">Sens!$E$2124+Sens!$F$2124</f>
        <v>295.414085930082</v>
      </c>
      <c r="H2124" s="38" t="n">
        <f aca="false">Sens!$G$2124*(1+Sens!$H$2125)</f>
        <v>320.828163943375</v>
      </c>
      <c r="I2124" s="38" t="n">
        <f aca="false">Sens!$H$2124*(1+Sens!$I$2125)</f>
        <v>344.575578072228</v>
      </c>
      <c r="J2124" s="38" t="n">
        <f aca="false">Sens!$I$2124*(1+Sens!$J$2125)</f>
        <v>365.942555779681</v>
      </c>
      <c r="K2124" s="38" t="n">
        <f aca="false">Sens!$J$2124*(1+Sens!$K$2125)</f>
        <v>384.239683568665</v>
      </c>
      <c r="L2124" s="38" t="n">
        <f aca="false">Sens!$K$2124*(1+Sens!$L$2125)</f>
        <v>403.451667747098</v>
      </c>
      <c r="M2124" s="38" t="n">
        <f aca="false">Sens!$L$2124*(1+Sens!$M$2125)</f>
        <v>423.624251134453</v>
      </c>
      <c r="N2124" s="38" t="n">
        <f aca="false">Q!$N$10</f>
        <v>118.892</v>
      </c>
      <c r="O2124" s="38" t="n">
        <f aca="false">Q!$O$10</f>
        <v>150.395</v>
      </c>
      <c r="P2124" s="8" t="s">
        <v>622</v>
      </c>
    </row>
    <row r="2125" customFormat="false" ht="17.15" hidden="false" customHeight="false" outlineLevel="0" collapsed="false">
      <c r="A2125" s="0" t="s">
        <v>623</v>
      </c>
      <c r="B2125" s="0" t="s">
        <v>52</v>
      </c>
      <c r="E2125" s="12" t="n">
        <f aca="false">Sens!$E$2124/Sens!$N$2124-1</f>
        <v>0.132843252699929</v>
      </c>
      <c r="F2125" s="12" t="n">
        <f aca="false">Sens!$O$2124/(Q!$F$10+Q!$G$10)-1</f>
        <v>0.0980382135842941</v>
      </c>
      <c r="G2125" s="12" t="n">
        <f aca="false">Sens!$G$2124/Sens!$D$2124-1</f>
        <v>0.0970231980380869</v>
      </c>
      <c r="H2125" s="12" t="n">
        <f aca="false">Sens!$F$2125+(g_os-Sens!$F$2125)*1/4</f>
        <v>0.0860286601882206</v>
      </c>
      <c r="I2125" s="12" t="n">
        <f aca="false">Sens!$F$2125+(g_os-Sens!$F$2125)*2/4</f>
        <v>0.074019106792147</v>
      </c>
      <c r="J2125" s="12" t="n">
        <f aca="false">Sens!$F$2125+(g_os-Sens!$F$2125)*3/4</f>
        <v>0.0620095533960735</v>
      </c>
      <c r="K2125" s="12" t="n">
        <f aca="false">Sens!$F$2125+(g_os-Sens!$F$2125)*4/4</f>
        <v>0.05</v>
      </c>
      <c r="L2125" s="12" t="n">
        <f aca="false">g_os</f>
        <v>0.05</v>
      </c>
      <c r="M2125" s="12" t="n">
        <f aca="false">g_os</f>
        <v>0.05</v>
      </c>
      <c r="P2125" s="8" t="s">
        <v>624</v>
      </c>
    </row>
    <row r="2126" customFormat="false" ht="17.15" hidden="false" customHeight="false" outlineLevel="0" collapsed="false">
      <c r="A2126" s="0" t="s">
        <v>480</v>
      </c>
      <c r="B2126" s="0" t="s">
        <v>73</v>
      </c>
      <c r="C2126" s="38" t="n">
        <f aca="false">Q!$D$11</f>
        <v>21.215</v>
      </c>
      <c r="D2126" s="38" t="n">
        <f aca="false">Q!$E$11</f>
        <v>22.561</v>
      </c>
      <c r="E2126" s="38" t="n">
        <f aca="false">Q!$P$11</f>
        <v>11.579</v>
      </c>
      <c r="F2126" s="38" t="n">
        <f aca="false">Sens!$O$2126*(1+Sens!$F$2127)</f>
        <v>12.0952613121125</v>
      </c>
      <c r="G2126" s="38" t="n">
        <f aca="false">Sens!$E$2126+Sens!$F$2126</f>
        <v>23.6742613121125</v>
      </c>
      <c r="H2126" s="38" t="n">
        <f aca="false">Sens!$G$2126*(1+Sens!$H$2127)</f>
        <v>24.8803243963206</v>
      </c>
      <c r="I2126" s="38" t="n">
        <f aca="false">Sens!$H$2126*(1+Sens!$I$2127)</f>
        <v>25.9741308664154</v>
      </c>
      <c r="J2126" s="38" t="n">
        <f aca="false">Sens!$I$2126*(1+Sens!$J$2127)</f>
        <v>26.9346894124267</v>
      </c>
      <c r="K2126" s="38" t="n">
        <f aca="false">Sens!$J$2126*(1+Sens!$K$2127)</f>
        <v>27.7427300947995</v>
      </c>
      <c r="L2126" s="38" t="n">
        <f aca="false">Sens!$K$2126*(1+Sens!$L$2127)</f>
        <v>28.5750119976435</v>
      </c>
      <c r="M2126" s="38" t="n">
        <f aca="false">Sens!$L$2126*(1+Sens!$M$2127)</f>
        <v>29.4322623575728</v>
      </c>
      <c r="N2126" s="38" t="n">
        <f aca="false">Q!$N$11</f>
        <v>11.128</v>
      </c>
      <c r="O2126" s="38" t="n">
        <f aca="false">Q!$O$11</f>
        <v>11.433</v>
      </c>
      <c r="P2126" s="8" t="s">
        <v>622</v>
      </c>
    </row>
    <row r="2127" customFormat="false" ht="17.15" hidden="false" customHeight="false" outlineLevel="0" collapsed="false">
      <c r="A2127" s="0" t="s">
        <v>625</v>
      </c>
      <c r="B2127" s="0" t="s">
        <v>52</v>
      </c>
      <c r="E2127" s="12" t="n">
        <f aca="false">Sens!$E$2126/Sens!$N$2126-1</f>
        <v>0.0405283968368082</v>
      </c>
      <c r="F2127" s="12" t="n">
        <f aca="false">Sens!$O$2126/(Q!$F$11+Q!$G$11)-1</f>
        <v>0.0579254187100955</v>
      </c>
      <c r="G2127" s="12" t="n">
        <f aca="false">Sens!$G$2126/Sens!$D$2126-1</f>
        <v>0.0493445021103904</v>
      </c>
      <c r="H2127" s="12" t="n">
        <f aca="false">Sens!$F$2127+(g_ps-Sens!$F$2127)*1/4</f>
        <v>0.0509440640325716</v>
      </c>
      <c r="I2127" s="12" t="n">
        <f aca="false">Sens!$F$2127+(g_ps-Sens!$F$2127)*2/4</f>
        <v>0.0439627093550477</v>
      </c>
      <c r="J2127" s="12" t="n">
        <f aca="false">Sens!$F$2127+(g_ps-Sens!$F$2127)*3/4</f>
        <v>0.0369813546775239</v>
      </c>
      <c r="K2127" s="12" t="n">
        <f aca="false">Sens!$F$2127+(g_ps-Sens!$F$2127)*4/4</f>
        <v>0.03</v>
      </c>
      <c r="L2127" s="12" t="n">
        <f aca="false">g_ps</f>
        <v>0.03</v>
      </c>
      <c r="M2127" s="12" t="n">
        <f aca="false">g_ps</f>
        <v>0.03</v>
      </c>
      <c r="P2127" s="8" t="s">
        <v>626</v>
      </c>
    </row>
    <row r="2128" customFormat="false" ht="17.15" hidden="false" customHeight="false" outlineLevel="0" collapsed="false">
      <c r="A2128" s="0" t="s">
        <v>481</v>
      </c>
      <c r="B2128" s="0" t="s">
        <v>73</v>
      </c>
      <c r="C2128" s="38" t="n">
        <f aca="false">Q!$D$12</f>
        <v>156.146</v>
      </c>
      <c r="D2128" s="38" t="n">
        <f aca="false">Q!$E$12</f>
        <v>172.162</v>
      </c>
      <c r="E2128" s="38" t="n">
        <f aca="false">Q!$P$12</f>
        <v>88.358</v>
      </c>
      <c r="F2128" s="38" t="n">
        <f aca="false">Sens!$O$2128*(1+Sens!$F$2129)-pd_amt*Q!$O$12/(Q!$O$10+Q!$O$12)</f>
        <v>103.62028337149</v>
      </c>
      <c r="G2128" s="38" t="n">
        <f aca="false">Sens!$E$2128+Sens!$F$2128</f>
        <v>191.97828337149</v>
      </c>
      <c r="H2128" s="38" t="n">
        <f aca="false">Sens!$G$2128*(1+Sens!$H$2129)</f>
        <v>212.128608444755</v>
      </c>
      <c r="I2128" s="38" t="n">
        <f aca="false">Sens!$H$2128*(1+Sens!$I$2129)</f>
        <v>231.92183134134</v>
      </c>
      <c r="J2128" s="38" t="n">
        <f aca="false">Sens!$I$2128*(1+Sens!$J$2129)</f>
        <v>250.859136487863</v>
      </c>
      <c r="K2128" s="38" t="n">
        <f aca="false">Sens!$J$2128*(1+Sens!$K$2129)</f>
        <v>268.419276042014</v>
      </c>
      <c r="L2128" s="38" t="n">
        <f aca="false">Sens!$K$2128*(1+Sens!$L$2129)</f>
        <v>287.208625364954</v>
      </c>
      <c r="M2128" s="38" t="n">
        <f aca="false">Sens!$L$2128*(1+Sens!$M$2129)</f>
        <v>307.313229140501</v>
      </c>
      <c r="N2128" s="38" t="n">
        <f aca="false">Q!$N$12</f>
        <v>76.86</v>
      </c>
      <c r="O2128" s="38" t="n">
        <f aca="false">Q!$O$12</f>
        <v>95.302</v>
      </c>
      <c r="P2128" s="8" t="s">
        <v>622</v>
      </c>
    </row>
    <row r="2129" customFormat="false" ht="17.15" hidden="false" customHeight="false" outlineLevel="0" collapsed="false">
      <c r="A2129" s="0" t="s">
        <v>627</v>
      </c>
      <c r="B2129" s="0" t="s">
        <v>52</v>
      </c>
      <c r="E2129" s="12" t="n">
        <f aca="false">Sens!$E$2128/Sens!$N$2128-1</f>
        <v>0.1495966692688</v>
      </c>
      <c r="F2129" s="12" t="n">
        <f aca="false">Sens!$O$2128/(Q!$F$12+Q!$G$12)-1</f>
        <v>0.11661530890813</v>
      </c>
      <c r="G2129" s="12" t="n">
        <f aca="false">Sens!$G$2128/Sens!$D$2128-1</f>
        <v>0.115102539303041</v>
      </c>
      <c r="H2129" s="12" t="n">
        <f aca="false">Sens!$F$2129+(g_sp-Sens!$F$2129)*1/4</f>
        <v>0.104961481681098</v>
      </c>
      <c r="I2129" s="12" t="n">
        <f aca="false">Sens!$F$2129+(g_sp-Sens!$F$2129)*2/4</f>
        <v>0.0933076544540651</v>
      </c>
      <c r="J2129" s="12" t="n">
        <f aca="false">Sens!$F$2129+(g_sp-Sens!$F$2129)*3/4</f>
        <v>0.0816538272270325</v>
      </c>
      <c r="K2129" s="12" t="n">
        <f aca="false">Sens!$F$2129+(g_sp-Sens!$F$2129)*4/4</f>
        <v>0.07</v>
      </c>
      <c r="L2129" s="12" t="n">
        <f aca="false">g_sp</f>
        <v>0.07</v>
      </c>
      <c r="M2129" s="12" t="n">
        <f aca="false">g_sp</f>
        <v>0.07</v>
      </c>
      <c r="P2129" s="8" t="s">
        <v>628</v>
      </c>
    </row>
    <row r="2130" customFormat="false" ht="17.15" hidden="false" customHeight="false" outlineLevel="0" collapsed="false">
      <c r="A2130" s="0" t="s">
        <v>482</v>
      </c>
      <c r="B2130" s="0" t="s">
        <v>73</v>
      </c>
      <c r="C2130" s="38" t="n">
        <f aca="false">Q!$D$13</f>
        <v>56.214</v>
      </c>
      <c r="D2130" s="38" t="n">
        <f aca="false">Q!$E$13</f>
        <v>68.635</v>
      </c>
      <c r="E2130" s="38" t="n">
        <f aca="false">Q!$P$13</f>
        <v>37.052</v>
      </c>
      <c r="F2130" s="38" t="n">
        <f aca="false">Sens!$O$2130*(1+Sens!$F$2131)</f>
        <v>48.1533381827382</v>
      </c>
      <c r="G2130" s="38" t="n">
        <f aca="false">Sens!$E$2130+Sens!$F$2130</f>
        <v>85.2053381827382</v>
      </c>
      <c r="H2130" s="38" t="n">
        <f aca="false">Sens!$G$2130*(1+Sens!$H$2131)</f>
        <v>102.29336185894</v>
      </c>
      <c r="I2130" s="38" t="n">
        <f aca="false">Sens!$H$2130*(1+Sens!$I$2131)</f>
        <v>119.379837585241</v>
      </c>
      <c r="J2130" s="38" t="n">
        <f aca="false">Sens!$I$2130*(1+Sens!$J$2131)</f>
        <v>135.319079048844</v>
      </c>
      <c r="K2130" s="38" t="n">
        <f aca="false">Sens!$J$2130*(1+Sens!$K$2131)</f>
        <v>148.850986953729</v>
      </c>
      <c r="L2130" s="38" t="n">
        <f aca="false">Sens!$K$2130*(1+Sens!$L$2131)</f>
        <v>163.736085649102</v>
      </c>
      <c r="M2130" s="38" t="n">
        <f aca="false">Sens!$L$2130*(1+Sens!$M$2131)</f>
        <v>180.109694214012</v>
      </c>
      <c r="N2130" s="38" t="n">
        <f aca="false">Q!$N$13</f>
        <v>29.615</v>
      </c>
      <c r="O2130" s="38" t="n">
        <f aca="false">Q!$O$13</f>
        <v>39.02</v>
      </c>
      <c r="P2130" s="8" t="s">
        <v>622</v>
      </c>
    </row>
    <row r="2131" customFormat="false" ht="17.15" hidden="false" customHeight="false" outlineLevel="0" collapsed="false">
      <c r="A2131" s="0" t="s">
        <v>629</v>
      </c>
      <c r="B2131" s="0" t="s">
        <v>52</v>
      </c>
      <c r="E2131" s="12" t="n">
        <f aca="false">Sens!$E$2130/Sens!$N$2130-1</f>
        <v>0.25112274185379</v>
      </c>
      <c r="F2131" s="12" t="n">
        <f aca="false">Sens!$O$2130/(Q!$F$13+Q!$G$13)-1</f>
        <v>0.234068123596572</v>
      </c>
      <c r="G2131" s="12" t="n">
        <f aca="false">Sens!$G$2130/Sens!$D$2130-1</f>
        <v>0.241426942270536</v>
      </c>
      <c r="H2131" s="12" t="n">
        <f aca="false">Sens!$F$2131+(g_ad-Sens!$F$2131)*1/4</f>
        <v>0.200551092697429</v>
      </c>
      <c r="I2131" s="12" t="n">
        <f aca="false">Sens!$F$2131+(g_ad-Sens!$F$2131)*2/4</f>
        <v>0.167034061798286</v>
      </c>
      <c r="J2131" s="12" t="n">
        <f aca="false">Sens!$F$2131+(g_ad-Sens!$F$2131)*3/4</f>
        <v>0.133517030899143</v>
      </c>
      <c r="K2131" s="12" t="n">
        <f aca="false">Sens!$F$2131+(g_ad-Sens!$F$2131)*4/4</f>
        <v>0.1</v>
      </c>
      <c r="L2131" s="12" t="n">
        <f aca="false">g_ad</f>
        <v>0.1</v>
      </c>
      <c r="M2131" s="12" t="n">
        <f aca="false">g_ad</f>
        <v>0.1</v>
      </c>
      <c r="P2131" s="8" t="s">
        <v>630</v>
      </c>
    </row>
    <row r="2132" customFormat="false" ht="17.15" hidden="false" customHeight="false" outlineLevel="0" collapsed="false">
      <c r="A2132" s="0" t="s">
        <v>483</v>
      </c>
      <c r="B2132" s="0" t="s">
        <v>73</v>
      </c>
      <c r="C2132" s="38" t="n">
        <f aca="false">Q!$D$14</f>
        <v>44.374</v>
      </c>
      <c r="D2132" s="38" t="n">
        <f aca="false">Q!$E$14</f>
        <v>49.619</v>
      </c>
      <c r="E2132" s="38" t="n">
        <f aca="false">Q!$P$14</f>
        <v>27.157</v>
      </c>
      <c r="F2132" s="38" t="n">
        <f aca="false">Sens!$O$2132*(1+Sens!$F$2133)</f>
        <v>28.9776360923374</v>
      </c>
      <c r="G2132" s="38" t="n">
        <f aca="false">Sens!$E$2132+Sens!$F$2132</f>
        <v>56.1346360923374</v>
      </c>
      <c r="H2132" s="38" t="n">
        <f aca="false">Sens!$G$2132*(1+Sens!$H$2133)</f>
        <v>62.4937078946075</v>
      </c>
      <c r="I2132" s="38" t="n">
        <f aca="false">Sens!$H$2132*(1+Sens!$I$2133)</f>
        <v>68.6715233062498</v>
      </c>
      <c r="J2132" s="38" t="n">
        <f aca="false">Sens!$I$2132*(1+Sens!$J$2133)</f>
        <v>74.4692882949818</v>
      </c>
      <c r="K2132" s="38" t="n">
        <f aca="false">Sens!$J$2132*(1+Sens!$K$2133)</f>
        <v>79.6821384756306</v>
      </c>
      <c r="L2132" s="38" t="n">
        <f aca="false">Sens!$K$2132*(1+Sens!$L$2133)</f>
        <v>85.2598881689247</v>
      </c>
      <c r="M2132" s="38" t="n">
        <f aca="false">Sens!$L$2132*(1+Sens!$M$2133)</f>
        <v>91.2280803407494</v>
      </c>
      <c r="N2132" s="38" t="n">
        <f aca="false">Q!$N$14</f>
        <v>23.923</v>
      </c>
      <c r="O2132" s="38" t="n">
        <f aca="false">Q!$O$14</f>
        <v>25.696</v>
      </c>
      <c r="P2132" s="8" t="s">
        <v>622</v>
      </c>
    </row>
    <row r="2133" customFormat="false" ht="17.15" hidden="false" customHeight="false" outlineLevel="0" collapsed="false">
      <c r="A2133" s="0" t="s">
        <v>631</v>
      </c>
      <c r="B2133" s="0" t="s">
        <v>52</v>
      </c>
      <c r="E2133" s="12" t="n">
        <f aca="false">Sens!$E$2132/Sens!$N$2132-1</f>
        <v>0.135183714417088</v>
      </c>
      <c r="F2133" s="12" t="n">
        <f aca="false">Sens!$O$2132/(Q!$F$14+Q!$G$14)-1</f>
        <v>0.127709997366804</v>
      </c>
      <c r="G2133" s="12" t="n">
        <f aca="false">Sens!$G$2132/Sens!$D$2132-1</f>
        <v>0.131313329416905</v>
      </c>
      <c r="H2133" s="12" t="n">
        <f aca="false">Sens!$F$2133+(g_sub-Sens!$F$2133)*1/4</f>
        <v>0.113282498025103</v>
      </c>
      <c r="I2133" s="12" t="n">
        <f aca="false">Sens!$F$2133+(g_sub-Sens!$F$2133)*2/4</f>
        <v>0.0988549986834021</v>
      </c>
      <c r="J2133" s="12" t="n">
        <f aca="false">Sens!$F$2133+(g_sub-Sens!$F$2133)*3/4</f>
        <v>0.084427499341701</v>
      </c>
      <c r="K2133" s="12" t="n">
        <f aca="false">Sens!$F$2133+(g_sub-Sens!$F$2133)*4/4</f>
        <v>0.07</v>
      </c>
      <c r="L2133" s="12" t="n">
        <f aca="false">g_sub</f>
        <v>0.07</v>
      </c>
      <c r="M2133" s="12" t="n">
        <f aca="false">g_sub</f>
        <v>0.07</v>
      </c>
      <c r="P2133" s="8" t="s">
        <v>632</v>
      </c>
    </row>
    <row r="2134" customFormat="false" ht="17.15" hidden="false" customHeight="false" outlineLevel="0" collapsed="false">
      <c r="A2134" s="0" t="s">
        <v>484</v>
      </c>
      <c r="B2134" s="0" t="s">
        <v>73</v>
      </c>
      <c r="C2134" s="38" t="n">
        <f aca="false">Q!$D$15</f>
        <v>5.425</v>
      </c>
      <c r="D2134" s="38" t="n">
        <f aca="false">Q!$E$15</f>
        <v>5.935</v>
      </c>
      <c r="E2134" s="38" t="n">
        <f aca="false">Q!$P$15</f>
        <v>3.474</v>
      </c>
      <c r="F2134" s="38" t="n">
        <f aca="false">Sens!$O$2134*(1+Sens!$F$2135)</f>
        <v>3.36182431966931</v>
      </c>
      <c r="G2134" s="38" t="n">
        <f aca="false">Sens!$E$2134+Sens!$F$2134</f>
        <v>6.83582431966931</v>
      </c>
      <c r="H2134" s="38" t="n">
        <f aca="false">Sens!$G$2134*(1+Sens!$H$2135)</f>
        <v>7.31157108370141</v>
      </c>
      <c r="I2134" s="38" t="n">
        <f aca="false">Sens!$H$2134*(1+Sens!$I$2135)</f>
        <v>7.77266852639815</v>
      </c>
      <c r="J2134" s="38" t="n">
        <f aca="false">Sens!$I$2134*(1+Sens!$J$2135)</f>
        <v>8.2120733019884</v>
      </c>
      <c r="K2134" s="38" t="n">
        <f aca="false">Sens!$J$2134*(1+Sens!$K$2135)</f>
        <v>8.62267696708783</v>
      </c>
      <c r="L2134" s="38" t="n">
        <f aca="false">Sens!$K$2134*(1+Sens!$L$2135)</f>
        <v>9.05381081544222</v>
      </c>
      <c r="M2134" s="38" t="n">
        <f aca="false">Sens!$L$2134*(1+Sens!$M$2135)</f>
        <v>9.50650135621433</v>
      </c>
      <c r="N2134" s="38" t="n">
        <f aca="false">Q!$N$15</f>
        <v>2.811</v>
      </c>
      <c r="O2134" s="38" t="n">
        <f aca="false">Q!$O$15</f>
        <v>3.124</v>
      </c>
      <c r="P2134" s="8" t="s">
        <v>622</v>
      </c>
    </row>
    <row r="2135" customFormat="false" ht="17.15" hidden="false" customHeight="false" outlineLevel="0" collapsed="false">
      <c r="A2135" s="0" t="s">
        <v>633</v>
      </c>
      <c r="B2135" s="0" t="s">
        <v>52</v>
      </c>
      <c r="E2135" s="12" t="n">
        <f aca="false">Sens!$E$2134/Sens!$N$2134-1</f>
        <v>0.235859124866596</v>
      </c>
      <c r="F2135" s="12" t="n">
        <f aca="false">Sens!$O$2134/(Q!$F$15+Q!$G$15)-1</f>
        <v>0.0761281433000345</v>
      </c>
      <c r="G2135" s="12" t="n">
        <f aca="false">Sens!$G$2134/Sens!$D$2134-1</f>
        <v>0.151781688234087</v>
      </c>
      <c r="H2135" s="12" t="n">
        <f aca="false">Sens!$F$2135+(g_ot-Sens!$F$2135)*1/4</f>
        <v>0.0695961074750259</v>
      </c>
      <c r="I2135" s="12" t="n">
        <f aca="false">Sens!$F$2135+(g_ot-Sens!$F$2135)*2/4</f>
        <v>0.0630640716500172</v>
      </c>
      <c r="J2135" s="12" t="n">
        <f aca="false">Sens!$F$2135+(g_ot-Sens!$F$2135)*3/4</f>
        <v>0.0565320358250086</v>
      </c>
      <c r="K2135" s="12" t="n">
        <f aca="false">Sens!$F$2135+(g_ot-Sens!$F$2135)*4/4</f>
        <v>0.05</v>
      </c>
      <c r="L2135" s="12" t="n">
        <f aca="false">g_ot</f>
        <v>0.05</v>
      </c>
      <c r="M2135" s="12" t="n">
        <f aca="false">g_ot</f>
        <v>0.05</v>
      </c>
      <c r="P2135" s="8" t="s">
        <v>634</v>
      </c>
    </row>
    <row r="2136" customFormat="false" ht="17.15" hidden="false" customHeight="false" outlineLevel="0" collapsed="false">
      <c r="A2136" s="3" t="s">
        <v>635</v>
      </c>
      <c r="B2136" s="8" t="s">
        <v>73</v>
      </c>
      <c r="C2136" s="38" t="n">
        <f aca="false">Sens!$C$2124+Sens!$C$2126+Sens!$C$2128+Sens!$C$2130+Sens!$C$2132+Sens!$C$2134</f>
        <v>530.403</v>
      </c>
      <c r="D2136" s="38" t="n">
        <f aca="false">Sens!$D$2124+Sens!$D$2126+Sens!$D$2128+Sens!$D$2130+Sens!$D$2132+Sens!$D$2134</f>
        <v>588.199</v>
      </c>
      <c r="E2136" s="38" t="n">
        <f aca="false">Sens!$E$2124+Sens!$E$2126+Sens!$E$2128+Sens!$E$2130+Sens!$E$2132+Sens!$E$2134</f>
        <v>302.306</v>
      </c>
      <c r="F2136" s="38" t="n">
        <f aca="false">Sens!$F$2124+Sens!$F$2126+Sens!$F$2128+Sens!$F$2130+Sens!$F$2132+Sens!$F$2134</f>
        <v>356.93642920843</v>
      </c>
      <c r="G2136" s="38" t="n">
        <f aca="false">Sens!$G$2124+Sens!$G$2126+Sens!$G$2128+Sens!$G$2130+Sens!$G$2132+Sens!$G$2134</f>
        <v>659.24242920843</v>
      </c>
      <c r="H2136" s="38" t="n">
        <f aca="false">Sens!$H$2124+Sens!$H$2126+Sens!$H$2128+Sens!$H$2130+Sens!$H$2132+Sens!$H$2134</f>
        <v>729.935737621701</v>
      </c>
      <c r="I2136" s="38" t="n">
        <f aca="false">Sens!$I$2124+Sens!$I$2126+Sens!$I$2128+Sens!$I$2130+Sens!$I$2132+Sens!$I$2134</f>
        <v>798.295569697873</v>
      </c>
      <c r="J2136" s="38" t="n">
        <f aca="false">Sens!$J$2124+Sens!$J$2126+Sens!$J$2128+Sens!$J$2130+Sens!$J$2132+Sens!$J$2134</f>
        <v>861.736822325785</v>
      </c>
      <c r="K2136" s="38" t="n">
        <f aca="false">Sens!$K$2124+Sens!$K$2126+Sens!$K$2128+Sens!$K$2130+Sens!$K$2132+Sens!$K$2134</f>
        <v>917.557492101925</v>
      </c>
      <c r="L2136" s="38" t="n">
        <f aca="false">Sens!$L$2124+Sens!$L$2126+Sens!$L$2128+Sens!$L$2130+Sens!$L$2132+Sens!$L$2134</f>
        <v>977.285089743165</v>
      </c>
      <c r="M2136" s="38" t="n">
        <f aca="false">Sens!$M$2124+Sens!$M$2126+Sens!$M$2128+Sens!$M$2130+Sens!$M$2132+Sens!$M$2134</f>
        <v>1041.2140185435</v>
      </c>
      <c r="N2136" s="38" t="n">
        <f aca="false">Sens!$N$2124+Sens!$N$2126+Sens!$N$2128+Sens!$N$2130+Sens!$N$2132+Sens!$N$2134</f>
        <v>263.229</v>
      </c>
      <c r="O2136" s="38" t="n">
        <f aca="false">Sens!$O$2124+Sens!$O$2126+Sens!$O$2128+Sens!$O$2130+Sens!$O$2132+Sens!$O$2134</f>
        <v>324.97</v>
      </c>
    </row>
    <row r="2137" customFormat="false" ht="17.15" hidden="false" customHeight="false" outlineLevel="0" collapsed="false">
      <c r="A2137" s="5" t="s">
        <v>636</v>
      </c>
      <c r="B2137" s="0" t="s">
        <v>52</v>
      </c>
      <c r="C2137" s="12" t="n">
        <f aca="false">Q!$D$5/(Q!$D$5+Q!$D$6)</f>
        <v>0.730570905519011</v>
      </c>
      <c r="D2137" s="12" t="n">
        <f aca="false">Q!$E$5/(Q!$E$5+Q!$E$6)</f>
        <v>0.724763217890544</v>
      </c>
      <c r="E2137" s="12" t="n">
        <f aca="false">Q!$P$5/(Q!$P$5+Q!$P$6)</f>
        <v>0.728797972914861</v>
      </c>
      <c r="F2137" s="12" t="n">
        <f aca="false">Sens!$O$2137</f>
        <v>0.718066283041511</v>
      </c>
      <c r="G2137" s="12" t="n">
        <f aca="false">Sens!$G$2138/Sens!$G$2136</f>
        <v>0.722987468473627</v>
      </c>
      <c r="H2137" s="12" t="n">
        <f aca="false">Sens!$G$2137</f>
        <v>0.722987468473627</v>
      </c>
      <c r="I2137" s="12" t="n">
        <f aca="false">Sens!$G$2137</f>
        <v>0.722987468473627</v>
      </c>
      <c r="J2137" s="12" t="n">
        <f aca="false">Sens!$G$2137</f>
        <v>0.722987468473627</v>
      </c>
      <c r="K2137" s="12" t="n">
        <f aca="false">Sens!$G$2137</f>
        <v>0.722987468473627</v>
      </c>
      <c r="L2137" s="12" t="n">
        <f aca="false">Sens!$G$2137</f>
        <v>0.722987468473627</v>
      </c>
      <c r="M2137" s="12" t="n">
        <f aca="false">Sens!$G$2137</f>
        <v>0.722987468473627</v>
      </c>
      <c r="N2137" s="12" t="n">
        <f aca="false">Q!$N$5/(Q!$N$5+Q!$N$6)</f>
        <v>0.733030935041352</v>
      </c>
      <c r="O2137" s="12" t="n">
        <f aca="false">Q!$O$5/(Q!$O$5+Q!$O$6)</f>
        <v>0.718066283041511</v>
      </c>
      <c r="P2137" s="8" t="s">
        <v>637</v>
      </c>
    </row>
    <row r="2138" customFormat="false" ht="17.15" hidden="false" customHeight="false" outlineLevel="0" collapsed="false">
      <c r="A2138" s="1" t="s">
        <v>472</v>
      </c>
      <c r="B2138" s="8" t="s">
        <v>73</v>
      </c>
      <c r="C2138" s="38" t="n">
        <f aca="false">Q!$D$5</f>
        <v>387.497</v>
      </c>
      <c r="D2138" s="38" t="n">
        <f aca="false">Q!$E$5</f>
        <v>426.305</v>
      </c>
      <c r="E2138" s="38" t="n">
        <f aca="false">Q!$P$5</f>
        <v>220.32</v>
      </c>
      <c r="F2138" s="38" t="n">
        <f aca="false">Sens!$F$2136*Sens!$F$2137</f>
        <v>256.304015003807</v>
      </c>
      <c r="G2138" s="38" t="n">
        <f aca="false">Sens!$E$2138+Sens!$F$2138</f>
        <v>476.624015003807</v>
      </c>
      <c r="H2138" s="38" t="n">
        <f aca="false">Sens!$H$2136*Sens!$H$2137</f>
        <v>527.734391091543</v>
      </c>
      <c r="I2138" s="38" t="n">
        <f aca="false">Sens!$I$2136*Sens!$I$2137</f>
        <v>577.157693029577</v>
      </c>
      <c r="J2138" s="38" t="n">
        <f aca="false">Sens!$J$2136*Sens!$J$2137</f>
        <v>623.024923663827</v>
      </c>
      <c r="K2138" s="38" t="n">
        <f aca="false">Sens!$K$2136*Sens!$K$2137</f>
        <v>663.382568393781</v>
      </c>
      <c r="L2138" s="38" t="n">
        <f aca="false">Sens!$L$2136*Sens!$L$2137</f>
        <v>706.564873010432</v>
      </c>
      <c r="M2138" s="38" t="n">
        <f aca="false">Sens!$M$2136*Sens!$M$2137</f>
        <v>752.784687406019</v>
      </c>
      <c r="N2138" s="38" t="n">
        <f aca="false">Q!$N$5</f>
        <v>192.955</v>
      </c>
      <c r="O2138" s="38" t="n">
        <f aca="false">Q!$O$5</f>
        <v>233.35</v>
      </c>
      <c r="P2138" s="5" t="s">
        <v>638</v>
      </c>
    </row>
    <row r="2139" customFormat="false" ht="17.15" hidden="false" customHeight="false" outlineLevel="0" collapsed="false">
      <c r="A2139" s="1" t="s">
        <v>475</v>
      </c>
      <c r="B2139" s="8" t="s">
        <v>73</v>
      </c>
      <c r="C2139" s="38" t="n">
        <f aca="false">Q!$D$6</f>
        <v>142.906</v>
      </c>
      <c r="D2139" s="38" t="n">
        <f aca="false">Q!$E$6</f>
        <v>161.894</v>
      </c>
      <c r="E2139" s="38" t="n">
        <f aca="false">Q!$P$6</f>
        <v>81.986</v>
      </c>
      <c r="F2139" s="38" t="n">
        <f aca="false">Sens!$F$2136*(1-Sens!$F$2137)</f>
        <v>100.632414204623</v>
      </c>
      <c r="G2139" s="38" t="n">
        <f aca="false">Sens!$E$2139+Sens!$F$2139</f>
        <v>182.618414204623</v>
      </c>
      <c r="H2139" s="38" t="n">
        <f aca="false">Sens!$H$2136*(1-Sens!$H$2137)</f>
        <v>202.201346530158</v>
      </c>
      <c r="I2139" s="38" t="n">
        <f aca="false">Sens!$I$2136*(1-Sens!$I$2137)</f>
        <v>221.137876668296</v>
      </c>
      <c r="J2139" s="38" t="n">
        <f aca="false">Sens!$J$2136*(1-Sens!$J$2137)</f>
        <v>238.711898661958</v>
      </c>
      <c r="K2139" s="38" t="n">
        <f aca="false">Sens!$K$2136*(1-Sens!$K$2137)</f>
        <v>254.174923708144</v>
      </c>
      <c r="L2139" s="38" t="n">
        <f aca="false">Sens!$L$2136*(1-Sens!$L$2137)</f>
        <v>270.720216732733</v>
      </c>
      <c r="M2139" s="38" t="n">
        <f aca="false">Sens!$M$2136*(1-Sens!$M$2137)</f>
        <v>288.429331137484</v>
      </c>
      <c r="N2139" s="38" t="n">
        <f aca="false">Q!$N$6</f>
        <v>70.274</v>
      </c>
      <c r="O2139" s="38" t="n">
        <f aca="false">Q!$O$6</f>
        <v>91.62</v>
      </c>
      <c r="P2139" s="5" t="s">
        <v>639</v>
      </c>
    </row>
    <row r="2140" customFormat="false" ht="17.15" hidden="false" customHeight="false" outlineLevel="0" collapsed="false">
      <c r="A2140" s="5" t="s">
        <v>640</v>
      </c>
      <c r="B2140" s="0" t="s">
        <v>73</v>
      </c>
      <c r="C2140" s="38" t="n">
        <f aca="false">Sens!$C$2130*Sens!$C$2137</f>
        <v>41.0683128828457</v>
      </c>
      <c r="D2140" s="38" t="n">
        <f aca="false">Sens!$D$2130*Sens!$D$2137</f>
        <v>49.7441234599175</v>
      </c>
      <c r="E2140" s="38" t="n">
        <f aca="false">Sens!$E$2130*Sens!$E$2137</f>
        <v>27.0034224924414</v>
      </c>
      <c r="F2140" s="38" t="n">
        <f aca="false">Sens!$F$2130*Sens!$F$2137</f>
        <v>34.5772885649197</v>
      </c>
      <c r="G2140" s="38" t="n">
        <f aca="false">Sens!$G$2130*Sens!$G$2137</f>
        <v>61.6023917531772</v>
      </c>
      <c r="H2140" s="38" t="n">
        <f aca="false">Sens!$H$2130*Sens!$H$2137</f>
        <v>73.9568187320519</v>
      </c>
      <c r="I2140" s="38" t="n">
        <f aca="false">Sens!$I$2130*Sens!$I$2137</f>
        <v>86.3101265625461</v>
      </c>
      <c r="J2140" s="38" t="n">
        <f aca="false">Sens!$J$2130*Sens!$J$2137</f>
        <v>97.8339983977065</v>
      </c>
      <c r="K2140" s="38" t="n">
        <f aca="false">Sens!$K$2130*Sens!$K$2137</f>
        <v>107.617398237477</v>
      </c>
      <c r="L2140" s="38" t="n">
        <f aca="false">Sens!$L$2130*Sens!$L$2137</f>
        <v>118.379138061225</v>
      </c>
      <c r="M2140" s="38" t="n">
        <f aca="false">Sens!$M$2130*Sens!$M$2137</f>
        <v>130.217051867347</v>
      </c>
      <c r="N2140" s="38" t="n">
        <f aca="false">Sens!$N$2130*Sens!$N$2137</f>
        <v>21.7087111412496</v>
      </c>
      <c r="O2140" s="38" t="n">
        <f aca="false">Sens!$O$2130*Sens!$O$2137</f>
        <v>28.0189463642798</v>
      </c>
      <c r="P2140" s="5" t="s">
        <v>641</v>
      </c>
    </row>
    <row r="2141" customFormat="false" ht="15" hidden="false" customHeight="false" outlineLevel="0" collapsed="false">
      <c r="A2141" s="5" t="s">
        <v>642</v>
      </c>
      <c r="B2141" s="0" t="s">
        <v>73</v>
      </c>
      <c r="C2141" s="38" t="n">
        <f aca="false">Sens!$C$2130-Sens!$C$2140</f>
        <v>15.1456871171543</v>
      </c>
      <c r="D2141" s="38" t="n">
        <f aca="false">Sens!$D$2130-Sens!$D$2140</f>
        <v>18.8908765400825</v>
      </c>
      <c r="E2141" s="38" t="n">
        <f aca="false">Sens!$E$2130-Sens!$E$2140</f>
        <v>10.0485775075586</v>
      </c>
      <c r="F2141" s="38" t="n">
        <f aca="false">Sens!$F$2130-Sens!$F$2140</f>
        <v>13.5760496178185</v>
      </c>
      <c r="G2141" s="38" t="n">
        <f aca="false">Sens!$G$2130-Sens!$G$2140</f>
        <v>23.6029464295611</v>
      </c>
      <c r="H2141" s="38" t="n">
        <f aca="false">Sens!$H$2130-Sens!$H$2140</f>
        <v>28.3365431268884</v>
      </c>
      <c r="I2141" s="38" t="n">
        <f aca="false">Sens!$I$2130-Sens!$I$2140</f>
        <v>33.0697110226949</v>
      </c>
      <c r="J2141" s="38" t="n">
        <f aca="false">Sens!$J$2130-Sens!$J$2140</f>
        <v>37.4850806511378</v>
      </c>
      <c r="K2141" s="38" t="n">
        <f aca="false">Sens!$K$2130-Sens!$K$2140</f>
        <v>41.2335887162515</v>
      </c>
      <c r="L2141" s="38" t="n">
        <f aca="false">Sens!$L$2130-Sens!$L$2140</f>
        <v>45.3569475878767</v>
      </c>
      <c r="M2141" s="38" t="n">
        <f aca="false">Sens!$M$2130-Sens!$M$2140</f>
        <v>49.8926423466644</v>
      </c>
      <c r="N2141" s="38" t="n">
        <f aca="false">Sens!$N$2130-Sens!$N$2140</f>
        <v>7.90628885875037</v>
      </c>
      <c r="O2141" s="38" t="n">
        <f aca="false">Sens!$O$2130-Sens!$O$2140</f>
        <v>11.0010536357202</v>
      </c>
    </row>
    <row r="2142" customFormat="false" ht="19.4" hidden="false" customHeight="false" outlineLevel="0" collapsed="false">
      <c r="A2142" s="31" t="s">
        <v>1091</v>
      </c>
    </row>
    <row r="2143" customFormat="false" ht="17.15" hidden="false" customHeight="false" outlineLevel="0" collapsed="false">
      <c r="A2143" s="6" t="s">
        <v>16</v>
      </c>
      <c r="B2143" s="6" t="s">
        <v>17</v>
      </c>
      <c r="C2143" s="20" t="s">
        <v>457</v>
      </c>
      <c r="D2143" s="20" t="s">
        <v>458</v>
      </c>
      <c r="E2143" s="20" t="s">
        <v>540</v>
      </c>
      <c r="F2143" s="20" t="s">
        <v>541</v>
      </c>
      <c r="G2143" s="20" t="s">
        <v>542</v>
      </c>
      <c r="H2143" s="20" t="s">
        <v>543</v>
      </c>
      <c r="I2143" s="20" t="s">
        <v>544</v>
      </c>
      <c r="J2143" s="20" t="s">
        <v>545</v>
      </c>
      <c r="K2143" s="20" t="s">
        <v>546</v>
      </c>
      <c r="L2143" s="20" t="s">
        <v>547</v>
      </c>
      <c r="M2143" s="20" t="s">
        <v>548</v>
      </c>
      <c r="N2143" s="20" t="s">
        <v>549</v>
      </c>
      <c r="O2143" s="20" t="s">
        <v>550</v>
      </c>
      <c r="P2143" s="6" t="s">
        <v>23</v>
      </c>
      <c r="R2143" s="20" t="n">
        <v>2023</v>
      </c>
      <c r="S2143" s="20" t="n">
        <v>2024</v>
      </c>
      <c r="T2143" s="20" t="n">
        <v>2025</v>
      </c>
      <c r="U2143" s="20" t="n">
        <v>2026</v>
      </c>
      <c r="V2143" s="20" t="n">
        <v>2027</v>
      </c>
      <c r="W2143" s="20" t="n">
        <v>2028</v>
      </c>
      <c r="X2143" s="20" t="n">
        <v>2029</v>
      </c>
      <c r="Y2143" s="20" t="n">
        <v>2030</v>
      </c>
      <c r="Z2143" s="20" t="n">
        <v>2031</v>
      </c>
      <c r="AA2143" s="20" t="n">
        <v>2032</v>
      </c>
    </row>
    <row r="2144" customFormat="false" ht="17.15" hidden="false" customHeight="false" outlineLevel="0" collapsed="false">
      <c r="A2144" s="1" t="s">
        <v>551</v>
      </c>
    </row>
    <row r="2145" customFormat="false" ht="17.15" hidden="false" customHeight="false" outlineLevel="0" collapsed="false">
      <c r="A2145" s="14" t="s">
        <v>552</v>
      </c>
      <c r="B2145" s="13" t="s">
        <v>108</v>
      </c>
      <c r="C2145" s="32" t="n">
        <f aca="false">mw_ye24</f>
        <v>360</v>
      </c>
      <c r="D2145" s="32" t="n">
        <f aca="false">mw_ye25</f>
        <v>1440</v>
      </c>
      <c r="E2145" s="32" t="n">
        <f aca="false">mw_open</f>
        <v>2080</v>
      </c>
      <c r="F2145" s="32" t="n">
        <f aca="false">Sens!$E$2145+pace_B*0.5</f>
        <v>3897.15</v>
      </c>
      <c r="G2145" s="32" t="n">
        <f aca="false">Sens!$F$2145</f>
        <v>3897.15</v>
      </c>
      <c r="H2145" s="32" t="n">
        <f aca="false">Sens!$G$2145+pace_B</f>
        <v>7531.45</v>
      </c>
      <c r="I2145" s="32" t="n">
        <f aca="false">Sens!$H$2145+pace_B</f>
        <v>11165.75</v>
      </c>
      <c r="J2145" s="32" t="n">
        <f aca="false">Sens!$I$2145+pace_B</f>
        <v>14800.05</v>
      </c>
      <c r="K2145" s="32" t="n">
        <f aca="false">Sens!$J$2145+pace_B</f>
        <v>18434.35</v>
      </c>
      <c r="L2145" s="32" t="n">
        <f aca="false">Sens!$K$2145+pace_B</f>
        <v>22068.65</v>
      </c>
      <c r="M2145" s="32" t="n">
        <f aca="false">Sens!$L$2145+pace_B</f>
        <v>25702.95</v>
      </c>
      <c r="N2145" s="32" t="n">
        <f aca="false">(mw_ye24+mw_ye25)/2</f>
        <v>900</v>
      </c>
      <c r="O2145" s="32" t="n">
        <f aca="false">mw_ye25</f>
        <v>1440</v>
      </c>
      <c r="P2145" s="5" t="s">
        <v>553</v>
      </c>
    </row>
    <row r="2146" customFormat="false" ht="17.15" hidden="false" customHeight="false" outlineLevel="0" collapsed="false">
      <c r="A2146" s="5" t="s">
        <v>554</v>
      </c>
      <c r="B2146" s="0" t="s">
        <v>108</v>
      </c>
      <c r="C2146" s="33" t="n">
        <f aca="false">(mw_ye23+mw_ye24)/2</f>
        <v>240</v>
      </c>
      <c r="D2146" s="33" t="n">
        <f aca="false">(Sens!$C$2145+Sens!$D$2145)/2</f>
        <v>900</v>
      </c>
      <c r="E2146" s="33" t="n">
        <f aca="false">(Sens!$D$2145+Sens!$E$2145)/2</f>
        <v>1760</v>
      </c>
      <c r="F2146" s="33" t="n">
        <f aca="false">(Sens!$E$2145+Sens!$F$2145)/2</f>
        <v>2988.575</v>
      </c>
      <c r="G2146" s="33" t="n">
        <f aca="false">(Sens!$E$2146+Sens!$F$2146)/2</f>
        <v>2374.2875</v>
      </c>
      <c r="H2146" s="33" t="n">
        <f aca="false">(Sens!$G$2145+Sens!$H$2145)/2</f>
        <v>5714.3</v>
      </c>
      <c r="I2146" s="33" t="n">
        <f aca="false">(Sens!$H$2145+Sens!$I$2145)/2</f>
        <v>9348.6</v>
      </c>
      <c r="J2146" s="33" t="n">
        <f aca="false">(Sens!$I$2145+Sens!$J$2145)/2</f>
        <v>12982.9</v>
      </c>
      <c r="K2146" s="33" t="n">
        <f aca="false">(Sens!$J$2145+Sens!$K$2145)/2</f>
        <v>16617.2</v>
      </c>
      <c r="L2146" s="33" t="n">
        <f aca="false">(Sens!$K$2145+Sens!$L$2145)/2</f>
        <v>20251.5</v>
      </c>
      <c r="M2146" s="33" t="n">
        <f aca="false">(Sens!$L$2145+Sens!$M$2145)/2</f>
        <v>23885.8</v>
      </c>
      <c r="N2146" s="33" t="n">
        <f aca="false">(Sens!$C$2145+Sens!$N$2145)/2</f>
        <v>630</v>
      </c>
      <c r="O2146" s="33" t="n">
        <f aca="false">(Sens!$N$2145+Sens!$O$2145)/2</f>
        <v>1170</v>
      </c>
    </row>
    <row r="2147" customFormat="false" ht="15" hidden="false" customHeight="false" outlineLevel="0" collapsed="false">
      <c r="A2147" s="5" t="s">
        <v>555</v>
      </c>
      <c r="B2147" s="5" t="s">
        <v>102</v>
      </c>
      <c r="C2147" s="34" t="n">
        <v>1</v>
      </c>
      <c r="D2147" s="34" t="n">
        <v>1</v>
      </c>
      <c r="E2147" s="34" t="n">
        <v>0.5</v>
      </c>
      <c r="F2147" s="34" t="n">
        <v>0.5</v>
      </c>
      <c r="G2147" s="34" t="n">
        <v>1</v>
      </c>
      <c r="H2147" s="34" t="n">
        <v>1</v>
      </c>
      <c r="I2147" s="34" t="n">
        <v>1</v>
      </c>
      <c r="J2147" s="34" t="n">
        <v>1</v>
      </c>
      <c r="K2147" s="34" t="n">
        <v>1</v>
      </c>
      <c r="L2147" s="34" t="n">
        <v>1</v>
      </c>
      <c r="M2147" s="34" t="n">
        <v>1</v>
      </c>
      <c r="N2147" s="34" t="n">
        <v>0.5</v>
      </c>
      <c r="O2147" s="34" t="n">
        <v>0.5</v>
      </c>
    </row>
    <row r="2148" customFormat="false" ht="17.15" hidden="false" customHeight="false" outlineLevel="0" collapsed="false">
      <c r="A2148" s="5" t="s">
        <v>556</v>
      </c>
      <c r="B2148" s="0" t="s">
        <v>108</v>
      </c>
      <c r="C2148" s="33" t="n">
        <f aca="false">Sens!$C$2145-mw_ye23</f>
        <v>240</v>
      </c>
      <c r="D2148" s="33" t="n">
        <f aca="false">Sens!$D$2145-Sens!$C$2145</f>
        <v>1080</v>
      </c>
      <c r="E2148" s="33" t="n">
        <f aca="false">Sens!$E$2145-Sens!$D$2145</f>
        <v>640</v>
      </c>
      <c r="F2148" s="33" t="n">
        <f aca="false">Sens!$F$2145-Sens!$E$2145</f>
        <v>1817.15</v>
      </c>
      <c r="G2148" s="33" t="n">
        <f aca="false">Sens!$E$2148+Sens!$F$2148</f>
        <v>2457.15</v>
      </c>
      <c r="H2148" s="33" t="n">
        <f aca="false">Sens!$H$2145-Sens!$G$2145</f>
        <v>3634.3</v>
      </c>
      <c r="I2148" s="33" t="n">
        <f aca="false">Sens!$I$2145-Sens!$H$2145</f>
        <v>3634.3</v>
      </c>
      <c r="J2148" s="33" t="n">
        <f aca="false">Sens!$J$2145-Sens!$I$2145</f>
        <v>3634.3</v>
      </c>
      <c r="K2148" s="33" t="n">
        <f aca="false">Sens!$K$2145-Sens!$J$2145</f>
        <v>3634.3</v>
      </c>
      <c r="L2148" s="33" t="n">
        <f aca="false">Sens!$L$2145-Sens!$K$2145</f>
        <v>3634.3</v>
      </c>
      <c r="M2148" s="33" t="n">
        <f aca="false">Sens!$M$2145-Sens!$L$2145</f>
        <v>3634.3</v>
      </c>
      <c r="N2148" s="33" t="n">
        <f aca="false">Sens!$N$2145-Sens!$C$2145</f>
        <v>540</v>
      </c>
      <c r="O2148" s="33" t="n">
        <f aca="false">Sens!$O$2145-Sens!$N$2145</f>
        <v>540</v>
      </c>
    </row>
    <row r="2149" customFormat="false" ht="17.15" hidden="false" customHeight="false" outlineLevel="0" collapsed="false">
      <c r="A2149" s="5" t="s">
        <v>557</v>
      </c>
      <c r="B2149" s="0" t="s">
        <v>108</v>
      </c>
      <c r="C2149" s="33" t="n">
        <f aca="false">Sens!$C$2148/ext_sh</f>
        <v>300</v>
      </c>
      <c r="D2149" s="33" t="n">
        <f aca="false">Sens!$D$2148/ext_sh</f>
        <v>1350</v>
      </c>
      <c r="E2149" s="33" t="n">
        <f aca="false">Sens!$E$2148/ext_sh</f>
        <v>800</v>
      </c>
      <c r="F2149" s="33" t="n">
        <f aca="false">Sens!$F$2148/ext_sh</f>
        <v>2271.4375</v>
      </c>
      <c r="G2149" s="33" t="n">
        <f aca="false">Sens!$G$2148/ext_sh</f>
        <v>3071.4375</v>
      </c>
      <c r="H2149" s="33" t="n">
        <f aca="false">Sens!$H$2148/ext_sh</f>
        <v>4542.875</v>
      </c>
      <c r="I2149" s="33" t="n">
        <f aca="false">Sens!$I$2148/ext_sh</f>
        <v>4542.875</v>
      </c>
      <c r="J2149" s="33" t="n">
        <f aca="false">Sens!$J$2148/ext_sh</f>
        <v>4542.875</v>
      </c>
      <c r="K2149" s="33" t="n">
        <f aca="false">Sens!$K$2148/ext_sh</f>
        <v>4542.875</v>
      </c>
      <c r="L2149" s="33" t="n">
        <f aca="false">Sens!$L$2148/ext_sh</f>
        <v>4542.875</v>
      </c>
      <c r="M2149" s="33" t="n">
        <f aca="false">Sens!$M$2148/ext_sh</f>
        <v>4542.875</v>
      </c>
      <c r="N2149" s="33" t="n">
        <f aca="false">Sens!$N$2148/ext_sh</f>
        <v>675</v>
      </c>
      <c r="O2149" s="33" t="n">
        <f aca="false">Sens!$O$2148/ext_sh</f>
        <v>675</v>
      </c>
      <c r="P2149" s="8" t="s">
        <v>558</v>
      </c>
      <c r="R2149" s="33" t="n">
        <f aca="false">mw_ye23/ext_sh</f>
        <v>150</v>
      </c>
      <c r="S2149" s="33" t="n">
        <f aca="false">Sens!$C$2149</f>
        <v>300</v>
      </c>
      <c r="T2149" s="33" t="n">
        <f aca="false">Sens!$D$2149</f>
        <v>1350</v>
      </c>
      <c r="U2149" s="33" t="n">
        <f aca="false">Sens!$G$2149</f>
        <v>3071.4375</v>
      </c>
      <c r="V2149" s="33" t="n">
        <f aca="false">Sens!$H$2149</f>
        <v>4542.875</v>
      </c>
      <c r="W2149" s="33" t="n">
        <f aca="false">Sens!$I$2149</f>
        <v>4542.875</v>
      </c>
      <c r="X2149" s="33" t="n">
        <f aca="false">Sens!$J$2149</f>
        <v>4542.875</v>
      </c>
      <c r="Y2149" s="33" t="n">
        <f aca="false">Sens!$K$2149</f>
        <v>4542.875</v>
      </c>
      <c r="Z2149" s="33" t="n">
        <f aca="false">Sens!$L$2149</f>
        <v>4542.875</v>
      </c>
      <c r="AA2149" s="33" t="n">
        <f aca="false">Sens!$M$2149</f>
        <v>4542.875</v>
      </c>
    </row>
    <row r="2150" customFormat="false" ht="17.15" hidden="false" customHeight="false" outlineLevel="0" collapsed="false">
      <c r="A2150" s="1" t="s">
        <v>559</v>
      </c>
    </row>
    <row r="2151" customFormat="false" ht="17.15" hidden="false" customHeight="false" outlineLevel="0" collapsed="false">
      <c r="A2151" s="0" t="s">
        <v>560</v>
      </c>
      <c r="B2151" s="0" t="s">
        <v>52</v>
      </c>
      <c r="F2151" s="35" t="n">
        <f aca="false">na_vr26</f>
        <v>0</v>
      </c>
      <c r="G2151" s="35" t="n">
        <f aca="false">na_vr26</f>
        <v>0</v>
      </c>
      <c r="H2151" s="35" t="n">
        <f aca="false">na_vr27</f>
        <v>0.5</v>
      </c>
      <c r="I2151" s="35" t="n">
        <f aca="false">na_vr28</f>
        <v>1</v>
      </c>
      <c r="J2151" s="35" t="n">
        <f aca="false">na_vr28</f>
        <v>1</v>
      </c>
      <c r="K2151" s="35" t="n">
        <f aca="false">na_vr28</f>
        <v>1</v>
      </c>
      <c r="L2151" s="35" t="n">
        <f aca="false">na_vr28</f>
        <v>1</v>
      </c>
      <c r="M2151" s="35" t="n">
        <f aca="false">na_vr28</f>
        <v>1</v>
      </c>
    </row>
    <row r="2152" customFormat="false" ht="17.15" hidden="false" customHeight="false" outlineLevel="0" collapsed="false">
      <c r="A2152" s="5" t="s">
        <v>561</v>
      </c>
      <c r="B2152" s="0" t="s">
        <v>151</v>
      </c>
      <c r="F2152" s="36" t="n">
        <f aca="false">cust_sh*tk_he_gb300*cf_chip_lo+(1-cust_sh)*((1-Sens!$F$2151)*tk_he_gb300+Sens!$F$2151*tk_he_vr200)</f>
        <v>9.25344935179358</v>
      </c>
      <c r="G2152" s="36" t="n">
        <f aca="false">cust_sh*tk_he_gb300*cf_chip_lo+(1-cust_sh)*((1-Sens!$G$2151)*tk_he_gb300+Sens!$G$2151*tk_he_vr200)</f>
        <v>9.25344935179358</v>
      </c>
      <c r="H2152" s="36" t="n">
        <f aca="false">cust_sh*tk_he_gb300*cf_chip_lo+(1-cust_sh)*((1-Sens!$H$2151)*tk_he_gb300+Sens!$H$2151*tk_he_vr200)</f>
        <v>9.58821435241208</v>
      </c>
      <c r="I2152" s="36" t="n">
        <f aca="false">cust_sh*tk_he_gb300*cf_chip_lo+(1-cust_sh)*((1-Sens!$I$2151)*tk_he_gb300+Sens!$I$2151*tk_he_vr200)</f>
        <v>9.92297935303058</v>
      </c>
      <c r="J2152" s="36" t="n">
        <f aca="false">cust_sh*tk_he_gb300*cf_chip_lo+(1-cust_sh)*((1-Sens!$J$2151)*tk_he_gb300+Sens!$J$2151*tk_he_vr200)</f>
        <v>9.92297935303058</v>
      </c>
      <c r="K2152" s="36" t="n">
        <f aca="false">cust_sh*tk_he_gb300*cf_chip_lo+(1-cust_sh)*((1-Sens!$K$2151)*tk_he_gb300+Sens!$K$2151*tk_he_vr200)</f>
        <v>9.92297935303058</v>
      </c>
      <c r="L2152" s="36" t="n">
        <f aca="false">cust_sh*tk_he_gb300*cf_chip_lo+(1-cust_sh)*((1-Sens!$L$2151)*tk_he_gb300+Sens!$L$2151*tk_he_vr200)</f>
        <v>9.92297935303058</v>
      </c>
      <c r="M2152" s="36" t="n">
        <f aca="false">cust_sh*tk_he_gb300*cf_chip_lo+(1-cust_sh)*((1-Sens!$M$2151)*tk_he_gb300+Sens!$M$2151*tk_he_vr200)</f>
        <v>9.92297935303058</v>
      </c>
    </row>
    <row r="2153" customFormat="false" ht="17.15" hidden="false" customHeight="false" outlineLevel="0" collapsed="false">
      <c r="A2153" s="5" t="s">
        <v>562</v>
      </c>
      <c r="B2153" s="0" t="s">
        <v>151</v>
      </c>
      <c r="F2153" s="36" t="n">
        <f aca="false">cust_sh*tk_ox_gb300+(1-cust_sh)*((1-Sens!$F$2151)*tk_ox_gb300+Sens!$F$2151*tk_ox_vr200)</f>
        <v>1.98263481314457</v>
      </c>
      <c r="G2153" s="36" t="n">
        <f aca="false">cust_sh*tk_ox_gb300+(1-cust_sh)*((1-Sens!$G$2151)*tk_ox_gb300+Sens!$G$2151*tk_ox_vr200)</f>
        <v>1.98263481314457</v>
      </c>
      <c r="H2153" s="36" t="n">
        <f aca="false">cust_sh*tk_ox_gb300+(1-cust_sh)*((1-Sens!$H$2151)*tk_ox_gb300+Sens!$H$2151*tk_ox_vr200)</f>
        <v>2.01034999693694</v>
      </c>
      <c r="I2153" s="36" t="n">
        <f aca="false">cust_sh*tk_ox_gb300+(1-cust_sh)*((1-Sens!$I$2151)*tk_ox_gb300+Sens!$I$2151*tk_ox_vr200)</f>
        <v>2.0380651807293</v>
      </c>
      <c r="J2153" s="36" t="n">
        <f aca="false">cust_sh*tk_ox_gb300+(1-cust_sh)*((1-Sens!$J$2151)*tk_ox_gb300+Sens!$J$2151*tk_ox_vr200)</f>
        <v>2.0380651807293</v>
      </c>
      <c r="K2153" s="36" t="n">
        <f aca="false">cust_sh*tk_ox_gb300+(1-cust_sh)*((1-Sens!$K$2151)*tk_ox_gb300+Sens!$K$2151*tk_ox_vr200)</f>
        <v>2.0380651807293</v>
      </c>
      <c r="L2153" s="36" t="n">
        <f aca="false">cust_sh*tk_ox_gb300+(1-cust_sh)*((1-Sens!$L$2151)*tk_ox_gb300+Sens!$L$2151*tk_ox_vr200)</f>
        <v>2.0380651807293</v>
      </c>
      <c r="M2153" s="36" t="n">
        <f aca="false">cust_sh*tk_ox_gb300+(1-cust_sh)*((1-Sens!$M$2151)*tk_ox_gb300+Sens!$M$2151*tk_ox_vr200)</f>
        <v>2.0380651807293</v>
      </c>
    </row>
    <row r="2154" customFormat="false" ht="17.15" hidden="false" customHeight="false" outlineLevel="0" collapsed="false">
      <c r="A2154" s="5" t="s">
        <v>563</v>
      </c>
      <c r="B2154" s="0" t="s">
        <v>170</v>
      </c>
      <c r="F2154" s="36" t="n">
        <f aca="false">cust_sh*tk_cx_gb300*cf_cx_lo+(1-cust_sh)*((1-Sens!$F$2151)*tk_cx_gb300+Sens!$F$2151*tk_cx_vr200)</f>
        <v>27.4016404</v>
      </c>
      <c r="G2154" s="36" t="n">
        <f aca="false">cust_sh*tk_cx_gb300*cf_cx_lo+(1-cust_sh)*((1-Sens!$G$2151)*tk_cx_gb300+Sens!$G$2151*tk_cx_vr200)</f>
        <v>27.4016404</v>
      </c>
      <c r="H2154" s="36" t="n">
        <f aca="false">cust_sh*tk_cx_gb300*cf_cx_lo+(1-cust_sh)*((1-Sens!$H$2151)*tk_cx_gb300+Sens!$H$2151*tk_cx_vr200)</f>
        <v>28.7389224</v>
      </c>
      <c r="I2154" s="36" t="n">
        <f aca="false">cust_sh*tk_cx_gb300*cf_cx_lo+(1-cust_sh)*((1-Sens!$I$2151)*tk_cx_gb300+Sens!$I$2151*tk_cx_vr200)</f>
        <v>30.0762044</v>
      </c>
      <c r="J2154" s="36" t="n">
        <f aca="false">cust_sh*tk_cx_gb300*cf_cx_lo+(1-cust_sh)*((1-Sens!$J$2151)*tk_cx_gb300+Sens!$J$2151*tk_cx_vr200)</f>
        <v>30.0762044</v>
      </c>
      <c r="K2154" s="36" t="n">
        <f aca="false">cust_sh*tk_cx_gb300*cf_cx_lo+(1-cust_sh)*((1-Sens!$K$2151)*tk_cx_gb300+Sens!$K$2151*tk_cx_vr200)</f>
        <v>30.0762044</v>
      </c>
      <c r="L2154" s="36" t="n">
        <f aca="false">cust_sh*tk_cx_gb300*cf_cx_lo+(1-cust_sh)*((1-Sens!$L$2151)*tk_cx_gb300+Sens!$L$2151*tk_cx_vr200)</f>
        <v>30.0762044</v>
      </c>
      <c r="M2154" s="36" t="n">
        <f aca="false">cust_sh*tk_cx_gb300*cf_cx_lo+(1-cust_sh)*((1-Sens!$M$2151)*tk_cx_gb300+Sens!$M$2151*tk_cx_vr200)</f>
        <v>30.0762044</v>
      </c>
    </row>
    <row r="2155" customFormat="false" ht="17.15" hidden="false" customHeight="false" outlineLevel="0" collapsed="false">
      <c r="A2155" s="5" t="s">
        <v>564</v>
      </c>
      <c r="B2155" s="0" t="s">
        <v>108</v>
      </c>
      <c r="F2155" s="33" t="n">
        <f aca="false">Sens!$F$2145-mw_open</f>
        <v>1817.15</v>
      </c>
      <c r="G2155" s="33" t="n">
        <f aca="false">Sens!$F$2155</f>
        <v>1817.15</v>
      </c>
      <c r="H2155" s="33" t="n">
        <f aca="false">Sens!$H$2145-mw_open</f>
        <v>5451.45</v>
      </c>
      <c r="I2155" s="33" t="n">
        <f aca="false">Sens!$I$2145-mw_open</f>
        <v>9085.75</v>
      </c>
      <c r="J2155" s="33" t="n">
        <f aca="false">Sens!$J$2145-mw_open</f>
        <v>12720.05</v>
      </c>
      <c r="K2155" s="33" t="n">
        <f aca="false">Sens!$K$2145-mw_open</f>
        <v>16354.35</v>
      </c>
      <c r="L2155" s="33" t="n">
        <f aca="false">Sens!$L$2145-mw_open</f>
        <v>19988.65</v>
      </c>
      <c r="M2155" s="33" t="n">
        <f aca="false">Sens!$M$2145-mw_open</f>
        <v>23622.95</v>
      </c>
    </row>
    <row r="2156" customFormat="false" ht="17.15" hidden="false" customHeight="false" outlineLevel="0" collapsed="false">
      <c r="A2156" s="0" t="s">
        <v>565</v>
      </c>
      <c r="B2156" s="0" t="s">
        <v>566</v>
      </c>
      <c r="F2156" s="33" t="n">
        <f aca="false">Sens!$F$2148*Sens!$F$2152</f>
        <v>16814.9054896117</v>
      </c>
      <c r="G2156" s="33" t="n">
        <f aca="false">Sens!$F$2156</f>
        <v>16814.9054896117</v>
      </c>
      <c r="H2156" s="33" t="n">
        <f aca="false">Sens!$G$2156+Sens!$H$2148*Sens!$H$2152</f>
        <v>51661.352910583</v>
      </c>
      <c r="I2156" s="33" t="n">
        <f aca="false">Sens!$H$2156+Sens!$I$2148*Sens!$I$2152</f>
        <v>87724.436773302</v>
      </c>
      <c r="J2156" s="33" t="n">
        <f aca="false">Sens!$I$2156+Sens!$J$2148*Sens!$J$2152</f>
        <v>123787.520636021</v>
      </c>
      <c r="K2156" s="33" t="n">
        <f aca="false">Sens!$J$2156+Sens!$K$2148*Sens!$K$2152</f>
        <v>159850.60449874</v>
      </c>
      <c r="L2156" s="33" t="n">
        <f aca="false">Sens!$K$2156+Sens!$L$2148*Sens!$L$2152</f>
        <v>195913.688361459</v>
      </c>
      <c r="M2156" s="33" t="n">
        <f aca="false">Sens!$L$2156+Sens!$M$2148*Sens!$M$2152</f>
        <v>231976.772224178</v>
      </c>
    </row>
    <row r="2157" customFormat="false" ht="17.15" hidden="false" customHeight="false" outlineLevel="0" collapsed="false">
      <c r="A2157" s="0" t="s">
        <v>567</v>
      </c>
      <c r="B2157" s="0" t="s">
        <v>566</v>
      </c>
      <c r="F2157" s="33" t="n">
        <f aca="false">Sens!$F$2148*Sens!$F$2153</f>
        <v>3602.74485070566</v>
      </c>
      <c r="G2157" s="33" t="n">
        <f aca="false">Sens!$F$2157</f>
        <v>3602.74485070566</v>
      </c>
      <c r="H2157" s="33" t="n">
        <f aca="false">Sens!$G$2157+Sens!$H$2148*Sens!$H$2153</f>
        <v>10908.9598445736</v>
      </c>
      <c r="I2157" s="33" t="n">
        <f aca="false">Sens!$H$2157+Sens!$I$2148*Sens!$I$2153</f>
        <v>18315.9001308981</v>
      </c>
      <c r="J2157" s="33" t="n">
        <f aca="false">Sens!$I$2157+Sens!$J$2148*Sens!$J$2153</f>
        <v>25722.8404172225</v>
      </c>
      <c r="K2157" s="33" t="n">
        <f aca="false">Sens!$J$2157+Sens!$K$2148*Sens!$K$2153</f>
        <v>33129.780703547</v>
      </c>
      <c r="L2157" s="33" t="n">
        <f aca="false">Sens!$K$2157+Sens!$L$2148*Sens!$L$2153</f>
        <v>40536.7209898715</v>
      </c>
      <c r="M2157" s="33" t="n">
        <f aca="false">Sens!$L$2157+Sens!$M$2148*Sens!$M$2153</f>
        <v>47943.661276196</v>
      </c>
    </row>
    <row r="2158" customFormat="false" ht="17.15" hidden="false" customHeight="false" outlineLevel="0" collapsed="false">
      <c r="A2158" s="5" t="s">
        <v>568</v>
      </c>
      <c r="B2158" s="0" t="s">
        <v>151</v>
      </c>
      <c r="F2158" s="36" t="n">
        <f aca="false">IF(Sens!$F$2155&gt;0,Sens!$F$2156/Sens!$F$2155,Sens!$F$2152)</f>
        <v>9.25344935179358</v>
      </c>
      <c r="G2158" s="36" t="n">
        <f aca="false">IF(Sens!$G$2155&gt;0,Sens!$G$2156/Sens!$G$2155,Sens!$G$2152)</f>
        <v>9.25344935179358</v>
      </c>
      <c r="H2158" s="36" t="n">
        <f aca="false">IF(Sens!$H$2155&gt;0,Sens!$H$2156/Sens!$H$2155,Sens!$H$2152)</f>
        <v>9.47662601887258</v>
      </c>
      <c r="I2158" s="36" t="n">
        <f aca="false">IF(Sens!$I$2155&gt;0,Sens!$I$2156/Sens!$I$2155,Sens!$I$2152)</f>
        <v>9.65516735253578</v>
      </c>
      <c r="J2158" s="36" t="n">
        <f aca="false">IF(Sens!$J$2155&gt;0,Sens!$J$2156/Sens!$J$2155,Sens!$J$2152)</f>
        <v>9.73168506696287</v>
      </c>
      <c r="K2158" s="36" t="n">
        <f aca="false">IF(Sens!$K$2155&gt;0,Sens!$K$2156/Sens!$K$2155,Sens!$K$2152)</f>
        <v>9.77419490831125</v>
      </c>
      <c r="L2158" s="36" t="n">
        <f aca="false">IF(Sens!$L$2155&gt;0,Sens!$L$2156/Sens!$L$2155,Sens!$L$2152)</f>
        <v>9.80124662553295</v>
      </c>
      <c r="M2158" s="36" t="n">
        <f aca="false">IF(Sens!$M$2155&gt;0,Sens!$M$2156/Sens!$M$2155,Sens!$M$2152)</f>
        <v>9.81997473745566</v>
      </c>
    </row>
    <row r="2159" customFormat="false" ht="17.15" hidden="false" customHeight="false" outlineLevel="0" collapsed="false">
      <c r="A2159" s="5" t="s">
        <v>569</v>
      </c>
      <c r="B2159" s="0" t="s">
        <v>151</v>
      </c>
      <c r="F2159" s="36" t="n">
        <f aca="false">IF(Sens!$F$2155&gt;0,Sens!$F$2157/Sens!$F$2155,Sens!$F$2153)</f>
        <v>1.98263481314457</v>
      </c>
      <c r="G2159" s="36" t="n">
        <f aca="false">IF(Sens!$G$2155&gt;0,Sens!$G$2157/Sens!$G$2155,Sens!$G$2153)</f>
        <v>1.98263481314457</v>
      </c>
      <c r="H2159" s="36" t="n">
        <f aca="false">IF(Sens!$H$2155&gt;0,Sens!$H$2157/Sens!$H$2155,Sens!$H$2153)</f>
        <v>2.00111160233948</v>
      </c>
      <c r="I2159" s="36" t="n">
        <f aca="false">IF(Sens!$I$2155&gt;0,Sens!$I$2157/Sens!$I$2155,Sens!$I$2153)</f>
        <v>2.01589303369541</v>
      </c>
      <c r="J2159" s="36" t="n">
        <f aca="false">IF(Sens!$J$2155&gt;0,Sens!$J$2157/Sens!$J$2155,Sens!$J$2153)</f>
        <v>2.02222793284795</v>
      </c>
      <c r="K2159" s="36" t="n">
        <f aca="false">IF(Sens!$K$2155&gt;0,Sens!$K$2157/Sens!$K$2155,Sens!$K$2153)</f>
        <v>2.02574732126603</v>
      </c>
      <c r="L2159" s="36" t="n">
        <f aca="false">IF(Sens!$L$2155&gt;0,Sens!$L$2157/Sens!$L$2155,Sens!$L$2153)</f>
        <v>2.02798693207753</v>
      </c>
      <c r="M2159" s="36" t="n">
        <f aca="false">IF(Sens!$M$2155&gt;0,Sens!$M$2157/Sens!$M$2155,Sens!$M$2153)</f>
        <v>2.02953743187011</v>
      </c>
    </row>
    <row r="2160" customFormat="false" ht="17.15" hidden="false" customHeight="false" outlineLevel="0" collapsed="false">
      <c r="A2160" s="14" t="s">
        <v>570</v>
      </c>
      <c r="B2160" s="13" t="s">
        <v>151</v>
      </c>
      <c r="C2160" s="13"/>
      <c r="D2160" s="13"/>
      <c r="E2160" s="13"/>
      <c r="F2160" s="37" t="n">
        <f aca="false">Sens!$F$2158*k_B</f>
        <v>9.17894989368216</v>
      </c>
      <c r="G2160" s="37" t="n">
        <f aca="false">Sens!$G$2158*k_B</f>
        <v>9.17894989368216</v>
      </c>
      <c r="H2160" s="37" t="n">
        <f aca="false">Sens!$H$2158*k_B</f>
        <v>9.40032976692478</v>
      </c>
      <c r="I2160" s="37" t="n">
        <f aca="false">Sens!$I$2158*k_B</f>
        <v>9.57743366551888</v>
      </c>
      <c r="J2160" s="37" t="n">
        <f aca="false">Sens!$J$2158*k_B</f>
        <v>9.65333533634493</v>
      </c>
      <c r="K2160" s="37" t="n">
        <f aca="false">Sens!$K$2158*k_B</f>
        <v>9.69550293124828</v>
      </c>
      <c r="L2160" s="37" t="n">
        <f aca="false">Sens!$L$2158*k_B</f>
        <v>9.72233685527769</v>
      </c>
      <c r="M2160" s="37" t="n">
        <f aca="false">Sens!$M$2158*k_B</f>
        <v>9.74091418729805</v>
      </c>
      <c r="N2160" s="13"/>
      <c r="O2160" s="13"/>
      <c r="P2160" s="5" t="s">
        <v>571</v>
      </c>
    </row>
    <row r="2161" customFormat="false" ht="17.15" hidden="false" customHeight="false" outlineLevel="0" collapsed="false">
      <c r="A2161" s="5" t="s">
        <v>572</v>
      </c>
      <c r="B2161" s="0" t="s">
        <v>108</v>
      </c>
      <c r="F2161" s="33" t="n">
        <f aca="false">Sens!$F$2155/2</f>
        <v>908.575</v>
      </c>
      <c r="H2161" s="33" t="n">
        <f aca="false">(Sens!$G$2155+Sens!$H$2155)/2</f>
        <v>3634.3</v>
      </c>
      <c r="I2161" s="33" t="n">
        <f aca="false">(Sens!$H$2155+Sens!$I$2155)/2</f>
        <v>7268.6</v>
      </c>
      <c r="J2161" s="33" t="n">
        <f aca="false">(Sens!$I$2155+Sens!$J$2155)/2</f>
        <v>10902.9</v>
      </c>
      <c r="K2161" s="33" t="n">
        <f aca="false">(Sens!$J$2155+Sens!$K$2155)/2</f>
        <v>14537.2</v>
      </c>
      <c r="L2161" s="33" t="n">
        <f aca="false">(Sens!$K$2155+Sens!$L$2155)/2</f>
        <v>18171.5</v>
      </c>
      <c r="M2161" s="33" t="n">
        <f aca="false">(Sens!$L$2155+Sens!$M$2155)/2</f>
        <v>21805.8</v>
      </c>
    </row>
    <row r="2162" customFormat="false" ht="17.15" hidden="false" customHeight="false" outlineLevel="0" collapsed="false">
      <c r="A2162" s="1" t="s">
        <v>573</v>
      </c>
    </row>
    <row r="2163" customFormat="false" ht="17.15" hidden="false" customHeight="false" outlineLevel="0" collapsed="false">
      <c r="A2163" s="1" t="s">
        <v>574</v>
      </c>
      <c r="B2163" s="8" t="s">
        <v>73</v>
      </c>
      <c r="C2163" s="38" t="n">
        <f aca="false">Sens!$C$2146*rpm_open*Sens!$C$2147/1000</f>
        <v>2.32100535697364</v>
      </c>
      <c r="D2163" s="38" t="n">
        <f aca="false">Sens!$D$2146*rpm_open*Sens!$D$2147/1000</f>
        <v>8.70377008865116</v>
      </c>
      <c r="E2163" s="38" t="n">
        <f aca="false">Sens!$E$2146*rpm_open*Sens!$E$2147/1000</f>
        <v>8.51035297557002</v>
      </c>
      <c r="F2163" s="38" t="n">
        <f aca="false">(mw_open*rpm_open+Sens!$F$2161*Sens!$F$2160)*Sens!$F$2147/1000</f>
        <v>14.2275720800453</v>
      </c>
      <c r="G2163" s="38" t="n">
        <f aca="false">Sens!$E$2163+Sens!$F$2163</f>
        <v>22.7379250556153</v>
      </c>
      <c r="H2163" s="38" t="n">
        <f aca="false">(mw_open*rpm_open+Sens!$H$2161*Sens!$H$2160)/1000</f>
        <v>54.278998232373</v>
      </c>
      <c r="I2163" s="38" t="n">
        <f aca="false">(mw_open*rpm_open+Sens!$I$2161*Sens!$I$2160)/1000</f>
        <v>89.7299141016288</v>
      </c>
      <c r="J2163" s="38" t="n">
        <f aca="false">(mw_open*rpm_open+Sens!$J$2161*Sens!$J$2160)/1000</f>
        <v>125.364729599073</v>
      </c>
      <c r="K2163" s="38" t="n">
        <f aca="false">(mw_open*rpm_open+Sens!$K$2161*Sens!$K$2160)/1000</f>
        <v>161.060844972581</v>
      </c>
      <c r="L2163" s="38" t="n">
        <f aca="false">(mw_open*rpm_open+Sens!$L$2161*Sens!$L$2160)/1000</f>
        <v>196.784823926117</v>
      </c>
      <c r="M2163" s="38" t="n">
        <f aca="false">(mw_open*rpm_open+Sens!$M$2161*Sens!$M$2160)/1000</f>
        <v>232.523806345822</v>
      </c>
      <c r="N2163" s="38" t="n">
        <f aca="false">Sens!$N$2146*rpm_open*Sens!$N$2147/1000</f>
        <v>3.04631953102791</v>
      </c>
      <c r="O2163" s="38" t="n">
        <f aca="false">Sens!$O$2146*rpm_open*Sens!$O$2147/1000</f>
        <v>5.65745055762326</v>
      </c>
      <c r="P2163" s="5" t="s">
        <v>575</v>
      </c>
    </row>
    <row r="2164" customFormat="false" ht="17.15" hidden="false" customHeight="false" outlineLevel="0" collapsed="false">
      <c r="A2164" s="5" t="s">
        <v>576</v>
      </c>
      <c r="B2164" s="0" t="s">
        <v>151</v>
      </c>
      <c r="C2164" s="36" t="n">
        <f aca="false">Sens!$C$2163*1000/(Sens!$C$2146*Sens!$C$2147)</f>
        <v>9.67085565405685</v>
      </c>
      <c r="D2164" s="36" t="n">
        <f aca="false">Sens!$D$2163*1000/(Sens!$D$2146*Sens!$D$2147)</f>
        <v>9.67085565405685</v>
      </c>
      <c r="E2164" s="36" t="n">
        <f aca="false">Sens!$E$2163*1000/(Sens!$E$2146*Sens!$E$2147)</f>
        <v>9.67085565405685</v>
      </c>
      <c r="F2164" s="36" t="n">
        <f aca="false">Sens!$F$2163*1000/(Sens!$F$2146*Sens!$F$2147)</f>
        <v>9.52130836940365</v>
      </c>
      <c r="G2164" s="36" t="n">
        <f aca="false">Sens!$G$2163*1000/(Sens!$G$2146*Sens!$G$2147)</f>
        <v>9.57673620217235</v>
      </c>
      <c r="H2164" s="36" t="n">
        <f aca="false">Sens!$H$2163*1000/(Sens!$H$2146*Sens!$H$2147)</f>
        <v>9.49880094366291</v>
      </c>
      <c r="I2164" s="36" t="n">
        <f aca="false">Sens!$I$2163*1000/(Sens!$I$2146*Sens!$I$2147)</f>
        <v>9.59821942340338</v>
      </c>
      <c r="J2164" s="36" t="n">
        <f aca="false">Sens!$J$2163*1000/(Sens!$J$2146*Sens!$J$2147)</f>
        <v>9.65614227938853</v>
      </c>
      <c r="K2164" s="36" t="n">
        <f aca="false">Sens!$K$2163*1000/(Sens!$K$2146*Sens!$K$2147)</f>
        <v>9.69241779436853</v>
      </c>
      <c r="L2164" s="36" t="n">
        <f aca="false">Sens!$L$2163*1000/(Sens!$L$2146*Sens!$L$2147)</f>
        <v>9.71704930134147</v>
      </c>
      <c r="M2164" s="36" t="n">
        <f aca="false">Sens!$M$2163*1000/(Sens!$M$2146*Sens!$M$2147)</f>
        <v>9.7348134182578</v>
      </c>
      <c r="N2164" s="36" t="n">
        <f aca="false">Sens!$N$2163*1000/(Sens!$N$2146*Sens!$N$2147)</f>
        <v>9.67085565405685</v>
      </c>
      <c r="O2164" s="36" t="n">
        <f aca="false">Sens!$O$2163*1000/(Sens!$O$2146*Sens!$O$2147)</f>
        <v>9.67085565405685</v>
      </c>
    </row>
    <row r="2165" customFormat="false" ht="17.15" hidden="false" customHeight="false" outlineLevel="0" collapsed="false">
      <c r="A2165" s="0" t="s">
        <v>577</v>
      </c>
      <c r="B2165" s="0" t="s">
        <v>73</v>
      </c>
      <c r="C2165" s="38" t="n">
        <f aca="false">Sens!$C$2146/ext_sh*(ox_open+rent_mw)*Sens!$C$2147/1000</f>
        <v>0.642569210675032</v>
      </c>
      <c r="D2165" s="38" t="n">
        <f aca="false">Sens!$D$2146/ext_sh*(ox_open+rent_mw)*Sens!$D$2147/1000</f>
        <v>2.40963454003137</v>
      </c>
      <c r="E2165" s="38" t="n">
        <f aca="false">Sens!$E$2146/ext_sh*(ox_open+rent_mw)*Sens!$E$2147/1000</f>
        <v>2.35608710580845</v>
      </c>
      <c r="F2165" s="38" t="n">
        <f aca="false">((mw_open*ox_open+Sens!$F$2161*Sens!$F$2159)/ext_sh+Sens!$F$2146/ext_sh*rent_mw)*Sens!$F$2147/1000</f>
        <v>4.05421991106232</v>
      </c>
      <c r="G2165" s="38" t="n">
        <f aca="false">Sens!$E$2165+Sens!$F$2165</f>
        <v>6.41030701687077</v>
      </c>
      <c r="H2165" s="38" t="n">
        <f aca="false">((mw_open*ox_open+Sens!$H$2161*Sens!$H$2159)/ext_sh+Sens!$H$2146/ext_sh*rent_mw)*Sens!$H$2147/1000</f>
        <v>15.8108975546616</v>
      </c>
      <c r="I2165" s="38" t="n">
        <f aca="false">((mw_open*ox_open+Sens!$I$2161*Sens!$I$2159)/ext_sh+Sens!$I$2146/ext_sh*rent_mw)*Sens!$I$2147/1000</f>
        <v>26.1871623400817</v>
      </c>
      <c r="J2165" s="38" t="n">
        <f aca="false">((mw_open*ox_open+Sens!$J$2161*Sens!$J$2159)/ext_sh+Sens!$J$2146/ext_sh*rent_mw)*Sens!$J$2147/1000</f>
        <v>36.5826128954935</v>
      </c>
      <c r="K2165" s="38" t="n">
        <f aca="false">((mw_open*ox_open+Sens!$K$2161*Sens!$K$2159)/ext_sh+Sens!$K$2146/ext_sh*rent_mw)*Sens!$K$2147/1000</f>
        <v>46.9844587075692</v>
      </c>
      <c r="L2165" s="38" t="n">
        <f aca="false">((mw_open*ox_open+Sens!$L$2161*Sens!$L$2159)/ext_sh+Sens!$L$2146/ext_sh*rent_mw)*Sens!$L$2147/1000</f>
        <v>57.3892114544922</v>
      </c>
      <c r="M2165" s="38" t="n">
        <f aca="false">((mw_open*ox_open+Sens!$M$2161*Sens!$M$2159)/ext_sh+Sens!$M$2146/ext_sh*rent_mw)*Sens!$M$2147/1000</f>
        <v>67.7955294740252</v>
      </c>
      <c r="N2165" s="38" t="n">
        <f aca="false">Sens!$N$2146/ext_sh*(ox_open+rent_mw)*Sens!$N$2147/1000</f>
        <v>0.84337208901098</v>
      </c>
      <c r="O2165" s="38" t="n">
        <f aca="false">Sens!$O$2146/ext_sh*(ox_open+rent_mw)*Sens!$O$2147/1000</f>
        <v>1.56626245102039</v>
      </c>
    </row>
    <row r="2166" customFormat="false" ht="17.15" hidden="false" customHeight="false" outlineLevel="0" collapsed="false">
      <c r="A2166" s="0" t="s">
        <v>578</v>
      </c>
      <c r="B2166" s="0" t="s">
        <v>73</v>
      </c>
      <c r="C2166" s="38" t="n">
        <f aca="false">Q!$D$7</f>
        <v>107.556</v>
      </c>
      <c r="D2166" s="38" t="n">
        <f aca="false">Q!$E$7</f>
        <v>128.725</v>
      </c>
      <c r="E2166" s="38" t="n">
        <f aca="false">Q!$P$7</f>
        <v>79.819</v>
      </c>
      <c r="N2166" s="38" t="n">
        <f aca="false">Q!$N$7</f>
        <v>60.14</v>
      </c>
      <c r="O2166" s="38" t="n">
        <f aca="false">Q!$O$7</f>
        <v>68.585</v>
      </c>
    </row>
    <row r="2167" customFormat="false" ht="17.15" hidden="false" customHeight="false" outlineLevel="0" collapsed="false">
      <c r="A2167" s="1" t="s">
        <v>579</v>
      </c>
      <c r="B2167" s="8" t="s">
        <v>73</v>
      </c>
      <c r="C2167" s="38" t="n">
        <f aca="false">Sens!$C$2166-Sens!$C$2163</f>
        <v>105.234994643026</v>
      </c>
      <c r="D2167" s="38" t="n">
        <f aca="false">Sens!$D$2166-Sens!$D$2163</f>
        <v>120.021229911349</v>
      </c>
      <c r="E2167" s="38" t="n">
        <f aca="false">Sens!$E$2166-Sens!$E$2163</f>
        <v>71.30864702443</v>
      </c>
      <c r="F2167" s="38" t="n">
        <f aca="false">Sens!$O$2167*(1+Sens!$F$2168)</f>
        <v>78.5950104186653</v>
      </c>
      <c r="G2167" s="38" t="n">
        <f aca="false">Sens!$E$2167+Sens!$F$2167</f>
        <v>149.903657443095</v>
      </c>
      <c r="H2167" s="38" t="n">
        <f aca="false">Sens!$G$2167*(1+Sens!$H$2168)</f>
        <v>180.893560768142</v>
      </c>
      <c r="I2167" s="38" t="n">
        <f aca="false">Sens!$H$2167*(1+Sens!$I$2168)</f>
        <v>210.64839721501</v>
      </c>
      <c r="J2167" s="38" t="n">
        <f aca="false">Sens!$I$2167*(1+Sens!$J$2168)</f>
        <v>236.398909446495</v>
      </c>
      <c r="K2167" s="38" t="n">
        <f aca="false">Sens!$J$2167*(1+Sens!$K$2168)</f>
        <v>255.310822202215</v>
      </c>
      <c r="L2167" s="38" t="n">
        <f aca="false">Sens!$K$2167*(1+Sens!$L$2168)</f>
        <v>275.735687978392</v>
      </c>
      <c r="M2167" s="38" t="n">
        <f aca="false">Sens!$L$2167*(1+Sens!$M$2168)</f>
        <v>297.794543016663</v>
      </c>
      <c r="N2167" s="38" t="n">
        <f aca="false">Sens!$N$2166-Sens!$N$2163</f>
        <v>57.0936804689721</v>
      </c>
      <c r="O2167" s="38" t="n">
        <f aca="false">Sens!$O$2166-Sens!$O$2163</f>
        <v>62.9275494423768</v>
      </c>
      <c r="P2167" s="5" t="s">
        <v>580</v>
      </c>
    </row>
    <row r="2168" customFormat="false" ht="17.15" hidden="false" customHeight="false" outlineLevel="0" collapsed="false">
      <c r="A2168" s="0" t="s">
        <v>581</v>
      </c>
      <c r="B2168" s="0" t="s">
        <v>52</v>
      </c>
      <c r="E2168" s="12" t="n">
        <f aca="false">Sens!$E$2167/Sens!$N$2167-1</f>
        <v>0.248976181579029</v>
      </c>
      <c r="F2168" s="12" t="n">
        <f aca="false">Sens!$E$2168</f>
        <v>0.248976181579029</v>
      </c>
      <c r="G2168" s="12" t="n">
        <f aca="false">Sens!$G$2167/Sens!$D$2167-1</f>
        <v>0.248976181579029</v>
      </c>
      <c r="H2168" s="12" t="n">
        <f aca="false">Sens!$E$2168+(g_awso_lt-Sens!$E$2168)*1/4</f>
        <v>0.206732136184272</v>
      </c>
      <c r="I2168" s="12" t="n">
        <f aca="false">Sens!$E$2168+(g_awso_lt-Sens!$E$2168)*2/4</f>
        <v>0.164488090789515</v>
      </c>
      <c r="J2168" s="12" t="n">
        <f aca="false">Sens!$E$2168+(g_awso_lt-Sens!$E$2168)*3/4</f>
        <v>0.122244045394757</v>
      </c>
      <c r="K2168" s="12" t="n">
        <f aca="false">Sens!$E$2168+(g_awso_lt-Sens!$E$2168)*4/4</f>
        <v>0.08</v>
      </c>
      <c r="L2168" s="12" t="n">
        <f aca="false">g_awso_lt</f>
        <v>0.08</v>
      </c>
      <c r="M2168" s="12" t="n">
        <f aca="false">g_awso_lt</f>
        <v>0.08</v>
      </c>
      <c r="P2168" s="8" t="s">
        <v>582</v>
      </c>
    </row>
    <row r="2169" customFormat="false" ht="17.15" hidden="false" customHeight="false" outlineLevel="0" collapsed="false">
      <c r="A2169" s="1" t="s">
        <v>583</v>
      </c>
    </row>
    <row r="2170" customFormat="false" ht="17.15" hidden="false" customHeight="false" outlineLevel="0" collapsed="false">
      <c r="A2170" s="0" t="s">
        <v>584</v>
      </c>
      <c r="B2170" s="0" t="s">
        <v>73</v>
      </c>
      <c r="F2170" s="38" t="n">
        <f aca="false">cx_rt*Sens!$F$2136+cx_awso*Sens!$F$2167</f>
        <v>36.8045765066526</v>
      </c>
    </row>
    <row r="2171" customFormat="false" ht="17.15" hidden="false" customHeight="false" outlineLevel="0" collapsed="false">
      <c r="A2171" s="0" t="s">
        <v>585</v>
      </c>
      <c r="B2171" s="0" t="s">
        <v>52</v>
      </c>
      <c r="C2171" s="12" t="n">
        <f aca="false">tk_cx_h100/(tk_cx_h100+tk_fac*(1-colo_sh))</f>
        <v>0.730756458006641</v>
      </c>
      <c r="D2171" s="12" t="n">
        <f aca="false">tk_cx_h100/(tk_cx_h100+tk_fac*(1-colo_sh))</f>
        <v>0.730756458006641</v>
      </c>
      <c r="E2171" s="12" t="n">
        <f aca="false">Sens!$F$2171</f>
        <v>0.729977699930228</v>
      </c>
      <c r="F2171" s="12" t="n">
        <f aca="false">Sens!$F$2154/(Sens!$F$2154+tk_fac*(1-colo_sh))</f>
        <v>0.729977699930228</v>
      </c>
      <c r="G2171" s="12" t="n">
        <f aca="false">Sens!$G$2154/(Sens!$G$2154+tk_fac*(1-colo_sh))</f>
        <v>0.729977699930228</v>
      </c>
      <c r="H2171" s="12" t="n">
        <f aca="false">Sens!$H$2154/(Sens!$H$2154+tk_fac*(1-colo_sh))</f>
        <v>0.739266360567706</v>
      </c>
      <c r="I2171" s="12" t="n">
        <f aca="false">Sens!$I$2154/(Sens!$I$2154+tk_fac*(1-colo_sh))</f>
        <v>0.747937220770717</v>
      </c>
      <c r="J2171" s="12" t="n">
        <f aca="false">Sens!$J$2154/(Sens!$J$2154+tk_fac*(1-colo_sh))</f>
        <v>0.747937220770717</v>
      </c>
      <c r="K2171" s="12" t="n">
        <f aca="false">Sens!$K$2154/(Sens!$K$2154+tk_fac*(1-colo_sh))</f>
        <v>0.747937220770717</v>
      </c>
      <c r="L2171" s="12" t="n">
        <f aca="false">Sens!$L$2154/(Sens!$L$2154+tk_fac*(1-colo_sh))</f>
        <v>0.747937220770717</v>
      </c>
      <c r="M2171" s="12" t="n">
        <f aca="false">Sens!$M$2154/(Sens!$M$2154+tk_fac*(1-colo_sh))</f>
        <v>0.747937220770717</v>
      </c>
    </row>
    <row r="2172" customFormat="false" ht="17.15" hidden="false" customHeight="false" outlineLevel="0" collapsed="false">
      <c r="A2172" s="1" t="s">
        <v>586</v>
      </c>
      <c r="B2172" s="8" t="s">
        <v>73</v>
      </c>
      <c r="C2172" s="38" t="n">
        <f aca="false">Q!$D$46-cx_rt*Q!$D$16-cx_awso*Sens!$C$2167</f>
        <v>25.2781053077374</v>
      </c>
      <c r="D2172" s="38" t="n">
        <f aca="false">Q!$E$46-cx_rt*Q!$E$16-cx_awso*Sens!$D$2167</f>
        <v>69.5686316310026</v>
      </c>
      <c r="E2172" s="38" t="n">
        <f aca="false">Q!$P$46-cx_rt*Q!$P$16-cx_awso*Sens!$E$2167</f>
        <v>64.1899206485108</v>
      </c>
      <c r="F2172" s="38" t="n">
        <f aca="false">MAX(Sens!$F$2149*(Sens!$F$2154+tk_fac*(1-colo_sh))/1000,capex_g26-Q!$P$46-Sens!$F$2170)</f>
        <v>86.8854234933474</v>
      </c>
      <c r="G2172" s="38" t="n">
        <f aca="false">Sens!$E$2172+Sens!$F$2172</f>
        <v>151.075344141858</v>
      </c>
      <c r="H2172" s="38" t="n">
        <f aca="false">Sens!$H$2149*(Sens!$H$2154+tk_fac*(1-colo_sh))/1000+Sens!$H$2173</f>
        <v>176.6039130979</v>
      </c>
      <c r="I2172" s="38" t="n">
        <f aca="false">Sens!$I$2149*(Sens!$I$2154+tk_fac*(1-colo_sh))/1000+Sens!$I$2173</f>
        <v>182.67901806365</v>
      </c>
      <c r="J2172" s="38" t="n">
        <f aca="false">Sens!$J$2149*(Sens!$J$2154+tk_fac*(1-colo_sh))/1000+Sens!$J$2173</f>
        <v>187.19044872365</v>
      </c>
      <c r="K2172" s="38" t="n">
        <f aca="false">Sens!$K$2149*(Sens!$K$2154+tk_fac*(1-colo_sh))/1000+Sens!$K$2173</f>
        <v>191.70187938365</v>
      </c>
      <c r="L2172" s="38" t="n">
        <f aca="false">Sens!$L$2149*(Sens!$L$2154+tk_fac*(1-colo_sh))/1000+Sens!$L$2173</f>
        <v>223.28189400365</v>
      </c>
      <c r="M2172" s="38" t="n">
        <f aca="false">Sens!$M$2149*(Sens!$M$2154+tk_fac*(1-colo_sh))/1000+Sens!$M$2173</f>
        <v>275.056200115475</v>
      </c>
      <c r="P2172" s="5" t="s">
        <v>587</v>
      </c>
      <c r="R2172" s="38" t="n">
        <f aca="false">Q!$C$46-cx_rt*Q!$C$16-cx_awso*(Q!$C$7-mw_ye23/2*rpm_open/1000)</f>
        <v>1.50429979529945</v>
      </c>
      <c r="S2172" s="38" t="n">
        <f aca="false">Sens!$C$2172</f>
        <v>25.2781053077374</v>
      </c>
      <c r="T2172" s="38" t="n">
        <f aca="false">Sens!$D$2172</f>
        <v>69.5686316310026</v>
      </c>
      <c r="U2172" s="38" t="n">
        <f aca="false">Sens!$G$2172</f>
        <v>151.075344141858</v>
      </c>
      <c r="V2172" s="38" t="n">
        <f aca="false">Sens!$H$2172</f>
        <v>176.6039130979</v>
      </c>
      <c r="W2172" s="38" t="n">
        <f aca="false">Sens!$I$2172</f>
        <v>182.67901806365</v>
      </c>
      <c r="X2172" s="38" t="n">
        <f aca="false">Sens!$J$2172</f>
        <v>187.19044872365</v>
      </c>
      <c r="Y2172" s="38" t="n">
        <f aca="false">Sens!$K$2172</f>
        <v>191.70187938365</v>
      </c>
      <c r="Z2172" s="38" t="n">
        <f aca="false">Sens!$L$2172</f>
        <v>223.28189400365</v>
      </c>
      <c r="AA2172" s="38" t="n">
        <f aca="false">Sens!$M$2172</f>
        <v>275.056200115475</v>
      </c>
    </row>
    <row r="2173" customFormat="false" ht="17.15" hidden="false" customHeight="false" outlineLevel="0" collapsed="false">
      <c r="A2173" s="0" t="s">
        <v>588</v>
      </c>
      <c r="B2173" s="0" t="s">
        <v>73</v>
      </c>
      <c r="H2173" s="38" t="n">
        <f aca="false">SUMPRODUCT(--(Sens!$R$2143:$AA$2143=2027-tk_life),Sens!$R$2149:$AA$2149)*Sens!$H$2154/1000</f>
        <v>0</v>
      </c>
      <c r="I2173" s="38" t="n">
        <f aca="false">SUMPRODUCT(--(Sens!$R$2143:$AA$2143=2028-tk_life),Sens!$R$2149:$AA$2149)*Sens!$I$2154/1000</f>
        <v>0</v>
      </c>
      <c r="J2173" s="38" t="n">
        <f aca="false">SUMPRODUCT(--(Sens!$R$2143:$AA$2143=2029-tk_life),Sens!$R$2149:$AA$2149)*Sens!$J$2154/1000</f>
        <v>4.51143066</v>
      </c>
      <c r="K2173" s="38" t="n">
        <f aca="false">SUMPRODUCT(--(Sens!$R$2143:$AA$2143=2030-tk_life),Sens!$R$2149:$AA$2149)*Sens!$K$2154/1000</f>
        <v>9.02286132</v>
      </c>
      <c r="L2173" s="38" t="n">
        <f aca="false">SUMPRODUCT(--(Sens!$R$2143:$AA$2143=2031-tk_life),Sens!$R$2149:$AA$2149)*Sens!$L$2154/1000</f>
        <v>40.60287594</v>
      </c>
      <c r="M2173" s="38" t="n">
        <f aca="false">SUMPRODUCT(--(Sens!$R$2143:$AA$2143=2032-tk_life),Sens!$R$2149:$AA$2149)*Sens!$M$2154/1000</f>
        <v>92.377182051825</v>
      </c>
    </row>
    <row r="2174" customFormat="false" ht="17.15" hidden="false" customHeight="false" outlineLevel="0" collapsed="false">
      <c r="A2174" s="5" t="s">
        <v>589</v>
      </c>
      <c r="B2174" s="0" t="s">
        <v>73</v>
      </c>
      <c r="C2174" s="38" t="n">
        <f aca="false">Sens!$C$2172*Sens!$C$2171</f>
        <v>18.472138699801</v>
      </c>
      <c r="D2174" s="38" t="n">
        <f aca="false">Sens!$D$2172*Sens!$D$2171</f>
        <v>50.8377268390402</v>
      </c>
      <c r="E2174" s="38" t="n">
        <f aca="false">Sens!$E$2172*Sens!$E$2171</f>
        <v>46.8572106337037</v>
      </c>
      <c r="F2174" s="38" t="n">
        <f aca="false">Sens!$F$2172*Sens!$F$2171</f>
        <v>63.4244215991375</v>
      </c>
      <c r="G2174" s="38" t="n">
        <f aca="false">Sens!$E$2174+Sens!$F$2174</f>
        <v>110.281632232841</v>
      </c>
      <c r="H2174" s="38" t="n">
        <f aca="false">(Sens!$H$2172-Sens!$H$2173)*Sens!$H$2171+Sens!$H$2173</f>
        <v>130.5573320979</v>
      </c>
      <c r="I2174" s="38" t="n">
        <f aca="false">(Sens!$I$2172-Sens!$I$2173)*Sens!$I$2171+Sens!$I$2173</f>
        <v>136.63243706365</v>
      </c>
      <c r="J2174" s="38" t="n">
        <f aca="false">(Sens!$J$2172-Sens!$J$2173)*Sens!$J$2171+Sens!$J$2173</f>
        <v>141.14386772365</v>
      </c>
      <c r="K2174" s="38" t="n">
        <f aca="false">(Sens!$K$2172-Sens!$K$2173)*Sens!$K$2171+Sens!$K$2173</f>
        <v>145.65529838365</v>
      </c>
      <c r="L2174" s="38" t="n">
        <f aca="false">(Sens!$L$2172-Sens!$L$2173)*Sens!$L$2171+Sens!$L$2173</f>
        <v>177.23531300365</v>
      </c>
      <c r="M2174" s="38" t="n">
        <f aca="false">(Sens!$M$2172-Sens!$M$2173)*Sens!$M$2171+Sens!$M$2173</f>
        <v>229.009619115475</v>
      </c>
      <c r="R2174" s="38" t="n">
        <f aca="false">Sens!$R$2172*Sens!$C$2171</f>
        <v>1.09927679019314</v>
      </c>
      <c r="S2174" s="38" t="n">
        <f aca="false">Sens!$C$2174</f>
        <v>18.472138699801</v>
      </c>
      <c r="T2174" s="38" t="n">
        <f aca="false">Sens!$D$2174</f>
        <v>50.8377268390402</v>
      </c>
      <c r="U2174" s="38" t="n">
        <f aca="false">Sens!$G$2174</f>
        <v>110.281632232841</v>
      </c>
      <c r="V2174" s="38" t="n">
        <f aca="false">Sens!$H$2174</f>
        <v>130.5573320979</v>
      </c>
      <c r="W2174" s="38" t="n">
        <f aca="false">Sens!$I$2174</f>
        <v>136.63243706365</v>
      </c>
      <c r="X2174" s="38" t="n">
        <f aca="false">Sens!$J$2174</f>
        <v>141.14386772365</v>
      </c>
      <c r="Y2174" s="38" t="n">
        <f aca="false">Sens!$K$2174</f>
        <v>145.65529838365</v>
      </c>
      <c r="Z2174" s="38" t="n">
        <f aca="false">Sens!$L$2174</f>
        <v>177.23531300365</v>
      </c>
      <c r="AA2174" s="38" t="n">
        <f aca="false">Sens!$M$2174</f>
        <v>229.009619115475</v>
      </c>
    </row>
    <row r="2175" customFormat="false" ht="15" hidden="false" customHeight="false" outlineLevel="0" collapsed="false">
      <c r="A2175" s="5" t="s">
        <v>590</v>
      </c>
      <c r="B2175" s="0" t="s">
        <v>73</v>
      </c>
      <c r="C2175" s="38" t="n">
        <f aca="false">Sens!$C$2172-Sens!$C$2174</f>
        <v>6.80596660793636</v>
      </c>
      <c r="D2175" s="38" t="n">
        <f aca="false">Sens!$D$2172-Sens!$D$2174</f>
        <v>18.7309047919624</v>
      </c>
      <c r="E2175" s="38" t="n">
        <f aca="false">Sens!$E$2172-Sens!$E$2174</f>
        <v>17.332710014807</v>
      </c>
      <c r="F2175" s="38" t="n">
        <f aca="false">Sens!$F$2172-Sens!$F$2174</f>
        <v>23.4610018942099</v>
      </c>
      <c r="G2175" s="38" t="n">
        <f aca="false">Sens!$G$2172-Sens!$G$2174</f>
        <v>40.7937119090169</v>
      </c>
      <c r="H2175" s="38" t="n">
        <f aca="false">Sens!$H$2172-Sens!$H$2174</f>
        <v>46.046581</v>
      </c>
      <c r="I2175" s="38" t="n">
        <f aca="false">Sens!$I$2172-Sens!$I$2174</f>
        <v>46.046581</v>
      </c>
      <c r="J2175" s="38" t="n">
        <f aca="false">Sens!$J$2172-Sens!$J$2174</f>
        <v>46.046581</v>
      </c>
      <c r="K2175" s="38" t="n">
        <f aca="false">Sens!$K$2172-Sens!$K$2174</f>
        <v>46.046581</v>
      </c>
      <c r="L2175" s="38" t="n">
        <f aca="false">Sens!$L$2172-Sens!$L$2174</f>
        <v>46.046581</v>
      </c>
      <c r="M2175" s="38" t="n">
        <f aca="false">Sens!$M$2172-Sens!$M$2174</f>
        <v>46.046581</v>
      </c>
      <c r="R2175" s="38" t="n">
        <f aca="false">Sens!$R$2172-Sens!$R$2174</f>
        <v>0.405023005106309</v>
      </c>
      <c r="S2175" s="38" t="n">
        <f aca="false">Sens!$S$2172-Sens!$S$2174</f>
        <v>6.80596660793636</v>
      </c>
      <c r="T2175" s="38" t="n">
        <f aca="false">Sens!$T$2172-Sens!$T$2174</f>
        <v>18.7309047919624</v>
      </c>
      <c r="U2175" s="38" t="n">
        <f aca="false">Sens!$U$2172-Sens!$U$2174</f>
        <v>40.7937119090169</v>
      </c>
      <c r="V2175" s="38" t="n">
        <f aca="false">Sens!$V$2172-Sens!$V$2174</f>
        <v>46.046581</v>
      </c>
      <c r="W2175" s="38" t="n">
        <f aca="false">Sens!$W$2172-Sens!$W$2174</f>
        <v>46.046581</v>
      </c>
      <c r="X2175" s="38" t="n">
        <f aca="false">Sens!$X$2172-Sens!$X$2174</f>
        <v>46.046581</v>
      </c>
      <c r="Y2175" s="38" t="n">
        <f aca="false">Sens!$Y$2172-Sens!$Y$2174</f>
        <v>46.046581</v>
      </c>
      <c r="Z2175" s="38" t="n">
        <f aca="false">Sens!$Z$2172-Sens!$Z$2174</f>
        <v>46.046581</v>
      </c>
      <c r="AA2175" s="38" t="n">
        <f aca="false">Sens!$AA$2172-Sens!$AA$2174</f>
        <v>46.046581</v>
      </c>
    </row>
    <row r="2176" customFormat="false" ht="17.15" hidden="false" customHeight="false" outlineLevel="0" collapsed="false">
      <c r="A2176" s="0" t="s">
        <v>591</v>
      </c>
      <c r="B2176" s="0" t="s">
        <v>52</v>
      </c>
      <c r="C2176" s="12" t="n">
        <f aca="false">Sens!$C$2172/Sens!$C$2288</f>
        <v>0.325505489553393</v>
      </c>
      <c r="D2176" s="12" t="n">
        <f aca="false">Sens!$D$2172/Sens!$D$2288</f>
        <v>0.54214956071542</v>
      </c>
      <c r="E2176" s="12" t="n">
        <f aca="false">Sens!$E$2172/Sens!$E$2288</f>
        <v>0.666492790452817</v>
      </c>
      <c r="F2176" s="12" t="n">
        <f aca="false">Sens!$F$2172/Sens!$F$2288</f>
        <v>0.702445011669071</v>
      </c>
      <c r="G2176" s="12" t="n">
        <f aca="false">Sens!$G$2172/Sens!$G$2288</f>
        <v>0.686706109735719</v>
      </c>
      <c r="H2176" s="12" t="n">
        <f aca="false">Sens!$H$2172/Sens!$H$2288</f>
        <v>0.690121420094815</v>
      </c>
      <c r="I2176" s="12" t="n">
        <f aca="false">Sens!$I$2172/Sens!$I$2288</f>
        <v>0.671695498009824</v>
      </c>
      <c r="J2176" s="12" t="n">
        <f aca="false">Sens!$J$2172/Sens!$J$2288</f>
        <v>0.655942612601467</v>
      </c>
      <c r="K2176" s="12" t="n">
        <f aca="false">Sens!$K$2172/Sens!$K$2288</f>
        <v>0.64553127670069</v>
      </c>
      <c r="L2176" s="12" t="n">
        <f aca="false">Sens!$L$2172/Sens!$L$2288</f>
        <v>0.664211317859367</v>
      </c>
      <c r="M2176" s="12" t="n">
        <f aca="false">Sens!$M$2172/Sens!$M$2288</f>
        <v>0.694369761988426</v>
      </c>
    </row>
    <row r="2177" customFormat="false" ht="17.15" hidden="false" customHeight="false" outlineLevel="0" collapsed="false">
      <c r="A2177" s="0" t="s">
        <v>592</v>
      </c>
      <c r="B2177" s="0" t="s">
        <v>73</v>
      </c>
      <c r="C2177" s="38" t="n">
        <f aca="false">Sens!$S$2177</f>
        <v>0.183212798365523</v>
      </c>
      <c r="D2177" s="38" t="n">
        <f aca="false">Sens!$T$2177</f>
        <v>3.2619025816657</v>
      </c>
      <c r="E2177" s="38" t="n">
        <f aca="false">Sens!$G$2177/2</f>
        <v>5.86742852741953</v>
      </c>
      <c r="F2177" s="38" t="n">
        <f aca="false">Sens!$G$2177/2</f>
        <v>5.86742852741953</v>
      </c>
      <c r="G2177" s="38" t="n">
        <f aca="false">Sens!$U$2177</f>
        <v>11.7348570548391</v>
      </c>
      <c r="H2177" s="38" t="n">
        <f aca="false">Sens!$V$2177</f>
        <v>30.1151290936459</v>
      </c>
      <c r="I2177" s="38" t="n">
        <f aca="false">Sens!$W$2177</f>
        <v>51.874684443296</v>
      </c>
      <c r="J2177" s="38" t="n">
        <f aca="false">Sens!$X$2177</f>
        <v>74.6467572872376</v>
      </c>
      <c r="K2177" s="38" t="n">
        <f aca="false">Sens!$Y$2177</f>
        <v>97.9875224428138</v>
      </c>
      <c r="L2177" s="38" t="n">
        <f aca="false">Sens!$Z$2177</f>
        <v>119.184715723455</v>
      </c>
      <c r="M2177" s="38" t="n">
        <f aca="false">Sens!$AA$2177</f>
        <v>140.250980084224</v>
      </c>
      <c r="N2177" s="38" t="n">
        <f aca="false">Sens!$D$2177/2</f>
        <v>1.63095129083285</v>
      </c>
      <c r="O2177" s="38" t="n">
        <f aca="false">Sens!$D$2177/2</f>
        <v>1.63095129083285</v>
      </c>
      <c r="R2177" s="38" t="n">
        <f aca="false">SUMPRODUCT(--(Sens!$R$2143:$AA$2143&lt;Sens!R$2143),--(Sens!$R$2143:$AA$2143&gt;=Sens!R$2143-tk_life),Sens!$R$2174:$AA$2174)/tk_life</f>
        <v>0</v>
      </c>
      <c r="S2177" s="38" t="n">
        <f aca="false">SUMPRODUCT(--(Sens!$R$2143:$AA$2143&lt;Sens!S$2143),--(Sens!$R$2143:$AA$2143&gt;=Sens!S$2143-tk_life),Sens!$R$2174:$AA$2174)/tk_life</f>
        <v>0.183212798365523</v>
      </c>
      <c r="T2177" s="38" t="n">
        <f aca="false">SUMPRODUCT(--(Sens!$R$2143:$AA$2143&lt;Sens!T$2143),--(Sens!$R$2143:$AA$2143&gt;=Sens!T$2143-tk_life),Sens!$R$2174:$AA$2174)/tk_life</f>
        <v>3.2619025816657</v>
      </c>
      <c r="U2177" s="38" t="n">
        <f aca="false">SUMPRODUCT(--(Sens!$R$2143:$AA$2143&lt;Sens!U$2143),--(Sens!$R$2143:$AA$2143&gt;=Sens!U$2143-tk_life),Sens!$R$2174:$AA$2174)/tk_life</f>
        <v>11.7348570548391</v>
      </c>
      <c r="V2177" s="38" t="n">
        <f aca="false">SUMPRODUCT(--(Sens!$R$2143:$AA$2143&lt;Sens!V$2143),--(Sens!$R$2143:$AA$2143&gt;=Sens!V$2143-tk_life),Sens!$R$2174:$AA$2174)/tk_life</f>
        <v>30.1151290936459</v>
      </c>
      <c r="W2177" s="38" t="n">
        <f aca="false">SUMPRODUCT(--(Sens!$R$2143:$AA$2143&lt;Sens!W$2143),--(Sens!$R$2143:$AA$2143&gt;=Sens!W$2143-tk_life),Sens!$R$2174:$AA$2174)/tk_life</f>
        <v>51.874684443296</v>
      </c>
      <c r="X2177" s="38" t="n">
        <f aca="false">SUMPRODUCT(--(Sens!$R$2143:$AA$2143&lt;Sens!X$2143),--(Sens!$R$2143:$AA$2143&gt;=Sens!X$2143-tk_life),Sens!$R$2174:$AA$2174)/tk_life</f>
        <v>74.6467572872376</v>
      </c>
      <c r="Y2177" s="38" t="n">
        <f aca="false">SUMPRODUCT(--(Sens!$R$2143:$AA$2143&lt;Sens!Y$2143),--(Sens!$R$2143:$AA$2143&gt;=Sens!Y$2143-tk_life),Sens!$R$2174:$AA$2174)/tk_life</f>
        <v>97.9875224428138</v>
      </c>
      <c r="Z2177" s="38" t="n">
        <f aca="false">SUMPRODUCT(--(Sens!$R$2143:$AA$2143&lt;Sens!Z$2143),--(Sens!$R$2143:$AA$2143&gt;=Sens!Z$2143-tk_life),Sens!$R$2174:$AA$2174)/tk_life</f>
        <v>119.184715723455</v>
      </c>
      <c r="AA2177" s="38" t="n">
        <f aca="false">SUMPRODUCT(--(Sens!$R$2143:$AA$2143&lt;Sens!AA$2143),--(Sens!$R$2143:$AA$2143&gt;=Sens!AA$2143-tk_life),Sens!$R$2174:$AA$2174)/tk_life</f>
        <v>140.250980084224</v>
      </c>
    </row>
    <row r="2178" customFormat="false" ht="17.15" hidden="false" customHeight="false" outlineLevel="0" collapsed="false">
      <c r="A2178" s="0" t="s">
        <v>593</v>
      </c>
      <c r="B2178" s="0" t="s">
        <v>73</v>
      </c>
      <c r="C2178" s="38" t="n">
        <f aca="false">Sens!$S$2178</f>
        <v>0.0202511502553155</v>
      </c>
      <c r="D2178" s="38" t="n">
        <f aca="false">Sens!$T$2178</f>
        <v>0.360549480652134</v>
      </c>
      <c r="E2178" s="38" t="n">
        <f aca="false">Sens!$G$2178/2</f>
        <v>0.648547360125127</v>
      </c>
      <c r="F2178" s="38" t="n">
        <f aca="false">Sens!$G$2178/2</f>
        <v>0.648547360125127</v>
      </c>
      <c r="G2178" s="38" t="n">
        <f aca="false">Sens!$U$2178</f>
        <v>1.29709472025025</v>
      </c>
      <c r="H2178" s="38" t="n">
        <f aca="false">Sens!$V$2178</f>
        <v>3.3367803157011</v>
      </c>
      <c r="I2178" s="38" t="n">
        <f aca="false">Sens!$W$2178</f>
        <v>5.6391093657011</v>
      </c>
      <c r="J2178" s="38" t="n">
        <f aca="false">Sens!$X$2178</f>
        <v>7.9414384157011</v>
      </c>
      <c r="K2178" s="38" t="n">
        <f aca="false">Sens!$Y$2178</f>
        <v>10.2437674657011</v>
      </c>
      <c r="L2178" s="38" t="n">
        <f aca="false">Sens!$Z$2178</f>
        <v>12.5460965157011</v>
      </c>
      <c r="M2178" s="38" t="n">
        <f aca="false">Sens!$AA$2178</f>
        <v>14.8484255657011</v>
      </c>
      <c r="N2178" s="38" t="n">
        <f aca="false">Sens!$D$2178/2</f>
        <v>0.180274740326067</v>
      </c>
      <c r="O2178" s="38" t="n">
        <f aca="false">Sens!$D$2178/2</f>
        <v>0.180274740326067</v>
      </c>
      <c r="R2178" s="38" t="n">
        <f aca="false">SUMPRODUCT(--(Sens!$R$2143:$AA$2143&lt;Sens!R$2143),Sens!$R$2175:$AA$2175)/fac_life</f>
        <v>0</v>
      </c>
      <c r="S2178" s="38" t="n">
        <f aca="false">SUMPRODUCT(--(Sens!$R$2143:$AA$2143&lt;Sens!S$2143),Sens!$R$2175:$AA$2175)/fac_life</f>
        <v>0.0202511502553155</v>
      </c>
      <c r="T2178" s="38" t="n">
        <f aca="false">SUMPRODUCT(--(Sens!$R$2143:$AA$2143&lt;Sens!T$2143),Sens!$R$2175:$AA$2175)/fac_life</f>
        <v>0.360549480652134</v>
      </c>
      <c r="U2178" s="38" t="n">
        <f aca="false">SUMPRODUCT(--(Sens!$R$2143:$AA$2143&lt;Sens!U$2143),Sens!$R$2175:$AA$2175)/fac_life</f>
        <v>1.29709472025025</v>
      </c>
      <c r="V2178" s="38" t="n">
        <f aca="false">SUMPRODUCT(--(Sens!$R$2143:$AA$2143&lt;Sens!V$2143),Sens!$R$2175:$AA$2175)/fac_life</f>
        <v>3.3367803157011</v>
      </c>
      <c r="W2178" s="38" t="n">
        <f aca="false">SUMPRODUCT(--(Sens!$R$2143:$AA$2143&lt;Sens!W$2143),Sens!$R$2175:$AA$2175)/fac_life</f>
        <v>5.6391093657011</v>
      </c>
      <c r="X2178" s="38" t="n">
        <f aca="false">SUMPRODUCT(--(Sens!$R$2143:$AA$2143&lt;Sens!X$2143),Sens!$R$2175:$AA$2175)/fac_life</f>
        <v>7.9414384157011</v>
      </c>
      <c r="Y2178" s="38" t="n">
        <f aca="false">SUMPRODUCT(--(Sens!$R$2143:$AA$2143&lt;Sens!Y$2143),Sens!$R$2175:$AA$2175)/fac_life</f>
        <v>10.2437674657011</v>
      </c>
      <c r="Z2178" s="38" t="n">
        <f aca="false">SUMPRODUCT(--(Sens!$R$2143:$AA$2143&lt;Sens!Z$2143),Sens!$R$2175:$AA$2175)/fac_life</f>
        <v>12.5460965157011</v>
      </c>
      <c r="AA2178" s="38" t="n">
        <f aca="false">SUMPRODUCT(--(Sens!$R$2143:$AA$2143&lt;Sens!AA$2143),Sens!$R$2175:$AA$2175)/fac_life</f>
        <v>14.8484255657011</v>
      </c>
    </row>
    <row r="2179" customFormat="false" ht="17.15" hidden="false" customHeight="false" outlineLevel="0" collapsed="false">
      <c r="A2179" s="1" t="s">
        <v>594</v>
      </c>
      <c r="B2179" s="8" t="s">
        <v>73</v>
      </c>
      <c r="C2179" s="38" t="n">
        <f aca="false">Sens!$C$2177+Sens!$C$2178</f>
        <v>0.203463948620839</v>
      </c>
      <c r="D2179" s="38" t="n">
        <f aca="false">Sens!$D$2177+Sens!$D$2178</f>
        <v>3.62245206231783</v>
      </c>
      <c r="E2179" s="38" t="n">
        <f aca="false">Sens!$E$2177+Sens!$E$2178</f>
        <v>6.51597588754466</v>
      </c>
      <c r="F2179" s="38" t="n">
        <f aca="false">Sens!$F$2177+Sens!$F$2178</f>
        <v>6.51597588754466</v>
      </c>
      <c r="G2179" s="38" t="n">
        <f aca="false">Sens!$G$2177+Sens!$G$2178</f>
        <v>13.0319517750893</v>
      </c>
      <c r="H2179" s="38" t="n">
        <f aca="false">Sens!$H$2177+Sens!$H$2178</f>
        <v>33.451909409347</v>
      </c>
      <c r="I2179" s="38" t="n">
        <f aca="false">Sens!$I$2177+Sens!$I$2178</f>
        <v>57.5137938089971</v>
      </c>
      <c r="J2179" s="38" t="n">
        <f aca="false">Sens!$J$2177+Sens!$J$2178</f>
        <v>82.5881957029387</v>
      </c>
      <c r="K2179" s="38" t="n">
        <f aca="false">Sens!$K$2177+Sens!$K$2178</f>
        <v>108.231289908515</v>
      </c>
      <c r="L2179" s="38" t="n">
        <f aca="false">Sens!$L$2177+Sens!$L$2178</f>
        <v>131.730812239156</v>
      </c>
      <c r="M2179" s="38" t="n">
        <f aca="false">Sens!$M$2177+Sens!$M$2178</f>
        <v>155.099405649925</v>
      </c>
      <c r="N2179" s="38" t="n">
        <f aca="false">Sens!$N$2177+Sens!$N$2178</f>
        <v>1.81122603115892</v>
      </c>
      <c r="O2179" s="38" t="n">
        <f aca="false">Sens!$O$2177+Sens!$O$2178</f>
        <v>1.81122603115892</v>
      </c>
      <c r="R2179" s="38" t="n">
        <f aca="false">Sens!$R$2177+Sens!$R$2178</f>
        <v>0</v>
      </c>
      <c r="S2179" s="38" t="n">
        <f aca="false">Sens!$S$2177+Sens!$S$2178</f>
        <v>0.203463948620839</v>
      </c>
      <c r="T2179" s="38" t="n">
        <f aca="false">Sens!$T$2177+Sens!$T$2178</f>
        <v>3.62245206231783</v>
      </c>
      <c r="U2179" s="38" t="n">
        <f aca="false">Sens!$U$2177+Sens!$U$2178</f>
        <v>13.0319517750893</v>
      </c>
      <c r="V2179" s="38" t="n">
        <f aca="false">Sens!$V$2177+Sens!$V$2178</f>
        <v>33.451909409347</v>
      </c>
      <c r="W2179" s="38" t="n">
        <f aca="false">Sens!$W$2177+Sens!$W$2178</f>
        <v>57.5137938089971</v>
      </c>
      <c r="X2179" s="38" t="n">
        <f aca="false">Sens!$X$2177+Sens!$X$2178</f>
        <v>82.5881957029387</v>
      </c>
      <c r="Y2179" s="38" t="n">
        <f aca="false">Sens!$Y$2177+Sens!$Y$2178</f>
        <v>108.231289908515</v>
      </c>
      <c r="Z2179" s="38" t="n">
        <f aca="false">Sens!$Z$2177+Sens!$Z$2178</f>
        <v>131.730812239156</v>
      </c>
      <c r="AA2179" s="38" t="n">
        <f aca="false">Sens!$AA$2177+Sens!$AA$2178</f>
        <v>155.099405649925</v>
      </c>
    </row>
    <row r="2180" customFormat="false" ht="17.15" hidden="false" customHeight="false" outlineLevel="0" collapsed="false">
      <c r="A2180" s="0" t="s">
        <v>595</v>
      </c>
      <c r="B2180" s="0" t="s">
        <v>73</v>
      </c>
      <c r="C2180" s="38" t="n">
        <f aca="false">Sens!$S$2180</f>
        <v>26.578941154416</v>
      </c>
      <c r="D2180" s="38" t="n">
        <f aca="false">Sens!$T$2180</f>
        <v>92.5251207231008</v>
      </c>
      <c r="G2180" s="38" t="n">
        <f aca="false">Sens!$U$2180</f>
        <v>230.56851308987</v>
      </c>
      <c r="H2180" s="38" t="n">
        <f aca="false">Sens!$V$2180</f>
        <v>373.720516778423</v>
      </c>
      <c r="I2180" s="38" t="n">
        <f aca="false">Sens!$W$2180</f>
        <v>498.885741033076</v>
      </c>
      <c r="J2180" s="38" t="n">
        <f aca="false">Sens!$X$2180</f>
        <v>603.487994053787</v>
      </c>
      <c r="K2180" s="38" t="n">
        <f aca="false">Sens!$Y$2180</f>
        <v>686.958583528922</v>
      </c>
      <c r="L2180" s="38" t="n">
        <f aca="false">Sens!$Z$2180</f>
        <v>778.509665293416</v>
      </c>
      <c r="M2180" s="38" t="n">
        <f aca="false">Sens!$AA$2180</f>
        <v>898.466459758966</v>
      </c>
      <c r="R2180" s="38" t="n">
        <f aca="false">SUM(Sens!$R$2172:$R$2172)-SUM(Sens!$R$2179:$R$2179)</f>
        <v>1.50429979529945</v>
      </c>
      <c r="S2180" s="38" t="n">
        <f aca="false">SUM(Sens!$R$2172:$S$2172)-SUM(Sens!$R$2179:$S$2179)</f>
        <v>26.578941154416</v>
      </c>
      <c r="T2180" s="38" t="n">
        <f aca="false">SUM(Sens!$R$2172:$T$2172)-SUM(Sens!$R$2179:$T$2179)</f>
        <v>92.5251207231008</v>
      </c>
      <c r="U2180" s="38" t="n">
        <f aca="false">SUM(Sens!$R$2172:$U$2172)-SUM(Sens!$R$2179:$U$2179)</f>
        <v>230.56851308987</v>
      </c>
      <c r="V2180" s="38" t="n">
        <f aca="false">SUM(Sens!$R$2172:$V$2172)-SUM(Sens!$R$2179:$V$2179)</f>
        <v>373.720516778423</v>
      </c>
      <c r="W2180" s="38" t="n">
        <f aca="false">SUM(Sens!$R$2172:$W$2172)-SUM(Sens!$R$2179:$W$2179)</f>
        <v>498.885741033076</v>
      </c>
      <c r="X2180" s="38" t="n">
        <f aca="false">SUM(Sens!$R$2172:$X$2172)-SUM(Sens!$R$2179:$X$2179)</f>
        <v>603.487994053787</v>
      </c>
      <c r="Y2180" s="38" t="n">
        <f aca="false">SUM(Sens!$R$2172:$Y$2172)-SUM(Sens!$R$2179:$Y$2179)</f>
        <v>686.958583528922</v>
      </c>
      <c r="Z2180" s="38" t="n">
        <f aca="false">SUM(Sens!$R$2172:$Z$2172)-SUM(Sens!$R$2179:$Z$2179)</f>
        <v>778.509665293416</v>
      </c>
      <c r="AA2180" s="38" t="n">
        <f aca="false">SUM(Sens!$R$2172:$AA$2172)-SUM(Sens!$R$2179:$AA$2179)</f>
        <v>898.466459758966</v>
      </c>
    </row>
    <row r="2181" customFormat="false" ht="17.15" hidden="false" customHeight="false" outlineLevel="0" collapsed="false">
      <c r="A2181" s="1" t="s">
        <v>596</v>
      </c>
    </row>
    <row r="2182" customFormat="false" ht="17.15" hidden="false" customHeight="false" outlineLevel="0" collapsed="false">
      <c r="A2182" s="0" t="s">
        <v>597</v>
      </c>
      <c r="B2182" s="0" t="s">
        <v>73</v>
      </c>
      <c r="C2182" s="38" t="n">
        <f aca="false">Sens!$C$2163-ext_sh*Sens!$C$2165</f>
        <v>1.80694998843362</v>
      </c>
      <c r="D2182" s="38" t="n">
        <f aca="false">Sens!$D$2163-ext_sh*Sens!$D$2165</f>
        <v>6.77606245662607</v>
      </c>
      <c r="E2182" s="38" t="n">
        <f aca="false">Sens!$E$2163-ext_sh*Sens!$E$2165</f>
        <v>6.62548329092326</v>
      </c>
      <c r="F2182" s="38" t="n">
        <f aca="false">Sens!$F$2163-ext_sh*Sens!$F$2165</f>
        <v>10.9841961511954</v>
      </c>
      <c r="G2182" s="38" t="n">
        <f aca="false">Sens!$G$2163-ext_sh*Sens!$G$2165</f>
        <v>17.6096794421187</v>
      </c>
      <c r="H2182" s="38" t="n">
        <f aca="false">Sens!$H$2163-ext_sh*Sens!$H$2165</f>
        <v>41.6302801886437</v>
      </c>
      <c r="I2182" s="38" t="n">
        <f aca="false">Sens!$I$2163-ext_sh*Sens!$I$2165</f>
        <v>68.7801842295635</v>
      </c>
      <c r="J2182" s="38" t="n">
        <f aca="false">Sens!$J$2163-ext_sh*Sens!$J$2165</f>
        <v>96.0986392826786</v>
      </c>
      <c r="K2182" s="38" t="n">
        <f aca="false">Sens!$K$2163-ext_sh*Sens!$K$2165</f>
        <v>123.473278006525</v>
      </c>
      <c r="L2182" s="38" t="n">
        <f aca="false">Sens!$L$2163-ext_sh*Sens!$L$2165</f>
        <v>150.873454762523</v>
      </c>
      <c r="M2182" s="38" t="n">
        <f aca="false">Sens!$M$2163-ext_sh*Sens!$M$2165</f>
        <v>178.287382766602</v>
      </c>
      <c r="N2182" s="38" t="n">
        <f aca="false">Sens!$N$2163-ext_sh*Sens!$N$2165</f>
        <v>2.37162185981912</v>
      </c>
      <c r="O2182" s="38" t="n">
        <f aca="false">Sens!$O$2163-ext_sh*Sens!$O$2165</f>
        <v>4.40444059680694</v>
      </c>
    </row>
    <row r="2183" customFormat="false" ht="17.15" hidden="false" customHeight="false" outlineLevel="0" collapsed="false">
      <c r="A2183" s="1" t="s">
        <v>598</v>
      </c>
      <c r="B2183" s="8" t="s">
        <v>73</v>
      </c>
      <c r="C2183" s="38" t="n">
        <f aca="false">Sens!$C$2182-ext_sh*Sens!$C$2179</f>
        <v>1.64417882953695</v>
      </c>
      <c r="D2183" s="38" t="n">
        <f aca="false">Sens!$D$2182-ext_sh*Sens!$D$2179</f>
        <v>3.8781008067718</v>
      </c>
      <c r="E2183" s="38" t="n">
        <f aca="false">Sens!$E$2182-ext_sh*Sens!$E$2179</f>
        <v>1.41270258088753</v>
      </c>
      <c r="F2183" s="38" t="n">
        <f aca="false">Sens!$F$2182-ext_sh*Sens!$F$2179</f>
        <v>5.77141544115966</v>
      </c>
      <c r="G2183" s="38" t="n">
        <f aca="false">Sens!$G$2182-ext_sh*Sens!$G$2179</f>
        <v>7.1841180220472</v>
      </c>
      <c r="H2183" s="38" t="n">
        <f aca="false">Sens!$H$2182-ext_sh*Sens!$H$2179</f>
        <v>14.8687526611661</v>
      </c>
      <c r="I2183" s="38" t="n">
        <f aca="false">Sens!$I$2182-ext_sh*Sens!$I$2179</f>
        <v>22.7691491823658</v>
      </c>
      <c r="J2183" s="38" t="n">
        <f aca="false">Sens!$J$2182-ext_sh*Sens!$J$2179</f>
        <v>30.0280827203276</v>
      </c>
      <c r="K2183" s="38" t="n">
        <f aca="false">Sens!$K$2182-ext_sh*Sens!$K$2179</f>
        <v>36.8882460797135</v>
      </c>
      <c r="L2183" s="38" t="n">
        <f aca="false">Sens!$L$2182-ext_sh*Sens!$L$2179</f>
        <v>45.4888049711981</v>
      </c>
      <c r="M2183" s="38" t="n">
        <f aca="false">Sens!$M$2182-ext_sh*Sens!$M$2179</f>
        <v>54.2078582466622</v>
      </c>
      <c r="N2183" s="38" t="n">
        <f aca="false">Sens!$N$2182-ext_sh*Sens!$N$2179</f>
        <v>0.92264103489199</v>
      </c>
      <c r="O2183" s="38" t="n">
        <f aca="false">Sens!$O$2182-ext_sh*Sens!$O$2179</f>
        <v>2.95545977187981</v>
      </c>
    </row>
    <row r="2184" customFormat="false" ht="17.15" hidden="false" customHeight="false" outlineLevel="0" collapsed="false">
      <c r="A2184" s="0" t="s">
        <v>599</v>
      </c>
      <c r="B2184" s="0" t="s">
        <v>52</v>
      </c>
      <c r="C2184" s="12" t="n">
        <f aca="false">Sens!$C$2183/Sens!$C$2163</f>
        <v>0.708390794789371</v>
      </c>
      <c r="D2184" s="12" t="n">
        <f aca="false">Sens!$D$2183/Sens!$D$2163</f>
        <v>0.445565630441968</v>
      </c>
      <c r="E2184" s="12" t="n">
        <f aca="false">Sens!$E$2183/Sens!$E$2163</f>
        <v>0.165998118402711</v>
      </c>
      <c r="F2184" s="12" t="n">
        <f aca="false">Sens!$F$2183/Sens!$F$2163</f>
        <v>0.405650058118792</v>
      </c>
      <c r="G2184" s="12" t="n">
        <f aca="false">Sens!$G$2183/Sens!$G$2163</f>
        <v>0.315953104976614</v>
      </c>
      <c r="H2184" s="12" t="n">
        <f aca="false">Sens!$H$2183/Sens!$H$2163</f>
        <v>0.273931965315787</v>
      </c>
      <c r="I2184" s="12" t="n">
        <f aca="false">Sens!$I$2183/Sens!$I$2163</f>
        <v>0.253752044792747</v>
      </c>
      <c r="J2184" s="12" t="n">
        <f aca="false">Sens!$J$2183/Sens!$J$2163</f>
        <v>0.239525764673683</v>
      </c>
      <c r="K2184" s="12" t="n">
        <f aca="false">Sens!$K$2183/Sens!$K$2163</f>
        <v>0.229032984931834</v>
      </c>
      <c r="L2184" s="12" t="n">
        <f aca="false">Sens!$L$2183/Sens!$L$2163</f>
        <v>0.231160127410419</v>
      </c>
      <c r="M2184" s="12" t="n">
        <f aca="false">Sens!$M$2183/Sens!$M$2163</f>
        <v>0.233128207810435</v>
      </c>
      <c r="N2184" s="12" t="n">
        <f aca="false">Sens!$N$2183/Sens!$N$2163</f>
        <v>0.302870734830849</v>
      </c>
      <c r="O2184" s="12" t="n">
        <f aca="false">Sens!$O$2183/Sens!$O$2163</f>
        <v>0.52240134346334</v>
      </c>
    </row>
    <row r="2185" customFormat="false" ht="17.15" hidden="false" customHeight="false" outlineLevel="0" collapsed="false">
      <c r="A2185" s="5" t="s">
        <v>600</v>
      </c>
      <c r="B2185" s="0" t="s">
        <v>73</v>
      </c>
      <c r="C2185" s="38" t="n">
        <f aca="false">rd2*(1-ext_sh)/ext_sh*Sens!$C$2146*he_open*Sens!$C$2147/1000</f>
        <v>0</v>
      </c>
      <c r="D2185" s="38" t="n">
        <f aca="false">rd2*(1-ext_sh)/ext_sh*Sens!$D$2146*he_open*Sens!$D$2147/1000</f>
        <v>0</v>
      </c>
      <c r="E2185" s="38" t="n">
        <f aca="false">rd2*(1-ext_sh)/ext_sh*Sens!$E$2146*he_open*Sens!$E$2147/1000</f>
        <v>0</v>
      </c>
      <c r="F2185" s="38" t="n">
        <f aca="false">rd2*(1-ext_sh)/ext_sh*(mw_open*he_open+Sens!$F$2161*Sens!$F$2158)*Sens!$F$2147/1000</f>
        <v>0</v>
      </c>
      <c r="G2185" s="38" t="n">
        <f aca="false">Sens!$E$2185+Sens!$F$2185</f>
        <v>0</v>
      </c>
      <c r="H2185" s="38" t="n">
        <f aca="false">rd2*(1-ext_sh)/ext_sh*(mw_open*he_open+Sens!$H$2161*Sens!$H$2158)*Sens!$H$2147/1000</f>
        <v>0</v>
      </c>
      <c r="I2185" s="38" t="n">
        <f aca="false">rd2*(1-ext_sh)/ext_sh*(mw_open*he_open+Sens!$I$2161*Sens!$I$2158)*Sens!$I$2147/1000</f>
        <v>0</v>
      </c>
      <c r="J2185" s="38" t="n">
        <f aca="false">rd2*(1-ext_sh)/ext_sh*(mw_open*he_open+Sens!$J$2161*Sens!$J$2158)*Sens!$J$2147/1000</f>
        <v>0</v>
      </c>
      <c r="K2185" s="38" t="n">
        <f aca="false">rd2*(1-ext_sh)/ext_sh*(mw_open*he_open+Sens!$K$2161*Sens!$K$2158)*Sens!$K$2147/1000</f>
        <v>0</v>
      </c>
      <c r="L2185" s="38" t="n">
        <f aca="false">rd2*(1-ext_sh)/ext_sh*(mw_open*he_open+Sens!$L$2161*Sens!$L$2158)*Sens!$L$2147/1000</f>
        <v>0</v>
      </c>
      <c r="M2185" s="38" t="n">
        <f aca="false">rd2*(1-ext_sh)/ext_sh*(mw_open*he_open+Sens!$M$2161*Sens!$M$2158)*Sens!$M$2147/1000</f>
        <v>0</v>
      </c>
      <c r="N2185" s="38" t="n">
        <f aca="false">rd2*(1-ext_sh)/ext_sh*Sens!$N$2146*he_open*Sens!$N$2147/1000</f>
        <v>0</v>
      </c>
      <c r="O2185" s="38" t="n">
        <f aca="false">rd2*(1-ext_sh)/ext_sh*Sens!$O$2146*he_open*Sens!$O$2147/1000</f>
        <v>0</v>
      </c>
      <c r="P2185" s="8" t="s">
        <v>601</v>
      </c>
    </row>
    <row r="2186" customFormat="false" ht="17.15" hidden="false" customHeight="false" outlineLevel="0" collapsed="false">
      <c r="A2186" s="5" t="s">
        <v>602</v>
      </c>
      <c r="B2186" s="0" t="s">
        <v>73</v>
      </c>
      <c r="C2186" s="38" t="n">
        <f aca="false">(1-ext_sh)*(Sens!$C$2165+Sens!$C$2179)-Sens!$C$2185</f>
        <v>0.169206631859174</v>
      </c>
      <c r="D2186" s="38" t="n">
        <f aca="false">(1-ext_sh)*(Sens!$D$2165+Sens!$D$2179)-Sens!$D$2185</f>
        <v>1.20641732046984</v>
      </c>
      <c r="E2186" s="38" t="n">
        <f aca="false">(1-ext_sh)*(Sens!$E$2165+Sens!$E$2179)-Sens!$E$2185</f>
        <v>1.77441259867062</v>
      </c>
      <c r="F2186" s="38" t="n">
        <f aca="false">(1-ext_sh)*(Sens!$F$2165+Sens!$F$2179)-Sens!$F$2185</f>
        <v>2.1140391597214</v>
      </c>
      <c r="G2186" s="38" t="n">
        <f aca="false">(1-ext_sh)*(Sens!$G$2165+Sens!$G$2179)-Sens!$G$2185</f>
        <v>3.88845175839202</v>
      </c>
      <c r="H2186" s="38" t="n">
        <f aca="false">(1-ext_sh)*(Sens!$H$2165+Sens!$H$2179)-Sens!$H$2185</f>
        <v>9.85256139280172</v>
      </c>
      <c r="I2186" s="38" t="n">
        <f aca="false">(1-ext_sh)*(Sens!$I$2165+Sens!$I$2179)-Sens!$I$2185</f>
        <v>16.7401912298157</v>
      </c>
      <c r="J2186" s="38" t="n">
        <f aca="false">(1-ext_sh)*(Sens!$J$2165+Sens!$J$2179)-Sens!$J$2185</f>
        <v>23.8341617196864</v>
      </c>
      <c r="K2186" s="38" t="n">
        <f aca="false">(1-ext_sh)*(Sens!$K$2165+Sens!$K$2179)-Sens!$K$2185</f>
        <v>31.0431497232168</v>
      </c>
      <c r="L2186" s="38" t="n">
        <f aca="false">(1-ext_sh)*(Sens!$L$2165+Sens!$L$2179)-Sens!$L$2185</f>
        <v>37.8240047387297</v>
      </c>
      <c r="M2186" s="38" t="n">
        <f aca="false">(1-ext_sh)*(Sens!$M$2165+Sens!$M$2179)-Sens!$M$2185</f>
        <v>44.5789870247899</v>
      </c>
      <c r="N2186" s="38" t="n">
        <f aca="false">(1-ext_sh)*(Sens!$N$2165+Sens!$N$2179)-Sens!$N$2185</f>
        <v>0.530919624033979</v>
      </c>
      <c r="O2186" s="38" t="n">
        <f aca="false">(1-ext_sh)*(Sens!$O$2165+Sens!$O$2179)-Sens!$O$2185</f>
        <v>0.675497696435861</v>
      </c>
    </row>
    <row r="2187" customFormat="false" ht="17.15" hidden="false" customHeight="false" outlineLevel="0" collapsed="false">
      <c r="A2187" s="0" t="s">
        <v>603</v>
      </c>
      <c r="B2187" s="0" t="s">
        <v>73</v>
      </c>
      <c r="C2187" s="38" t="n">
        <f aca="false">Q!$D$24</f>
        <v>39.834</v>
      </c>
      <c r="D2187" s="38" t="n">
        <f aca="false">Q!$E$24</f>
        <v>45.606</v>
      </c>
      <c r="E2187" s="38" t="n">
        <f aca="false">Q!$P$24</f>
        <v>30.782</v>
      </c>
      <c r="N2187" s="38" t="n">
        <f aca="false">Q!$N$24</f>
        <v>21.707</v>
      </c>
      <c r="O2187" s="38" t="n">
        <f aca="false">Q!$O$24</f>
        <v>23.899</v>
      </c>
    </row>
    <row r="2188" customFormat="false" ht="17.15" hidden="false" customHeight="false" outlineLevel="0" collapsed="false">
      <c r="A2188" s="0" t="s">
        <v>604</v>
      </c>
      <c r="B2188" s="0" t="s">
        <v>73</v>
      </c>
      <c r="C2188" s="38" t="n">
        <f aca="false">Sens!$C$2187-Sens!$C$2183</f>
        <v>38.1898211704631</v>
      </c>
      <c r="D2188" s="38" t="n">
        <f aca="false">Sens!$D$2187-Sens!$D$2183</f>
        <v>41.7278991932282</v>
      </c>
      <c r="E2188" s="38" t="n">
        <f aca="false">Sens!$E$2187-Sens!$E$2183</f>
        <v>29.3692974191125</v>
      </c>
      <c r="F2188" s="38" t="n">
        <f aca="false">Sens!$F$2167*Sens!$F$2189</f>
        <v>29.458060516894</v>
      </c>
      <c r="G2188" s="38" t="n">
        <f aca="false">Sens!$E$2188+Sens!$F$2188</f>
        <v>58.8273579360065</v>
      </c>
      <c r="H2188" s="38" t="n">
        <f aca="false">Sens!$H$2167*Sens!$H$2189</f>
        <v>67.8004040185081</v>
      </c>
      <c r="I2188" s="38" t="n">
        <f aca="false">Sens!$I$2167*Sens!$I$2189</f>
        <v>78.9527630302702</v>
      </c>
      <c r="J2188" s="38" t="n">
        <f aca="false">Sens!$J$2167*Sens!$J$2189</f>
        <v>88.6042681781841</v>
      </c>
      <c r="K2188" s="38" t="n">
        <f aca="false">Sens!$K$2167*Sens!$K$2189</f>
        <v>95.6926096324389</v>
      </c>
      <c r="L2188" s="38" t="n">
        <f aca="false">Sens!$L$2167*Sens!$L$2189</f>
        <v>103.348018403034</v>
      </c>
      <c r="M2188" s="38" t="n">
        <f aca="false">Sens!$M$2167*Sens!$M$2189</f>
        <v>111.615859875277</v>
      </c>
      <c r="N2188" s="38" t="n">
        <f aca="false">Sens!$N$2187-Sens!$N$2183</f>
        <v>20.784358965108</v>
      </c>
      <c r="O2188" s="38" t="n">
        <f aca="false">Sens!$O$2187-Sens!$O$2183</f>
        <v>20.9435402281202</v>
      </c>
      <c r="P2188" s="5" t="s">
        <v>605</v>
      </c>
    </row>
    <row r="2189" customFormat="false" ht="17.15" hidden="false" customHeight="false" outlineLevel="0" collapsed="false">
      <c r="A2189" s="0" t="s">
        <v>606</v>
      </c>
      <c r="B2189" s="0" t="s">
        <v>52</v>
      </c>
      <c r="C2189" s="12" t="n">
        <f aca="false">Sens!$C$2188/Sens!$C$2167</f>
        <v>0.362900395443635</v>
      </c>
      <c r="D2189" s="12" t="n">
        <f aca="false">Sens!$D$2188/Sens!$D$2167</f>
        <v>0.34767098474203</v>
      </c>
      <c r="E2189" s="12" t="n">
        <f aca="false">Sens!$E$2188/Sens!$E$2167</f>
        <v>0.411861655558416</v>
      </c>
      <c r="F2189" s="12" t="n">
        <f aca="false">(Sens!$O$2188+Sens!$E$2188)/(Sens!$O$2167+Sens!$E$2167)</f>
        <v>0.37480827803158</v>
      </c>
      <c r="G2189" s="12" t="n">
        <f aca="false">Sens!$G$2188/Sens!$G$2167</f>
        <v>0.392434440489471</v>
      </c>
      <c r="H2189" s="12" t="n">
        <f aca="false">Sens!$F$2189</f>
        <v>0.37480827803158</v>
      </c>
      <c r="I2189" s="12" t="n">
        <f aca="false">Sens!$F$2189</f>
        <v>0.37480827803158</v>
      </c>
      <c r="J2189" s="12" t="n">
        <f aca="false">Sens!$F$2189</f>
        <v>0.37480827803158</v>
      </c>
      <c r="K2189" s="12" t="n">
        <f aca="false">Sens!$F$2189</f>
        <v>0.37480827803158</v>
      </c>
      <c r="L2189" s="12" t="n">
        <f aca="false">Sens!$F$2189</f>
        <v>0.37480827803158</v>
      </c>
      <c r="M2189" s="12" t="n">
        <f aca="false">Sens!$F$2189</f>
        <v>0.37480827803158</v>
      </c>
      <c r="N2189" s="12" t="n">
        <f aca="false">Sens!$N$2188/Sens!$N$2167</f>
        <v>0.364039571356823</v>
      </c>
      <c r="O2189" s="12" t="n">
        <f aca="false">Sens!$O$2188/Sens!$O$2167</f>
        <v>0.332819892300086</v>
      </c>
      <c r="P2189" s="8" t="s">
        <v>607</v>
      </c>
    </row>
    <row r="2190" customFormat="false" ht="17.15" hidden="false" customHeight="false" outlineLevel="0" collapsed="false">
      <c r="A2190" s="0" t="s">
        <v>608</v>
      </c>
      <c r="B2190" s="0" t="s">
        <v>52</v>
      </c>
      <c r="D2190" s="12" t="n">
        <f aca="false">(Q!$E$31-ext_sh*Sens!$D$2179)/Sens!$D$2167</f>
        <v>0.154572973163571</v>
      </c>
    </row>
    <row r="2191" customFormat="false" ht="17.15" hidden="false" customHeight="false" outlineLevel="0" collapsed="false">
      <c r="A2191" s="0" t="s">
        <v>609</v>
      </c>
      <c r="B2191" s="0" t="s">
        <v>73</v>
      </c>
      <c r="C2191" s="38" t="n">
        <f aca="false">Q!$D$31</f>
        <v>13.32</v>
      </c>
      <c r="D2191" s="38" t="n">
        <f aca="false">Q!$E$31</f>
        <v>21.45</v>
      </c>
      <c r="E2191" s="38" t="n">
        <f aca="false">Q!$P$31</f>
        <v>15.353</v>
      </c>
      <c r="F2191" s="38" t="n">
        <f aca="false">ext_sh*Sens!$F$2179+Sens!$D$2190*Sens!$F$2167</f>
        <v>17.3614451462707</v>
      </c>
      <c r="G2191" s="38" t="n">
        <f aca="false">Sens!$E$2191+Sens!$F$2191</f>
        <v>32.7144451462707</v>
      </c>
      <c r="H2191" s="38" t="n">
        <f aca="false">ext_sh*Sens!$H$2179+Sens!$D$2190*Sens!$H$2167</f>
        <v>54.7227830415545</v>
      </c>
      <c r="I2191" s="38" t="n">
        <f aca="false">ext_sh*Sens!$I$2179+Sens!$D$2190*Sens!$I$2167</f>
        <v>78.5715840968627</v>
      </c>
      <c r="J2191" s="38" t="n">
        <f aca="false">ext_sh*Sens!$J$2179+Sens!$D$2190*Sens!$J$2167</f>
        <v>102.611438848122</v>
      </c>
      <c r="K2191" s="38" t="n">
        <f aca="false">ext_sh*Sens!$K$2179+Sens!$D$2190*Sens!$K$2167</f>
        <v>126.049184795444</v>
      </c>
      <c r="L2191" s="38" t="n">
        <f aca="false">ext_sh*Sens!$L$2179+Sens!$D$2190*Sens!$L$2167</f>
        <v>148.005934889448</v>
      </c>
      <c r="M2191" s="38" t="n">
        <f aca="false">ext_sh*Sens!$M$2179+Sens!$D$2190*Sens!$M$2167</f>
        <v>170.110512425912</v>
      </c>
      <c r="N2191" s="38" t="n">
        <f aca="false">Q!$N$31</f>
        <v>9.234</v>
      </c>
      <c r="O2191" s="38" t="n">
        <f aca="false">Q!$O$31</f>
        <v>12.216</v>
      </c>
    </row>
    <row r="2192" customFormat="false" ht="17.15" hidden="false" customHeight="false" outlineLevel="0" collapsed="false">
      <c r="A2192" s="1" t="s">
        <v>610</v>
      </c>
    </row>
    <row r="2193" customFormat="false" ht="17.15" hidden="false" customHeight="false" outlineLevel="0" collapsed="false">
      <c r="A2193" s="14" t="s">
        <v>611</v>
      </c>
      <c r="B2193" s="13" t="s">
        <v>52</v>
      </c>
      <c r="C2193" s="13"/>
      <c r="D2193" s="13"/>
      <c r="E2193" s="13"/>
      <c r="F2193" s="13"/>
      <c r="G2193" s="16" t="n">
        <f aca="false">Sens!$G$2183*(1-tax)/(ext_sh*(Sens!$D$2180+Sens!$G$2180)/2)</f>
        <v>0.0459392082871969</v>
      </c>
      <c r="H2193" s="16" t="n">
        <f aca="false">Sens!$H$2183*(1-tax)/(ext_sh*(Sens!$G$2180+Sens!$H$2180)/2)</f>
        <v>0.0508356376737082</v>
      </c>
      <c r="I2193" s="16" t="n">
        <f aca="false">Sens!$I$2183*(1-tax)/(ext_sh*(Sens!$H$2180+Sens!$I$2180)/2)</f>
        <v>0.0539097016309908</v>
      </c>
      <c r="J2193" s="16" t="n">
        <f aca="false">Sens!$J$2183*(1-tax)/(ext_sh*(Sens!$I$2180+Sens!$J$2180)/2)</f>
        <v>0.0562778107962341</v>
      </c>
      <c r="K2193" s="16" t="n">
        <f aca="false">Sens!$K$2183*(1-tax)/(ext_sh*(Sens!$J$2180+Sens!$K$2180)/2)</f>
        <v>0.0590590456739241</v>
      </c>
      <c r="L2193" s="16" t="n">
        <f aca="false">Sens!$L$2183*(1-tax)/(ext_sh*(Sens!$K$2180+Sens!$L$2180)/2)</f>
        <v>0.0641307860540927</v>
      </c>
      <c r="M2193" s="16" t="n">
        <f aca="false">Sens!$M$2183*(1-tax)/(ext_sh*(Sens!$L$2180+Sens!$M$2180)/2)</f>
        <v>0.0667842138068251</v>
      </c>
      <c r="N2193" s="13"/>
      <c r="O2193" s="13"/>
      <c r="P2193" s="8" t="s">
        <v>612</v>
      </c>
    </row>
    <row r="2194" customFormat="false" ht="17.15" hidden="false" customHeight="false" outlineLevel="0" collapsed="false">
      <c r="A2194" s="5" t="s">
        <v>613</v>
      </c>
      <c r="B2194" s="0" t="s">
        <v>57</v>
      </c>
      <c r="H2194" s="36" t="n">
        <f aca="false">Sens!$H$2163*1000/(mw_open*he_open+Sens!$H$2161*Sens!$H$2158)</f>
        <v>0.991949006767192</v>
      </c>
      <c r="I2194" s="36" t="n">
        <f aca="false">Sens!$I$2163*1000/(mw_open*he_open+Sens!$I$2161*Sens!$I$2158)</f>
        <v>0.991949006767191</v>
      </c>
      <c r="J2194" s="36" t="n">
        <f aca="false">Sens!$J$2163*1000/(mw_open*he_open+Sens!$J$2161*Sens!$J$2158)</f>
        <v>0.991949006767191</v>
      </c>
      <c r="K2194" s="36" t="n">
        <f aca="false">Sens!$K$2163*1000/(mw_open*he_open+Sens!$K$2161*Sens!$K$2158)</f>
        <v>0.991949006767191</v>
      </c>
      <c r="L2194" s="36" t="n">
        <f aca="false">Sens!$L$2163*1000/(mw_open*he_open+Sens!$L$2161*Sens!$L$2158)</f>
        <v>0.991949006767192</v>
      </c>
      <c r="M2194" s="36" t="n">
        <f aca="false">Sens!$M$2163*1000/(mw_open*he_open+Sens!$M$2161*Sens!$M$2158)</f>
        <v>0.991949006767191</v>
      </c>
    </row>
    <row r="2195" customFormat="false" ht="17.15" hidden="false" customHeight="false" outlineLevel="0" collapsed="false">
      <c r="A2195" s="5" t="s">
        <v>614</v>
      </c>
      <c r="B2195" s="0" t="s">
        <v>57</v>
      </c>
      <c r="H2195" s="36" t="n">
        <f aca="false">Sens!$H$2194*(Sens!$H$2163+wacc*ext_sh*(Sens!$G$2180+Sens!$H$2180)/2/(1-tax)-Sens!$H$2183)/Sens!$H$2163</f>
        <v>1.38774545405933</v>
      </c>
      <c r="I2195" s="36" t="n">
        <f aca="false">Sens!$I$2194*(Sens!$I$2163+wacc*ext_sh*(Sens!$H$2180+Sens!$I$2180)/2/(1-tax)-Sens!$I$2183)/Sens!$I$2163</f>
        <v>1.32332833090537</v>
      </c>
      <c r="J2195" s="36" t="n">
        <f aca="false">Sens!$J$2194*(Sens!$J$2163+wacc*ext_sh*(Sens!$I$2180+Sens!$J$2180)/2/(1-tax)-Sens!$J$2183)/Sens!$J$2163</f>
        <v>1.28158981436972</v>
      </c>
      <c r="K2195" s="36" t="n">
        <f aca="false">Sens!$K$2194*(Sens!$K$2163+wacc*ext_sh*(Sens!$J$2180+Sens!$K$2180)/2/(1-tax)-Sens!$K$2183)/Sens!$K$2163</f>
        <v>1.2451604054581</v>
      </c>
      <c r="L2195" s="36" t="n">
        <f aca="false">Sens!$L$2194*(Sens!$L$2163+wacc*ext_sh*(Sens!$K$2180+Sens!$L$2180)/2/(1-tax)-Sens!$L$2183)/Sens!$L$2163</f>
        <v>1.20916710499123</v>
      </c>
      <c r="M2195" s="36" t="n">
        <f aca="false">Sens!$M$2194*(Sens!$M$2163+wacc*ext_sh*(Sens!$L$2180+Sens!$M$2180)/2/(1-tax)-Sens!$M$2183)/Sens!$M$2163</f>
        <v>1.19312470600158</v>
      </c>
    </row>
    <row r="2196" customFormat="false" ht="17.15" hidden="false" customHeight="false" outlineLevel="0" collapsed="false">
      <c r="A2196" s="5" t="s">
        <v>615</v>
      </c>
      <c r="B2196" s="0" t="s">
        <v>52</v>
      </c>
      <c r="C2196" s="12" t="n">
        <f aca="false">Sens!$C$2164/tk_pq</f>
        <v>0.195316432429398</v>
      </c>
      <c r="D2196" s="12" t="n">
        <f aca="false">Sens!$D$2164/tk_pq</f>
        <v>0.195316432429398</v>
      </c>
      <c r="E2196" s="12" t="n">
        <f aca="false">Sens!$E$2164/tk_pq</f>
        <v>0.195316432429398</v>
      </c>
      <c r="F2196" s="12" t="n">
        <f aca="false">Sens!$F$2164/tk_pq</f>
        <v>0.19229611621718</v>
      </c>
      <c r="G2196" s="12" t="n">
        <f aca="false">Sens!$G$2164/tk_pq</f>
        <v>0.193415558688553</v>
      </c>
      <c r="H2196" s="12" t="n">
        <f aca="false">Sens!$H$2164/tk_pq</f>
        <v>0.191841547329368</v>
      </c>
      <c r="I2196" s="12" t="n">
        <f aca="false">Sens!$I$2164/tk_pq</f>
        <v>0.193849442336292</v>
      </c>
      <c r="J2196" s="12" t="n">
        <f aca="false">Sens!$J$2164/tk_pq</f>
        <v>0.195019275285086</v>
      </c>
      <c r="K2196" s="12" t="n">
        <f aca="false">Sens!$K$2164/tk_pq</f>
        <v>0.195751909958157</v>
      </c>
      <c r="L2196" s="12" t="n">
        <f aca="false">Sens!$L$2164/tk_pq</f>
        <v>0.196249377632106</v>
      </c>
      <c r="M2196" s="12" t="n">
        <f aca="false">Sens!$M$2164/tk_pq</f>
        <v>0.196608148775577</v>
      </c>
      <c r="N2196" s="12" t="n">
        <f aca="false">Sens!$N$2164/tk_pq</f>
        <v>0.195316432429398</v>
      </c>
      <c r="O2196" s="12" t="n">
        <f aca="false">Sens!$O$2164/tk_pq</f>
        <v>0.195316432429398</v>
      </c>
      <c r="P2196" s="5" t="s">
        <v>616</v>
      </c>
    </row>
    <row r="2199" customFormat="false" ht="17.15" hidden="false" customHeight="false" outlineLevel="0" collapsed="false">
      <c r="A2199" s="1" t="s">
        <v>643</v>
      </c>
    </row>
    <row r="2200" customFormat="false" ht="17.15" hidden="false" customHeight="false" outlineLevel="0" collapsed="false">
      <c r="A2200" s="0" t="s">
        <v>644</v>
      </c>
      <c r="B2200" s="0" t="s">
        <v>73</v>
      </c>
      <c r="C2200" s="38" t="n">
        <f aca="false">Sens!$C$2163</f>
        <v>2.32100535697364</v>
      </c>
      <c r="D2200" s="38" t="n">
        <f aca="false">Sens!$D$2163</f>
        <v>8.70377008865116</v>
      </c>
      <c r="E2200" s="38" t="n">
        <f aca="false">Sens!$E$2163</f>
        <v>8.51035297557002</v>
      </c>
      <c r="F2200" s="38" t="n">
        <f aca="false">Sens!$F$2163</f>
        <v>14.2275720800453</v>
      </c>
      <c r="G2200" s="38" t="n">
        <f aca="false">Sens!$G$2163</f>
        <v>22.7379250556153</v>
      </c>
      <c r="H2200" s="38" t="n">
        <f aca="false">Sens!$H$2163</f>
        <v>54.278998232373</v>
      </c>
      <c r="I2200" s="38" t="n">
        <f aca="false">Sens!$I$2163</f>
        <v>89.7299141016288</v>
      </c>
      <c r="J2200" s="38" t="n">
        <f aca="false">Sens!$J$2163</f>
        <v>125.364729599073</v>
      </c>
      <c r="K2200" s="38" t="n">
        <f aca="false">Sens!$K$2163</f>
        <v>161.060844972581</v>
      </c>
      <c r="L2200" s="38" t="n">
        <f aca="false">Sens!$L$2163</f>
        <v>196.784823926117</v>
      </c>
      <c r="M2200" s="38" t="n">
        <f aca="false">Sens!$M$2163</f>
        <v>232.523806345822</v>
      </c>
      <c r="N2200" s="38" t="n">
        <f aca="false">Sens!$N$2163</f>
        <v>3.04631953102791</v>
      </c>
      <c r="O2200" s="38" t="n">
        <f aca="false">Sens!$O$2163</f>
        <v>5.65745055762326</v>
      </c>
      <c r="P2200" s="8" t="s">
        <v>645</v>
      </c>
    </row>
    <row r="2201" customFormat="false" ht="17.15" hidden="false" customHeight="false" outlineLevel="0" collapsed="false">
      <c r="A2201" s="0" t="s">
        <v>646</v>
      </c>
      <c r="B2201" s="0" t="s">
        <v>73</v>
      </c>
      <c r="C2201" s="38" t="n">
        <f aca="false">Sens!$C$2167</f>
        <v>105.234994643026</v>
      </c>
      <c r="D2201" s="38" t="n">
        <f aca="false">Sens!$D$2167</f>
        <v>120.021229911349</v>
      </c>
      <c r="E2201" s="38" t="n">
        <f aca="false">Sens!$E$2167</f>
        <v>71.30864702443</v>
      </c>
      <c r="F2201" s="38" t="n">
        <f aca="false">Sens!$F$2167</f>
        <v>78.5950104186653</v>
      </c>
      <c r="G2201" s="38" t="n">
        <f aca="false">Sens!$G$2167</f>
        <v>149.903657443095</v>
      </c>
      <c r="H2201" s="38" t="n">
        <f aca="false">Sens!$H$2167</f>
        <v>180.893560768142</v>
      </c>
      <c r="I2201" s="38" t="n">
        <f aca="false">Sens!$I$2167</f>
        <v>210.64839721501</v>
      </c>
      <c r="J2201" s="38" t="n">
        <f aca="false">Sens!$J$2167</f>
        <v>236.398909446495</v>
      </c>
      <c r="K2201" s="38" t="n">
        <f aca="false">Sens!$K$2167</f>
        <v>255.310822202215</v>
      </c>
      <c r="L2201" s="38" t="n">
        <f aca="false">Sens!$L$2167</f>
        <v>275.735687978392</v>
      </c>
      <c r="M2201" s="38" t="n">
        <f aca="false">Sens!$M$2167</f>
        <v>297.794543016663</v>
      </c>
      <c r="N2201" s="38" t="n">
        <f aca="false">Sens!$N$2167</f>
        <v>57.0936804689721</v>
      </c>
      <c r="O2201" s="38" t="n">
        <f aca="false">Sens!$O$2167</f>
        <v>62.9275494423768</v>
      </c>
      <c r="P2201" s="8" t="s">
        <v>645</v>
      </c>
    </row>
    <row r="2202" customFormat="false" ht="17.15" hidden="false" customHeight="false" outlineLevel="0" collapsed="false">
      <c r="A2202" s="1" t="s">
        <v>476</v>
      </c>
      <c r="B2202" s="8" t="s">
        <v>73</v>
      </c>
      <c r="C2202" s="38" t="n">
        <f aca="false">Q!$D$7</f>
        <v>107.556</v>
      </c>
      <c r="D2202" s="38" t="n">
        <f aca="false">Q!$E$7</f>
        <v>128.725</v>
      </c>
      <c r="E2202" s="38" t="n">
        <f aca="false">Q!$P$7</f>
        <v>79.819</v>
      </c>
      <c r="F2202" s="38" t="n">
        <f aca="false">Sens!$F$2200+Sens!$F$2201</f>
        <v>92.8225824987105</v>
      </c>
      <c r="G2202" s="38" t="n">
        <f aca="false">Sens!$G$2200+Sens!$G$2201</f>
        <v>172.641582498711</v>
      </c>
      <c r="H2202" s="38" t="n">
        <f aca="false">Sens!$H$2200+Sens!$H$2201</f>
        <v>235.172559000515</v>
      </c>
      <c r="I2202" s="38" t="n">
        <f aca="false">Sens!$I$2200+Sens!$I$2201</f>
        <v>300.378311316639</v>
      </c>
      <c r="J2202" s="38" t="n">
        <f aca="false">Sens!$J$2200+Sens!$J$2201</f>
        <v>361.763639045568</v>
      </c>
      <c r="K2202" s="38" t="n">
        <f aca="false">Sens!$K$2200+Sens!$K$2201</f>
        <v>416.371667174795</v>
      </c>
      <c r="L2202" s="38" t="n">
        <f aca="false">Sens!$L$2200+Sens!$L$2201</f>
        <v>472.520511904509</v>
      </c>
      <c r="M2202" s="38" t="n">
        <f aca="false">Sens!$M$2200+Sens!$M$2201</f>
        <v>530.318349362485</v>
      </c>
      <c r="N2202" s="38" t="n">
        <f aca="false">Q!$N$7</f>
        <v>60.14</v>
      </c>
      <c r="O2202" s="38" t="n">
        <f aca="false">Q!$O$7</f>
        <v>68.585</v>
      </c>
      <c r="P2202" s="5" t="s">
        <v>647</v>
      </c>
    </row>
    <row r="2203" customFormat="false" ht="15" hidden="false" customHeight="false" outlineLevel="0" collapsed="false">
      <c r="A2203" s="3" t="s">
        <v>648</v>
      </c>
      <c r="B2203" s="8" t="s">
        <v>73</v>
      </c>
      <c r="C2203" s="38" t="n">
        <f aca="false">Q!$D$8</f>
        <v>637.959</v>
      </c>
      <c r="D2203" s="38" t="n">
        <f aca="false">Q!$E$8</f>
        <v>716.924</v>
      </c>
      <c r="E2203" s="38" t="n">
        <f aca="false">Q!$P$8</f>
        <v>382.125</v>
      </c>
      <c r="F2203" s="38" t="n">
        <f aca="false">Sens!$F$2136+Sens!$F$2202</f>
        <v>449.75901170714</v>
      </c>
      <c r="G2203" s="38" t="n">
        <f aca="false">Sens!$G$2136+Sens!$G$2202</f>
        <v>831.88401170714</v>
      </c>
      <c r="H2203" s="38" t="n">
        <f aca="false">Sens!$H$2136+Sens!$H$2202</f>
        <v>965.108296622215</v>
      </c>
      <c r="I2203" s="38" t="n">
        <f aca="false">Sens!$I$2136+Sens!$I$2202</f>
        <v>1098.67388101451</v>
      </c>
      <c r="J2203" s="38" t="n">
        <f aca="false">Sens!$J$2136+Sens!$J$2202</f>
        <v>1223.50046137135</v>
      </c>
      <c r="K2203" s="38" t="n">
        <f aca="false">Sens!$K$2136+Sens!$K$2202</f>
        <v>1333.92915927672</v>
      </c>
      <c r="L2203" s="38" t="n">
        <f aca="false">Sens!$L$2136+Sens!$L$2202</f>
        <v>1449.80560164767</v>
      </c>
      <c r="M2203" s="38" t="n">
        <f aca="false">Sens!$M$2136+Sens!$M$2202</f>
        <v>1571.53236790599</v>
      </c>
      <c r="N2203" s="38" t="n">
        <f aca="false">Q!$N$8</f>
        <v>323.369</v>
      </c>
      <c r="O2203" s="38" t="n">
        <f aca="false">Q!$O$8</f>
        <v>393.555</v>
      </c>
    </row>
    <row r="2204" customFormat="false" ht="17.15" hidden="false" customHeight="false" outlineLevel="0" collapsed="false">
      <c r="A2204" s="24" t="s">
        <v>656</v>
      </c>
      <c r="B2204" s="25" t="s">
        <v>73</v>
      </c>
      <c r="C2204" s="39" t="n">
        <f aca="false">Sens!$C$2136-(Sens!$C$2138+Sens!$C$2139)</f>
        <v>0</v>
      </c>
      <c r="D2204" s="39" t="n">
        <f aca="false">Sens!$D$2136-(Sens!$D$2138+Sens!$D$2139)</f>
        <v>0</v>
      </c>
      <c r="E2204" s="39" t="n">
        <f aca="false">Sens!$E$2136-(Sens!$E$2138+Sens!$E$2139)</f>
        <v>0</v>
      </c>
      <c r="F2204" s="39" t="n">
        <f aca="false">Sens!$F$2136-(Sens!$F$2138+Sens!$F$2139)</f>
        <v>0</v>
      </c>
      <c r="G2204" s="39" t="n">
        <f aca="false">Sens!$G$2136-(Sens!$G$2138+Sens!$G$2139)</f>
        <v>0</v>
      </c>
      <c r="H2204" s="39" t="n">
        <f aca="false">Sens!$H$2136-(Sens!$H$2138+Sens!$H$2139)</f>
        <v>0</v>
      </c>
      <c r="I2204" s="39" t="n">
        <f aca="false">Sens!$I$2136-(Sens!$I$2138+Sens!$I$2139)</f>
        <v>0</v>
      </c>
      <c r="J2204" s="39" t="n">
        <f aca="false">Sens!$J$2136-(Sens!$J$2138+Sens!$J$2139)</f>
        <v>0</v>
      </c>
      <c r="K2204" s="39" t="n">
        <f aca="false">Sens!$K$2136-(Sens!$K$2138+Sens!$K$2139)</f>
        <v>0</v>
      </c>
      <c r="L2204" s="39" t="n">
        <f aca="false">Sens!$L$2136-(Sens!$L$2138+Sens!$L$2139)</f>
        <v>0</v>
      </c>
      <c r="M2204" s="39" t="n">
        <f aca="false">Sens!$M$2136-(Sens!$M$2138+Sens!$M$2139)</f>
        <v>0</v>
      </c>
      <c r="N2204" s="39" t="n">
        <f aca="false">Sens!$N$2136-(Sens!$N$2138+Sens!$N$2139)</f>
        <v>0</v>
      </c>
      <c r="O2204" s="39" t="n">
        <f aca="false">Sens!$O$2136-(Sens!$O$2138+Sens!$O$2139)</f>
        <v>0</v>
      </c>
    </row>
    <row r="2205" customFormat="false" ht="17.15" hidden="false" customHeight="false" outlineLevel="0" collapsed="false">
      <c r="A2205" s="24" t="s">
        <v>657</v>
      </c>
      <c r="B2205" s="25" t="s">
        <v>73</v>
      </c>
      <c r="C2205" s="39" t="n">
        <f aca="false">Sens!$C$2200+Sens!$C$2201-Sens!$C$2202</f>
        <v>0</v>
      </c>
      <c r="D2205" s="39" t="n">
        <f aca="false">Sens!$D$2200+Sens!$D$2201-Sens!$D$2202</f>
        <v>0</v>
      </c>
      <c r="E2205" s="39" t="n">
        <f aca="false">Sens!$E$2200+Sens!$E$2201-Sens!$E$2202</f>
        <v>0</v>
      </c>
      <c r="F2205" s="39" t="n">
        <f aca="false">Sens!$F$2200+Sens!$F$2201-Sens!$F$2202</f>
        <v>0</v>
      </c>
      <c r="G2205" s="39" t="n">
        <f aca="false">Sens!$G$2200+Sens!$G$2201-Sens!$G$2202</f>
        <v>0</v>
      </c>
      <c r="H2205" s="39" t="n">
        <f aca="false">Sens!$H$2200+Sens!$H$2201-Sens!$H$2202</f>
        <v>0</v>
      </c>
      <c r="I2205" s="39" t="n">
        <f aca="false">Sens!$I$2200+Sens!$I$2201-Sens!$I$2202</f>
        <v>0</v>
      </c>
      <c r="J2205" s="39" t="n">
        <f aca="false">Sens!$J$2200+Sens!$J$2201-Sens!$J$2202</f>
        <v>0</v>
      </c>
      <c r="K2205" s="39" t="n">
        <f aca="false">Sens!$K$2200+Sens!$K$2201-Sens!$K$2202</f>
        <v>0</v>
      </c>
      <c r="L2205" s="39" t="n">
        <f aca="false">Sens!$L$2200+Sens!$L$2201-Sens!$L$2202</f>
        <v>0</v>
      </c>
      <c r="M2205" s="39" t="n">
        <f aca="false">Sens!$M$2200+Sens!$M$2201-Sens!$M$2202</f>
        <v>0</v>
      </c>
      <c r="N2205" s="39" t="n">
        <f aca="false">Sens!$N$2200+Sens!$N$2201-Sens!$N$2202</f>
        <v>0</v>
      </c>
      <c r="O2205" s="39" t="n">
        <f aca="false">Sens!$O$2200+Sens!$O$2201-Sens!$O$2202</f>
        <v>0</v>
      </c>
    </row>
    <row r="2206" customFormat="false" ht="17.15" hidden="false" customHeight="false" outlineLevel="0" collapsed="false">
      <c r="A2206" s="24" t="s">
        <v>658</v>
      </c>
      <c r="B2206" s="25" t="s">
        <v>73</v>
      </c>
      <c r="C2206" s="39" t="n">
        <f aca="false">Sens!$C$2138+Sens!$C$2139+Sens!$C$2202-Sens!$C$2203</f>
        <v>0</v>
      </c>
      <c r="D2206" s="39" t="n">
        <f aca="false">Sens!$D$2138+Sens!$D$2139+Sens!$D$2202-Sens!$D$2203</f>
        <v>0</v>
      </c>
      <c r="E2206" s="39" t="n">
        <f aca="false">Sens!$E$2138+Sens!$E$2139+Sens!$E$2202-Sens!$E$2203</f>
        <v>0</v>
      </c>
      <c r="F2206" s="39" t="n">
        <f aca="false">Sens!$F$2138+Sens!$F$2139+Sens!$F$2202-Sens!$F$2203</f>
        <v>0</v>
      </c>
      <c r="G2206" s="39" t="n">
        <f aca="false">Sens!$G$2138+Sens!$G$2139+Sens!$G$2202-Sens!$G$2203</f>
        <v>0</v>
      </c>
      <c r="H2206" s="39" t="n">
        <f aca="false">Sens!$H$2138+Sens!$H$2139+Sens!$H$2202-Sens!$H$2203</f>
        <v>0</v>
      </c>
      <c r="I2206" s="39" t="n">
        <f aca="false">Sens!$I$2138+Sens!$I$2139+Sens!$I$2202-Sens!$I$2203</f>
        <v>0</v>
      </c>
      <c r="J2206" s="39" t="n">
        <f aca="false">Sens!$J$2138+Sens!$J$2139+Sens!$J$2202-Sens!$J$2203</f>
        <v>0</v>
      </c>
      <c r="K2206" s="39" t="n">
        <f aca="false">Sens!$K$2138+Sens!$K$2139+Sens!$K$2202-Sens!$K$2203</f>
        <v>0</v>
      </c>
      <c r="L2206" s="39" t="n">
        <f aca="false">Sens!$L$2138+Sens!$L$2139+Sens!$L$2202-Sens!$L$2203</f>
        <v>0</v>
      </c>
      <c r="M2206" s="39" t="n">
        <f aca="false">Sens!$M$2138+Sens!$M$2139+Sens!$M$2202-Sens!$M$2203</f>
        <v>0</v>
      </c>
      <c r="N2206" s="39" t="n">
        <f aca="false">Sens!$N$2138+Sens!$N$2139+Sens!$N$2202-Sens!$N$2203</f>
        <v>0</v>
      </c>
      <c r="O2206" s="39" t="n">
        <f aca="false">Sens!$O$2138+Sens!$O$2139+Sens!$O$2202-Sens!$O$2203</f>
        <v>0</v>
      </c>
    </row>
    <row r="2207" customFormat="false" ht="15" hidden="false" customHeight="false" outlineLevel="0" collapsed="false">
      <c r="A2207" s="5" t="s">
        <v>652</v>
      </c>
      <c r="B2207" s="0" t="s">
        <v>52</v>
      </c>
      <c r="G2207" s="12" t="n">
        <f aca="false">Sens!$G$2203/Sens!$D$2203-1</f>
        <v>0.160351741198705</v>
      </c>
      <c r="H2207" s="12" t="n">
        <f aca="false">Sens!$H$2203/Sens!$G$2203-1</f>
        <v>0.160147668473253</v>
      </c>
      <c r="I2207" s="12" t="n">
        <f aca="false">Sens!$I$2203/Sens!$H$2203-1</f>
        <v>0.138394400773222</v>
      </c>
      <c r="J2207" s="12" t="n">
        <f aca="false">Sens!$J$2203/Sens!$I$2203-1</f>
        <v>0.113615680243147</v>
      </c>
      <c r="K2207" s="12" t="n">
        <f aca="false">Sens!$K$2203/Sens!$J$2203-1</f>
        <v>0.0902563598395323</v>
      </c>
      <c r="L2207" s="12" t="n">
        <f aca="false">Sens!$L$2203/Sens!$K$2203-1</f>
        <v>0.0868685128929809</v>
      </c>
      <c r="M2207" s="12" t="n">
        <f aca="false">Sens!$M$2203/Sens!$L$2203-1</f>
        <v>0.0839607504067956</v>
      </c>
    </row>
    <row r="2208" customFormat="false" ht="17.15" hidden="false" customHeight="false" outlineLevel="0" collapsed="false">
      <c r="A2208" s="0" t="s">
        <v>653</v>
      </c>
      <c r="B2208" s="0" t="s">
        <v>52</v>
      </c>
      <c r="C2208" s="12" t="n">
        <f aca="false">Sens!$C$2202/Sens!$C$2203</f>
        <v>0.168593906504964</v>
      </c>
      <c r="D2208" s="12" t="n">
        <f aca="false">Sens!$D$2202/Sens!$D$2203</f>
        <v>0.179551807444025</v>
      </c>
      <c r="E2208" s="12" t="n">
        <f aca="false">Sens!$E$2202/Sens!$E$2203</f>
        <v>0.208881910369643</v>
      </c>
      <c r="F2208" s="12" t="n">
        <f aca="false">Sens!$F$2202/Sens!$F$2203</f>
        <v>0.206382929708036</v>
      </c>
      <c r="G2208" s="12" t="n">
        <f aca="false">Sens!$G$2202/Sens!$G$2203</f>
        <v>0.207530833708928</v>
      </c>
      <c r="H2208" s="12" t="n">
        <f aca="false">Sens!$H$2202/Sens!$H$2203</f>
        <v>0.243674787403233</v>
      </c>
      <c r="I2208" s="12" t="n">
        <f aca="false">Sens!$I$2202/Sens!$I$2203</f>
        <v>0.273400793909172</v>
      </c>
      <c r="J2208" s="12" t="n">
        <f aca="false">Sens!$J$2202/Sens!$J$2203</f>
        <v>0.295679201166861</v>
      </c>
      <c r="K2208" s="12" t="n">
        <f aca="false">Sens!$K$2202/Sens!$K$2203</f>
        <v>0.312139264877124</v>
      </c>
      <c r="L2208" s="12" t="n">
        <f aca="false">Sens!$L$2202/Sens!$L$2203</f>
        <v>0.325919910481446</v>
      </c>
      <c r="M2208" s="12" t="n">
        <f aca="false">Sens!$M$2202/Sens!$M$2203</f>
        <v>0.33745302368103</v>
      </c>
      <c r="N2208" s="12" t="n">
        <f aca="false">Sens!$N$2202/Sens!$N$2203</f>
        <v>0.185979484737251</v>
      </c>
      <c r="O2208" s="12" t="n">
        <f aca="false">Sens!$O$2202/Sens!$O$2203</f>
        <v>0.174270432341096</v>
      </c>
    </row>
    <row r="2209" customFormat="false" ht="17.15" hidden="false" customHeight="false" outlineLevel="0" collapsed="false">
      <c r="A2209" s="0" t="s">
        <v>654</v>
      </c>
      <c r="B2209" s="0" t="s">
        <v>52</v>
      </c>
      <c r="C2209" s="12" t="n">
        <f aca="false">Sens!$C$2200/Sens!$C$2202</f>
        <v>0.0215795060896058</v>
      </c>
      <c r="D2209" s="12" t="n">
        <f aca="false">Sens!$D$2200/Sens!$D$2202</f>
        <v>0.0676152269462122</v>
      </c>
      <c r="E2209" s="12" t="n">
        <f aca="false">Sens!$E$2200/Sens!$E$2202</f>
        <v>0.106620641395783</v>
      </c>
      <c r="F2209" s="12" t="n">
        <f aca="false">Sens!$F$2200/Sens!$F$2202</f>
        <v>0.153277054969279</v>
      </c>
      <c r="G2209" s="12" t="n">
        <f aca="false">Sens!$G$2200/Sens!$G$2202</f>
        <v>0.131705958243201</v>
      </c>
      <c r="H2209" s="12" t="n">
        <f aca="false">Sens!$H$2200/Sens!$H$2202</f>
        <v>0.23080498193777</v>
      </c>
      <c r="I2209" s="12" t="n">
        <f aca="false">Sens!$I$2200/Sens!$I$2202</f>
        <v>0.298723012684632</v>
      </c>
      <c r="J2209" s="12" t="n">
        <f aca="false">Sens!$J$2200/Sens!$J$2202</f>
        <v>0.346537672856841</v>
      </c>
      <c r="K2209" s="12" t="n">
        <f aca="false">Sens!$K$2200/Sens!$K$2202</f>
        <v>0.386819895948795</v>
      </c>
      <c r="L2209" s="12" t="n">
        <f aca="false">Sens!$L$2200/Sens!$L$2202</f>
        <v>0.416457738803697</v>
      </c>
      <c r="M2209" s="12" t="n">
        <f aca="false">Sens!$M$2200/Sens!$M$2202</f>
        <v>0.438460797416019</v>
      </c>
      <c r="N2209" s="12" t="n">
        <f aca="false">Sens!$N$2200/Sens!$N$2202</f>
        <v>0.0506537999838362</v>
      </c>
      <c r="O2209" s="12" t="n">
        <f aca="false">Sens!$O$2200/Sens!$O$2202</f>
        <v>0.0824881615167056</v>
      </c>
    </row>
    <row r="2212" customFormat="false" ht="19.4" hidden="false" customHeight="false" outlineLevel="0" collapsed="false">
      <c r="A2212" s="31" t="s">
        <v>1092</v>
      </c>
    </row>
    <row r="2213" customFormat="false" ht="17.15" hidden="false" customHeight="false" outlineLevel="0" collapsed="false">
      <c r="A2213" s="6" t="s">
        <v>16</v>
      </c>
      <c r="B2213" s="6" t="s">
        <v>17</v>
      </c>
      <c r="C2213" s="20" t="s">
        <v>457</v>
      </c>
      <c r="D2213" s="20" t="s">
        <v>458</v>
      </c>
      <c r="E2213" s="20" t="s">
        <v>540</v>
      </c>
      <c r="F2213" s="20" t="s">
        <v>541</v>
      </c>
      <c r="G2213" s="20" t="s">
        <v>542</v>
      </c>
      <c r="H2213" s="20" t="s">
        <v>543</v>
      </c>
      <c r="I2213" s="20" t="s">
        <v>544</v>
      </c>
      <c r="J2213" s="20" t="s">
        <v>545</v>
      </c>
      <c r="K2213" s="20" t="s">
        <v>546</v>
      </c>
      <c r="L2213" s="20" t="s">
        <v>547</v>
      </c>
      <c r="M2213" s="20" t="s">
        <v>548</v>
      </c>
      <c r="N2213" s="20" t="s">
        <v>549</v>
      </c>
      <c r="O2213" s="20" t="s">
        <v>550</v>
      </c>
      <c r="P2213" s="6" t="s">
        <v>23</v>
      </c>
      <c r="R2213" s="20" t="n">
        <v>2023</v>
      </c>
      <c r="S2213" s="20" t="n">
        <v>2024</v>
      </c>
      <c r="T2213" s="20" t="n">
        <v>2025</v>
      </c>
      <c r="U2213" s="20" t="n">
        <v>2026</v>
      </c>
      <c r="V2213" s="20" t="n">
        <v>2027</v>
      </c>
      <c r="W2213" s="20" t="n">
        <v>2028</v>
      </c>
      <c r="X2213" s="20" t="n">
        <v>2029</v>
      </c>
      <c r="Y2213" s="20" t="n">
        <v>2030</v>
      </c>
      <c r="Z2213" s="20" t="n">
        <v>2031</v>
      </c>
      <c r="AA2213" s="20" t="n">
        <v>2032</v>
      </c>
    </row>
    <row r="2214" customFormat="false" ht="17.15" hidden="false" customHeight="false" outlineLevel="0" collapsed="false">
      <c r="A2214" s="1" t="s">
        <v>669</v>
      </c>
    </row>
    <row r="2215" customFormat="false" ht="15" hidden="false" customHeight="false" outlineLevel="0" collapsed="false">
      <c r="A2215" s="0" t="s">
        <v>479</v>
      </c>
      <c r="B2215" s="0" t="s">
        <v>73</v>
      </c>
      <c r="C2215" s="38" t="n">
        <f aca="false">Sens!$C$2124</f>
        <v>247.029</v>
      </c>
      <c r="D2215" s="38" t="n">
        <f aca="false">Sens!$D$2124</f>
        <v>269.287</v>
      </c>
      <c r="E2215" s="38" t="n">
        <f aca="false">Sens!$E$2124</f>
        <v>134.686</v>
      </c>
      <c r="F2215" s="38" t="n">
        <f aca="false">Sens!$F$2124</f>
        <v>160.728085930082</v>
      </c>
      <c r="G2215" s="38" t="n">
        <f aca="false">Sens!$G$2124</f>
        <v>295.414085930082</v>
      </c>
      <c r="H2215" s="38" t="n">
        <f aca="false">Sens!$H$2124</f>
        <v>320.828163943375</v>
      </c>
      <c r="I2215" s="38" t="n">
        <f aca="false">Sens!$I$2124</f>
        <v>344.575578072228</v>
      </c>
      <c r="J2215" s="38" t="n">
        <f aca="false">Sens!$J$2124</f>
        <v>365.942555779681</v>
      </c>
      <c r="K2215" s="38" t="n">
        <f aca="false">Sens!$K$2124</f>
        <v>384.239683568665</v>
      </c>
      <c r="L2215" s="38" t="n">
        <f aca="false">Sens!$L$2124</f>
        <v>403.451667747098</v>
      </c>
      <c r="M2215" s="38" t="n">
        <f aca="false">Sens!$M$2124</f>
        <v>423.624251134453</v>
      </c>
      <c r="N2215" s="38" t="n">
        <f aca="false">Sens!$N$2124</f>
        <v>118.892</v>
      </c>
      <c r="O2215" s="38" t="n">
        <f aca="false">Sens!$O$2124</f>
        <v>150.395</v>
      </c>
    </row>
    <row r="2216" customFormat="false" ht="15" hidden="false" customHeight="false" outlineLevel="0" collapsed="false">
      <c r="A2216" s="0" t="s">
        <v>480</v>
      </c>
      <c r="B2216" s="0" t="s">
        <v>73</v>
      </c>
      <c r="C2216" s="38" t="n">
        <f aca="false">Sens!$C$2126</f>
        <v>21.215</v>
      </c>
      <c r="D2216" s="38" t="n">
        <f aca="false">Sens!$D$2126</f>
        <v>22.561</v>
      </c>
      <c r="E2216" s="38" t="n">
        <f aca="false">Sens!$E$2126</f>
        <v>11.579</v>
      </c>
      <c r="F2216" s="38" t="n">
        <f aca="false">Sens!$F$2126</f>
        <v>12.0952613121125</v>
      </c>
      <c r="G2216" s="38" t="n">
        <f aca="false">Sens!$G$2126</f>
        <v>23.6742613121125</v>
      </c>
      <c r="H2216" s="38" t="n">
        <f aca="false">Sens!$H$2126</f>
        <v>24.8803243963206</v>
      </c>
      <c r="I2216" s="38" t="n">
        <f aca="false">Sens!$I$2126</f>
        <v>25.9741308664154</v>
      </c>
      <c r="J2216" s="38" t="n">
        <f aca="false">Sens!$J$2126</f>
        <v>26.9346894124267</v>
      </c>
      <c r="K2216" s="38" t="n">
        <f aca="false">Sens!$K$2126</f>
        <v>27.7427300947995</v>
      </c>
      <c r="L2216" s="38" t="n">
        <f aca="false">Sens!$L$2126</f>
        <v>28.5750119976435</v>
      </c>
      <c r="M2216" s="38" t="n">
        <f aca="false">Sens!$M$2126</f>
        <v>29.4322623575728</v>
      </c>
      <c r="N2216" s="38" t="n">
        <f aca="false">Sens!$N$2126</f>
        <v>11.128</v>
      </c>
      <c r="O2216" s="38" t="n">
        <f aca="false">Sens!$O$2126</f>
        <v>11.433</v>
      </c>
    </row>
    <row r="2217" customFormat="false" ht="15" hidden="false" customHeight="false" outlineLevel="0" collapsed="false">
      <c r="A2217" s="0" t="s">
        <v>481</v>
      </c>
      <c r="B2217" s="0" t="s">
        <v>73</v>
      </c>
      <c r="C2217" s="38" t="n">
        <f aca="false">Sens!$C$2128</f>
        <v>156.146</v>
      </c>
      <c r="D2217" s="38" t="n">
        <f aca="false">Sens!$D$2128</f>
        <v>172.162</v>
      </c>
      <c r="E2217" s="38" t="n">
        <f aca="false">Sens!$E$2128</f>
        <v>88.358</v>
      </c>
      <c r="F2217" s="38" t="n">
        <f aca="false">Sens!$F$2128</f>
        <v>103.62028337149</v>
      </c>
      <c r="G2217" s="38" t="n">
        <f aca="false">Sens!$G$2128</f>
        <v>191.97828337149</v>
      </c>
      <c r="H2217" s="38" t="n">
        <f aca="false">Sens!$H$2128</f>
        <v>212.128608444755</v>
      </c>
      <c r="I2217" s="38" t="n">
        <f aca="false">Sens!$I$2128</f>
        <v>231.92183134134</v>
      </c>
      <c r="J2217" s="38" t="n">
        <f aca="false">Sens!$J$2128</f>
        <v>250.859136487863</v>
      </c>
      <c r="K2217" s="38" t="n">
        <f aca="false">Sens!$K$2128</f>
        <v>268.419276042014</v>
      </c>
      <c r="L2217" s="38" t="n">
        <f aca="false">Sens!$L$2128</f>
        <v>287.208625364954</v>
      </c>
      <c r="M2217" s="38" t="n">
        <f aca="false">Sens!$M$2128</f>
        <v>307.313229140501</v>
      </c>
      <c r="N2217" s="38" t="n">
        <f aca="false">Sens!$N$2128</f>
        <v>76.86</v>
      </c>
      <c r="O2217" s="38" t="n">
        <f aca="false">Sens!$O$2128</f>
        <v>95.302</v>
      </c>
    </row>
    <row r="2218" customFormat="false" ht="15" hidden="false" customHeight="false" outlineLevel="0" collapsed="false">
      <c r="A2218" s="0" t="s">
        <v>482</v>
      </c>
      <c r="B2218" s="0" t="s">
        <v>73</v>
      </c>
      <c r="C2218" s="38" t="n">
        <f aca="false">Sens!$C$2130</f>
        <v>56.214</v>
      </c>
      <c r="D2218" s="38" t="n">
        <f aca="false">Sens!$D$2130</f>
        <v>68.635</v>
      </c>
      <c r="E2218" s="38" t="n">
        <f aca="false">Sens!$E$2130</f>
        <v>37.052</v>
      </c>
      <c r="F2218" s="38" t="n">
        <f aca="false">Sens!$F$2130</f>
        <v>48.1533381827382</v>
      </c>
      <c r="G2218" s="38" t="n">
        <f aca="false">Sens!$G$2130</f>
        <v>85.2053381827382</v>
      </c>
      <c r="H2218" s="38" t="n">
        <f aca="false">Sens!$H$2130</f>
        <v>102.29336185894</v>
      </c>
      <c r="I2218" s="38" t="n">
        <f aca="false">Sens!$I$2130</f>
        <v>119.379837585241</v>
      </c>
      <c r="J2218" s="38" t="n">
        <f aca="false">Sens!$J$2130</f>
        <v>135.319079048844</v>
      </c>
      <c r="K2218" s="38" t="n">
        <f aca="false">Sens!$K$2130</f>
        <v>148.850986953729</v>
      </c>
      <c r="L2218" s="38" t="n">
        <f aca="false">Sens!$L$2130</f>
        <v>163.736085649102</v>
      </c>
      <c r="M2218" s="38" t="n">
        <f aca="false">Sens!$M$2130</f>
        <v>180.109694214012</v>
      </c>
      <c r="N2218" s="38" t="n">
        <f aca="false">Sens!$N$2130</f>
        <v>29.615</v>
      </c>
      <c r="O2218" s="38" t="n">
        <f aca="false">Sens!$O$2130</f>
        <v>39.02</v>
      </c>
    </row>
    <row r="2219" customFormat="false" ht="15" hidden="false" customHeight="false" outlineLevel="0" collapsed="false">
      <c r="A2219" s="0" t="s">
        <v>483</v>
      </c>
      <c r="B2219" s="0" t="s">
        <v>73</v>
      </c>
      <c r="C2219" s="38" t="n">
        <f aca="false">Sens!$C$2132</f>
        <v>44.374</v>
      </c>
      <c r="D2219" s="38" t="n">
        <f aca="false">Sens!$D$2132</f>
        <v>49.619</v>
      </c>
      <c r="E2219" s="38" t="n">
        <f aca="false">Sens!$E$2132</f>
        <v>27.157</v>
      </c>
      <c r="F2219" s="38" t="n">
        <f aca="false">Sens!$F$2132</f>
        <v>28.9776360923374</v>
      </c>
      <c r="G2219" s="38" t="n">
        <f aca="false">Sens!$G$2132</f>
        <v>56.1346360923374</v>
      </c>
      <c r="H2219" s="38" t="n">
        <f aca="false">Sens!$H$2132</f>
        <v>62.4937078946075</v>
      </c>
      <c r="I2219" s="38" t="n">
        <f aca="false">Sens!$I$2132</f>
        <v>68.6715233062498</v>
      </c>
      <c r="J2219" s="38" t="n">
        <f aca="false">Sens!$J$2132</f>
        <v>74.4692882949818</v>
      </c>
      <c r="K2219" s="38" t="n">
        <f aca="false">Sens!$K$2132</f>
        <v>79.6821384756306</v>
      </c>
      <c r="L2219" s="38" t="n">
        <f aca="false">Sens!$L$2132</f>
        <v>85.2598881689247</v>
      </c>
      <c r="M2219" s="38" t="n">
        <f aca="false">Sens!$M$2132</f>
        <v>91.2280803407494</v>
      </c>
      <c r="N2219" s="38" t="n">
        <f aca="false">Sens!$N$2132</f>
        <v>23.923</v>
      </c>
      <c r="O2219" s="38" t="n">
        <f aca="false">Sens!$O$2132</f>
        <v>25.696</v>
      </c>
    </row>
    <row r="2220" customFormat="false" ht="15" hidden="false" customHeight="false" outlineLevel="0" collapsed="false">
      <c r="A2220" s="0" t="s">
        <v>484</v>
      </c>
      <c r="B2220" s="0" t="s">
        <v>73</v>
      </c>
      <c r="C2220" s="38" t="n">
        <f aca="false">Sens!$C$2134</f>
        <v>5.425</v>
      </c>
      <c r="D2220" s="38" t="n">
        <f aca="false">Sens!$D$2134</f>
        <v>5.935</v>
      </c>
      <c r="E2220" s="38" t="n">
        <f aca="false">Sens!$E$2134</f>
        <v>3.474</v>
      </c>
      <c r="F2220" s="38" t="n">
        <f aca="false">Sens!$F$2134</f>
        <v>3.36182431966931</v>
      </c>
      <c r="G2220" s="38" t="n">
        <f aca="false">Sens!$G$2134</f>
        <v>6.83582431966931</v>
      </c>
      <c r="H2220" s="38" t="n">
        <f aca="false">Sens!$H$2134</f>
        <v>7.31157108370141</v>
      </c>
      <c r="I2220" s="38" t="n">
        <f aca="false">Sens!$I$2134</f>
        <v>7.77266852639815</v>
      </c>
      <c r="J2220" s="38" t="n">
        <f aca="false">Sens!$J$2134</f>
        <v>8.2120733019884</v>
      </c>
      <c r="K2220" s="38" t="n">
        <f aca="false">Sens!$K$2134</f>
        <v>8.62267696708783</v>
      </c>
      <c r="L2220" s="38" t="n">
        <f aca="false">Sens!$L$2134</f>
        <v>9.05381081544222</v>
      </c>
      <c r="M2220" s="38" t="n">
        <f aca="false">Sens!$M$2134</f>
        <v>9.50650135621433</v>
      </c>
      <c r="N2220" s="38" t="n">
        <f aca="false">Sens!$N$2134</f>
        <v>2.811</v>
      </c>
      <c r="O2220" s="38" t="n">
        <f aca="false">Sens!$O$2134</f>
        <v>3.124</v>
      </c>
    </row>
    <row r="2221" customFormat="false" ht="17.15" hidden="false" customHeight="false" outlineLevel="0" collapsed="false">
      <c r="A2221" s="0" t="s">
        <v>670</v>
      </c>
      <c r="B2221" s="0" t="s">
        <v>73</v>
      </c>
      <c r="C2221" s="38" t="n">
        <f aca="false">Sens!$C$2202</f>
        <v>107.556</v>
      </c>
      <c r="D2221" s="38" t="n">
        <f aca="false">Sens!$D$2202</f>
        <v>128.725</v>
      </c>
      <c r="E2221" s="38" t="n">
        <f aca="false">Sens!$E$2202</f>
        <v>79.819</v>
      </c>
      <c r="F2221" s="38" t="n">
        <f aca="false">Sens!$F$2202</f>
        <v>92.8225824987105</v>
      </c>
      <c r="G2221" s="38" t="n">
        <f aca="false">Sens!$G$2202</f>
        <v>172.641582498711</v>
      </c>
      <c r="H2221" s="38" t="n">
        <f aca="false">Sens!$H$2202</f>
        <v>235.172559000515</v>
      </c>
      <c r="I2221" s="38" t="n">
        <f aca="false">Sens!$I$2202</f>
        <v>300.378311316639</v>
      </c>
      <c r="J2221" s="38" t="n">
        <f aca="false">Sens!$J$2202</f>
        <v>361.763639045568</v>
      </c>
      <c r="K2221" s="38" t="n">
        <f aca="false">Sens!$K$2202</f>
        <v>416.371667174795</v>
      </c>
      <c r="L2221" s="38" t="n">
        <f aca="false">Sens!$L$2202</f>
        <v>472.520511904509</v>
      </c>
      <c r="M2221" s="38" t="n">
        <f aca="false">Sens!$M$2202</f>
        <v>530.318349362485</v>
      </c>
      <c r="N2221" s="38" t="n">
        <f aca="false">Sens!$N$2202</f>
        <v>60.14</v>
      </c>
      <c r="O2221" s="38" t="n">
        <f aca="false">Sens!$O$2202</f>
        <v>68.585</v>
      </c>
    </row>
    <row r="2222" customFormat="false" ht="15" hidden="false" customHeight="false" outlineLevel="0" collapsed="false">
      <c r="A2222" s="1" t="s">
        <v>472</v>
      </c>
      <c r="B2222" s="8" t="s">
        <v>73</v>
      </c>
      <c r="C2222" s="38" t="n">
        <f aca="false">Sens!$C$2138</f>
        <v>387.497</v>
      </c>
      <c r="D2222" s="38" t="n">
        <f aca="false">Sens!$D$2138</f>
        <v>426.305</v>
      </c>
      <c r="E2222" s="38" t="n">
        <f aca="false">Sens!$E$2138</f>
        <v>220.32</v>
      </c>
      <c r="F2222" s="38" t="n">
        <f aca="false">Sens!$F$2138</f>
        <v>256.304015003807</v>
      </c>
      <c r="G2222" s="38" t="n">
        <f aca="false">Sens!$G$2138</f>
        <v>476.624015003807</v>
      </c>
      <c r="H2222" s="38" t="n">
        <f aca="false">Sens!$H$2138</f>
        <v>527.734391091543</v>
      </c>
      <c r="I2222" s="38" t="n">
        <f aca="false">Sens!$I$2138</f>
        <v>577.157693029577</v>
      </c>
      <c r="J2222" s="38" t="n">
        <f aca="false">Sens!$J$2138</f>
        <v>623.024923663827</v>
      </c>
      <c r="K2222" s="38" t="n">
        <f aca="false">Sens!$K$2138</f>
        <v>663.382568393781</v>
      </c>
      <c r="L2222" s="38" t="n">
        <f aca="false">Sens!$L$2138</f>
        <v>706.564873010432</v>
      </c>
      <c r="M2222" s="38" t="n">
        <f aca="false">Sens!$M$2138</f>
        <v>752.784687406019</v>
      </c>
      <c r="N2222" s="38" t="n">
        <f aca="false">Sens!$N$2138</f>
        <v>192.955</v>
      </c>
      <c r="O2222" s="38" t="n">
        <f aca="false">Sens!$O$2138</f>
        <v>233.35</v>
      </c>
    </row>
    <row r="2223" customFormat="false" ht="15" hidden="false" customHeight="false" outlineLevel="0" collapsed="false">
      <c r="A2223" s="1" t="s">
        <v>475</v>
      </c>
      <c r="B2223" s="8" t="s">
        <v>73</v>
      </c>
      <c r="C2223" s="38" t="n">
        <f aca="false">Sens!$C$2139</f>
        <v>142.906</v>
      </c>
      <c r="D2223" s="38" t="n">
        <f aca="false">Sens!$D$2139</f>
        <v>161.894</v>
      </c>
      <c r="E2223" s="38" t="n">
        <f aca="false">Sens!$E$2139</f>
        <v>81.986</v>
      </c>
      <c r="F2223" s="38" t="n">
        <f aca="false">Sens!$F$2139</f>
        <v>100.632414204623</v>
      </c>
      <c r="G2223" s="38" t="n">
        <f aca="false">Sens!$G$2139</f>
        <v>182.618414204623</v>
      </c>
      <c r="H2223" s="38" t="n">
        <f aca="false">Sens!$H$2139</f>
        <v>202.201346530158</v>
      </c>
      <c r="I2223" s="38" t="n">
        <f aca="false">Sens!$I$2139</f>
        <v>221.137876668296</v>
      </c>
      <c r="J2223" s="38" t="n">
        <f aca="false">Sens!$J$2139</f>
        <v>238.711898661958</v>
      </c>
      <c r="K2223" s="38" t="n">
        <f aca="false">Sens!$K$2139</f>
        <v>254.174923708144</v>
      </c>
      <c r="L2223" s="38" t="n">
        <f aca="false">Sens!$L$2139</f>
        <v>270.720216732733</v>
      </c>
      <c r="M2223" s="38" t="n">
        <f aca="false">Sens!$M$2139</f>
        <v>288.429331137484</v>
      </c>
      <c r="N2223" s="38" t="n">
        <f aca="false">Sens!$N$2139</f>
        <v>70.274</v>
      </c>
      <c r="O2223" s="38" t="n">
        <f aca="false">Sens!$O$2139</f>
        <v>91.62</v>
      </c>
    </row>
    <row r="2224" customFormat="false" ht="15" hidden="false" customHeight="false" outlineLevel="0" collapsed="false">
      <c r="A2224" s="1" t="s">
        <v>476</v>
      </c>
      <c r="B2224" s="8" t="s">
        <v>73</v>
      </c>
      <c r="C2224" s="38" t="n">
        <f aca="false">Sens!$C$2202</f>
        <v>107.556</v>
      </c>
      <c r="D2224" s="38" t="n">
        <f aca="false">Sens!$D$2202</f>
        <v>128.725</v>
      </c>
      <c r="E2224" s="38" t="n">
        <f aca="false">Sens!$E$2202</f>
        <v>79.819</v>
      </c>
      <c r="F2224" s="38" t="n">
        <f aca="false">Sens!$F$2202</f>
        <v>92.8225824987105</v>
      </c>
      <c r="G2224" s="38" t="n">
        <f aca="false">Sens!$G$2202</f>
        <v>172.641582498711</v>
      </c>
      <c r="H2224" s="38" t="n">
        <f aca="false">Sens!$H$2202</f>
        <v>235.172559000515</v>
      </c>
      <c r="I2224" s="38" t="n">
        <f aca="false">Sens!$I$2202</f>
        <v>300.378311316639</v>
      </c>
      <c r="J2224" s="38" t="n">
        <f aca="false">Sens!$J$2202</f>
        <v>361.763639045568</v>
      </c>
      <c r="K2224" s="38" t="n">
        <f aca="false">Sens!$K$2202</f>
        <v>416.371667174795</v>
      </c>
      <c r="L2224" s="38" t="n">
        <f aca="false">Sens!$L$2202</f>
        <v>472.520511904509</v>
      </c>
      <c r="M2224" s="38" t="n">
        <f aca="false">Sens!$M$2202</f>
        <v>530.318349362485</v>
      </c>
      <c r="N2224" s="38" t="n">
        <f aca="false">Sens!$N$2202</f>
        <v>60.14</v>
      </c>
      <c r="O2224" s="38" t="n">
        <f aca="false">Sens!$O$2202</f>
        <v>68.585</v>
      </c>
    </row>
    <row r="2225" customFormat="false" ht="17.15" hidden="false" customHeight="false" outlineLevel="0" collapsed="false">
      <c r="A2225" s="0" t="s">
        <v>644</v>
      </c>
      <c r="B2225" s="0" t="s">
        <v>73</v>
      </c>
      <c r="C2225" s="38" t="n">
        <f aca="false">Sens!$C$2200</f>
        <v>2.32100535697364</v>
      </c>
      <c r="D2225" s="38" t="n">
        <f aca="false">Sens!$D$2200</f>
        <v>8.70377008865116</v>
      </c>
      <c r="E2225" s="38" t="n">
        <f aca="false">Sens!$E$2200</f>
        <v>8.51035297557002</v>
      </c>
      <c r="F2225" s="38" t="n">
        <f aca="false">Sens!$F$2200</f>
        <v>14.2275720800453</v>
      </c>
      <c r="G2225" s="38" t="n">
        <f aca="false">Sens!$G$2200</f>
        <v>22.7379250556153</v>
      </c>
      <c r="H2225" s="38" t="n">
        <f aca="false">Sens!$H$2200</f>
        <v>54.278998232373</v>
      </c>
      <c r="I2225" s="38" t="n">
        <f aca="false">Sens!$I$2200</f>
        <v>89.7299141016288</v>
      </c>
      <c r="J2225" s="38" t="n">
        <f aca="false">Sens!$J$2200</f>
        <v>125.364729599073</v>
      </c>
      <c r="K2225" s="38" t="n">
        <f aca="false">Sens!$K$2200</f>
        <v>161.060844972581</v>
      </c>
      <c r="L2225" s="38" t="n">
        <f aca="false">Sens!$L$2200</f>
        <v>196.784823926117</v>
      </c>
      <c r="M2225" s="38" t="n">
        <f aca="false">Sens!$M$2200</f>
        <v>232.523806345822</v>
      </c>
      <c r="N2225" s="38" t="n">
        <f aca="false">Sens!$N$2200</f>
        <v>3.04631953102791</v>
      </c>
      <c r="O2225" s="38" t="n">
        <f aca="false">Sens!$O$2200</f>
        <v>5.65745055762326</v>
      </c>
    </row>
    <row r="2226" customFormat="false" ht="17.15" hidden="false" customHeight="false" outlineLevel="0" collapsed="false">
      <c r="A2226" s="0" t="s">
        <v>646</v>
      </c>
      <c r="B2226" s="0" t="s">
        <v>73</v>
      </c>
      <c r="C2226" s="38" t="n">
        <f aca="false">Sens!$C$2201</f>
        <v>105.234994643026</v>
      </c>
      <c r="D2226" s="38" t="n">
        <f aca="false">Sens!$D$2201</f>
        <v>120.021229911349</v>
      </c>
      <c r="E2226" s="38" t="n">
        <f aca="false">Sens!$E$2201</f>
        <v>71.30864702443</v>
      </c>
      <c r="F2226" s="38" t="n">
        <f aca="false">Sens!$F$2201</f>
        <v>78.5950104186653</v>
      </c>
      <c r="G2226" s="38" t="n">
        <f aca="false">Sens!$G$2201</f>
        <v>149.903657443095</v>
      </c>
      <c r="H2226" s="38" t="n">
        <f aca="false">Sens!$H$2201</f>
        <v>180.893560768142</v>
      </c>
      <c r="I2226" s="38" t="n">
        <f aca="false">Sens!$I$2201</f>
        <v>210.64839721501</v>
      </c>
      <c r="J2226" s="38" t="n">
        <f aca="false">Sens!$J$2201</f>
        <v>236.398909446495</v>
      </c>
      <c r="K2226" s="38" t="n">
        <f aca="false">Sens!$K$2201</f>
        <v>255.310822202215</v>
      </c>
      <c r="L2226" s="38" t="n">
        <f aca="false">Sens!$L$2201</f>
        <v>275.735687978392</v>
      </c>
      <c r="M2226" s="38" t="n">
        <f aca="false">Sens!$M$2201</f>
        <v>297.794543016663</v>
      </c>
      <c r="N2226" s="38" t="n">
        <f aca="false">Sens!$N$2201</f>
        <v>57.0936804689721</v>
      </c>
      <c r="O2226" s="38" t="n">
        <f aca="false">Sens!$O$2201</f>
        <v>62.9275494423768</v>
      </c>
    </row>
    <row r="2227" customFormat="false" ht="15" hidden="false" customHeight="false" outlineLevel="0" collapsed="false">
      <c r="A2227" s="3" t="s">
        <v>477</v>
      </c>
      <c r="B2227" s="8" t="s">
        <v>73</v>
      </c>
      <c r="C2227" s="38" t="n">
        <f aca="false">Sens!$C$2203</f>
        <v>637.959</v>
      </c>
      <c r="D2227" s="38" t="n">
        <f aca="false">Sens!$D$2203</f>
        <v>716.924</v>
      </c>
      <c r="E2227" s="38" t="n">
        <f aca="false">Sens!$E$2203</f>
        <v>382.125</v>
      </c>
      <c r="F2227" s="38" t="n">
        <f aca="false">Sens!$F$2203</f>
        <v>449.75901170714</v>
      </c>
      <c r="G2227" s="38" t="n">
        <f aca="false">Sens!$G$2203</f>
        <v>831.88401170714</v>
      </c>
      <c r="H2227" s="38" t="n">
        <f aca="false">Sens!$H$2203</f>
        <v>965.108296622215</v>
      </c>
      <c r="I2227" s="38" t="n">
        <f aca="false">Sens!$I$2203</f>
        <v>1098.67388101451</v>
      </c>
      <c r="J2227" s="38" t="n">
        <f aca="false">Sens!$J$2203</f>
        <v>1223.50046137135</v>
      </c>
      <c r="K2227" s="38" t="n">
        <f aca="false">Sens!$K$2203</f>
        <v>1333.92915927672</v>
      </c>
      <c r="L2227" s="38" t="n">
        <f aca="false">Sens!$L$2203</f>
        <v>1449.80560164767</v>
      </c>
      <c r="M2227" s="38" t="n">
        <f aca="false">Sens!$M$2203</f>
        <v>1571.53236790599</v>
      </c>
      <c r="N2227" s="38" t="n">
        <f aca="false">Sens!$N$2203</f>
        <v>323.369</v>
      </c>
      <c r="O2227" s="38" t="n">
        <f aca="false">Sens!$O$2203</f>
        <v>393.555</v>
      </c>
    </row>
    <row r="2228" customFormat="false" ht="17.15" hidden="false" customHeight="false" outlineLevel="0" collapsed="false">
      <c r="A2228" s="24" t="s">
        <v>656</v>
      </c>
      <c r="B2228" s="25" t="s">
        <v>73</v>
      </c>
      <c r="C2228" s="39" t="n">
        <f aca="false">Sens!$C$2215+Sens!$C$2216+Sens!$C$2217+Sens!$C$2218+Sens!$C$2219+Sens!$C$2220-(Sens!$C$2222+Sens!$C$2223)</f>
        <v>0</v>
      </c>
      <c r="D2228" s="39" t="n">
        <f aca="false">Sens!$D$2215+Sens!$D$2216+Sens!$D$2217+Sens!$D$2218+Sens!$D$2219+Sens!$D$2220-(Sens!$D$2222+Sens!$D$2223)</f>
        <v>0</v>
      </c>
      <c r="E2228" s="39" t="n">
        <f aca="false">Sens!$E$2215+Sens!$E$2216+Sens!$E$2217+Sens!$E$2218+Sens!$E$2219+Sens!$E$2220-(Sens!$E$2222+Sens!$E$2223)</f>
        <v>0</v>
      </c>
      <c r="F2228" s="39" t="n">
        <f aca="false">Sens!$F$2215+Sens!$F$2216+Sens!$F$2217+Sens!$F$2218+Sens!$F$2219+Sens!$F$2220-(Sens!$F$2222+Sens!$F$2223)</f>
        <v>0</v>
      </c>
      <c r="G2228" s="39" t="n">
        <f aca="false">Sens!$G$2215+Sens!$G$2216+Sens!$G$2217+Sens!$G$2218+Sens!$G$2219+Sens!$G$2220-(Sens!$G$2222+Sens!$G$2223)</f>
        <v>0</v>
      </c>
      <c r="H2228" s="39" t="n">
        <f aca="false">Sens!$H$2215+Sens!$H$2216+Sens!$H$2217+Sens!$H$2218+Sens!$H$2219+Sens!$H$2220-(Sens!$H$2222+Sens!$H$2223)</f>
        <v>0</v>
      </c>
      <c r="I2228" s="39" t="n">
        <f aca="false">Sens!$I$2215+Sens!$I$2216+Sens!$I$2217+Sens!$I$2218+Sens!$I$2219+Sens!$I$2220-(Sens!$I$2222+Sens!$I$2223)</f>
        <v>0</v>
      </c>
      <c r="J2228" s="39" t="n">
        <f aca="false">Sens!$J$2215+Sens!$J$2216+Sens!$J$2217+Sens!$J$2218+Sens!$J$2219+Sens!$J$2220-(Sens!$J$2222+Sens!$J$2223)</f>
        <v>0</v>
      </c>
      <c r="K2228" s="39" t="n">
        <f aca="false">Sens!$K$2215+Sens!$K$2216+Sens!$K$2217+Sens!$K$2218+Sens!$K$2219+Sens!$K$2220-(Sens!$K$2222+Sens!$K$2223)</f>
        <v>0</v>
      </c>
      <c r="L2228" s="39" t="n">
        <f aca="false">Sens!$L$2215+Sens!$L$2216+Sens!$L$2217+Sens!$L$2218+Sens!$L$2219+Sens!$L$2220-(Sens!$L$2222+Sens!$L$2223)</f>
        <v>0</v>
      </c>
      <c r="M2228" s="39" t="n">
        <f aca="false">Sens!$M$2215+Sens!$M$2216+Sens!$M$2217+Sens!$M$2218+Sens!$M$2219+Sens!$M$2220-(Sens!$M$2222+Sens!$M$2223)</f>
        <v>0</v>
      </c>
      <c r="N2228" s="39" t="n">
        <f aca="false">Sens!$N$2215+Sens!$N$2216+Sens!$N$2217+Sens!$N$2218+Sens!$N$2219+Sens!$N$2220-(Sens!$N$2222+Sens!$N$2223)</f>
        <v>0</v>
      </c>
      <c r="O2228" s="39" t="n">
        <f aca="false">Sens!$O$2215+Sens!$O$2216+Sens!$O$2217+Sens!$O$2218+Sens!$O$2219+Sens!$O$2220-(Sens!$O$2222+Sens!$O$2223)</f>
        <v>0</v>
      </c>
    </row>
    <row r="2229" customFormat="false" ht="17.15" hidden="false" customHeight="false" outlineLevel="0" collapsed="false">
      <c r="A2229" s="24" t="s">
        <v>657</v>
      </c>
      <c r="B2229" s="25" t="s">
        <v>73</v>
      </c>
      <c r="C2229" s="39" t="n">
        <f aca="false">Sens!$C$2225+Sens!$C$2226-Sens!$C$2224</f>
        <v>0</v>
      </c>
      <c r="D2229" s="39" t="n">
        <f aca="false">Sens!$D$2225+Sens!$D$2226-Sens!$D$2224</f>
        <v>0</v>
      </c>
      <c r="E2229" s="39" t="n">
        <f aca="false">Sens!$E$2225+Sens!$E$2226-Sens!$E$2224</f>
        <v>0</v>
      </c>
      <c r="F2229" s="39" t="n">
        <f aca="false">Sens!$F$2225+Sens!$F$2226-Sens!$F$2224</f>
        <v>0</v>
      </c>
      <c r="G2229" s="39" t="n">
        <f aca="false">Sens!$G$2225+Sens!$G$2226-Sens!$G$2224</f>
        <v>0</v>
      </c>
      <c r="H2229" s="39" t="n">
        <f aca="false">Sens!$H$2225+Sens!$H$2226-Sens!$H$2224</f>
        <v>0</v>
      </c>
      <c r="I2229" s="39" t="n">
        <f aca="false">Sens!$I$2225+Sens!$I$2226-Sens!$I$2224</f>
        <v>0</v>
      </c>
      <c r="J2229" s="39" t="n">
        <f aca="false">Sens!$J$2225+Sens!$J$2226-Sens!$J$2224</f>
        <v>0</v>
      </c>
      <c r="K2229" s="39" t="n">
        <f aca="false">Sens!$K$2225+Sens!$K$2226-Sens!$K$2224</f>
        <v>0</v>
      </c>
      <c r="L2229" s="39" t="n">
        <f aca="false">Sens!$L$2225+Sens!$L$2226-Sens!$L$2224</f>
        <v>0</v>
      </c>
      <c r="M2229" s="39" t="n">
        <f aca="false">Sens!$M$2225+Sens!$M$2226-Sens!$M$2224</f>
        <v>0</v>
      </c>
      <c r="N2229" s="39" t="n">
        <f aca="false">Sens!$N$2225+Sens!$N$2226-Sens!$N$2224</f>
        <v>0</v>
      </c>
      <c r="O2229" s="39" t="n">
        <f aca="false">Sens!$O$2225+Sens!$O$2226-Sens!$O$2224</f>
        <v>0</v>
      </c>
    </row>
    <row r="2230" customFormat="false" ht="17.15" hidden="false" customHeight="false" outlineLevel="0" collapsed="false">
      <c r="A2230" s="24" t="s">
        <v>711</v>
      </c>
      <c r="B2230" s="25" t="s">
        <v>73</v>
      </c>
      <c r="C2230" s="39" t="n">
        <f aca="false">Sens!$C$2215+Sens!$C$2216+Sens!$C$2217+Sens!$C$2218+Sens!$C$2219+Sens!$C$2220+Sens!$C$2221-Sens!$C$2227</f>
        <v>0</v>
      </c>
      <c r="D2230" s="39" t="n">
        <f aca="false">Sens!$D$2215+Sens!$D$2216+Sens!$D$2217+Sens!$D$2218+Sens!$D$2219+Sens!$D$2220+Sens!$D$2221-Sens!$D$2227</f>
        <v>0</v>
      </c>
      <c r="E2230" s="39" t="n">
        <f aca="false">Sens!$E$2215+Sens!$E$2216+Sens!$E$2217+Sens!$E$2218+Sens!$E$2219+Sens!$E$2220+Sens!$E$2221-Sens!$E$2227</f>
        <v>0</v>
      </c>
      <c r="F2230" s="39" t="n">
        <f aca="false">Sens!$F$2215+Sens!$F$2216+Sens!$F$2217+Sens!$F$2218+Sens!$F$2219+Sens!$F$2220+Sens!$F$2221-Sens!$F$2227</f>
        <v>0</v>
      </c>
      <c r="G2230" s="39" t="n">
        <f aca="false">Sens!$G$2215+Sens!$G$2216+Sens!$G$2217+Sens!$G$2218+Sens!$G$2219+Sens!$G$2220+Sens!$G$2221-Sens!$G$2227</f>
        <v>0</v>
      </c>
      <c r="H2230" s="39" t="n">
        <f aca="false">Sens!$H$2215+Sens!$H$2216+Sens!$H$2217+Sens!$H$2218+Sens!$H$2219+Sens!$H$2220+Sens!$H$2221-Sens!$H$2227</f>
        <v>0</v>
      </c>
      <c r="I2230" s="39" t="n">
        <f aca="false">Sens!$I$2215+Sens!$I$2216+Sens!$I$2217+Sens!$I$2218+Sens!$I$2219+Sens!$I$2220+Sens!$I$2221-Sens!$I$2227</f>
        <v>0</v>
      </c>
      <c r="J2230" s="39" t="n">
        <f aca="false">Sens!$J$2215+Sens!$J$2216+Sens!$J$2217+Sens!$J$2218+Sens!$J$2219+Sens!$J$2220+Sens!$J$2221-Sens!$J$2227</f>
        <v>0</v>
      </c>
      <c r="K2230" s="39" t="n">
        <f aca="false">Sens!$K$2215+Sens!$K$2216+Sens!$K$2217+Sens!$K$2218+Sens!$K$2219+Sens!$K$2220+Sens!$K$2221-Sens!$K$2227</f>
        <v>0</v>
      </c>
      <c r="L2230" s="39" t="n">
        <f aca="false">Sens!$L$2215+Sens!$L$2216+Sens!$L$2217+Sens!$L$2218+Sens!$L$2219+Sens!$L$2220+Sens!$L$2221-Sens!$L$2227</f>
        <v>0</v>
      </c>
      <c r="M2230" s="39" t="n">
        <f aca="false">Sens!$M$2215+Sens!$M$2216+Sens!$M$2217+Sens!$M$2218+Sens!$M$2219+Sens!$M$2220+Sens!$M$2221-Sens!$M$2227</f>
        <v>0</v>
      </c>
      <c r="N2230" s="39" t="n">
        <f aca="false">Sens!$N$2215+Sens!$N$2216+Sens!$N$2217+Sens!$N$2218+Sens!$N$2219+Sens!$N$2220+Sens!$N$2221-Sens!$N$2227</f>
        <v>0</v>
      </c>
      <c r="O2230" s="39" t="n">
        <f aca="false">Sens!$O$2215+Sens!$O$2216+Sens!$O$2217+Sens!$O$2218+Sens!$O$2219+Sens!$O$2220+Sens!$O$2221-Sens!$O$2227</f>
        <v>0</v>
      </c>
    </row>
    <row r="2231" customFormat="false" ht="17.15" hidden="false" customHeight="false" outlineLevel="0" collapsed="false">
      <c r="A2231" s="24" t="s">
        <v>658</v>
      </c>
      <c r="B2231" s="25" t="s">
        <v>73</v>
      </c>
      <c r="C2231" s="39" t="n">
        <f aca="false">Sens!$C$2222+Sens!$C$2223+Sens!$C$2224-Sens!$C$2227</f>
        <v>0</v>
      </c>
      <c r="D2231" s="39" t="n">
        <f aca="false">Sens!$D$2222+Sens!$D$2223+Sens!$D$2224-Sens!$D$2227</f>
        <v>0</v>
      </c>
      <c r="E2231" s="39" t="n">
        <f aca="false">Sens!$E$2222+Sens!$E$2223+Sens!$E$2224-Sens!$E$2227</f>
        <v>0</v>
      </c>
      <c r="F2231" s="39" t="n">
        <f aca="false">Sens!$F$2222+Sens!$F$2223+Sens!$F$2224-Sens!$F$2227</f>
        <v>0</v>
      </c>
      <c r="G2231" s="39" t="n">
        <f aca="false">Sens!$G$2222+Sens!$G$2223+Sens!$G$2224-Sens!$G$2227</f>
        <v>0</v>
      </c>
      <c r="H2231" s="39" t="n">
        <f aca="false">Sens!$H$2222+Sens!$H$2223+Sens!$H$2224-Sens!$H$2227</f>
        <v>0</v>
      </c>
      <c r="I2231" s="39" t="n">
        <f aca="false">Sens!$I$2222+Sens!$I$2223+Sens!$I$2224-Sens!$I$2227</f>
        <v>0</v>
      </c>
      <c r="J2231" s="39" t="n">
        <f aca="false">Sens!$J$2222+Sens!$J$2223+Sens!$J$2224-Sens!$J$2227</f>
        <v>0</v>
      </c>
      <c r="K2231" s="39" t="n">
        <f aca="false">Sens!$K$2222+Sens!$K$2223+Sens!$K$2224-Sens!$K$2227</f>
        <v>0</v>
      </c>
      <c r="L2231" s="39" t="n">
        <f aca="false">Sens!$L$2222+Sens!$L$2223+Sens!$L$2224-Sens!$L$2227</f>
        <v>0</v>
      </c>
      <c r="M2231" s="39" t="n">
        <f aca="false">Sens!$M$2222+Sens!$M$2223+Sens!$M$2224-Sens!$M$2227</f>
        <v>0</v>
      </c>
      <c r="N2231" s="39" t="n">
        <f aca="false">Sens!$N$2222+Sens!$N$2223+Sens!$N$2224-Sens!$N$2227</f>
        <v>0</v>
      </c>
      <c r="O2231" s="39" t="n">
        <f aca="false">Sens!$O$2222+Sens!$O$2223+Sens!$O$2224-Sens!$O$2227</f>
        <v>0</v>
      </c>
    </row>
    <row r="2232" customFormat="false" ht="17.15" hidden="false" customHeight="false" outlineLevel="0" collapsed="false">
      <c r="A2232" s="1" t="s">
        <v>672</v>
      </c>
    </row>
    <row r="2233" customFormat="false" ht="17.15" hidden="false" customHeight="false" outlineLevel="0" collapsed="false">
      <c r="A2233" s="0" t="s">
        <v>673</v>
      </c>
      <c r="B2233" s="0" t="s">
        <v>73</v>
      </c>
      <c r="C2233" s="38" t="n">
        <f aca="false">Sens!$C$2140*m_ad</f>
        <v>20.5341564414228</v>
      </c>
      <c r="D2233" s="38" t="n">
        <f aca="false">Sens!$D$2140*m_ad</f>
        <v>24.8720617299587</v>
      </c>
      <c r="E2233" s="38" t="n">
        <f aca="false">Sens!$E$2140*m_ad</f>
        <v>13.5017112462207</v>
      </c>
      <c r="F2233" s="38" t="n">
        <f aca="false">Sens!$F$2140*m_ad</f>
        <v>17.2886442824599</v>
      </c>
      <c r="G2233" s="38" t="n">
        <f aca="false">Sens!$G$2140*m_ad</f>
        <v>30.8011958765886</v>
      </c>
      <c r="H2233" s="38" t="n">
        <f aca="false">Sens!$H$2140*m_ad</f>
        <v>36.978409366026</v>
      </c>
      <c r="I2233" s="38" t="n">
        <f aca="false">Sens!$I$2140*m_ad</f>
        <v>43.155063281273</v>
      </c>
      <c r="J2233" s="38" t="n">
        <f aca="false">Sens!$J$2140*m_ad</f>
        <v>48.9169991988532</v>
      </c>
      <c r="K2233" s="38" t="n">
        <f aca="false">Sens!$K$2140*m_ad</f>
        <v>53.8086991187386</v>
      </c>
      <c r="L2233" s="38" t="n">
        <f aca="false">Sens!$L$2140*m_ad</f>
        <v>59.1895690306124</v>
      </c>
      <c r="M2233" s="38" t="n">
        <f aca="false">Sens!$M$2140*m_ad</f>
        <v>65.1085259336737</v>
      </c>
      <c r="N2233" s="38" t="n">
        <f aca="false">Sens!$N$2140*m_ad</f>
        <v>10.8543555706248</v>
      </c>
      <c r="O2233" s="38" t="n">
        <f aca="false">Sens!$O$2140*m_ad</f>
        <v>14.0094731821399</v>
      </c>
    </row>
    <row r="2234" customFormat="false" ht="17.15" hidden="false" customHeight="false" outlineLevel="0" collapsed="false">
      <c r="A2234" s="0" t="s">
        <v>674</v>
      </c>
      <c r="B2234" s="0" t="s">
        <v>73</v>
      </c>
      <c r="C2234" s="38" t="n">
        <f aca="false">Sens!$C$2138-Sens!$C$2140</f>
        <v>346.428687117154</v>
      </c>
      <c r="D2234" s="38" t="n">
        <f aca="false">Sens!$D$2138-Sens!$D$2140</f>
        <v>376.560876540083</v>
      </c>
      <c r="E2234" s="38" t="n">
        <f aca="false">Sens!$E$2138-Sens!$E$2140</f>
        <v>193.316577507559</v>
      </c>
      <c r="F2234" s="38" t="n">
        <f aca="false">Sens!$F$2138-Sens!$F$2140</f>
        <v>221.726726438887</v>
      </c>
      <c r="G2234" s="38" t="n">
        <f aca="false">Sens!$G$2138-Sens!$G$2140</f>
        <v>415.02162325063</v>
      </c>
      <c r="H2234" s="38" t="n">
        <f aca="false">Sens!$H$2138-Sens!$H$2140</f>
        <v>453.777572359491</v>
      </c>
      <c r="I2234" s="38" t="n">
        <f aca="false">Sens!$I$2138-Sens!$I$2140</f>
        <v>490.847566467031</v>
      </c>
      <c r="J2234" s="38" t="n">
        <f aca="false">Sens!$J$2138-Sens!$J$2140</f>
        <v>525.190925266121</v>
      </c>
      <c r="K2234" s="38" t="n">
        <f aca="false">Sens!$K$2138-Sens!$K$2140</f>
        <v>555.765170156304</v>
      </c>
      <c r="L2234" s="38" t="n">
        <f aca="false">Sens!$L$2138-Sens!$L$2140</f>
        <v>588.185734949207</v>
      </c>
      <c r="M2234" s="38" t="n">
        <f aca="false">Sens!$M$2138-Sens!$M$2140</f>
        <v>622.567635538672</v>
      </c>
      <c r="N2234" s="38" t="n">
        <f aca="false">Sens!$N$2138-Sens!$N$2140</f>
        <v>171.24628885875</v>
      </c>
      <c r="O2234" s="38" t="n">
        <f aca="false">Sens!$O$2138-Sens!$O$2140</f>
        <v>205.33105363572</v>
      </c>
    </row>
    <row r="2235" customFormat="false" ht="17.15" hidden="false" customHeight="false" outlineLevel="0" collapsed="false">
      <c r="A2235" s="0" t="s">
        <v>675</v>
      </c>
      <c r="B2235" s="0" t="s">
        <v>73</v>
      </c>
      <c r="C2235" s="38" t="n">
        <f aca="false">Sens!$C$2186*Sens!$C$2137</f>
        <v>0.123617442257179</v>
      </c>
      <c r="D2235" s="38" t="n">
        <f aca="false">Sens!$D$2186*Sens!$D$2137</f>
        <v>0.874366899302609</v>
      </c>
      <c r="E2235" s="38" t="n">
        <f aca="false">Sens!$E$2186*Sens!$E$2137</f>
        <v>1.29318830502574</v>
      </c>
      <c r="F2235" s="38" t="n">
        <f aca="false">Sens!$F$2186*Sens!$F$2137</f>
        <v>1.51802024162534</v>
      </c>
      <c r="G2235" s="38" t="n">
        <f aca="false">Sens!$G$2186*Sens!$G$2137</f>
        <v>2.81130189308167</v>
      </c>
      <c r="H2235" s="38" t="n">
        <f aca="false">Sens!$H$2186*Sens!$H$2137</f>
        <v>7.12327841936271</v>
      </c>
      <c r="I2235" s="38" t="n">
        <f aca="false">Sens!$I$2186*Sens!$I$2137</f>
        <v>12.1029484790089</v>
      </c>
      <c r="J2235" s="38" t="n">
        <f aca="false">Sens!$J$2186*Sens!$J$2137</f>
        <v>17.2318002449071</v>
      </c>
      <c r="K2235" s="38" t="n">
        <f aca="false">Sens!$K$2186*Sens!$K$2137</f>
        <v>22.4438082318363</v>
      </c>
      <c r="L2235" s="38" t="n">
        <f aca="false">Sens!$L$2186*Sens!$L$2137</f>
        <v>27.3462814335886</v>
      </c>
      <c r="M2235" s="38" t="n">
        <f aca="false">Sens!$M$2186*Sens!$M$2137</f>
        <v>32.2300489761715</v>
      </c>
      <c r="N2235" s="38" t="n">
        <f aca="false">Sens!$N$2186*Sens!$N$2137</f>
        <v>0.389180508437431</v>
      </c>
      <c r="O2235" s="38" t="n">
        <f aca="false">Sens!$O$2186*Sens!$O$2137</f>
        <v>0.485052120082802</v>
      </c>
    </row>
    <row r="2236" customFormat="false" ht="17.15" hidden="false" customHeight="false" outlineLevel="0" collapsed="false">
      <c r="A2236" s="0" t="s">
        <v>676</v>
      </c>
      <c r="B2236" s="0" t="s">
        <v>52</v>
      </c>
      <c r="C2236" s="28" t="n">
        <f aca="false">(Sens!$C$2237-Sens!$C$2233+Sens!$C$2235)/Sens!$C$2234</f>
        <v>0.0131526665379575</v>
      </c>
      <c r="D2236" s="28" t="n">
        <f aca="false">(Sens!$D$2237-Sens!$D$2233+Sens!$D$2235)/Sens!$D$2234</f>
        <v>0.0149280116962589</v>
      </c>
      <c r="E2236" s="28" t="n">
        <f aca="false">(Sens!$E$2237-Sens!$E$2233+Sens!$E$2235)/Sens!$E$2234</f>
        <v>0.0268030663774938</v>
      </c>
      <c r="F2236" s="28" t="n">
        <f aca="false">Sens!$O$2236+(Sens!$E$2236-Sens!$N$2236)</f>
        <v>0.0232379346966962</v>
      </c>
      <c r="G2236" s="28" t="n">
        <f aca="false">(Sens!$G$2237-Sens!$G$2233+Sens!$G$2235)/Sens!$G$2234</f>
        <v>0.0248738876928168</v>
      </c>
      <c r="H2236" s="28" t="n">
        <f aca="false">Sens!$G$2236+step_na</f>
        <v>0.0278738876928168</v>
      </c>
      <c r="I2236" s="28" t="n">
        <f aca="false">Sens!$H$2236+step_na</f>
        <v>0.0308738876928168</v>
      </c>
      <c r="J2236" s="28" t="n">
        <f aca="false">Sens!$I$2236+step_na</f>
        <v>0.0338738876928168</v>
      </c>
      <c r="K2236" s="28" t="n">
        <f aca="false">Sens!$J$2236+step_na</f>
        <v>0.0368738876928168</v>
      </c>
      <c r="L2236" s="28" t="n">
        <f aca="false">Sens!$K$2236</f>
        <v>0.0368738876928168</v>
      </c>
      <c r="M2236" s="28" t="n">
        <f aca="false">Sens!$L$2236</f>
        <v>0.0368738876928168</v>
      </c>
      <c r="N2236" s="28" t="n">
        <f aca="false">(Sens!$N$2237-Sens!$N$2233+Sens!$N$2235)/Sens!$N$2234</f>
        <v>0.0168927744775755</v>
      </c>
      <c r="O2236" s="28" t="n">
        <f aca="false">(Sens!$O$2237-Sens!$O$2233+Sens!$O$2235)/Sens!$O$2234</f>
        <v>0.0133276427967779</v>
      </c>
      <c r="P2236" s="8" t="s">
        <v>677</v>
      </c>
    </row>
    <row r="2237" customFormat="false" ht="17.15" hidden="false" customHeight="false" outlineLevel="0" collapsed="false">
      <c r="A2237" s="1" t="s">
        <v>678</v>
      </c>
      <c r="B2237" s="8" t="s">
        <v>73</v>
      </c>
      <c r="C2237" s="38" t="n">
        <f aca="false">Q!$D$22</f>
        <v>24.967</v>
      </c>
      <c r="D2237" s="38" t="n">
        <f aca="false">Q!$E$22</f>
        <v>29.619</v>
      </c>
      <c r="E2237" s="38" t="n">
        <f aca="false">Q!$P$22</f>
        <v>17.39</v>
      </c>
      <c r="F2237" s="38" t="n">
        <f aca="false">Sens!$F$2233+Sens!$F$2234*Sens!$F$2236-Sens!$F$2235</f>
        <v>20.9230952303336</v>
      </c>
      <c r="G2237" s="38" t="n">
        <f aca="false">Sens!$E$2237+Sens!$F$2237</f>
        <v>38.3130952303336</v>
      </c>
      <c r="H2237" s="38" t="n">
        <f aca="false">Sens!$H$2233+Sens!$H$2234*Sens!$H$2236-Sens!$H$2235</f>
        <v>42.5036760361308</v>
      </c>
      <c r="I2237" s="38" t="n">
        <f aca="false">Sens!$I$2233+Sens!$I$2234*Sens!$I$2236-Sens!$I$2235</f>
        <v>46.2064874436597</v>
      </c>
      <c r="J2237" s="38" t="n">
        <f aca="false">Sens!$J$2233+Sens!$J$2234*Sens!$J$2236-Sens!$J$2235</f>
        <v>49.4754573736972</v>
      </c>
      <c r="K2237" s="38" t="n">
        <f aca="false">Sens!$K$2233+Sens!$K$2234*Sens!$K$2236-Sens!$K$2235</f>
        <v>51.8581133548251</v>
      </c>
      <c r="L2237" s="38" t="n">
        <f aca="false">Sens!$L$2233+Sens!$L$2234*Sens!$L$2236-Sens!$L$2235</f>
        <v>53.5319823300578</v>
      </c>
      <c r="M2237" s="38" t="n">
        <f aca="false">Sens!$M$2233+Sens!$M$2234*Sens!$M$2236-Sens!$M$2235</f>
        <v>55.8349660315376</v>
      </c>
      <c r="N2237" s="38" t="n">
        <f aca="false">Q!$N$22</f>
        <v>13.358</v>
      </c>
      <c r="O2237" s="38" t="n">
        <f aca="false">Q!$O$22</f>
        <v>16.261</v>
      </c>
    </row>
    <row r="2238" customFormat="false" ht="17.15" hidden="false" customHeight="false" outlineLevel="0" collapsed="false">
      <c r="A2238" s="0" t="s">
        <v>679</v>
      </c>
      <c r="B2238" s="0" t="s">
        <v>73</v>
      </c>
      <c r="C2238" s="38" t="n">
        <f aca="false">Sens!$C$2141*m_ad</f>
        <v>7.57284355857716</v>
      </c>
      <c r="D2238" s="38" t="n">
        <f aca="false">Sens!$D$2141*m_ad</f>
        <v>9.44543827004127</v>
      </c>
      <c r="E2238" s="38" t="n">
        <f aca="false">Sens!$E$2141*m_ad</f>
        <v>5.02428875377928</v>
      </c>
      <c r="F2238" s="38" t="n">
        <f aca="false">Sens!$F$2141*m_ad</f>
        <v>6.78802480890925</v>
      </c>
      <c r="G2238" s="38" t="n">
        <f aca="false">Sens!$G$2141*m_ad</f>
        <v>11.8014732147805</v>
      </c>
      <c r="H2238" s="38" t="n">
        <f aca="false">Sens!$H$2141*m_ad</f>
        <v>14.1682715634442</v>
      </c>
      <c r="I2238" s="38" t="n">
        <f aca="false">Sens!$I$2141*m_ad</f>
        <v>16.5348555113474</v>
      </c>
      <c r="J2238" s="38" t="n">
        <f aca="false">Sens!$J$2141*m_ad</f>
        <v>18.7425403255689</v>
      </c>
      <c r="K2238" s="38" t="n">
        <f aca="false">Sens!$K$2141*m_ad</f>
        <v>20.6167943581258</v>
      </c>
      <c r="L2238" s="38" t="n">
        <f aca="false">Sens!$L$2141*m_ad</f>
        <v>22.6784737939383</v>
      </c>
      <c r="M2238" s="38" t="n">
        <f aca="false">Sens!$M$2141*m_ad</f>
        <v>24.9463211733322</v>
      </c>
      <c r="N2238" s="38" t="n">
        <f aca="false">Sens!$N$2141*m_ad</f>
        <v>3.95314442937518</v>
      </c>
      <c r="O2238" s="38" t="n">
        <f aca="false">Sens!$O$2141*m_ad</f>
        <v>5.50052681786011</v>
      </c>
    </row>
    <row r="2239" customFormat="false" ht="17.15" hidden="false" customHeight="false" outlineLevel="0" collapsed="false">
      <c r="A2239" s="0" t="s">
        <v>680</v>
      </c>
      <c r="B2239" s="0" t="s">
        <v>73</v>
      </c>
      <c r="C2239" s="38" t="n">
        <f aca="false">Sens!$C$2139-Sens!$C$2141</f>
        <v>127.760312882846</v>
      </c>
      <c r="D2239" s="38" t="n">
        <f aca="false">Sens!$D$2139-Sens!$D$2141</f>
        <v>143.003123459917</v>
      </c>
      <c r="E2239" s="38" t="n">
        <f aca="false">Sens!$E$2139-Sens!$E$2141</f>
        <v>71.9374224924414</v>
      </c>
      <c r="F2239" s="38" t="n">
        <f aca="false">Sens!$F$2139-Sens!$F$2141</f>
        <v>87.0563645868046</v>
      </c>
      <c r="G2239" s="38" t="n">
        <f aca="false">Sens!$G$2139-Sens!$G$2141</f>
        <v>159.015467775062</v>
      </c>
      <c r="H2239" s="38" t="n">
        <f aca="false">Sens!$H$2139-Sens!$H$2141</f>
        <v>173.864803403269</v>
      </c>
      <c r="I2239" s="38" t="n">
        <f aca="false">Sens!$I$2139-Sens!$I$2141</f>
        <v>188.068165645601</v>
      </c>
      <c r="J2239" s="38" t="n">
        <f aca="false">Sens!$J$2139-Sens!$J$2141</f>
        <v>201.22681801082</v>
      </c>
      <c r="K2239" s="38" t="n">
        <f aca="false">Sens!$K$2139-Sens!$K$2141</f>
        <v>212.941334991893</v>
      </c>
      <c r="L2239" s="38" t="n">
        <f aca="false">Sens!$L$2139-Sens!$L$2141</f>
        <v>225.363269144856</v>
      </c>
      <c r="M2239" s="38" t="n">
        <f aca="false">Sens!$M$2139-Sens!$M$2141</f>
        <v>238.536688790819</v>
      </c>
      <c r="N2239" s="38" t="n">
        <f aca="false">Sens!$N$2139-Sens!$N$2141</f>
        <v>62.3677111412496</v>
      </c>
      <c r="O2239" s="38" t="n">
        <f aca="false">Sens!$O$2139-Sens!$O$2141</f>
        <v>80.6189463642798</v>
      </c>
    </row>
    <row r="2240" customFormat="false" ht="17.15" hidden="false" customHeight="false" outlineLevel="0" collapsed="false">
      <c r="A2240" s="0" t="s">
        <v>681</v>
      </c>
      <c r="B2240" s="0" t="s">
        <v>73</v>
      </c>
      <c r="C2240" s="38" t="n">
        <f aca="false">Sens!$C$2186*(1-Sens!$C$2137)</f>
        <v>0.0455891896019953</v>
      </c>
      <c r="D2240" s="38" t="n">
        <f aca="false">Sens!$D$2186*(1-Sens!$D$2137)</f>
        <v>0.332050421167231</v>
      </c>
      <c r="E2240" s="38" t="n">
        <f aca="false">Sens!$E$2186*(1-Sens!$E$2137)</f>
        <v>0.481224293644882</v>
      </c>
      <c r="F2240" s="38" t="n">
        <f aca="false">Sens!$F$2186*(1-Sens!$F$2137)</f>
        <v>0.596018918096053</v>
      </c>
      <c r="G2240" s="38" t="n">
        <f aca="false">Sens!$G$2186*(1-Sens!$G$2137)</f>
        <v>1.07714986531035</v>
      </c>
      <c r="H2240" s="38" t="n">
        <f aca="false">Sens!$H$2186*(1-Sens!$H$2137)</f>
        <v>2.72928297343901</v>
      </c>
      <c r="I2240" s="38" t="n">
        <f aca="false">Sens!$I$2186*(1-Sens!$I$2137)</f>
        <v>4.63724275080685</v>
      </c>
      <c r="J2240" s="38" t="n">
        <f aca="false">Sens!$J$2186*(1-Sens!$J$2137)</f>
        <v>6.60236147477931</v>
      </c>
      <c r="K2240" s="38" t="n">
        <f aca="false">Sens!$K$2186*(1-Sens!$K$2137)</f>
        <v>8.59934149138052</v>
      </c>
      <c r="L2240" s="38" t="n">
        <f aca="false">Sens!$L$2186*(1-Sens!$L$2137)</f>
        <v>10.477723305141</v>
      </c>
      <c r="M2240" s="38" t="n">
        <f aca="false">Sens!$M$2186*(1-Sens!$M$2137)</f>
        <v>12.3489380486184</v>
      </c>
      <c r="N2240" s="38" t="n">
        <f aca="false">Sens!$N$2186*(1-Sens!$N$2137)</f>
        <v>0.141739115596548</v>
      </c>
      <c r="O2240" s="38" t="n">
        <f aca="false">Sens!$O$2186*(1-Sens!$O$2137)</f>
        <v>0.190445576353059</v>
      </c>
    </row>
    <row r="2241" customFormat="false" ht="17.15" hidden="false" customHeight="false" outlineLevel="0" collapsed="false">
      <c r="A2241" s="0" t="s">
        <v>682</v>
      </c>
      <c r="B2241" s="0" t="s">
        <v>52</v>
      </c>
      <c r="C2241" s="28" t="n">
        <f aca="false">(Sens!$C$2242-Sens!$C$2238+Sens!$C$2240)/Sens!$C$2239</f>
        <v>-0.0292364215826579</v>
      </c>
      <c r="D2241" s="28" t="n">
        <f aca="false">(Sens!$D$2242-Sens!$D$2238+Sens!$D$2240)/Sens!$D$2239</f>
        <v>-0.0305125352740778</v>
      </c>
      <c r="E2241" s="28" t="n">
        <f aca="false">(Sens!$E$2242-Sens!$E$2238+Sens!$E$2240)/Sens!$E$2239</f>
        <v>-0.019490056934994</v>
      </c>
      <c r="F2241" s="28" t="n">
        <f aca="false">Sens!$O$2241+(Sens!$E$2241-Sens!$N$2241)</f>
        <v>-0.0367332293992226</v>
      </c>
      <c r="G2241" s="28" t="n">
        <f aca="false">(Sens!$G$2242-Sens!$G$2238+Sens!$G$2240)/Sens!$G$2239</f>
        <v>-0.0288599526442178</v>
      </c>
      <c r="H2241" s="28" t="n">
        <f aca="false">Sens!$G$2241+step_in</f>
        <v>-0.0288599526442178</v>
      </c>
      <c r="I2241" s="28" t="n">
        <f aca="false">Sens!$H$2241+step_in</f>
        <v>-0.0288599526442178</v>
      </c>
      <c r="J2241" s="28" t="n">
        <f aca="false">Sens!$I$2241+step_in</f>
        <v>-0.0288599526442178</v>
      </c>
      <c r="K2241" s="28" t="n">
        <f aca="false">Sens!$J$2241+step_in</f>
        <v>-0.0288599526442178</v>
      </c>
      <c r="L2241" s="28" t="n">
        <f aca="false">Sens!$K$2241</f>
        <v>-0.0288599526442178</v>
      </c>
      <c r="M2241" s="28" t="n">
        <f aca="false">Sens!$L$2241</f>
        <v>-0.0288599526442178</v>
      </c>
      <c r="N2241" s="28" t="n">
        <f aca="false">(Sens!$N$2242-Sens!$N$2238+Sens!$N$2240)/Sens!$N$2239</f>
        <v>-0.02085061789158</v>
      </c>
      <c r="O2241" s="28" t="n">
        <f aca="false">(Sens!$O$2242-Sens!$O$2238+Sens!$O$2240)/Sens!$O$2239</f>
        <v>-0.0380937903558086</v>
      </c>
      <c r="P2241" s="8" t="s">
        <v>677</v>
      </c>
    </row>
    <row r="2242" customFormat="false" ht="17.15" hidden="false" customHeight="false" outlineLevel="0" collapsed="false">
      <c r="A2242" s="1" t="s">
        <v>683</v>
      </c>
      <c r="B2242" s="8" t="s">
        <v>73</v>
      </c>
      <c r="C2242" s="38" t="n">
        <f aca="false">Q!$D$23</f>
        <v>3.792</v>
      </c>
      <c r="D2242" s="38" t="n">
        <f aca="false">Q!$E$23</f>
        <v>4.75</v>
      </c>
      <c r="E2242" s="38" t="n">
        <f aca="false">Q!$P$23</f>
        <v>3.141</v>
      </c>
      <c r="F2242" s="38" t="n">
        <f aca="false">Sens!$F$2238+Sens!$F$2239*Sens!$F$2241-Sens!$F$2240</f>
        <v>2.99414447978375</v>
      </c>
      <c r="G2242" s="38" t="n">
        <f aca="false">Sens!$E$2242+Sens!$F$2242</f>
        <v>6.13514447978375</v>
      </c>
      <c r="H2242" s="38" t="n">
        <f aca="false">Sens!$H$2238+Sens!$H$2239*Sens!$H$2241-Sens!$H$2240</f>
        <v>6.42125859729059</v>
      </c>
      <c r="I2242" s="38" t="n">
        <f aca="false">Sens!$I$2238+Sens!$I$2239*Sens!$I$2241-Sens!$I$2240</f>
        <v>6.46997440612362</v>
      </c>
      <c r="J2242" s="38" t="n">
        <f aca="false">Sens!$J$2238+Sens!$J$2239*Sens!$J$2241-Sens!$J$2240</f>
        <v>6.33278241225065</v>
      </c>
      <c r="K2242" s="38" t="n">
        <f aca="false">Sens!$K$2238+Sens!$K$2239*Sens!$K$2241-Sens!$K$2240</f>
        <v>5.87197602288269</v>
      </c>
      <c r="L2242" s="38" t="n">
        <f aca="false">Sens!$L$2238+Sens!$L$2239*Sens!$L$2241-Sens!$L$2240</f>
        <v>5.69677721353063</v>
      </c>
      <c r="M2242" s="38" t="n">
        <f aca="false">Sens!$M$2238+Sens!$M$2239*Sens!$M$2241-Sens!$M$2240</f>
        <v>5.71322558230221</v>
      </c>
      <c r="N2242" s="38" t="n">
        <f aca="false">Q!$N$23</f>
        <v>2.511</v>
      </c>
      <c r="O2242" s="38" t="n">
        <f aca="false">Q!$O$23</f>
        <v>2.239</v>
      </c>
    </row>
    <row r="2243" customFormat="false" ht="17.15" hidden="false" customHeight="false" outlineLevel="0" collapsed="false">
      <c r="A2243" s="0" t="s">
        <v>684</v>
      </c>
      <c r="B2243" s="0" t="s">
        <v>73</v>
      </c>
      <c r="C2243" s="38" t="n">
        <f aca="false">Sens!$C$2183</f>
        <v>1.64417882953695</v>
      </c>
      <c r="D2243" s="38" t="n">
        <f aca="false">Sens!$D$2183</f>
        <v>3.8781008067718</v>
      </c>
      <c r="E2243" s="38" t="n">
        <f aca="false">Sens!$E$2183</f>
        <v>1.41270258088753</v>
      </c>
      <c r="F2243" s="38" t="n">
        <f aca="false">Sens!$F$2183</f>
        <v>5.77141544115966</v>
      </c>
      <c r="G2243" s="38" t="n">
        <f aca="false">Sens!$G$2183</f>
        <v>7.1841180220472</v>
      </c>
      <c r="H2243" s="38" t="n">
        <f aca="false">Sens!$H$2183</f>
        <v>14.8687526611661</v>
      </c>
      <c r="I2243" s="38" t="n">
        <f aca="false">Sens!$I$2183</f>
        <v>22.7691491823658</v>
      </c>
      <c r="J2243" s="38" t="n">
        <f aca="false">Sens!$J$2183</f>
        <v>30.0280827203276</v>
      </c>
      <c r="K2243" s="38" t="n">
        <f aca="false">Sens!$K$2183</f>
        <v>36.8882460797135</v>
      </c>
      <c r="L2243" s="38" t="n">
        <f aca="false">Sens!$L$2183</f>
        <v>45.4888049711981</v>
      </c>
      <c r="M2243" s="38" t="n">
        <f aca="false">Sens!$M$2183</f>
        <v>54.2078582466622</v>
      </c>
      <c r="N2243" s="38" t="n">
        <f aca="false">Sens!$N$2183</f>
        <v>0.92264103489199</v>
      </c>
      <c r="O2243" s="38" t="n">
        <f aca="false">Sens!$O$2183</f>
        <v>2.95545977187981</v>
      </c>
    </row>
    <row r="2244" customFormat="false" ht="17.15" hidden="false" customHeight="false" outlineLevel="0" collapsed="false">
      <c r="A2244" s="0" t="s">
        <v>604</v>
      </c>
      <c r="B2244" s="0" t="s">
        <v>73</v>
      </c>
      <c r="C2244" s="38" t="n">
        <f aca="false">Sens!$C$2188</f>
        <v>38.1898211704631</v>
      </c>
      <c r="D2244" s="38" t="n">
        <f aca="false">Sens!$D$2188</f>
        <v>41.7278991932282</v>
      </c>
      <c r="E2244" s="38" t="n">
        <f aca="false">Sens!$E$2188</f>
        <v>29.3692974191125</v>
      </c>
      <c r="F2244" s="38" t="n">
        <f aca="false">Sens!$F$2188</f>
        <v>29.458060516894</v>
      </c>
      <c r="G2244" s="38" t="n">
        <f aca="false">Sens!$G$2188</f>
        <v>58.8273579360065</v>
      </c>
      <c r="H2244" s="38" t="n">
        <f aca="false">Sens!$H$2188</f>
        <v>67.8004040185081</v>
      </c>
      <c r="I2244" s="38" t="n">
        <f aca="false">Sens!$I$2188</f>
        <v>78.9527630302702</v>
      </c>
      <c r="J2244" s="38" t="n">
        <f aca="false">Sens!$J$2188</f>
        <v>88.6042681781841</v>
      </c>
      <c r="K2244" s="38" t="n">
        <f aca="false">Sens!$K$2188</f>
        <v>95.6926096324389</v>
      </c>
      <c r="L2244" s="38" t="n">
        <f aca="false">Sens!$L$2188</f>
        <v>103.348018403034</v>
      </c>
      <c r="M2244" s="38" t="n">
        <f aca="false">Sens!$M$2188</f>
        <v>111.615859875277</v>
      </c>
      <c r="N2244" s="38" t="n">
        <f aca="false">Sens!$N$2188</f>
        <v>20.784358965108</v>
      </c>
      <c r="O2244" s="38" t="n">
        <f aca="false">Sens!$O$2188</f>
        <v>20.9435402281202</v>
      </c>
    </row>
    <row r="2245" customFormat="false" ht="17.15" hidden="false" customHeight="false" outlineLevel="0" collapsed="false">
      <c r="A2245" s="1" t="s">
        <v>685</v>
      </c>
      <c r="B2245" s="8" t="s">
        <v>73</v>
      </c>
      <c r="C2245" s="38" t="n">
        <f aca="false">Q!$D$24</f>
        <v>39.834</v>
      </c>
      <c r="D2245" s="38" t="n">
        <f aca="false">Q!$E$24</f>
        <v>45.606</v>
      </c>
      <c r="E2245" s="38" t="n">
        <f aca="false">Q!$P$24</f>
        <v>30.782</v>
      </c>
      <c r="F2245" s="38" t="n">
        <f aca="false">Sens!$F$2243+Sens!$F$2244</f>
        <v>35.2294759580537</v>
      </c>
      <c r="G2245" s="38" t="n">
        <f aca="false">Sens!$G$2243+Sens!$G$2244</f>
        <v>66.0114759580537</v>
      </c>
      <c r="H2245" s="38" t="n">
        <f aca="false">Sens!$H$2243+Sens!$H$2244</f>
        <v>82.6691566796742</v>
      </c>
      <c r="I2245" s="38" t="n">
        <f aca="false">Sens!$I$2243+Sens!$I$2244</f>
        <v>101.721912212636</v>
      </c>
      <c r="J2245" s="38" t="n">
        <f aca="false">Sens!$J$2243+Sens!$J$2244</f>
        <v>118.632350898512</v>
      </c>
      <c r="K2245" s="38" t="n">
        <f aca="false">Sens!$K$2243+Sens!$K$2244</f>
        <v>132.580855712152</v>
      </c>
      <c r="L2245" s="38" t="n">
        <f aca="false">Sens!$L$2243+Sens!$L$2244</f>
        <v>148.836823374232</v>
      </c>
      <c r="M2245" s="38" t="n">
        <f aca="false">Sens!$M$2243+Sens!$M$2244</f>
        <v>165.823718121939</v>
      </c>
      <c r="N2245" s="38" t="n">
        <f aca="false">Q!$N$24</f>
        <v>21.707</v>
      </c>
      <c r="O2245" s="38" t="n">
        <f aca="false">Q!$O$24</f>
        <v>23.899</v>
      </c>
    </row>
    <row r="2246" customFormat="false" ht="17.15" hidden="false" customHeight="false" outlineLevel="0" collapsed="false">
      <c r="A2246" s="5" t="s">
        <v>686</v>
      </c>
      <c r="B2246" s="0" t="s">
        <v>73</v>
      </c>
      <c r="C2246" s="38" t="n">
        <f aca="false">Q!$D$26</f>
        <v>0</v>
      </c>
      <c r="D2246" s="38" t="n">
        <f aca="false">Q!$E$26</f>
        <v>0</v>
      </c>
      <c r="E2246" s="38" t="n">
        <f aca="false">Q!$P$26</f>
        <v>0</v>
      </c>
      <c r="F2246" s="41" t="n">
        <v>0</v>
      </c>
      <c r="G2246" s="38" t="n">
        <f aca="false">Sens!$E$2246+Sens!$F$2246</f>
        <v>0</v>
      </c>
      <c r="H2246" s="41" t="n">
        <v>0</v>
      </c>
      <c r="I2246" s="41" t="n">
        <v>0</v>
      </c>
      <c r="J2246" s="41" t="n">
        <v>0</v>
      </c>
      <c r="K2246" s="41" t="n">
        <v>0</v>
      </c>
      <c r="L2246" s="41" t="n">
        <v>0</v>
      </c>
      <c r="M2246" s="41" t="n">
        <v>0</v>
      </c>
      <c r="N2246" s="38" t="n">
        <f aca="false">Q!$N$26</f>
        <v>0</v>
      </c>
      <c r="O2246" s="38" t="n">
        <f aca="false">Q!$O$26</f>
        <v>0</v>
      </c>
    </row>
    <row r="2247" customFormat="false" ht="15" hidden="false" customHeight="false" outlineLevel="0" collapsed="false">
      <c r="A2247" s="3" t="s">
        <v>494</v>
      </c>
      <c r="B2247" s="8" t="s">
        <v>73</v>
      </c>
      <c r="C2247" s="38" t="n">
        <f aca="false">Q!$D$25</f>
        <v>68.593</v>
      </c>
      <c r="D2247" s="38" t="n">
        <f aca="false">Q!$E$25</f>
        <v>79.975</v>
      </c>
      <c r="E2247" s="38" t="n">
        <f aca="false">Q!$P$25</f>
        <v>51.313</v>
      </c>
      <c r="F2247" s="38" t="n">
        <f aca="false">Sens!$F$2237+Sens!$F$2242+Sens!$F$2245+Sens!$F$2246</f>
        <v>59.146715668171</v>
      </c>
      <c r="G2247" s="38" t="n">
        <f aca="false">Sens!$G$2237+Sens!$G$2242+Sens!$G$2245+Sens!$G$2246</f>
        <v>110.459715668171</v>
      </c>
      <c r="H2247" s="38" t="n">
        <f aca="false">Sens!$H$2237+Sens!$H$2242+Sens!$H$2245+Sens!$H$2246</f>
        <v>131.594091313096</v>
      </c>
      <c r="I2247" s="38" t="n">
        <f aca="false">Sens!$I$2237+Sens!$I$2242+Sens!$I$2245+Sens!$I$2246</f>
        <v>154.398374062419</v>
      </c>
      <c r="J2247" s="38" t="n">
        <f aca="false">Sens!$J$2237+Sens!$J$2242+Sens!$J$2245+Sens!$J$2246</f>
        <v>174.44059068446</v>
      </c>
      <c r="K2247" s="38" t="n">
        <f aca="false">Sens!$K$2237+Sens!$K$2242+Sens!$K$2245+Sens!$K$2246</f>
        <v>190.31094508986</v>
      </c>
      <c r="L2247" s="38" t="n">
        <f aca="false">Sens!$L$2237+Sens!$L$2242+Sens!$L$2245+Sens!$L$2246</f>
        <v>208.06558291782</v>
      </c>
      <c r="M2247" s="38" t="n">
        <f aca="false">Sens!$M$2237+Sens!$M$2242+Sens!$M$2245+Sens!$M$2246</f>
        <v>227.371909735779</v>
      </c>
      <c r="N2247" s="38" t="n">
        <f aca="false">Q!$N$25</f>
        <v>37.576</v>
      </c>
      <c r="O2247" s="38" t="n">
        <f aca="false">Q!$O$25</f>
        <v>42.399</v>
      </c>
    </row>
    <row r="2248" customFormat="false" ht="17.15" hidden="false" customHeight="false" outlineLevel="0" collapsed="false">
      <c r="A2248" s="24" t="s">
        <v>712</v>
      </c>
      <c r="B2248" s="25" t="s">
        <v>73</v>
      </c>
      <c r="C2248" s="39" t="n">
        <f aca="false">Sens!$C$2237+Sens!$C$2242+Sens!$C$2245+Sens!$C$2246-Sens!$C$2247</f>
        <v>0</v>
      </c>
      <c r="D2248" s="39" t="n">
        <f aca="false">Sens!$D$2237+Sens!$D$2242+Sens!$D$2245+Sens!$D$2246-Sens!$D$2247</f>
        <v>0</v>
      </c>
      <c r="E2248" s="39" t="n">
        <f aca="false">Sens!$E$2237+Sens!$E$2242+Sens!$E$2245+Sens!$E$2246-Sens!$E$2247</f>
        <v>0</v>
      </c>
      <c r="F2248" s="39" t="n">
        <f aca="false">Sens!$F$2237+Sens!$F$2242+Sens!$F$2245+Sens!$F$2246-Sens!$F$2247</f>
        <v>0</v>
      </c>
      <c r="G2248" s="39" t="n">
        <f aca="false">Sens!$G$2237+Sens!$G$2242+Sens!$G$2245+Sens!$G$2246-Sens!$G$2247</f>
        <v>0</v>
      </c>
      <c r="H2248" s="39" t="n">
        <f aca="false">Sens!$H$2237+Sens!$H$2242+Sens!$H$2245+Sens!$H$2246-Sens!$H$2247</f>
        <v>0</v>
      </c>
      <c r="I2248" s="39" t="n">
        <f aca="false">Sens!$I$2237+Sens!$I$2242+Sens!$I$2245+Sens!$I$2246-Sens!$I$2247</f>
        <v>0</v>
      </c>
      <c r="J2248" s="39" t="n">
        <f aca="false">Sens!$J$2237+Sens!$J$2242+Sens!$J$2245+Sens!$J$2246-Sens!$J$2247</f>
        <v>0</v>
      </c>
      <c r="K2248" s="39" t="n">
        <f aca="false">Sens!$K$2237+Sens!$K$2242+Sens!$K$2245+Sens!$K$2246-Sens!$K$2247</f>
        <v>0</v>
      </c>
      <c r="L2248" s="39" t="n">
        <f aca="false">Sens!$L$2237+Sens!$L$2242+Sens!$L$2245+Sens!$L$2246-Sens!$L$2247</f>
        <v>0</v>
      </c>
      <c r="M2248" s="39" t="n">
        <f aca="false">Sens!$M$2237+Sens!$M$2242+Sens!$M$2245+Sens!$M$2246-Sens!$M$2247</f>
        <v>0</v>
      </c>
      <c r="N2248" s="39" t="n">
        <f aca="false">Sens!$N$2237+Sens!$N$2242+Sens!$N$2245+Sens!$N$2246-Sens!$N$2247</f>
        <v>0</v>
      </c>
      <c r="O2248" s="39" t="n">
        <f aca="false">Sens!$O$2237+Sens!$O$2242+Sens!$O$2245+Sens!$O$2246-Sens!$O$2247</f>
        <v>0</v>
      </c>
    </row>
    <row r="2249" customFormat="false" ht="17.15" hidden="false" customHeight="false" outlineLevel="0" collapsed="false">
      <c r="A2249" s="0" t="s">
        <v>688</v>
      </c>
      <c r="B2249" s="0" t="s">
        <v>52</v>
      </c>
      <c r="C2249" s="12" t="n">
        <f aca="false">Sens!$C$2237/Sens!$C$2222</f>
        <v>0.0644314665661928</v>
      </c>
      <c r="D2249" s="12" t="n">
        <f aca="false">Sens!$D$2237/Sens!$D$2222</f>
        <v>0.0694784250712518</v>
      </c>
      <c r="E2249" s="12" t="n">
        <f aca="false">Sens!$E$2237/Sens!$E$2222</f>
        <v>0.0789306463326071</v>
      </c>
      <c r="F2249" s="12" t="n">
        <f aca="false">Sens!$F$2237/Sens!$F$2222</f>
        <v>0.0816338957078875</v>
      </c>
      <c r="G2249" s="12" t="n">
        <f aca="false">Sens!$G$2237/Sens!$G$2222</f>
        <v>0.080384315570057</v>
      </c>
      <c r="H2249" s="12" t="n">
        <f aca="false">Sens!$H$2237/Sens!$H$2222</f>
        <v>0.0805399018021509</v>
      </c>
      <c r="I2249" s="12" t="n">
        <f aca="false">Sens!$I$2237/Sens!$I$2222</f>
        <v>0.0800586876025437</v>
      </c>
      <c r="J2249" s="12" t="n">
        <f aca="false">Sens!$J$2237/Sens!$J$2222</f>
        <v>0.0794116824135166</v>
      </c>
      <c r="K2249" s="12" t="n">
        <f aca="false">Sens!$K$2237/Sens!$K$2222</f>
        <v>0.0781722580989531</v>
      </c>
      <c r="L2249" s="12" t="n">
        <f aca="false">Sens!$L$2237/Sens!$L$2222</f>
        <v>0.0757637187679261</v>
      </c>
      <c r="M2249" s="12" t="n">
        <f aca="false">Sens!$M$2237/Sens!$M$2222</f>
        <v>0.0741712297894055</v>
      </c>
      <c r="N2249" s="12" t="n">
        <f aca="false">Sens!$N$2237/Sens!$N$2222</f>
        <v>0.069228576611127</v>
      </c>
      <c r="O2249" s="12" t="n">
        <f aca="false">Sens!$O$2237/Sens!$O$2222</f>
        <v>0.069685022498393</v>
      </c>
    </row>
    <row r="2250" customFormat="false" ht="17.15" hidden="false" customHeight="false" outlineLevel="0" collapsed="false">
      <c r="A2250" s="0" t="s">
        <v>689</v>
      </c>
      <c r="B2250" s="0" t="s">
        <v>52</v>
      </c>
      <c r="C2250" s="12" t="n">
        <f aca="false">Sens!$C$2242/Sens!$C$2223</f>
        <v>0.026534925055631</v>
      </c>
      <c r="D2250" s="12" t="n">
        <f aca="false">Sens!$D$2242/Sens!$D$2223</f>
        <v>0.0293401855535103</v>
      </c>
      <c r="E2250" s="12" t="n">
        <f aca="false">Sens!$E$2242/Sens!$E$2223</f>
        <v>0.03831141902276</v>
      </c>
      <c r="F2250" s="12" t="n">
        <f aca="false">Sens!$F$2242/Sens!$F$2223</f>
        <v>0.0297532808235678</v>
      </c>
      <c r="G2250" s="12" t="n">
        <f aca="false">Sens!$G$2242/Sens!$G$2223</f>
        <v>0.0335954317997163</v>
      </c>
      <c r="H2250" s="12" t="n">
        <f aca="false">Sens!$H$2242/Sens!$H$2223</f>
        <v>0.0317567548756797</v>
      </c>
      <c r="I2250" s="12" t="n">
        <f aca="false">Sens!$I$2242/Sens!$I$2223</f>
        <v>0.029257649135469</v>
      </c>
      <c r="J2250" s="12" t="n">
        <f aca="false">Sens!$J$2242/Sens!$J$2223</f>
        <v>0.0265289767613074</v>
      </c>
      <c r="K2250" s="12" t="n">
        <f aca="false">Sens!$K$2242/Sens!$K$2223</f>
        <v>0.0231021059718117</v>
      </c>
      <c r="L2250" s="12" t="n">
        <f aca="false">Sens!$L$2242/Sens!$L$2223</f>
        <v>0.0210430431915424</v>
      </c>
      <c r="M2250" s="12" t="n">
        <f aca="false">Sens!$M$2242/Sens!$M$2223</f>
        <v>0.0198080602959861</v>
      </c>
      <c r="N2250" s="12" t="n">
        <f aca="false">Sens!$N$2242/Sens!$N$2223</f>
        <v>0.0357315650169337</v>
      </c>
      <c r="O2250" s="12" t="n">
        <f aca="false">Sens!$O$2242/Sens!$O$2223</f>
        <v>0.0244378956559703</v>
      </c>
    </row>
    <row r="2251" customFormat="false" ht="17.15" hidden="false" customHeight="false" outlineLevel="0" collapsed="false">
      <c r="A2251" s="13" t="s">
        <v>690</v>
      </c>
      <c r="B2251" s="13" t="s">
        <v>52</v>
      </c>
      <c r="C2251" s="16" t="n">
        <f aca="false">Sens!$C$2245/Sens!$C$2224</f>
        <v>0.370355907620217</v>
      </c>
      <c r="D2251" s="16" t="n">
        <f aca="false">Sens!$D$2245/Sens!$D$2224</f>
        <v>0.35429015342785</v>
      </c>
      <c r="E2251" s="16" t="n">
        <f aca="false">Sens!$E$2245/Sens!$E$2224</f>
        <v>0.385647527531039</v>
      </c>
      <c r="F2251" s="16" t="n">
        <f aca="false">Sens!$F$2245/Sens!$F$2224</f>
        <v>0.379535615253358</v>
      </c>
      <c r="G2251" s="16" t="n">
        <f aca="false">Sens!$G$2245/Sens!$G$2224</f>
        <v>0.382361392908031</v>
      </c>
      <c r="H2251" s="16" t="n">
        <f aca="false">Sens!$H$2245/Sens!$H$2224</f>
        <v>0.351525522497262</v>
      </c>
      <c r="I2251" s="16" t="n">
        <f aca="false">Sens!$I$2245/Sens!$I$2224</f>
        <v>0.338645995334222</v>
      </c>
      <c r="J2251" s="16" t="n">
        <f aca="false">Sens!$J$2245/Sens!$J$2224</f>
        <v>0.32792779067431</v>
      </c>
      <c r="K2251" s="16" t="n">
        <f aca="false">Sens!$K$2245/Sens!$K$2224</f>
        <v>0.318419494322831</v>
      </c>
      <c r="L2251" s="16" t="n">
        <f aca="false">Sens!$L$2245/Sens!$L$2224</f>
        <v>0.314984894040558</v>
      </c>
      <c r="M2251" s="16" t="n">
        <f aca="false">Sens!$M$2245/Sens!$M$2224</f>
        <v>0.312687121464459</v>
      </c>
      <c r="N2251" s="16" t="n">
        <f aca="false">Sens!$N$2245/Sens!$N$2224</f>
        <v>0.360941137346192</v>
      </c>
      <c r="O2251" s="16" t="n">
        <f aca="false">Sens!$O$2245/Sens!$O$2224</f>
        <v>0.348458117664212</v>
      </c>
    </row>
    <row r="2252" customFormat="false" ht="17.15" hidden="false" customHeight="false" outlineLevel="0" collapsed="false">
      <c r="A2252" s="0" t="s">
        <v>691</v>
      </c>
      <c r="B2252" s="0" t="s">
        <v>52</v>
      </c>
      <c r="C2252" s="12" t="n">
        <f aca="false">Sens!$C$2243/Sens!$C$2225</f>
        <v>0.708390794789371</v>
      </c>
      <c r="D2252" s="12" t="n">
        <f aca="false">Sens!$D$2243/Sens!$D$2225</f>
        <v>0.445565630441968</v>
      </c>
      <c r="E2252" s="12" t="n">
        <f aca="false">Sens!$E$2243/Sens!$E$2225</f>
        <v>0.165998118402711</v>
      </c>
      <c r="F2252" s="12" t="n">
        <f aca="false">Sens!$F$2243/Sens!$F$2225</f>
        <v>0.405650058118792</v>
      </c>
      <c r="G2252" s="12" t="n">
        <f aca="false">Sens!$G$2243/Sens!$G$2225</f>
        <v>0.315953104976614</v>
      </c>
      <c r="H2252" s="12" t="n">
        <f aca="false">Sens!$H$2243/Sens!$H$2225</f>
        <v>0.273931965315787</v>
      </c>
      <c r="I2252" s="12" t="n">
        <f aca="false">Sens!$I$2243/Sens!$I$2225</f>
        <v>0.253752044792747</v>
      </c>
      <c r="J2252" s="12" t="n">
        <f aca="false">Sens!$J$2243/Sens!$J$2225</f>
        <v>0.239525764673683</v>
      </c>
      <c r="K2252" s="12" t="n">
        <f aca="false">Sens!$K$2243/Sens!$K$2225</f>
        <v>0.229032984931834</v>
      </c>
      <c r="L2252" s="12" t="n">
        <f aca="false">Sens!$L$2243/Sens!$L$2225</f>
        <v>0.231160127410419</v>
      </c>
      <c r="M2252" s="12" t="n">
        <f aca="false">Sens!$M$2243/Sens!$M$2225</f>
        <v>0.233128207810435</v>
      </c>
      <c r="N2252" s="12" t="n">
        <f aca="false">Sens!$N$2243/Sens!$N$2225</f>
        <v>0.302870734830849</v>
      </c>
      <c r="O2252" s="12" t="n">
        <f aca="false">Sens!$O$2243/Sens!$O$2225</f>
        <v>0.52240134346334</v>
      </c>
    </row>
    <row r="2253" customFormat="false" ht="15" hidden="false" customHeight="false" outlineLevel="0" collapsed="false">
      <c r="A2253" s="5" t="s">
        <v>692</v>
      </c>
      <c r="B2253" s="0" t="s">
        <v>52</v>
      </c>
      <c r="C2253" s="12" t="n">
        <f aca="false">Sens!$C$2247/Sens!$C$2227</f>
        <v>0.107519448742004</v>
      </c>
      <c r="D2253" s="12" t="n">
        <f aca="false">Sens!$D$2247/Sens!$D$2227</f>
        <v>0.111552967957552</v>
      </c>
      <c r="E2253" s="12" t="n">
        <f aca="false">Sens!$E$2247/Sens!$E$2227</f>
        <v>0.13428328426562</v>
      </c>
      <c r="F2253" s="12" t="n">
        <f aca="false">Sens!$F$2247/Sens!$F$2227</f>
        <v>0.131507572118831</v>
      </c>
      <c r="G2253" s="12" t="n">
        <f aca="false">Sens!$G$2247/Sens!$G$2227</f>
        <v>0.132782592421139</v>
      </c>
      <c r="H2253" s="12" t="n">
        <f aca="false">Sens!$H$2247/Sens!$H$2227</f>
        <v>0.136351632012347</v>
      </c>
      <c r="I2253" s="12" t="n">
        <f aca="false">Sens!$I$2247/Sens!$I$2227</f>
        <v>0.140531577868993</v>
      </c>
      <c r="J2253" s="12" t="n">
        <f aca="false">Sens!$J$2247/Sens!$J$2227</f>
        <v>0.142575010138483</v>
      </c>
      <c r="K2253" s="12" t="n">
        <f aca="false">Sens!$K$2247/Sens!$K$2227</f>
        <v>0.142669454195791</v>
      </c>
      <c r="L2253" s="12" t="n">
        <f aca="false">Sens!$L$2247/Sens!$L$2227</f>
        <v>0.14351274590287</v>
      </c>
      <c r="M2253" s="12" t="n">
        <f aca="false">Sens!$M$2247/Sens!$M$2227</f>
        <v>0.144681658729526</v>
      </c>
      <c r="N2253" s="12" t="n">
        <f aca="false">Sens!$N$2247/Sens!$N$2227</f>
        <v>0.116201614873411</v>
      </c>
      <c r="O2253" s="12" t="n">
        <f aca="false">Sens!$O$2247/Sens!$O$2227</f>
        <v>0.107733353660861</v>
      </c>
    </row>
    <row r="2254" customFormat="false" ht="17.15" hidden="false" customHeight="false" outlineLevel="0" collapsed="false">
      <c r="A2254" s="1" t="s">
        <v>693</v>
      </c>
    </row>
    <row r="2255" customFormat="false" ht="17.15" hidden="false" customHeight="false" outlineLevel="0" collapsed="false">
      <c r="A2255" s="5" t="s">
        <v>694</v>
      </c>
      <c r="B2255" s="0" t="s">
        <v>52</v>
      </c>
      <c r="D2255" s="28" t="n">
        <f aca="false">(Q!$E$29+Q!$E$30-(1-ext_sh)*Sens!$D$2179)/Sens!$D$2136</f>
        <v>0.0334674312393194</v>
      </c>
    </row>
    <row r="2256" customFormat="false" ht="17.15" hidden="false" customHeight="false" outlineLevel="0" collapsed="false">
      <c r="A2256" s="0" t="s">
        <v>498</v>
      </c>
      <c r="B2256" s="0" t="s">
        <v>73</v>
      </c>
      <c r="C2256" s="38" t="n">
        <f aca="false">Q!$D$29</f>
        <v>14.285</v>
      </c>
      <c r="D2256" s="38" t="n">
        <f aca="false">Q!$E$29</f>
        <v>15.503</v>
      </c>
      <c r="E2256" s="38" t="n">
        <f aca="false">Q!$P$29</f>
        <v>8.78</v>
      </c>
      <c r="F2256" s="38" t="n">
        <f aca="false">(Sens!$D$2255*Sens!$F$2136+(1-ext_sh)*Sens!$F$2179)*Sens!$F$2137</f>
        <v>9.51361751569285</v>
      </c>
      <c r="G2256" s="38" t="n">
        <f aca="false">Sens!$E$2256+Sens!$F$2256</f>
        <v>18.2936175156929</v>
      </c>
      <c r="H2256" s="38" t="n">
        <f aca="false">(Sens!$D$2255*Sens!$H$2136+(1-ext_sh)*Sens!$H$2179)*Sens!$H$2137</f>
        <v>22.4989767063749</v>
      </c>
      <c r="I2256" s="38" t="n">
        <f aca="false">(Sens!$D$2255*Sens!$I$2136+(1-ext_sh)*Sens!$I$2179)*Sens!$I$2137</f>
        <v>27.6323358433678</v>
      </c>
      <c r="J2256" s="38" t="n">
        <f aca="false">(Sens!$D$2255*Sens!$J$2136+(1-ext_sh)*Sens!$J$2179)*Sens!$J$2137</f>
        <v>32.7930899005158</v>
      </c>
      <c r="K2256" s="38" t="n">
        <f aca="false">(Sens!$D$2255*Sens!$K$2136+(1-ext_sh)*Sens!$K$2179)*Sens!$K$2137</f>
        <v>37.8516837532004</v>
      </c>
      <c r="L2256" s="38" t="n">
        <f aca="false">(Sens!$D$2255*Sens!$L$2136+(1-ext_sh)*Sens!$L$2179)*Sens!$L$2137</f>
        <v>42.6948565957475</v>
      </c>
      <c r="M2256" s="38" t="n">
        <f aca="false">(Sens!$D$2255*Sens!$M$2136+(1-ext_sh)*Sens!$M$2179)*Sens!$M$2137</f>
        <v>47.6207550942941</v>
      </c>
      <c r="N2256" s="38" t="n">
        <f aca="false">Q!$N$29</f>
        <v>7.272</v>
      </c>
      <c r="O2256" s="38" t="n">
        <f aca="false">Q!$O$29</f>
        <v>8.231</v>
      </c>
    </row>
    <row r="2257" customFormat="false" ht="17.15" hidden="false" customHeight="false" outlineLevel="0" collapsed="false">
      <c r="A2257" s="0" t="s">
        <v>500</v>
      </c>
      <c r="B2257" s="0" t="s">
        <v>73</v>
      </c>
      <c r="C2257" s="38" t="n">
        <f aca="false">Q!$D$30</f>
        <v>4.462</v>
      </c>
      <c r="D2257" s="38" t="n">
        <f aca="false">Q!$E$30</f>
        <v>4.907</v>
      </c>
      <c r="E2257" s="38" t="n">
        <f aca="false">Q!$P$30</f>
        <v>2.57</v>
      </c>
      <c r="F2257" s="38" t="n">
        <f aca="false">(Sens!$D$2255*Sens!$F$2136+(1-ext_sh)*Sens!$F$2179)*(1-Sens!$F$2137)</f>
        <v>3.7353230631574</v>
      </c>
      <c r="G2257" s="38" t="n">
        <f aca="false">Sens!$E$2257+Sens!$F$2257</f>
        <v>6.3053230631574</v>
      </c>
      <c r="H2257" s="38" t="n">
        <f aca="false">(Sens!$D$2255*Sens!$H$2136+(1-ext_sh)*Sens!$H$2179)*(1-Sens!$H$2137)</f>
        <v>8.62047928347067</v>
      </c>
      <c r="I2257" s="38" t="n">
        <f aca="false">(Sens!$D$2255*Sens!$I$2136+(1-ext_sh)*Sens!$I$2179)*(1-Sens!$I$2137)</f>
        <v>10.5873250059485</v>
      </c>
      <c r="J2257" s="38" t="n">
        <f aca="false">(Sens!$D$2255*Sens!$J$2136+(1-ext_sh)*Sens!$J$2179)*(1-Sens!$J$2137)</f>
        <v>12.5646670876498</v>
      </c>
      <c r="K2257" s="38" t="n">
        <f aca="false">(Sens!$D$2255*Sens!$K$2136+(1-ext_sh)*Sens!$K$2179)*(1-Sens!$K$2137)</f>
        <v>14.5028665035461</v>
      </c>
      <c r="L2257" s="38" t="n">
        <f aca="false">(Sens!$D$2255*Sens!$L$2136+(1-ext_sh)*Sens!$L$2179)*(1-Sens!$L$2137)</f>
        <v>16.3585273942752</v>
      </c>
      <c r="M2257" s="38" t="n">
        <f aca="false">(Sens!$D$2255*Sens!$M$2136+(1-ext_sh)*Sens!$M$2179)*(1-Sens!$M$2137)</f>
        <v>18.2458846067109</v>
      </c>
      <c r="N2257" s="38" t="n">
        <f aca="false">Q!$N$30</f>
        <v>2.316</v>
      </c>
      <c r="O2257" s="38" t="n">
        <f aca="false">Q!$O$30</f>
        <v>2.591</v>
      </c>
    </row>
    <row r="2258" customFormat="false" ht="17.15" hidden="false" customHeight="false" outlineLevel="0" collapsed="false">
      <c r="A2258" s="0" t="s">
        <v>501</v>
      </c>
      <c r="B2258" s="0" t="s">
        <v>73</v>
      </c>
      <c r="C2258" s="38" t="n">
        <f aca="false">Sens!$C$2191</f>
        <v>13.32</v>
      </c>
      <c r="D2258" s="38" t="n">
        <f aca="false">Sens!$D$2191</f>
        <v>21.45</v>
      </c>
      <c r="E2258" s="38" t="n">
        <f aca="false">Sens!$E$2191</f>
        <v>15.353</v>
      </c>
      <c r="F2258" s="38" t="n">
        <f aca="false">Sens!$F$2191</f>
        <v>17.3614451462707</v>
      </c>
      <c r="G2258" s="38" t="n">
        <f aca="false">Sens!$G$2191</f>
        <v>32.7144451462707</v>
      </c>
      <c r="H2258" s="38" t="n">
        <f aca="false">Sens!$H$2191</f>
        <v>54.7227830415545</v>
      </c>
      <c r="I2258" s="38" t="n">
        <f aca="false">Sens!$I$2191</f>
        <v>78.5715840968627</v>
      </c>
      <c r="J2258" s="38" t="n">
        <f aca="false">Sens!$J$2191</f>
        <v>102.611438848122</v>
      </c>
      <c r="K2258" s="38" t="n">
        <f aca="false">Sens!$K$2191</f>
        <v>126.049184795444</v>
      </c>
      <c r="L2258" s="38" t="n">
        <f aca="false">Sens!$L$2191</f>
        <v>148.005934889448</v>
      </c>
      <c r="M2258" s="38" t="n">
        <f aca="false">Sens!$M$2191</f>
        <v>170.110512425912</v>
      </c>
      <c r="N2258" s="38" t="n">
        <f aca="false">Sens!$N$2191</f>
        <v>9.234</v>
      </c>
      <c r="O2258" s="38" t="n">
        <f aca="false">Sens!$O$2191</f>
        <v>12.216</v>
      </c>
    </row>
    <row r="2259" customFormat="false" ht="17.15" hidden="false" customHeight="false" outlineLevel="0" collapsed="false">
      <c r="A2259" s="5" t="s">
        <v>695</v>
      </c>
      <c r="B2259" s="0" t="s">
        <v>73</v>
      </c>
      <c r="C2259" s="38" t="n">
        <f aca="false">Sens!$C$2256+Sens!$C$2257+Sens!$C$2258</f>
        <v>32.067</v>
      </c>
      <c r="D2259" s="38" t="n">
        <f aca="false">Sens!$D$2256+Sens!$D$2257+Sens!$D$2258</f>
        <v>41.86</v>
      </c>
      <c r="E2259" s="38" t="n">
        <f aca="false">Sens!$E$2256+Sens!$E$2257+Sens!$E$2258</f>
        <v>26.703</v>
      </c>
      <c r="F2259" s="38" t="n">
        <f aca="false">Sens!$F$2256+Sens!$F$2257+Sens!$F$2258</f>
        <v>30.6103857251209</v>
      </c>
      <c r="G2259" s="38" t="n">
        <f aca="false">Sens!$G$2256+Sens!$G$2257+Sens!$G$2258</f>
        <v>57.3133857251209</v>
      </c>
      <c r="H2259" s="38" t="n">
        <f aca="false">Sens!$H$2256+Sens!$H$2257+Sens!$H$2258</f>
        <v>85.8422390314</v>
      </c>
      <c r="I2259" s="38" t="n">
        <f aca="false">Sens!$I$2256+Sens!$I$2257+Sens!$I$2258</f>
        <v>116.791244946179</v>
      </c>
      <c r="J2259" s="38" t="n">
        <f aca="false">Sens!$J$2256+Sens!$J$2257+Sens!$J$2258</f>
        <v>147.969195836287</v>
      </c>
      <c r="K2259" s="38" t="n">
        <f aca="false">Sens!$K$2256+Sens!$K$2257+Sens!$K$2258</f>
        <v>178.403735052191</v>
      </c>
      <c r="L2259" s="38" t="n">
        <f aca="false">Sens!$L$2256+Sens!$L$2257+Sens!$L$2258</f>
        <v>207.059318879471</v>
      </c>
      <c r="M2259" s="38" t="n">
        <f aca="false">Sens!$M$2256+Sens!$M$2257+Sens!$M$2258</f>
        <v>235.977152126917</v>
      </c>
      <c r="N2259" s="38" t="n">
        <f aca="false">Sens!$N$2256+Sens!$N$2257+Sens!$N$2258</f>
        <v>18.822</v>
      </c>
      <c r="O2259" s="38" t="n">
        <f aca="false">Sens!$O$2256+Sens!$O$2257+Sens!$O$2258</f>
        <v>23.038</v>
      </c>
    </row>
    <row r="2260" customFormat="false" ht="17.15" hidden="false" customHeight="false" outlineLevel="0" collapsed="false">
      <c r="A2260" s="0" t="s">
        <v>696</v>
      </c>
      <c r="B2260" s="0" t="s">
        <v>73</v>
      </c>
      <c r="C2260" s="38" t="n">
        <f aca="false">Sens!$C$2233+Sens!$C$2238</f>
        <v>28.107</v>
      </c>
      <c r="D2260" s="38" t="n">
        <f aca="false">Sens!$D$2233+Sens!$D$2238</f>
        <v>34.3175</v>
      </c>
      <c r="E2260" s="38" t="n">
        <f aca="false">Sens!$E$2233+Sens!$E$2238</f>
        <v>18.526</v>
      </c>
      <c r="F2260" s="38" t="n">
        <f aca="false">Sens!$F$2233+Sens!$F$2238</f>
        <v>24.0766690913691</v>
      </c>
      <c r="G2260" s="38" t="n">
        <f aca="false">Sens!$G$2233+Sens!$G$2238</f>
        <v>42.6026690913691</v>
      </c>
      <c r="H2260" s="38" t="n">
        <f aca="false">Sens!$H$2233+Sens!$H$2238</f>
        <v>51.1466809294702</v>
      </c>
      <c r="I2260" s="38" t="n">
        <f aca="false">Sens!$I$2233+Sens!$I$2238</f>
        <v>59.6899187926205</v>
      </c>
      <c r="J2260" s="38" t="n">
        <f aca="false">Sens!$J$2233+Sens!$J$2238</f>
        <v>67.6595395244221</v>
      </c>
      <c r="K2260" s="38" t="n">
        <f aca="false">Sens!$K$2233+Sens!$K$2238</f>
        <v>74.4254934768643</v>
      </c>
      <c r="L2260" s="38" t="n">
        <f aca="false">Sens!$L$2233+Sens!$L$2238</f>
        <v>81.8680428245508</v>
      </c>
      <c r="M2260" s="38" t="n">
        <f aca="false">Sens!$M$2233+Sens!$M$2238</f>
        <v>90.0548471070059</v>
      </c>
      <c r="N2260" s="38" t="n">
        <f aca="false">Sens!$N$2233+Sens!$N$2238</f>
        <v>14.8075</v>
      </c>
      <c r="O2260" s="38" t="n">
        <f aca="false">Sens!$O$2233+Sens!$O$2238</f>
        <v>19.51</v>
      </c>
    </row>
    <row r="2261" customFormat="false" ht="17.15" hidden="false" customHeight="false" outlineLevel="0" collapsed="false">
      <c r="A2261" s="0" t="s">
        <v>697</v>
      </c>
      <c r="B2261" s="0" t="s">
        <v>73</v>
      </c>
      <c r="C2261" s="38" t="n">
        <f aca="false">Sens!$C$2237+Sens!$C$2242+Sens!$C$2256+Sens!$C$2257-Sens!$C$2260</f>
        <v>19.399</v>
      </c>
      <c r="D2261" s="38" t="n">
        <f aca="false">Sens!$D$2237+Sens!$D$2242+Sens!$D$2256+Sens!$D$2257-Sens!$D$2260</f>
        <v>20.4615</v>
      </c>
      <c r="E2261" s="38" t="n">
        <f aca="false">Sens!$E$2237+Sens!$E$2242+Sens!$E$2256+Sens!$E$2257-Sens!$E$2260</f>
        <v>13.355</v>
      </c>
      <c r="F2261" s="38" t="n">
        <f aca="false">Sens!$F$2237+Sens!$F$2242+Sens!$F$2256+Sens!$F$2257-Sens!$F$2260</f>
        <v>13.0895111975985</v>
      </c>
      <c r="G2261" s="38" t="n">
        <f aca="false">Sens!$G$2237+Sens!$G$2242+Sens!$G$2256+Sens!$G$2257-Sens!$G$2260</f>
        <v>26.4445111975985</v>
      </c>
      <c r="H2261" s="38" t="n">
        <f aca="false">Sens!$H$2237+Sens!$H$2242+Sens!$H$2256+Sens!$H$2257-Sens!$H$2260</f>
        <v>28.8977096937968</v>
      </c>
      <c r="I2261" s="38" t="n">
        <f aca="false">Sens!$I$2237+Sens!$I$2242+Sens!$I$2256+Sens!$I$2257-Sens!$I$2260</f>
        <v>31.2062039064791</v>
      </c>
      <c r="J2261" s="38" t="n">
        <f aca="false">Sens!$J$2237+Sens!$J$2242+Sens!$J$2256+Sens!$J$2257-Sens!$J$2260</f>
        <v>33.5064572496913</v>
      </c>
      <c r="K2261" s="38" t="n">
        <f aca="false">Sens!$K$2237+Sens!$K$2242+Sens!$K$2256+Sens!$K$2257-Sens!$K$2260</f>
        <v>35.6591461575899</v>
      </c>
      <c r="L2261" s="38" t="n">
        <f aca="false">Sens!$L$2237+Sens!$L$2242+Sens!$L$2256+Sens!$L$2257-Sens!$L$2260</f>
        <v>36.4141007090604</v>
      </c>
      <c r="M2261" s="38" t="n">
        <f aca="false">Sens!$M$2237+Sens!$M$2242+Sens!$M$2256+Sens!$M$2257-Sens!$M$2260</f>
        <v>37.359984207839</v>
      </c>
      <c r="N2261" s="38" t="n">
        <f aca="false">Sens!$N$2237+Sens!$N$2242+Sens!$N$2256+Sens!$N$2257-Sens!$N$2260</f>
        <v>10.6495</v>
      </c>
      <c r="O2261" s="38" t="n">
        <f aca="false">Sens!$O$2237+Sens!$O$2242+Sens!$O$2256+Sens!$O$2257-Sens!$O$2260</f>
        <v>9.81200000000001</v>
      </c>
    </row>
    <row r="2262" customFormat="false" ht="17.15" hidden="false" customHeight="false" outlineLevel="0" collapsed="false">
      <c r="A2262" s="0" t="s">
        <v>698</v>
      </c>
      <c r="B2262" s="0" t="s">
        <v>73</v>
      </c>
      <c r="C2262" s="38" t="n">
        <f aca="false">Sens!$C$2244+Sens!$C$2258-ext_sh*Sens!$C$2179</f>
        <v>51.3470500115664</v>
      </c>
      <c r="D2262" s="38" t="n">
        <f aca="false">Sens!$D$2244+Sens!$D$2258-ext_sh*Sens!$D$2179</f>
        <v>60.2799375433739</v>
      </c>
      <c r="E2262" s="38" t="n">
        <f aca="false">Sens!$E$2244+Sens!$E$2258-ext_sh*Sens!$E$2179</f>
        <v>39.5095167090767</v>
      </c>
      <c r="F2262" s="38" t="n">
        <f aca="false">Sens!$F$2244+Sens!$F$2258-ext_sh*Sens!$F$2179</f>
        <v>41.606724953129</v>
      </c>
      <c r="G2262" s="38" t="n">
        <f aca="false">Sens!$G$2244+Sens!$G$2258-ext_sh*Sens!$G$2179</f>
        <v>81.1162416622057</v>
      </c>
      <c r="H2262" s="38" t="n">
        <f aca="false">Sens!$H$2244+Sens!$H$2258-ext_sh*Sens!$H$2179</f>
        <v>95.7616595325849</v>
      </c>
      <c r="I2262" s="38" t="n">
        <f aca="false">Sens!$I$2244+Sens!$I$2258-ext_sh*Sens!$I$2179</f>
        <v>111.513312079935</v>
      </c>
      <c r="J2262" s="38" t="n">
        <f aca="false">Sens!$J$2244+Sens!$J$2258-ext_sh*Sens!$J$2179</f>
        <v>125.145150463955</v>
      </c>
      <c r="K2262" s="38" t="n">
        <f aca="false">Sens!$K$2244+Sens!$K$2258-ext_sh*Sens!$K$2179</f>
        <v>135.156762501071</v>
      </c>
      <c r="L2262" s="38" t="n">
        <f aca="false">Sens!$L$2244+Sens!$L$2258-ext_sh*Sens!$L$2179</f>
        <v>145.969303501157</v>
      </c>
      <c r="M2262" s="38" t="n">
        <f aca="false">Sens!$M$2244+Sens!$M$2258-ext_sh*Sens!$M$2179</f>
        <v>157.646847781249</v>
      </c>
      <c r="N2262" s="38" t="n">
        <f aca="false">Sens!$N$2244+Sens!$N$2258-ext_sh*Sens!$N$2179</f>
        <v>28.5693781401809</v>
      </c>
      <c r="O2262" s="38" t="n">
        <f aca="false">Sens!$O$2244+Sens!$O$2258-ext_sh*Sens!$O$2179</f>
        <v>31.7105594031931</v>
      </c>
    </row>
    <row r="2263" customFormat="false" ht="17.15" hidden="false" customHeight="false" outlineLevel="0" collapsed="false">
      <c r="A2263" s="0" t="s">
        <v>699</v>
      </c>
      <c r="B2263" s="0" t="s">
        <v>73</v>
      </c>
      <c r="C2263" s="38" t="n">
        <f aca="false">Sens!$C$2182</f>
        <v>1.80694998843362</v>
      </c>
      <c r="D2263" s="38" t="n">
        <f aca="false">Sens!$D$2182</f>
        <v>6.77606245662607</v>
      </c>
      <c r="E2263" s="38" t="n">
        <f aca="false">Sens!$E$2182</f>
        <v>6.62548329092326</v>
      </c>
      <c r="F2263" s="38" t="n">
        <f aca="false">Sens!$F$2182</f>
        <v>10.9841961511954</v>
      </c>
      <c r="G2263" s="38" t="n">
        <f aca="false">Sens!$G$2182</f>
        <v>17.6096794421187</v>
      </c>
      <c r="H2263" s="38" t="n">
        <f aca="false">Sens!$H$2182</f>
        <v>41.6302801886437</v>
      </c>
      <c r="I2263" s="38" t="n">
        <f aca="false">Sens!$I$2182</f>
        <v>68.7801842295635</v>
      </c>
      <c r="J2263" s="38" t="n">
        <f aca="false">Sens!$J$2182</f>
        <v>96.0986392826786</v>
      </c>
      <c r="K2263" s="38" t="n">
        <f aca="false">Sens!$K$2182</f>
        <v>123.473278006525</v>
      </c>
      <c r="L2263" s="38" t="n">
        <f aca="false">Sens!$L$2182</f>
        <v>150.873454762523</v>
      </c>
      <c r="M2263" s="38" t="n">
        <f aca="false">Sens!$M$2182</f>
        <v>178.287382766602</v>
      </c>
      <c r="N2263" s="38" t="n">
        <f aca="false">Sens!$N$2182</f>
        <v>2.37162185981912</v>
      </c>
      <c r="O2263" s="38" t="n">
        <f aca="false">Sens!$O$2182</f>
        <v>4.40444059680694</v>
      </c>
    </row>
    <row r="2264" customFormat="false" ht="17.15" hidden="false" customHeight="false" outlineLevel="0" collapsed="false">
      <c r="A2264" s="0" t="s">
        <v>700</v>
      </c>
      <c r="B2264" s="0" t="s">
        <v>73</v>
      </c>
      <c r="C2264" s="38" t="n">
        <f aca="false">Sens!$C$2247+Sens!$C$2259</f>
        <v>100.66</v>
      </c>
      <c r="D2264" s="38" t="n">
        <f aca="false">Sens!$D$2247+Sens!$D$2259</f>
        <v>121.835</v>
      </c>
      <c r="E2264" s="38" t="n">
        <f aca="false">Sens!$E$2247+Sens!$E$2259</f>
        <v>78.016</v>
      </c>
      <c r="F2264" s="38" t="n">
        <f aca="false">Sens!$F$2247+Sens!$F$2259</f>
        <v>89.757101393292</v>
      </c>
      <c r="G2264" s="38" t="n">
        <f aca="false">Sens!$G$2247+Sens!$G$2259</f>
        <v>167.773101393292</v>
      </c>
      <c r="H2264" s="38" t="n">
        <f aca="false">Sens!$H$2247+Sens!$H$2259</f>
        <v>217.436330344496</v>
      </c>
      <c r="I2264" s="38" t="n">
        <f aca="false">Sens!$I$2247+Sens!$I$2259</f>
        <v>271.189619008598</v>
      </c>
      <c r="J2264" s="38" t="n">
        <f aca="false">Sens!$J$2247+Sens!$J$2259</f>
        <v>322.409786520747</v>
      </c>
      <c r="K2264" s="38" t="n">
        <f aca="false">Sens!$K$2247+Sens!$K$2259</f>
        <v>368.714680142051</v>
      </c>
      <c r="L2264" s="38" t="n">
        <f aca="false">Sens!$L$2247+Sens!$L$2259</f>
        <v>415.124901797291</v>
      </c>
      <c r="M2264" s="38" t="n">
        <f aca="false">Sens!$M$2247+Sens!$M$2259</f>
        <v>463.349061862696</v>
      </c>
      <c r="N2264" s="38" t="n">
        <f aca="false">Sens!$N$2247+Sens!$N$2259</f>
        <v>56.398</v>
      </c>
      <c r="O2264" s="38" t="n">
        <f aca="false">Sens!$O$2247+Sens!$O$2259</f>
        <v>65.437</v>
      </c>
    </row>
    <row r="2265" customFormat="false" ht="17.15" hidden="false" customHeight="false" outlineLevel="0" collapsed="false">
      <c r="A2265" s="1" t="s">
        <v>701</v>
      </c>
    </row>
    <row r="2266" customFormat="false" ht="15" hidden="false" customHeight="false" outlineLevel="0" collapsed="false">
      <c r="A2266" s="5" t="s">
        <v>504</v>
      </c>
      <c r="B2266" s="0" t="s">
        <v>73</v>
      </c>
      <c r="C2266" s="38" t="n">
        <f aca="false">Q!$D$34</f>
        <v>2.406</v>
      </c>
      <c r="D2266" s="38" t="n">
        <f aca="false">Q!$E$34</f>
        <v>2.274</v>
      </c>
      <c r="E2266" s="38" t="n">
        <f aca="false">Q!$P$34</f>
        <v>2.114</v>
      </c>
      <c r="F2266" s="38" t="n">
        <f aca="false">Sens!$F$2302</f>
        <v>3.24888964316061</v>
      </c>
      <c r="G2266" s="38" t="n">
        <f aca="false">Sens!$E$2266+Sens!$F$2266</f>
        <v>5.36288964316061</v>
      </c>
      <c r="H2266" s="38" t="n">
        <f aca="false">Sens!$H$2302</f>
        <v>7.42354178632123</v>
      </c>
      <c r="I2266" s="38" t="n">
        <f aca="false">Sens!$I$2302</f>
        <v>7.42354178632123</v>
      </c>
      <c r="J2266" s="38" t="n">
        <f aca="false">Sens!$J$2302</f>
        <v>7.42354178632123</v>
      </c>
      <c r="K2266" s="38" t="n">
        <f aca="false">Sens!$K$2302</f>
        <v>7.42354178632123</v>
      </c>
      <c r="L2266" s="38" t="n">
        <f aca="false">Sens!$L$2302</f>
        <v>7.42354178632123</v>
      </c>
      <c r="M2266" s="38" t="n">
        <f aca="false">Sens!$M$2302</f>
        <v>7.42354178632123</v>
      </c>
      <c r="N2266" s="38" t="n">
        <f aca="false">Q!$N$34</f>
        <v>1.057</v>
      </c>
      <c r="O2266" s="38" t="n">
        <f aca="false">Q!$O$34</f>
        <v>1.217</v>
      </c>
    </row>
    <row r="2267" customFormat="false" ht="15" hidden="false" customHeight="false" outlineLevel="0" collapsed="false">
      <c r="A2267" s="5" t="s">
        <v>702</v>
      </c>
      <c r="B2267" s="0" t="s">
        <v>73</v>
      </c>
      <c r="F2267" s="38" t="n">
        <f aca="false">Sens!$F$2303</f>
        <v>2.59</v>
      </c>
      <c r="H2267" s="38" t="n">
        <f aca="false">Sens!$H$2303</f>
        <v>4.37729763794978</v>
      </c>
      <c r="I2267" s="38" t="n">
        <f aca="false">Sens!$I$2303</f>
        <v>3.12094413433823</v>
      </c>
      <c r="J2267" s="38" t="n">
        <f aca="false">Sens!$J$2303</f>
        <v>3.44900989490847</v>
      </c>
      <c r="K2267" s="38" t="n">
        <f aca="false">Sens!$K$2303</f>
        <v>5.4283987397957</v>
      </c>
      <c r="L2267" s="38" t="n">
        <f aca="false">Sens!$L$2303</f>
        <v>8.99426675706789</v>
      </c>
      <c r="M2267" s="38" t="n">
        <f aca="false">Sens!$M$2303</f>
        <v>13.0384195944867</v>
      </c>
    </row>
    <row r="2268" customFormat="false" ht="17.15" hidden="false" customHeight="false" outlineLevel="0" collapsed="false">
      <c r="A2268" s="5" t="s">
        <v>703</v>
      </c>
      <c r="B2268" s="0" t="s">
        <v>73</v>
      </c>
      <c r="C2268" s="38" t="n">
        <f aca="false">Q!$D$39</f>
        <v>2.427</v>
      </c>
      <c r="D2268" s="38" t="n">
        <f aca="false">Q!$E$39</f>
        <v>19.61</v>
      </c>
      <c r="E2268" s="38" t="n">
        <f aca="false">Q!$P$39</f>
        <v>71.492</v>
      </c>
      <c r="F2268" s="41" t="n">
        <v>0</v>
      </c>
      <c r="G2268" s="38" t="n">
        <f aca="false">Sens!$E$2268+Sens!$F$2268</f>
        <v>71.492</v>
      </c>
      <c r="H2268" s="41" t="n">
        <v>0</v>
      </c>
      <c r="I2268" s="41" t="n">
        <v>0</v>
      </c>
      <c r="J2268" s="41" t="n">
        <v>0</v>
      </c>
      <c r="K2268" s="41" t="n">
        <v>0</v>
      </c>
      <c r="L2268" s="41" t="n">
        <v>0</v>
      </c>
      <c r="M2268" s="41" t="n">
        <v>0</v>
      </c>
      <c r="N2268" s="38" t="n">
        <f aca="false">Q!$N$39</f>
        <v>6.017</v>
      </c>
      <c r="O2268" s="38" t="n">
        <f aca="false">Q!$O$39</f>
        <v>13.593</v>
      </c>
      <c r="P2268" s="5" t="s">
        <v>704</v>
      </c>
    </row>
    <row r="2269" customFormat="false" ht="15" hidden="false" customHeight="false" outlineLevel="0" collapsed="false">
      <c r="A2269" s="5" t="s">
        <v>507</v>
      </c>
      <c r="B2269" s="0" t="s">
        <v>73</v>
      </c>
      <c r="C2269" s="38" t="n">
        <f aca="false">Q!$D$36</f>
        <v>68.614</v>
      </c>
      <c r="D2269" s="38" t="n">
        <f aca="false">Q!$E$36</f>
        <v>97.311</v>
      </c>
      <c r="E2269" s="38" t="n">
        <f aca="false">Q!$P$36</f>
        <v>120.691</v>
      </c>
      <c r="F2269" s="38" t="n">
        <f aca="false">Sens!$F$2247-Sens!$F$2266+Sens!$F$2267+Sens!$F$2268</f>
        <v>58.4878260250104</v>
      </c>
      <c r="G2269" s="38" t="n">
        <f aca="false">Sens!$E$2269+Sens!$F$2269</f>
        <v>179.17882602501</v>
      </c>
      <c r="H2269" s="38" t="n">
        <f aca="false">Sens!$H$2247-Sens!$H$2266+Sens!$H$2267+Sens!$H$2268</f>
        <v>128.547847164724</v>
      </c>
      <c r="I2269" s="38" t="n">
        <f aca="false">Sens!$I$2247-Sens!$I$2266+Sens!$I$2267+Sens!$I$2268</f>
        <v>150.095776410436</v>
      </c>
      <c r="J2269" s="38" t="n">
        <f aca="false">Sens!$J$2247-Sens!$J$2266+Sens!$J$2267+Sens!$J$2268</f>
        <v>170.466058793047</v>
      </c>
      <c r="K2269" s="38" t="n">
        <f aca="false">Sens!$K$2247-Sens!$K$2266+Sens!$K$2267+Sens!$K$2268</f>
        <v>188.315802043335</v>
      </c>
      <c r="L2269" s="38" t="n">
        <f aca="false">Sens!$L$2247-Sens!$L$2266+Sens!$L$2267+Sens!$L$2268</f>
        <v>209.636307888567</v>
      </c>
      <c r="M2269" s="38" t="n">
        <f aca="false">Sens!$M$2247-Sens!$M$2266+Sens!$M$2267+Sens!$M$2268</f>
        <v>232.986787543944</v>
      </c>
      <c r="N2269" s="38" t="n">
        <f aca="false">Q!$N$36</f>
        <v>42.536</v>
      </c>
      <c r="O2269" s="38" t="n">
        <f aca="false">Q!$O$36</f>
        <v>54.775</v>
      </c>
    </row>
    <row r="2270" customFormat="false" ht="15" hidden="false" customHeight="false" outlineLevel="0" collapsed="false">
      <c r="A2270" s="5" t="s">
        <v>508</v>
      </c>
      <c r="B2270" s="0" t="s">
        <v>73</v>
      </c>
      <c r="C2270" s="38" t="n">
        <f aca="false">Q!$D$37</f>
        <v>9.265</v>
      </c>
      <c r="D2270" s="38" t="n">
        <f aca="false">Q!$E$37</f>
        <v>19.087</v>
      </c>
      <c r="E2270" s="38" t="n">
        <f aca="false">Q!$P$37</f>
        <v>27.759</v>
      </c>
      <c r="F2270" s="38" t="n">
        <f aca="false">Sens!$F$2269*tax</f>
        <v>10.1525815936443</v>
      </c>
      <c r="G2270" s="38" t="n">
        <f aca="false">Sens!$E$2270+Sens!$F$2270</f>
        <v>37.9115815936443</v>
      </c>
      <c r="H2270" s="38" t="n">
        <f aca="false">Sens!$H$2269*tax</f>
        <v>22.3139171982406</v>
      </c>
      <c r="I2270" s="38" t="n">
        <f aca="false">Sens!$I$2269*tax</f>
        <v>26.0543042960209</v>
      </c>
      <c r="J2270" s="38" t="n">
        <f aca="false">Sens!$J$2269*tax</f>
        <v>29.590270120543</v>
      </c>
      <c r="K2270" s="38" t="n">
        <f aca="false">Sens!$K$2269*tax</f>
        <v>32.688709352951</v>
      </c>
      <c r="L2270" s="38" t="n">
        <f aca="false">Sens!$L$2269*tax</f>
        <v>36.3896192674165</v>
      </c>
      <c r="M2270" s="38" t="n">
        <f aca="false">Sens!$M$2269*tax</f>
        <v>40.4429012247691</v>
      </c>
      <c r="N2270" s="38" t="n">
        <f aca="false">Q!$N$37</f>
        <v>7.231</v>
      </c>
      <c r="O2270" s="38" t="n">
        <f aca="false">Q!$O$37</f>
        <v>11.856</v>
      </c>
    </row>
    <row r="2271" customFormat="false" ht="15" hidden="false" customHeight="false" outlineLevel="0" collapsed="false">
      <c r="A2271" s="3" t="s">
        <v>509</v>
      </c>
      <c r="B2271" s="8" t="s">
        <v>73</v>
      </c>
      <c r="C2271" s="38" t="n">
        <f aca="false">Q!$D$38</f>
        <v>59.248</v>
      </c>
      <c r="D2271" s="38" t="n">
        <f aca="false">Q!$E$38</f>
        <v>77.67</v>
      </c>
      <c r="E2271" s="38" t="n">
        <f aca="false">Q!$P$38</f>
        <v>92.902</v>
      </c>
      <c r="F2271" s="38" t="n">
        <f aca="false">Sens!$F$2269-Sens!$F$2270</f>
        <v>48.3352444313661</v>
      </c>
      <c r="G2271" s="38" t="n">
        <f aca="false">Sens!$E$2271+Sens!$F$2271</f>
        <v>141.237244431366</v>
      </c>
      <c r="H2271" s="38" t="n">
        <f aca="false">Sens!$H$2269-Sens!$H$2270</f>
        <v>106.233929966483</v>
      </c>
      <c r="I2271" s="38" t="n">
        <f aca="false">Sens!$I$2269-Sens!$I$2270</f>
        <v>124.041472114415</v>
      </c>
      <c r="J2271" s="38" t="n">
        <f aca="false">Sens!$J$2269-Sens!$J$2270</f>
        <v>140.875788672504</v>
      </c>
      <c r="K2271" s="38" t="n">
        <f aca="false">Sens!$K$2269-Sens!$K$2270</f>
        <v>155.627092690384</v>
      </c>
      <c r="L2271" s="38" t="n">
        <f aca="false">Sens!$L$2269-Sens!$L$2270</f>
        <v>173.246688621151</v>
      </c>
      <c r="M2271" s="38" t="n">
        <f aca="false">Sens!$M$2269-Sens!$M$2270</f>
        <v>192.543886319175</v>
      </c>
      <c r="N2271" s="38" t="n">
        <f aca="false">Q!$N$38</f>
        <v>35.291</v>
      </c>
      <c r="O2271" s="38" t="n">
        <f aca="false">Q!$O$38</f>
        <v>42.379</v>
      </c>
    </row>
    <row r="2272" customFormat="false" ht="17.15" hidden="false" customHeight="false" outlineLevel="0" collapsed="false">
      <c r="A2272" s="5" t="s">
        <v>512</v>
      </c>
      <c r="B2272" s="5" t="s">
        <v>33</v>
      </c>
      <c r="C2272" s="22" t="n">
        <f aca="false">Q!$D$41</f>
        <v>10.721</v>
      </c>
      <c r="D2272" s="22" t="n">
        <f aca="false">Q!$E$41</f>
        <v>10.827</v>
      </c>
      <c r="E2272" s="22" t="n">
        <f aca="false">(Q!$L$41+Q!$M$41)/2</f>
        <v>10.8885</v>
      </c>
      <c r="F2272" s="22" t="n">
        <f aca="false">Sens!$G$2272</f>
        <v>10.924806</v>
      </c>
      <c r="G2272" s="22" t="n">
        <f aca="false">Q!$M$41*(1+sh_g*0.25)</f>
        <v>10.924806</v>
      </c>
      <c r="H2272" s="22" t="n">
        <f aca="false">Sens!$G$2272*(1+sh_g)</f>
        <v>11.012204448</v>
      </c>
      <c r="I2272" s="22" t="n">
        <f aca="false">Sens!$H$2272*(1+sh_g)</f>
        <v>11.100302083584</v>
      </c>
      <c r="J2272" s="22" t="n">
        <f aca="false">Sens!$I$2272*(1+sh_g)</f>
        <v>11.1891045002527</v>
      </c>
      <c r="K2272" s="22" t="n">
        <f aca="false">Sens!$J$2272*(1+sh_g)</f>
        <v>11.2786173362547</v>
      </c>
      <c r="L2272" s="22" t="n">
        <f aca="false">Sens!$K$2272*(1+sh_g)</f>
        <v>11.3688462749447</v>
      </c>
      <c r="M2272" s="22" t="n">
        <f aca="false">Sens!$L$2272*(1+sh_g)</f>
        <v>11.4597970451443</v>
      </c>
      <c r="P2272" s="5" t="s">
        <v>705</v>
      </c>
    </row>
    <row r="2273" customFormat="false" ht="17.15" hidden="false" customHeight="false" outlineLevel="0" collapsed="false">
      <c r="A2273" s="42" t="s">
        <v>706</v>
      </c>
      <c r="B2273" s="13" t="s">
        <v>27</v>
      </c>
      <c r="C2273" s="43" t="n">
        <f aca="false">Sens!$C$2271/Sens!$C$2272</f>
        <v>5.52635015390355</v>
      </c>
      <c r="D2273" s="43" t="n">
        <f aca="false">Sens!$D$2271/Sens!$D$2272</f>
        <v>7.1737323358271</v>
      </c>
      <c r="E2273" s="43" t="n">
        <f aca="false">Sens!$E$2271/Sens!$E$2272</f>
        <v>8.53212104513937</v>
      </c>
      <c r="F2273" s="13"/>
      <c r="G2273" s="43" t="n">
        <f aca="false">Sens!$G$2271/Sens!$G$2272</f>
        <v>12.9281237974721</v>
      </c>
      <c r="H2273" s="43" t="n">
        <f aca="false">Sens!$H$2271/Sens!$H$2272</f>
        <v>9.64692677729729</v>
      </c>
      <c r="I2273" s="43" t="n">
        <f aca="false">Sens!$I$2271/Sens!$I$2272</f>
        <v>11.1746032838023</v>
      </c>
      <c r="J2273" s="43" t="n">
        <f aca="false">Sens!$J$2271/Sens!$J$2272</f>
        <v>12.5904435577774</v>
      </c>
      <c r="K2273" s="43" t="n">
        <f aca="false">Sens!$K$2271/Sens!$K$2272</f>
        <v>13.7984194383585</v>
      </c>
      <c r="L2273" s="43" t="n">
        <f aca="false">Sens!$L$2271/Sens!$L$2272</f>
        <v>15.2387220683035</v>
      </c>
      <c r="M2273" s="43" t="n">
        <f aca="false">Sens!$M$2271/Sens!$M$2272</f>
        <v>16.8016837960284</v>
      </c>
      <c r="N2273" s="13"/>
      <c r="O2273" s="13"/>
    </row>
    <row r="2274" customFormat="false" ht="17.15" hidden="false" customHeight="false" outlineLevel="0" collapsed="false">
      <c r="A2274" s="0" t="s">
        <v>707</v>
      </c>
      <c r="B2274" s="0" t="s">
        <v>27</v>
      </c>
      <c r="C2274" s="30" t="n">
        <f aca="false">(Sens!$C$2271-Sens!$C$2268*(1-tax))/Sens!$C$2272</f>
        <v>5.33926775917445</v>
      </c>
      <c r="D2274" s="30" t="n">
        <f aca="false">(Sens!$D$2271-Sens!$D$2268*(1-tax))/Sens!$D$2272</f>
        <v>5.67691812755503</v>
      </c>
      <c r="E2274" s="30" t="n">
        <f aca="false">(Sens!$E$2271-Sens!$E$2268*(1-tax))/Sens!$E$2272</f>
        <v>3.10602057006846</v>
      </c>
      <c r="G2274" s="30" t="n">
        <f aca="false">(Sens!$G$2271-Sens!$G$2268*(1-tax))/Sens!$G$2272</f>
        <v>7.52005567957513</v>
      </c>
      <c r="H2274" s="30" t="n">
        <f aca="false">(Sens!$H$2271-Sens!$H$2268*(1-tax))/Sens!$H$2272</f>
        <v>9.64692677729729</v>
      </c>
      <c r="I2274" s="30" t="n">
        <f aca="false">(Sens!$I$2271-Sens!$I$2268*(1-tax))/Sens!$I$2272</f>
        <v>11.1746032838023</v>
      </c>
      <c r="J2274" s="30" t="n">
        <f aca="false">(Sens!$J$2271-Sens!$J$2268*(1-tax))/Sens!$J$2272</f>
        <v>12.5904435577774</v>
      </c>
      <c r="K2274" s="30" t="n">
        <f aca="false">(Sens!$K$2271-Sens!$K$2268*(1-tax))/Sens!$K$2272</f>
        <v>13.7984194383585</v>
      </c>
      <c r="L2274" s="30" t="n">
        <f aca="false">(Sens!$L$2271-Sens!$L$2268*(1-tax))/Sens!$L$2272</f>
        <v>15.2387220683035</v>
      </c>
      <c r="M2274" s="30" t="n">
        <f aca="false">(Sens!$M$2271-Sens!$M$2268*(1-tax))/Sens!$M$2272</f>
        <v>16.8016837960284</v>
      </c>
      <c r="P2274" s="5" t="s">
        <v>708</v>
      </c>
    </row>
    <row r="2275" customFormat="false" ht="17.15" hidden="false" customHeight="false" outlineLevel="0" collapsed="false">
      <c r="A2275" s="0" t="s">
        <v>709</v>
      </c>
      <c r="B2275" s="0" t="s">
        <v>52</v>
      </c>
      <c r="H2275" s="12" t="n">
        <f aca="false">Sens!$H$2273/Sens!$G$2273-1</f>
        <v>-0.253803032178297</v>
      </c>
      <c r="I2275" s="12" t="n">
        <f aca="false">Sens!$I$2273/Sens!$H$2273-1</f>
        <v>0.158358878612016</v>
      </c>
      <c r="J2275" s="12" t="n">
        <f aca="false">Sens!$J$2273/Sens!$I$2273-1</f>
        <v>0.126701614188605</v>
      </c>
      <c r="K2275" s="12" t="n">
        <f aca="false">Sens!$K$2273/Sens!$J$2273-1</f>
        <v>0.0959438700501478</v>
      </c>
      <c r="L2275" s="12" t="n">
        <f aca="false">Sens!$L$2273/Sens!$K$2273-1</f>
        <v>0.104381710990835</v>
      </c>
      <c r="M2275" s="12" t="n">
        <f aca="false">Sens!$M$2273/Sens!$L$2273-1</f>
        <v>0.102565144289616</v>
      </c>
    </row>
    <row r="2278" customFormat="false" ht="19.4" hidden="false" customHeight="false" outlineLevel="0" collapsed="false">
      <c r="A2278" s="31" t="s">
        <v>1093</v>
      </c>
    </row>
    <row r="2279" customFormat="false" ht="17.15" hidden="false" customHeight="false" outlineLevel="0" collapsed="false">
      <c r="A2279" s="6" t="s">
        <v>16</v>
      </c>
      <c r="B2279" s="6" t="s">
        <v>17</v>
      </c>
      <c r="C2279" s="20" t="s">
        <v>457</v>
      </c>
      <c r="D2279" s="20" t="s">
        <v>458</v>
      </c>
      <c r="E2279" s="20" t="s">
        <v>540</v>
      </c>
      <c r="F2279" s="20" t="s">
        <v>541</v>
      </c>
      <c r="G2279" s="20" t="s">
        <v>542</v>
      </c>
      <c r="H2279" s="20" t="s">
        <v>543</v>
      </c>
      <c r="I2279" s="20" t="s">
        <v>544</v>
      </c>
      <c r="J2279" s="20" t="s">
        <v>545</v>
      </c>
      <c r="K2279" s="20" t="s">
        <v>546</v>
      </c>
      <c r="L2279" s="20" t="s">
        <v>547</v>
      </c>
      <c r="M2279" s="20" t="s">
        <v>548</v>
      </c>
      <c r="N2279" s="20" t="s">
        <v>549</v>
      </c>
      <c r="O2279" s="20" t="s">
        <v>550</v>
      </c>
      <c r="P2279" s="6" t="s">
        <v>23</v>
      </c>
      <c r="R2279" s="20" t="n">
        <v>2023</v>
      </c>
      <c r="S2279" s="20" t="n">
        <v>2024</v>
      </c>
      <c r="T2279" s="20" t="n">
        <v>2025</v>
      </c>
      <c r="U2279" s="20" t="n">
        <v>2026</v>
      </c>
      <c r="V2279" s="20" t="n">
        <v>2027</v>
      </c>
      <c r="W2279" s="20" t="n">
        <v>2028</v>
      </c>
      <c r="X2279" s="20" t="n">
        <v>2029</v>
      </c>
      <c r="Y2279" s="20" t="n">
        <v>2030</v>
      </c>
      <c r="Z2279" s="20" t="n">
        <v>2031</v>
      </c>
      <c r="AA2279" s="20" t="n">
        <v>2032</v>
      </c>
    </row>
    <row r="2280" customFormat="false" ht="15" hidden="false" customHeight="false" outlineLevel="0" collapsed="false">
      <c r="A2280" s="5" t="s">
        <v>509</v>
      </c>
      <c r="B2280" s="0" t="s">
        <v>73</v>
      </c>
      <c r="C2280" s="38" t="n">
        <f aca="false">Sens!$C$2271</f>
        <v>59.248</v>
      </c>
      <c r="D2280" s="38" t="n">
        <f aca="false">Sens!$D$2271</f>
        <v>77.67</v>
      </c>
      <c r="E2280" s="38" t="n">
        <f aca="false">Sens!$E$2271</f>
        <v>92.902</v>
      </c>
      <c r="F2280" s="38" t="n">
        <f aca="false">Sens!$F$2271</f>
        <v>48.3352444313661</v>
      </c>
      <c r="G2280" s="38" t="n">
        <f aca="false">Sens!$G$2271</f>
        <v>141.237244431366</v>
      </c>
      <c r="H2280" s="38" t="n">
        <f aca="false">Sens!$H$2271</f>
        <v>106.233929966483</v>
      </c>
      <c r="I2280" s="38" t="n">
        <f aca="false">Sens!$I$2271</f>
        <v>124.041472114415</v>
      </c>
      <c r="J2280" s="38" t="n">
        <f aca="false">Sens!$J$2271</f>
        <v>140.875788672504</v>
      </c>
      <c r="K2280" s="38" t="n">
        <f aca="false">Sens!$K$2271</f>
        <v>155.627092690384</v>
      </c>
      <c r="L2280" s="38" t="n">
        <f aca="false">Sens!$L$2271</f>
        <v>173.246688621151</v>
      </c>
      <c r="M2280" s="38" t="n">
        <f aca="false">Sens!$M$2271</f>
        <v>192.543886319175</v>
      </c>
    </row>
    <row r="2281" customFormat="false" ht="17.15" hidden="false" customHeight="false" outlineLevel="0" collapsed="false">
      <c r="A2281" s="5" t="s">
        <v>731</v>
      </c>
      <c r="B2281" s="0" t="s">
        <v>73</v>
      </c>
      <c r="C2281" s="38" t="n">
        <f aca="false">Sens!$C$2259</f>
        <v>32.067</v>
      </c>
      <c r="D2281" s="38" t="n">
        <f aca="false">Sens!$D$2259</f>
        <v>41.86</v>
      </c>
      <c r="E2281" s="38" t="n">
        <f aca="false">Sens!$E$2259</f>
        <v>26.703</v>
      </c>
      <c r="F2281" s="38" t="n">
        <f aca="false">Sens!$F$2259</f>
        <v>30.6103857251209</v>
      </c>
      <c r="G2281" s="38" t="n">
        <f aca="false">Sens!$G$2259</f>
        <v>57.3133857251209</v>
      </c>
      <c r="H2281" s="38" t="n">
        <f aca="false">Sens!$H$2259</f>
        <v>85.8422390314</v>
      </c>
      <c r="I2281" s="38" t="n">
        <f aca="false">Sens!$I$2259</f>
        <v>116.791244946179</v>
      </c>
      <c r="J2281" s="38" t="n">
        <f aca="false">Sens!$J$2259</f>
        <v>147.969195836287</v>
      </c>
      <c r="K2281" s="38" t="n">
        <f aca="false">Sens!$K$2259</f>
        <v>178.403735052191</v>
      </c>
      <c r="L2281" s="38" t="n">
        <f aca="false">Sens!$L$2259</f>
        <v>207.059318879471</v>
      </c>
      <c r="M2281" s="38" t="n">
        <f aca="false">Sens!$M$2259</f>
        <v>235.977152126917</v>
      </c>
    </row>
    <row r="2282" customFormat="false" ht="15" hidden="false" customHeight="false" outlineLevel="0" collapsed="false">
      <c r="A2282" s="5" t="s">
        <v>732</v>
      </c>
      <c r="B2282" s="0" t="s">
        <v>73</v>
      </c>
      <c r="C2282" s="38" t="n">
        <f aca="false">Q!$D$48</f>
        <v>22.011</v>
      </c>
      <c r="D2282" s="38" t="n">
        <f aca="false">Q!$E$48</f>
        <v>19.467</v>
      </c>
      <c r="E2282" s="38" t="n">
        <f aca="false">Q!$P$48</f>
        <v>10.07</v>
      </c>
      <c r="F2282" s="38" t="n">
        <f aca="false">sbc_r*Sens!$F$2203</f>
        <v>11.1987489069097</v>
      </c>
      <c r="G2282" s="38" t="n">
        <f aca="false">Sens!$E$2282+Sens!$F$2282</f>
        <v>21.2687489069097</v>
      </c>
      <c r="H2282" s="38" t="n">
        <f aca="false">sbc_r*Sens!$H$2203</f>
        <v>24.0306590874606</v>
      </c>
      <c r="I2282" s="38" t="n">
        <f aca="false">sbc_r*Sens!$I$2203</f>
        <v>27.3563677520553</v>
      </c>
      <c r="J2282" s="38" t="n">
        <f aca="false">sbc_r*Sens!$J$2203</f>
        <v>30.4644800831868</v>
      </c>
      <c r="K2282" s="38" t="n">
        <f aca="false">sbc_r*Sens!$K$2203</f>
        <v>33.2140931598992</v>
      </c>
      <c r="L2282" s="38" t="n">
        <f aca="false">sbc_r*Sens!$L$2203</f>
        <v>36.0993520397885</v>
      </c>
      <c r="M2282" s="38" t="n">
        <f aca="false">sbc_r*Sens!$M$2203</f>
        <v>39.1302807262483</v>
      </c>
    </row>
    <row r="2283" customFormat="false" ht="17.15" hidden="false" customHeight="false" outlineLevel="0" collapsed="false">
      <c r="A2283" s="5" t="s">
        <v>733</v>
      </c>
      <c r="B2283" s="0" t="s">
        <v>73</v>
      </c>
      <c r="C2283" s="38" t="n">
        <f aca="false">Q!$D$44-Sens!$C$2280-Sens!$C$2281-Sens!$C$2282</f>
        <v>2.551</v>
      </c>
      <c r="D2283" s="38" t="n">
        <f aca="false">Q!$E$44-Sens!$D$2280-Sens!$D$2281-Sens!$D$2282</f>
        <v>0.51700000000001</v>
      </c>
      <c r="E2283" s="38" t="n">
        <f aca="false">Q!$P$44-Sens!$E$2280-Sens!$E$2281-Sens!$E$2282</f>
        <v>-58.256</v>
      </c>
      <c r="F2283" s="38" t="n">
        <f aca="false">wc_2h26+oth_r*Sens!$F$2203</f>
        <v>7.33717342621093</v>
      </c>
      <c r="G2283" s="38" t="n">
        <f aca="false">Sens!$E$2283+Sens!$F$2283</f>
        <v>-50.9188265737891</v>
      </c>
      <c r="H2283" s="38" t="n">
        <f aca="false">oth_r*Sens!$H$2203</f>
        <v>11.5664188119839</v>
      </c>
      <c r="I2283" s="38" t="n">
        <f aca="false">oth_r*Sens!$I$2203</f>
        <v>13.1671464125606</v>
      </c>
      <c r="J2283" s="38" t="n">
        <f aca="false">oth_r*Sens!$J$2203</f>
        <v>14.6631407090847</v>
      </c>
      <c r="K2283" s="38" t="n">
        <f aca="false">oth_r*Sens!$K$2203</f>
        <v>15.9865824133016</v>
      </c>
      <c r="L2283" s="38" t="n">
        <f aca="false">oth_r*Sens!$L$2203</f>
        <v>17.3753130537862</v>
      </c>
      <c r="M2283" s="38" t="n">
        <f aca="false">oth_r*Sens!$M$2203</f>
        <v>18.834157376335</v>
      </c>
      <c r="P2283" s="8" t="s">
        <v>734</v>
      </c>
    </row>
    <row r="2284" customFormat="false" ht="15" hidden="false" customHeight="false" outlineLevel="0" collapsed="false">
      <c r="A2284" s="3" t="s">
        <v>515</v>
      </c>
      <c r="B2284" s="8" t="s">
        <v>73</v>
      </c>
      <c r="C2284" s="38" t="n">
        <f aca="false">Q!$D$44</f>
        <v>115.877</v>
      </c>
      <c r="D2284" s="38" t="n">
        <f aca="false">Q!$E$44</f>
        <v>139.514</v>
      </c>
      <c r="E2284" s="38" t="n">
        <f aca="false">Q!$P$44</f>
        <v>71.419</v>
      </c>
      <c r="F2284" s="38" t="n">
        <f aca="false">Sens!$F$2280+Sens!$F$2281+Sens!$F$2282+Sens!$F$2283</f>
        <v>97.4815524896076</v>
      </c>
      <c r="G2284" s="38" t="n">
        <f aca="false">Sens!$E$2284+Sens!$F$2284</f>
        <v>168.900552489608</v>
      </c>
      <c r="H2284" s="38" t="n">
        <f aca="false">Sens!$H$2280+Sens!$H$2281+Sens!$H$2282+Sens!$H$2283</f>
        <v>227.673246897328</v>
      </c>
      <c r="I2284" s="38" t="n">
        <f aca="false">Sens!$I$2280+Sens!$I$2281+Sens!$I$2282+Sens!$I$2283</f>
        <v>281.35623122521</v>
      </c>
      <c r="J2284" s="38" t="n">
        <f aca="false">Sens!$J$2280+Sens!$J$2281+Sens!$J$2282+Sens!$J$2283</f>
        <v>333.972605301062</v>
      </c>
      <c r="K2284" s="38" t="n">
        <f aca="false">Sens!$K$2280+Sens!$K$2281+Sens!$K$2282+Sens!$K$2283</f>
        <v>383.231503315775</v>
      </c>
      <c r="L2284" s="38" t="n">
        <f aca="false">Sens!$L$2280+Sens!$L$2281+Sens!$L$2282+Sens!$L$2283</f>
        <v>433.780672594196</v>
      </c>
      <c r="M2284" s="38" t="n">
        <f aca="false">Sens!$M$2280+Sens!$M$2281+Sens!$M$2282+Sens!$M$2283</f>
        <v>486.485476548676</v>
      </c>
    </row>
    <row r="2285" customFormat="false" ht="17.15" hidden="false" customHeight="false" outlineLevel="0" collapsed="false">
      <c r="A2285" s="5" t="s">
        <v>735</v>
      </c>
      <c r="B2285" s="0" t="s">
        <v>73</v>
      </c>
      <c r="C2285" s="38" t="n">
        <f aca="false">Sens!$C$2172</f>
        <v>25.2781053077374</v>
      </c>
      <c r="D2285" s="38" t="n">
        <f aca="false">Sens!$D$2172</f>
        <v>69.5686316310026</v>
      </c>
      <c r="E2285" s="38" t="n">
        <f aca="false">Sens!$E$2172</f>
        <v>64.1899206485108</v>
      </c>
      <c r="F2285" s="38" t="n">
        <f aca="false">Sens!$F$2172</f>
        <v>86.8854234933474</v>
      </c>
      <c r="G2285" s="38" t="n">
        <f aca="false">Sens!$G$2172</f>
        <v>151.075344141858</v>
      </c>
      <c r="H2285" s="38" t="n">
        <f aca="false">Sens!$H$2172</f>
        <v>176.6039130979</v>
      </c>
      <c r="I2285" s="38" t="n">
        <f aca="false">Sens!$I$2172</f>
        <v>182.67901806365</v>
      </c>
      <c r="J2285" s="38" t="n">
        <f aca="false">Sens!$J$2172</f>
        <v>187.19044872365</v>
      </c>
      <c r="K2285" s="38" t="n">
        <f aca="false">Sens!$K$2172</f>
        <v>191.70187938365</v>
      </c>
      <c r="L2285" s="38" t="n">
        <f aca="false">Sens!$L$2172</f>
        <v>223.28189400365</v>
      </c>
      <c r="M2285" s="38" t="n">
        <f aca="false">Sens!$M$2172</f>
        <v>275.056200115475</v>
      </c>
    </row>
    <row r="2286" customFormat="false" ht="17.15" hidden="false" customHeight="false" outlineLevel="0" collapsed="false">
      <c r="A2286" s="5" t="s">
        <v>736</v>
      </c>
      <c r="B2286" s="0" t="s">
        <v>73</v>
      </c>
      <c r="C2286" s="38" t="n">
        <f aca="false">cx_awso*Sens!$C$2201</f>
        <v>21.0469989286053</v>
      </c>
      <c r="D2286" s="38" t="n">
        <f aca="false">cx_awso*Sens!$D$2201</f>
        <v>24.0042459822698</v>
      </c>
      <c r="E2286" s="38" t="n">
        <f aca="false">cx_awso*Sens!$E$2201</f>
        <v>14.261729404886</v>
      </c>
      <c r="F2286" s="38" t="n">
        <f aca="false">cx_awso*Sens!$F$2201</f>
        <v>15.7190020837331</v>
      </c>
      <c r="G2286" s="38" t="n">
        <f aca="false">Sens!$E$2286+Sens!$F$2286</f>
        <v>29.9807314886191</v>
      </c>
      <c r="H2286" s="38" t="n">
        <f aca="false">cx_awso*Sens!$H$2201</f>
        <v>36.1787121536283</v>
      </c>
      <c r="I2286" s="38" t="n">
        <f aca="false">cx_awso*Sens!$I$2201</f>
        <v>42.1296794430021</v>
      </c>
      <c r="J2286" s="38" t="n">
        <f aca="false">cx_awso*Sens!$J$2201</f>
        <v>47.279781889299</v>
      </c>
      <c r="K2286" s="38" t="n">
        <f aca="false">cx_awso*Sens!$K$2201</f>
        <v>51.0621644404429</v>
      </c>
      <c r="L2286" s="38" t="n">
        <f aca="false">cx_awso*Sens!$L$2201</f>
        <v>55.1471375956783</v>
      </c>
      <c r="M2286" s="38" t="n">
        <f aca="false">cx_awso*Sens!$M$2201</f>
        <v>59.5589086033326</v>
      </c>
    </row>
    <row r="2287" customFormat="false" ht="17.15" hidden="false" customHeight="false" outlineLevel="0" collapsed="false">
      <c r="A2287" s="5" t="s">
        <v>737</v>
      </c>
      <c r="B2287" s="0" t="s">
        <v>73</v>
      </c>
      <c r="C2287" s="38" t="n">
        <f aca="false">Q!$D$46-Sens!$C$2285-Sens!$C$2286</f>
        <v>31.3328957636573</v>
      </c>
      <c r="D2287" s="38" t="n">
        <f aca="false">Q!$E$46-Sens!$D$2285-Sens!$D$2286</f>
        <v>34.7471223867276</v>
      </c>
      <c r="E2287" s="38" t="n">
        <f aca="false">Q!$P$46-Sens!$E$2285-Sens!$E$2286</f>
        <v>17.8583499466032</v>
      </c>
      <c r="F2287" s="38" t="n">
        <f aca="false">cx_rt*Sens!$F$2136</f>
        <v>21.0855744229195</v>
      </c>
      <c r="G2287" s="38" t="n">
        <f aca="false">Sens!$E$2287+Sens!$F$2287</f>
        <v>38.9439243695228</v>
      </c>
      <c r="H2287" s="38" t="n">
        <f aca="false">cx_rt*Sens!$H$2136</f>
        <v>43.1200434029767</v>
      </c>
      <c r="I2287" s="38" t="n">
        <f aca="false">cx_rt*Sens!$I$2136</f>
        <v>47.1583152318763</v>
      </c>
      <c r="J2287" s="38" t="n">
        <f aca="false">cx_rt*Sens!$J$2136</f>
        <v>50.9060281137911</v>
      </c>
      <c r="K2287" s="38" t="n">
        <f aca="false">cx_rt*Sens!$K$2136</f>
        <v>54.2035645673053</v>
      </c>
      <c r="L2287" s="38" t="n">
        <f aca="false">cx_rt*Sens!$L$2136</f>
        <v>57.7318979121519</v>
      </c>
      <c r="M2287" s="38" t="n">
        <f aca="false">cx_rt*Sens!$M$2136</f>
        <v>61.5084196557756</v>
      </c>
    </row>
    <row r="2288" customFormat="false" ht="15" hidden="false" customHeight="false" outlineLevel="0" collapsed="false">
      <c r="A2288" s="3" t="s">
        <v>738</v>
      </c>
      <c r="B2288" s="8" t="s">
        <v>73</v>
      </c>
      <c r="C2288" s="38" t="n">
        <f aca="false">Q!$D$46</f>
        <v>77.658</v>
      </c>
      <c r="D2288" s="38" t="n">
        <f aca="false">Q!$E$46</f>
        <v>128.32</v>
      </c>
      <c r="E2288" s="38" t="n">
        <f aca="false">Q!$P$46</f>
        <v>96.31</v>
      </c>
      <c r="F2288" s="38" t="n">
        <f aca="false">Sens!$F$2285+Sens!$F$2286+Sens!$F$2287</f>
        <v>123.69</v>
      </c>
      <c r="G2288" s="38" t="n">
        <f aca="false">Sens!$E$2288+Sens!$F$2288</f>
        <v>220</v>
      </c>
      <c r="H2288" s="38" t="n">
        <f aca="false">Sens!$H$2285+Sens!$H$2286+Sens!$H$2287</f>
        <v>255.902668654505</v>
      </c>
      <c r="I2288" s="38" t="n">
        <f aca="false">Sens!$I$2285+Sens!$I$2286+Sens!$I$2287</f>
        <v>271.967012738528</v>
      </c>
      <c r="J2288" s="38" t="n">
        <f aca="false">Sens!$J$2285+Sens!$J$2286+Sens!$J$2287</f>
        <v>285.37625872674</v>
      </c>
      <c r="K2288" s="38" t="n">
        <f aca="false">Sens!$K$2285+Sens!$K$2286+Sens!$K$2287</f>
        <v>296.967608391398</v>
      </c>
      <c r="L2288" s="38" t="n">
        <f aca="false">Sens!$L$2285+Sens!$L$2286+Sens!$L$2287</f>
        <v>336.16092951148</v>
      </c>
      <c r="M2288" s="38" t="n">
        <f aca="false">Sens!$M$2285+Sens!$M$2286+Sens!$M$2287</f>
        <v>396.123528374583</v>
      </c>
    </row>
    <row r="2289" customFormat="false" ht="17.15" hidden="false" customHeight="false" outlineLevel="0" collapsed="false">
      <c r="A2289" s="5" t="s">
        <v>523</v>
      </c>
      <c r="B2289" s="0" t="s">
        <v>73</v>
      </c>
      <c r="C2289" s="38" t="n">
        <f aca="false">Q!$D$50</f>
        <v>2.043</v>
      </c>
      <c r="D2289" s="38" t="n">
        <f aca="false">Q!$E$50</f>
        <v>1.557</v>
      </c>
      <c r="E2289" s="38" t="n">
        <f aca="false">lease_pr/2</f>
        <v>0.8</v>
      </c>
      <c r="F2289" s="38" t="n">
        <f aca="false">lease_pr/2</f>
        <v>0.8</v>
      </c>
      <c r="G2289" s="38" t="n">
        <f aca="false">Sens!$E$2289+Sens!$F$2289</f>
        <v>1.6</v>
      </c>
      <c r="H2289" s="38" t="n">
        <f aca="false">lease_pr</f>
        <v>1.6</v>
      </c>
      <c r="I2289" s="38" t="n">
        <f aca="false">lease_pr</f>
        <v>1.6</v>
      </c>
      <c r="J2289" s="38" t="n">
        <f aca="false">lease_pr</f>
        <v>1.6</v>
      </c>
      <c r="K2289" s="38" t="n">
        <f aca="false">lease_pr</f>
        <v>1.6</v>
      </c>
      <c r="L2289" s="38" t="n">
        <f aca="false">lease_pr</f>
        <v>1.6</v>
      </c>
      <c r="M2289" s="38" t="n">
        <f aca="false">lease_pr</f>
        <v>1.6</v>
      </c>
      <c r="P2289" s="8" t="s">
        <v>739</v>
      </c>
    </row>
    <row r="2290" customFormat="false" ht="15" hidden="false" customHeight="false" outlineLevel="0" collapsed="false">
      <c r="A2290" s="46" t="s">
        <v>740</v>
      </c>
      <c r="B2290" s="13" t="s">
        <v>73</v>
      </c>
      <c r="C2290" s="47" t="n">
        <f aca="false">Sens!$C$2284-Sens!$C$2288-Sens!$C$2289</f>
        <v>36.176</v>
      </c>
      <c r="D2290" s="47" t="n">
        <f aca="false">Sens!$D$2284-Sens!$D$2288-Sens!$D$2289</f>
        <v>9.63700000000002</v>
      </c>
      <c r="E2290" s="47" t="n">
        <f aca="false">Sens!$E$2284-Sens!$E$2288-Sens!$E$2289</f>
        <v>-25.691</v>
      </c>
      <c r="F2290" s="47" t="n">
        <f aca="false">Sens!$F$2284-Sens!$F$2288-Sens!$F$2289</f>
        <v>-27.0084475103924</v>
      </c>
      <c r="G2290" s="47" t="n">
        <f aca="false">Sens!$G$2284-Sens!$G$2288-Sens!$G$2289</f>
        <v>-52.6994475103924</v>
      </c>
      <c r="H2290" s="47" t="n">
        <f aca="false">Sens!$H$2284-Sens!$H$2288-Sens!$H$2289</f>
        <v>-29.8294217571771</v>
      </c>
      <c r="I2290" s="47" t="n">
        <f aca="false">Sens!$I$2284-Sens!$I$2288-Sens!$I$2289</f>
        <v>7.78921848668207</v>
      </c>
      <c r="J2290" s="47" t="n">
        <f aca="false">Sens!$J$2284-Sens!$J$2288-Sens!$J$2289</f>
        <v>46.9963465743225</v>
      </c>
      <c r="K2290" s="47" t="n">
        <f aca="false">Sens!$K$2284-Sens!$K$2288-Sens!$K$2289</f>
        <v>84.6638949243767</v>
      </c>
      <c r="L2290" s="47" t="n">
        <f aca="false">Sens!$L$2284-Sens!$L$2288-Sens!$L$2289</f>
        <v>96.0197430827157</v>
      </c>
      <c r="M2290" s="47" t="n">
        <f aca="false">Sens!$M$2284-Sens!$M$2288-Sens!$M$2289</f>
        <v>88.7619481740926</v>
      </c>
      <c r="N2290" s="13"/>
      <c r="O2290" s="13"/>
    </row>
    <row r="2291" customFormat="false" ht="17.15" hidden="false" customHeight="false" outlineLevel="0" collapsed="false">
      <c r="A2291" s="5" t="s">
        <v>741</v>
      </c>
      <c r="B2291" s="0" t="s">
        <v>73</v>
      </c>
      <c r="C2291" s="38" t="n">
        <f aca="false">dps*Sens!$C$2272</f>
        <v>0</v>
      </c>
      <c r="D2291" s="38" t="n">
        <f aca="false">dps*Sens!$D$2272</f>
        <v>0</v>
      </c>
      <c r="E2291" s="38" t="n">
        <f aca="false">dps*Sens!$E$2272</f>
        <v>0</v>
      </c>
      <c r="F2291" s="38" t="n">
        <f aca="false">0</f>
        <v>0</v>
      </c>
      <c r="G2291" s="38" t="n">
        <f aca="false">dps*Sens!$G$2272</f>
        <v>0</v>
      </c>
      <c r="H2291" s="38" t="n">
        <f aca="false">dps*Sens!$H$2272</f>
        <v>0</v>
      </c>
      <c r="I2291" s="38" t="n">
        <f aca="false">dps*Sens!$I$2272</f>
        <v>0</v>
      </c>
      <c r="J2291" s="38" t="n">
        <f aca="false">dps*Sens!$J$2272</f>
        <v>0</v>
      </c>
      <c r="K2291" s="38" t="n">
        <f aca="false">dps*Sens!$K$2272</f>
        <v>0</v>
      </c>
      <c r="L2291" s="38" t="n">
        <f aca="false">dps*Sens!$L$2272</f>
        <v>0</v>
      </c>
      <c r="M2291" s="38" t="n">
        <f aca="false">dps*Sens!$M$2272</f>
        <v>0</v>
      </c>
      <c r="P2291" s="8" t="s">
        <v>742</v>
      </c>
    </row>
    <row r="2292" customFormat="false" ht="17.15" hidden="false" customHeight="false" outlineLevel="0" collapsed="false">
      <c r="A2292" s="5" t="s">
        <v>743</v>
      </c>
      <c r="B2292" s="0" t="s">
        <v>73</v>
      </c>
      <c r="C2292" s="38" t="n">
        <f aca="false">0</f>
        <v>0</v>
      </c>
      <c r="D2292" s="38" t="n">
        <f aca="false">0</f>
        <v>0</v>
      </c>
      <c r="E2292" s="38" t="n">
        <f aca="false">0</f>
        <v>0</v>
      </c>
      <c r="F2292" s="38" t="n">
        <f aca="false">0</f>
        <v>0</v>
      </c>
      <c r="G2292" s="38" t="n">
        <f aca="false">0</f>
        <v>0</v>
      </c>
      <c r="H2292" s="38" t="n">
        <f aca="false">0</f>
        <v>0</v>
      </c>
      <c r="I2292" s="38" t="n">
        <f aca="false">0</f>
        <v>0</v>
      </c>
      <c r="J2292" s="38" t="n">
        <f aca="false">0</f>
        <v>0</v>
      </c>
      <c r="K2292" s="38" t="n">
        <f aca="false">0</f>
        <v>0</v>
      </c>
      <c r="L2292" s="38" t="n">
        <f aca="false">0</f>
        <v>0</v>
      </c>
      <c r="M2292" s="38" t="n">
        <f aca="false">0</f>
        <v>0</v>
      </c>
      <c r="P2292" s="8" t="s">
        <v>744</v>
      </c>
    </row>
    <row r="2293" customFormat="false" ht="15" hidden="false" customHeight="false" outlineLevel="0" collapsed="false">
      <c r="A2293" s="3" t="s">
        <v>745</v>
      </c>
      <c r="B2293" s="8" t="s">
        <v>73</v>
      </c>
      <c r="C2293" s="38" t="n">
        <f aca="false">Sens!$C$2290-Sens!$C$2291</f>
        <v>36.176</v>
      </c>
      <c r="D2293" s="38" t="n">
        <f aca="false">Sens!$D$2290-Sens!$D$2291</f>
        <v>9.63700000000002</v>
      </c>
      <c r="E2293" s="38" t="n">
        <f aca="false">Sens!$E$2290-Sens!$E$2291</f>
        <v>-25.691</v>
      </c>
      <c r="F2293" s="38" t="n">
        <f aca="false">Sens!$F$2290-Sens!$F$2291</f>
        <v>-27.0084475103924</v>
      </c>
      <c r="G2293" s="38" t="n">
        <f aca="false">Sens!$G$2290-Sens!$G$2291</f>
        <v>-52.6994475103924</v>
      </c>
      <c r="H2293" s="38" t="n">
        <f aca="false">Sens!$H$2290-Sens!$H$2291</f>
        <v>-29.8294217571771</v>
      </c>
      <c r="I2293" s="38" t="n">
        <f aca="false">Sens!$I$2290-Sens!$I$2291</f>
        <v>7.78921848668207</v>
      </c>
      <c r="J2293" s="38" t="n">
        <f aca="false">Sens!$J$2290-Sens!$J$2291</f>
        <v>46.9963465743225</v>
      </c>
      <c r="K2293" s="38" t="n">
        <f aca="false">Sens!$K$2290-Sens!$K$2291</f>
        <v>84.6638949243767</v>
      </c>
      <c r="L2293" s="38" t="n">
        <f aca="false">Sens!$L$2290-Sens!$L$2291</f>
        <v>96.0197430827157</v>
      </c>
      <c r="M2293" s="38" t="n">
        <f aca="false">Sens!$M$2290-Sens!$M$2291</f>
        <v>88.7619481740926</v>
      </c>
    </row>
    <row r="2294" customFormat="false" ht="17.15" hidden="false" customHeight="false" outlineLevel="0" collapsed="false">
      <c r="A2294" s="5" t="s">
        <v>746</v>
      </c>
      <c r="B2294" s="0" t="s">
        <v>73</v>
      </c>
      <c r="E2294" s="38" t="n">
        <f aca="false">Q!$P$53</f>
        <v>39.767</v>
      </c>
      <c r="F2294" s="38" t="n">
        <f aca="false">inv_2h26</f>
        <v>21.3</v>
      </c>
      <c r="G2294" s="38" t="n">
        <f aca="false">Sens!$E$2294+Sens!$F$2294</f>
        <v>61.067</v>
      </c>
      <c r="H2294" s="41" t="n">
        <v>0</v>
      </c>
      <c r="I2294" s="41" t="n">
        <v>0</v>
      </c>
      <c r="J2294" s="41" t="n">
        <v>0</v>
      </c>
      <c r="K2294" s="41" t="n">
        <v>0</v>
      </c>
      <c r="L2294" s="41" t="n">
        <v>0</v>
      </c>
      <c r="M2294" s="41" t="n">
        <v>0</v>
      </c>
    </row>
    <row r="2295" customFormat="false" ht="17.15" hidden="false" customHeight="false" outlineLevel="0" collapsed="false">
      <c r="A2295" s="5" t="s">
        <v>747</v>
      </c>
      <c r="B2295" s="0" t="s">
        <v>73</v>
      </c>
      <c r="F2295" s="38" t="n">
        <f aca="false">iss_2h26</f>
        <v>29.25</v>
      </c>
      <c r="G2295" s="38" t="n">
        <f aca="false">Sens!$F$2295</f>
        <v>29.25</v>
      </c>
      <c r="H2295" s="41" t="n">
        <v>0</v>
      </c>
      <c r="I2295" s="41" t="n">
        <v>0</v>
      </c>
      <c r="J2295" s="41" t="n">
        <v>0</v>
      </c>
      <c r="K2295" s="41" t="n">
        <v>0</v>
      </c>
      <c r="L2295" s="41" t="n">
        <v>0</v>
      </c>
      <c r="M2295" s="41" t="n">
        <v>0</v>
      </c>
    </row>
    <row r="2296" customFormat="false" ht="17.15" hidden="false" customHeight="false" outlineLevel="0" collapsed="false">
      <c r="A2296" s="5" t="s">
        <v>748</v>
      </c>
      <c r="B2296" s="0" t="s">
        <v>73</v>
      </c>
      <c r="F2296" s="38" t="n">
        <f aca="false">cash_q2</f>
        <v>122.988</v>
      </c>
      <c r="G2296" s="38" t="n">
        <f aca="false">cash_q2</f>
        <v>122.988</v>
      </c>
      <c r="H2296" s="38" t="n">
        <f aca="false">Sens!$G$2299</f>
        <v>103.929552489608</v>
      </c>
      <c r="I2296" s="38" t="n">
        <f aca="false">Sens!$H$2299</f>
        <v>74.1001307324306</v>
      </c>
      <c r="J2296" s="38" t="n">
        <f aca="false">Sens!$I$2299</f>
        <v>81.8893492191126</v>
      </c>
      <c r="K2296" s="38" t="n">
        <f aca="false">Sens!$J$2299</f>
        <v>128.885695793435</v>
      </c>
      <c r="L2296" s="38" t="n">
        <f aca="false">Sens!$K$2299</f>
        <v>213.549590717812</v>
      </c>
      <c r="M2296" s="38" t="n">
        <f aca="false">Sens!$L$2299</f>
        <v>309.569333800528</v>
      </c>
    </row>
    <row r="2297" customFormat="false" ht="15" hidden="false" customHeight="false" outlineLevel="0" collapsed="false">
      <c r="A2297" s="5" t="s">
        <v>749</v>
      </c>
      <c r="B2297" s="0" t="s">
        <v>73</v>
      </c>
      <c r="F2297" s="38" t="n">
        <f aca="false">Sens!$F$2296+Sens!$F$2293-Sens!$F$2292-Sens!$F$2294+Sens!$F$2295</f>
        <v>103.929552489608</v>
      </c>
      <c r="H2297" s="38" t="n">
        <f aca="false">Sens!$H$2296+Sens!$H$2293-Sens!$H$2292-Sens!$H$2294+Sens!$H$2295</f>
        <v>74.1001307324306</v>
      </c>
      <c r="I2297" s="38" t="n">
        <f aca="false">Sens!$I$2296+Sens!$I$2293-Sens!$I$2292-Sens!$I$2294+Sens!$I$2295</f>
        <v>81.8893492191126</v>
      </c>
      <c r="J2297" s="38" t="n">
        <f aca="false">Sens!$J$2296+Sens!$J$2293-Sens!$J$2292-Sens!$J$2294+Sens!$J$2295</f>
        <v>128.885695793435</v>
      </c>
      <c r="K2297" s="38" t="n">
        <f aca="false">Sens!$K$2296+Sens!$K$2293-Sens!$K$2292-Sens!$K$2294+Sens!$K$2295</f>
        <v>213.549590717812</v>
      </c>
      <c r="L2297" s="38" t="n">
        <f aca="false">Sens!$L$2296+Sens!$L$2293-Sens!$L$2292-Sens!$L$2294+Sens!$L$2295</f>
        <v>309.569333800528</v>
      </c>
      <c r="M2297" s="38" t="n">
        <f aca="false">Sens!$M$2296+Sens!$M$2293-Sens!$M$2292-Sens!$M$2294+Sens!$M$2295</f>
        <v>398.33128197462</v>
      </c>
    </row>
    <row r="2298" customFormat="false" ht="17.15" hidden="false" customHeight="false" outlineLevel="0" collapsed="false">
      <c r="A2298" s="5" t="s">
        <v>750</v>
      </c>
      <c r="B2298" s="0" t="s">
        <v>73</v>
      </c>
      <c r="F2298" s="38" t="n">
        <f aca="false">MAX(0,min_cash-Sens!$F$2297)</f>
        <v>0</v>
      </c>
      <c r="G2298" s="38" t="n">
        <f aca="false">Sens!$F$2298</f>
        <v>0</v>
      </c>
      <c r="H2298" s="38" t="n">
        <f aca="false">MAX(0,min_cash-Sens!$H$2297)</f>
        <v>0</v>
      </c>
      <c r="I2298" s="38" t="n">
        <f aca="false">MAX(0,min_cash-Sens!$I$2297)</f>
        <v>0</v>
      </c>
      <c r="J2298" s="38" t="n">
        <f aca="false">MAX(0,min_cash-Sens!$J$2297)</f>
        <v>0</v>
      </c>
      <c r="K2298" s="38" t="n">
        <f aca="false">MAX(0,min_cash-Sens!$K$2297)</f>
        <v>0</v>
      </c>
      <c r="L2298" s="38" t="n">
        <f aca="false">MAX(0,min_cash-Sens!$L$2297)</f>
        <v>0</v>
      </c>
      <c r="M2298" s="38" t="n">
        <f aca="false">MAX(0,min_cash-Sens!$M$2297)</f>
        <v>0</v>
      </c>
      <c r="P2298" s="5" t="s">
        <v>751</v>
      </c>
    </row>
    <row r="2299" customFormat="false" ht="15" hidden="false" customHeight="false" outlineLevel="0" collapsed="false">
      <c r="A2299" s="5" t="s">
        <v>752</v>
      </c>
      <c r="B2299" s="0" t="s">
        <v>73</v>
      </c>
      <c r="D2299" s="38" t="n">
        <f aca="false">Q!$E$61</f>
        <v>123.029</v>
      </c>
      <c r="E2299" s="38" t="n">
        <f aca="false">Q!$M$61</f>
        <v>122.988</v>
      </c>
      <c r="F2299" s="38" t="n">
        <f aca="false">Sens!$F$2297+Sens!$F$2298</f>
        <v>103.929552489608</v>
      </c>
      <c r="G2299" s="38" t="n">
        <f aca="false">Sens!$F$2299</f>
        <v>103.929552489608</v>
      </c>
      <c r="H2299" s="38" t="n">
        <f aca="false">Sens!$H$2297+Sens!$H$2298</f>
        <v>74.1001307324306</v>
      </c>
      <c r="I2299" s="38" t="n">
        <f aca="false">Sens!$I$2297+Sens!$I$2298</f>
        <v>81.8893492191126</v>
      </c>
      <c r="J2299" s="38" t="n">
        <f aca="false">Sens!$J$2297+Sens!$J$2298</f>
        <v>128.885695793435</v>
      </c>
      <c r="K2299" s="38" t="n">
        <f aca="false">Sens!$K$2297+Sens!$K$2298</f>
        <v>213.549590717812</v>
      </c>
      <c r="L2299" s="38" t="n">
        <f aca="false">Sens!$L$2297+Sens!$L$2298</f>
        <v>309.569333800528</v>
      </c>
      <c r="M2299" s="38" t="n">
        <f aca="false">Sens!$M$2297+Sens!$M$2298</f>
        <v>398.33128197462</v>
      </c>
    </row>
    <row r="2300" customFormat="false" ht="15" hidden="false" customHeight="false" outlineLevel="0" collapsed="false">
      <c r="A2300" s="5" t="s">
        <v>753</v>
      </c>
      <c r="B2300" s="0" t="s">
        <v>73</v>
      </c>
      <c r="D2300" s="38" t="n">
        <f aca="false">Q!$E$62</f>
        <v>68.836</v>
      </c>
      <c r="E2300" s="38" t="n">
        <f aca="false">Q!$M$62</f>
        <v>132.995</v>
      </c>
      <c r="F2300" s="38" t="n">
        <f aca="false">debt_q2+Sens!$F$2295+Sens!$F$2298</f>
        <v>162.245</v>
      </c>
      <c r="G2300" s="38" t="n">
        <f aca="false">Sens!$F$2300</f>
        <v>162.245</v>
      </c>
      <c r="H2300" s="38" t="n">
        <f aca="false">Sens!$G$2300+Sens!$H$2298</f>
        <v>162.245</v>
      </c>
      <c r="I2300" s="38" t="n">
        <f aca="false">Sens!$H$2300+Sens!$I$2298</f>
        <v>162.245</v>
      </c>
      <c r="J2300" s="38" t="n">
        <f aca="false">Sens!$I$2300+Sens!$J$2298</f>
        <v>162.245</v>
      </c>
      <c r="K2300" s="38" t="n">
        <f aca="false">Sens!$J$2300+Sens!$K$2298</f>
        <v>162.245</v>
      </c>
      <c r="L2300" s="38" t="n">
        <f aca="false">Sens!$K$2300+Sens!$L$2298</f>
        <v>162.245</v>
      </c>
      <c r="M2300" s="38" t="n">
        <f aca="false">Sens!$L$2300+Sens!$M$2298</f>
        <v>162.245</v>
      </c>
    </row>
    <row r="2301" customFormat="false" ht="15" hidden="false" customHeight="false" outlineLevel="0" collapsed="false">
      <c r="A2301" s="5" t="s">
        <v>754</v>
      </c>
      <c r="B2301" s="0" t="s">
        <v>73</v>
      </c>
      <c r="D2301" s="38" t="n">
        <f aca="false">Sens!$D$2300-Sens!$D$2299</f>
        <v>-54.193</v>
      </c>
      <c r="E2301" s="38" t="n">
        <f aca="false">Sens!$E$2300-Sens!$E$2299</f>
        <v>10.007</v>
      </c>
      <c r="F2301" s="38" t="n">
        <f aca="false">Sens!$F$2300-Sens!$F$2299</f>
        <v>58.3154475103924</v>
      </c>
      <c r="G2301" s="38" t="n">
        <f aca="false">Sens!$G$2300-Sens!$G$2299</f>
        <v>58.3154475103924</v>
      </c>
      <c r="H2301" s="38" t="n">
        <f aca="false">Sens!$H$2300-Sens!$H$2299</f>
        <v>88.1448692675695</v>
      </c>
      <c r="I2301" s="38" t="n">
        <f aca="false">Sens!$I$2300-Sens!$I$2299</f>
        <v>80.3556507808874</v>
      </c>
      <c r="J2301" s="38" t="n">
        <f aca="false">Sens!$J$2300-Sens!$J$2299</f>
        <v>33.3593042065649</v>
      </c>
      <c r="K2301" s="38" t="n">
        <f aca="false">Sens!$K$2300-Sens!$K$2299</f>
        <v>-51.3045907178118</v>
      </c>
      <c r="L2301" s="38" t="n">
        <f aca="false">Sens!$L$2300-Sens!$L$2299</f>
        <v>-147.324333800527</v>
      </c>
      <c r="M2301" s="38" t="n">
        <f aca="false">Sens!$M$2300-Sens!$M$2299</f>
        <v>-236.08628197462</v>
      </c>
    </row>
    <row r="2302" customFormat="false" ht="17.15" hidden="false" customHeight="false" outlineLevel="0" collapsed="false">
      <c r="A2302" s="5" t="s">
        <v>755</v>
      </c>
      <c r="B2302" s="0" t="s">
        <v>73</v>
      </c>
      <c r="F2302" s="38" t="n">
        <f aca="false">debt_q2*kd_book*0.5+iss_2h26*kd_new*0.25</f>
        <v>3.24888964316061</v>
      </c>
      <c r="H2302" s="38" t="n">
        <f aca="false">debt_q2*kd_book+(Sens!$G$2300-debt_q2)*kd_new</f>
        <v>7.42354178632123</v>
      </c>
      <c r="I2302" s="38" t="n">
        <f aca="false">debt_q2*kd_book+(Sens!$H$2300-debt_q2)*kd_new</f>
        <v>7.42354178632123</v>
      </c>
      <c r="J2302" s="38" t="n">
        <f aca="false">debt_q2*kd_book+(Sens!$I$2300-debt_q2)*kd_new</f>
        <v>7.42354178632123</v>
      </c>
      <c r="K2302" s="38" t="n">
        <f aca="false">debt_q2*kd_book+(Sens!$J$2300-debt_q2)*kd_new</f>
        <v>7.42354178632123</v>
      </c>
      <c r="L2302" s="38" t="n">
        <f aca="false">debt_q2*kd_book+(Sens!$K$2300-debt_q2)*kd_new</f>
        <v>7.42354178632123</v>
      </c>
      <c r="M2302" s="38" t="n">
        <f aca="false">debt_q2*kd_book+(Sens!$L$2300-debt_q2)*kd_new</f>
        <v>7.42354178632123</v>
      </c>
    </row>
    <row r="2303" customFormat="false" ht="17.15" hidden="false" customHeight="false" outlineLevel="0" collapsed="false">
      <c r="A2303" s="5" t="s">
        <v>756</v>
      </c>
      <c r="B2303" s="0" t="s">
        <v>73</v>
      </c>
      <c r="F2303" s="38" t="n">
        <f aca="false">cash_q2*y_cash*0.5</f>
        <v>2.59</v>
      </c>
      <c r="H2303" s="38" t="n">
        <f aca="false">Sens!$G$2299*y_cash</f>
        <v>4.37729763794978</v>
      </c>
      <c r="I2303" s="38" t="n">
        <f aca="false">Sens!$H$2299*y_cash</f>
        <v>3.12094413433823</v>
      </c>
      <c r="J2303" s="38" t="n">
        <f aca="false">Sens!$I$2299*y_cash</f>
        <v>3.44900989490847</v>
      </c>
      <c r="K2303" s="38" t="n">
        <f aca="false">Sens!$J$2299*y_cash</f>
        <v>5.4283987397957</v>
      </c>
      <c r="L2303" s="38" t="n">
        <f aca="false">Sens!$K$2299*y_cash</f>
        <v>8.99426675706789</v>
      </c>
      <c r="M2303" s="38" t="n">
        <f aca="false">Sens!$L$2299*y_cash</f>
        <v>13.0384195944867</v>
      </c>
    </row>
    <row r="2304" customFormat="false" ht="17.15" hidden="false" customHeight="false" outlineLevel="0" collapsed="false">
      <c r="A2304" s="46" t="s">
        <v>757</v>
      </c>
      <c r="B2304" s="13" t="s">
        <v>73</v>
      </c>
      <c r="C2304" s="13"/>
      <c r="D2304" s="13"/>
      <c r="E2304" s="13"/>
      <c r="F2304" s="13"/>
      <c r="G2304" s="47" t="n">
        <f aca="false">SUM(Sens!$G$2293:$K$2293)</f>
        <v>56.9205907178118</v>
      </c>
      <c r="H2304" s="13"/>
      <c r="I2304" s="13"/>
      <c r="J2304" s="13"/>
      <c r="K2304" s="13"/>
      <c r="L2304" s="13"/>
      <c r="M2304" s="13"/>
      <c r="N2304" s="13"/>
      <c r="O2304" s="13"/>
    </row>
    <row r="2305" customFormat="false" ht="17.15" hidden="false" customHeight="false" outlineLevel="0" collapsed="false">
      <c r="A2305" s="0" t="s">
        <v>724</v>
      </c>
      <c r="B2305" s="0" t="s">
        <v>73</v>
      </c>
      <c r="G2305" s="38" t="n">
        <f aca="false">SUM(Sens!$G$2298:$K$2298)</f>
        <v>0</v>
      </c>
    </row>
    <row r="2308" customFormat="false" ht="19.4" hidden="false" customHeight="false" outlineLevel="0" collapsed="false">
      <c r="A2308" s="31" t="s">
        <v>1094</v>
      </c>
    </row>
    <row r="2309" customFormat="false" ht="17.15" hidden="false" customHeight="false" outlineLevel="0" collapsed="false">
      <c r="A2309" s="6" t="s">
        <v>16</v>
      </c>
      <c r="B2309" s="6" t="s">
        <v>17</v>
      </c>
      <c r="C2309" s="20" t="s">
        <v>457</v>
      </c>
      <c r="D2309" s="20" t="s">
        <v>458</v>
      </c>
      <c r="E2309" s="20" t="s">
        <v>540</v>
      </c>
      <c r="F2309" s="20" t="s">
        <v>541</v>
      </c>
      <c r="G2309" s="20" t="s">
        <v>542</v>
      </c>
      <c r="H2309" s="20" t="s">
        <v>543</v>
      </c>
      <c r="I2309" s="20" t="s">
        <v>544</v>
      </c>
      <c r="J2309" s="20" t="s">
        <v>545</v>
      </c>
      <c r="K2309" s="20" t="s">
        <v>546</v>
      </c>
      <c r="L2309" s="20" t="s">
        <v>547</v>
      </c>
      <c r="M2309" s="20" t="s">
        <v>548</v>
      </c>
      <c r="N2309" s="20" t="s">
        <v>549</v>
      </c>
      <c r="O2309" s="20" t="s">
        <v>550</v>
      </c>
      <c r="P2309" s="6" t="s">
        <v>23</v>
      </c>
      <c r="R2309" s="20" t="n">
        <v>2023</v>
      </c>
      <c r="S2309" s="20" t="n">
        <v>2024</v>
      </c>
      <c r="T2309" s="20" t="n">
        <v>2025</v>
      </c>
      <c r="U2309" s="20" t="n">
        <v>2026</v>
      </c>
      <c r="V2309" s="20" t="n">
        <v>2027</v>
      </c>
      <c r="W2309" s="20" t="n">
        <v>2028</v>
      </c>
      <c r="X2309" s="20" t="n">
        <v>2029</v>
      </c>
      <c r="Y2309" s="20" t="n">
        <v>2030</v>
      </c>
      <c r="Z2309" s="20" t="n">
        <v>2031</v>
      </c>
      <c r="AA2309" s="20" t="n">
        <v>2032</v>
      </c>
    </row>
    <row r="2310" customFormat="false" ht="17.15" hidden="false" customHeight="false" outlineLevel="0" collapsed="false">
      <c r="A2310" s="1" t="s">
        <v>852</v>
      </c>
    </row>
    <row r="2311" customFormat="false" ht="17.15" hidden="false" customHeight="false" outlineLevel="0" collapsed="false">
      <c r="A2311" s="0" t="s">
        <v>853</v>
      </c>
      <c r="B2311" s="0" t="s">
        <v>73</v>
      </c>
      <c r="H2311" s="38" t="n">
        <f aca="false">Sens!$H$2247*(1-tax)</f>
        <v>108.751393266388</v>
      </c>
      <c r="I2311" s="38" t="n">
        <f aca="false">Sens!$I$2247*(1-tax)</f>
        <v>127.597205389738</v>
      </c>
      <c r="J2311" s="38" t="n">
        <f aca="false">Sens!$J$2247*(1-tax)</f>
        <v>144.160403327006</v>
      </c>
      <c r="K2311" s="38" t="n">
        <f aca="false">Sens!$K$2247*(1-tax)</f>
        <v>157.275909775637</v>
      </c>
      <c r="L2311" s="38" t="n">
        <f aca="false">Sens!$L$2247*(1-tax)</f>
        <v>171.948617200903</v>
      </c>
      <c r="M2311" s="38" t="n">
        <f aca="false">Sens!$M$2247*(1-tax)</f>
        <v>187.903664417375</v>
      </c>
    </row>
    <row r="2312" customFormat="false" ht="15" hidden="false" customHeight="false" outlineLevel="0" collapsed="false">
      <c r="A2312" s="5" t="s">
        <v>854</v>
      </c>
      <c r="B2312" s="0" t="s">
        <v>73</v>
      </c>
      <c r="H2312" s="38" t="n">
        <f aca="false">Sens!$H$2259</f>
        <v>85.8422390314</v>
      </c>
      <c r="I2312" s="38" t="n">
        <f aca="false">Sens!$I$2259</f>
        <v>116.791244946179</v>
      </c>
      <c r="J2312" s="38" t="n">
        <f aca="false">Sens!$J$2259</f>
        <v>147.969195836287</v>
      </c>
      <c r="K2312" s="38" t="n">
        <f aca="false">Sens!$K$2259</f>
        <v>178.403735052191</v>
      </c>
      <c r="L2312" s="38" t="n">
        <f aca="false">Sens!$L$2259</f>
        <v>207.059318879471</v>
      </c>
      <c r="M2312" s="38" t="n">
        <f aca="false">Sens!$M$2259</f>
        <v>235.977152126917</v>
      </c>
    </row>
    <row r="2313" customFormat="false" ht="15" hidden="false" customHeight="false" outlineLevel="0" collapsed="false">
      <c r="A2313" s="5" t="s">
        <v>855</v>
      </c>
      <c r="B2313" s="0" t="s">
        <v>73</v>
      </c>
      <c r="H2313" s="38" t="n">
        <f aca="false">Sens!$H$2288</f>
        <v>255.902668654505</v>
      </c>
      <c r="I2313" s="38" t="n">
        <f aca="false">Sens!$I$2288</f>
        <v>271.967012738528</v>
      </c>
      <c r="J2313" s="38" t="n">
        <f aca="false">Sens!$J$2288</f>
        <v>285.37625872674</v>
      </c>
      <c r="K2313" s="38" t="n">
        <f aca="false">Sens!$K$2288</f>
        <v>296.967608391398</v>
      </c>
      <c r="L2313" s="38" t="n">
        <f aca="false">Sens!$L$2288</f>
        <v>336.16092951148</v>
      </c>
      <c r="M2313" s="38" t="n">
        <f aca="false">Sens!$M$2288</f>
        <v>396.123528374583</v>
      </c>
    </row>
    <row r="2314" customFormat="false" ht="15" hidden="false" customHeight="false" outlineLevel="0" collapsed="false">
      <c r="A2314" s="5" t="s">
        <v>856</v>
      </c>
      <c r="B2314" s="0" t="s">
        <v>73</v>
      </c>
      <c r="H2314" s="38" t="n">
        <f aca="false">Sens!$H$2289</f>
        <v>1.6</v>
      </c>
      <c r="I2314" s="38" t="n">
        <f aca="false">Sens!$I$2289</f>
        <v>1.6</v>
      </c>
      <c r="J2314" s="38" t="n">
        <f aca="false">Sens!$J$2289</f>
        <v>1.6</v>
      </c>
      <c r="K2314" s="38" t="n">
        <f aca="false">Sens!$K$2289</f>
        <v>1.6</v>
      </c>
      <c r="L2314" s="38" t="n">
        <f aca="false">Sens!$L$2289</f>
        <v>1.6</v>
      </c>
      <c r="M2314" s="38" t="n">
        <f aca="false">Sens!$M$2289</f>
        <v>1.6</v>
      </c>
    </row>
    <row r="2315" customFormat="false" ht="15" hidden="false" customHeight="false" outlineLevel="0" collapsed="false">
      <c r="A2315" s="5" t="s">
        <v>857</v>
      </c>
      <c r="B2315" s="0" t="s">
        <v>73</v>
      </c>
      <c r="H2315" s="38" t="n">
        <f aca="false">Sens!$H$2283</f>
        <v>11.5664188119839</v>
      </c>
      <c r="I2315" s="38" t="n">
        <f aca="false">Sens!$I$2283</f>
        <v>13.1671464125606</v>
      </c>
      <c r="J2315" s="38" t="n">
        <f aca="false">Sens!$J$2283</f>
        <v>14.6631407090847</v>
      </c>
      <c r="K2315" s="38" t="n">
        <f aca="false">Sens!$K$2283</f>
        <v>15.9865824133016</v>
      </c>
      <c r="L2315" s="38" t="n">
        <f aca="false">Sens!$L$2283</f>
        <v>17.3753130537862</v>
      </c>
      <c r="M2315" s="38" t="n">
        <f aca="false">Sens!$M$2283</f>
        <v>18.834157376335</v>
      </c>
    </row>
    <row r="2316" customFormat="false" ht="17.15" hidden="false" customHeight="false" outlineLevel="0" collapsed="false">
      <c r="A2316" s="1" t="s">
        <v>858</v>
      </c>
      <c r="B2316" s="8" t="s">
        <v>73</v>
      </c>
      <c r="H2316" s="38" t="n">
        <f aca="false">Sens!$H$2311+Sens!$H$2312-Sens!$H$2313-Sens!$H$2314+Sens!$H$2315</f>
        <v>-51.3426175447334</v>
      </c>
      <c r="I2316" s="38" t="n">
        <f aca="false">Sens!$I$2311+Sens!$I$2312-Sens!$I$2313-Sens!$I$2314+Sens!$I$2315</f>
        <v>-16.0114159900505</v>
      </c>
      <c r="J2316" s="38" t="n">
        <f aca="false">Sens!$J$2311+Sens!$J$2312-Sens!$J$2313-Sens!$J$2314+Sens!$J$2315</f>
        <v>19.8164811456373</v>
      </c>
      <c r="K2316" s="38" t="n">
        <f aca="false">Sens!$K$2311+Sens!$K$2312-Sens!$K$2313-Sens!$K$2314+Sens!$K$2315</f>
        <v>53.0986188497306</v>
      </c>
      <c r="L2316" s="38" t="n">
        <f aca="false">Sens!$L$2311+Sens!$L$2312-Sens!$L$2313-Sens!$L$2314+Sens!$L$2315</f>
        <v>58.6223196226794</v>
      </c>
      <c r="M2316" s="38" t="n">
        <f aca="false">Sens!$M$2311+Sens!$M$2312-Sens!$M$2313-Sens!$M$2314+Sens!$M$2315</f>
        <v>44.9914455460442</v>
      </c>
    </row>
    <row r="2317" customFormat="false" ht="15" hidden="false" customHeight="false" outlineLevel="0" collapsed="false">
      <c r="A2317" s="5" t="s">
        <v>859</v>
      </c>
      <c r="B2317" s="0" t="s">
        <v>57</v>
      </c>
      <c r="H2317" s="51" t="n">
        <f aca="false">1/(1+wacc)^(2027-2026-0.5)</f>
        <v>0.942858177653364</v>
      </c>
      <c r="I2317" s="51" t="n">
        <f aca="false">1/(1+wacc)^(2028-2026-0.5)</f>
        <v>0.838183517758688</v>
      </c>
      <c r="J2317" s="51" t="n">
        <f aca="false">1/(1+wacc)^(2029-2026-0.5)</f>
        <v>0.745129677074952</v>
      </c>
      <c r="K2317" s="51" t="n">
        <f aca="false">1/(1+wacc)^(2030-2026-0.5)</f>
        <v>0.662406530186232</v>
      </c>
      <c r="L2317" s="51" t="n">
        <f aca="false">1/(1+wacc)^(2031-2026-0.5)</f>
        <v>0.588867179409399</v>
      </c>
      <c r="M2317" s="51" t="n">
        <f aca="false">1/(1+wacc)^(2032-2026-0.5)</f>
        <v>0.52349205387225</v>
      </c>
    </row>
    <row r="2318" customFormat="false" ht="15" hidden="false" customHeight="false" outlineLevel="0" collapsed="false">
      <c r="A2318" s="5" t="s">
        <v>860</v>
      </c>
      <c r="B2318" s="0" t="s">
        <v>73</v>
      </c>
      <c r="H2318" s="38" t="n">
        <f aca="false">Sens!$H$2316*Sens!$H$2317</f>
        <v>-48.408806814181</v>
      </c>
      <c r="I2318" s="38" t="n">
        <f aca="false">Sens!$I$2316*Sens!$I$2317</f>
        <v>-13.4205049788382</v>
      </c>
      <c r="J2318" s="38" t="n">
        <f aca="false">Sens!$J$2316*Sens!$J$2317</f>
        <v>14.7658481968106</v>
      </c>
      <c r="K2318" s="38" t="n">
        <f aca="false">Sens!$K$2316*Sens!$K$2317</f>
        <v>35.1728718699313</v>
      </c>
      <c r="L2318" s="38" t="n">
        <f aca="false">Sens!$L$2316*Sens!$L$2317</f>
        <v>34.5207600066435</v>
      </c>
      <c r="M2318" s="38" t="n">
        <f aca="false">Sens!$M$2316*Sens!$M$2317</f>
        <v>23.5526642355802</v>
      </c>
    </row>
    <row r="2319" customFormat="false" ht="15" hidden="false" customHeight="false" outlineLevel="0" collapsed="false">
      <c r="A2319" s="5" t="s">
        <v>861</v>
      </c>
      <c r="B2319" s="0" t="s">
        <v>73</v>
      </c>
      <c r="C2319" s="38" t="n">
        <f aca="false">SUM(Sens!$H$2318:$M$2318)</f>
        <v>46.1828325159464</v>
      </c>
    </row>
    <row r="2320" customFormat="false" ht="17.15" hidden="false" customHeight="false" outlineLevel="0" collapsed="false">
      <c r="A2320" s="5" t="s">
        <v>862</v>
      </c>
      <c r="B2320" s="0" t="s">
        <v>73</v>
      </c>
      <c r="C2320" s="38" t="n">
        <f aca="false">Sens!$M$2311*(1+tg)*(1-tg/ronic)/(wacc-tg)</f>
        <v>1549.77992990439</v>
      </c>
    </row>
    <row r="2321" customFormat="false" ht="15" hidden="false" customHeight="false" outlineLevel="0" collapsed="false">
      <c r="A2321" s="5" t="s">
        <v>863</v>
      </c>
      <c r="B2321" s="0" t="s">
        <v>73</v>
      </c>
      <c r="C2321" s="38" t="n">
        <f aca="false">Sens!$C$2320/(1+wacc)^6</f>
        <v>764.938462165741</v>
      </c>
    </row>
    <row r="2322" customFormat="false" ht="17.15" hidden="false" customHeight="false" outlineLevel="0" collapsed="false">
      <c r="A2322" s="5" t="s">
        <v>864</v>
      </c>
      <c r="B2322" s="0" t="s">
        <v>73</v>
      </c>
      <c r="C2322" s="38" t="n">
        <f aca="false">Sens!$C$2319+Sens!$C$2321</f>
        <v>811.121294681687</v>
      </c>
    </row>
    <row r="2323" customFormat="false" ht="17.15" hidden="false" customHeight="false" outlineLevel="0" collapsed="false">
      <c r="A2323" s="5" t="s">
        <v>865</v>
      </c>
      <c r="B2323" s="0" t="s">
        <v>52</v>
      </c>
      <c r="C2323" s="12" t="n">
        <f aca="false">Sens!$C$2321/Sens!$C$2322</f>
        <v>0.943062976130999</v>
      </c>
    </row>
    <row r="2324" customFormat="false" ht="17.15" hidden="false" customHeight="false" outlineLevel="0" collapsed="false">
      <c r="A2324" s="5" t="s">
        <v>866</v>
      </c>
      <c r="B2324" s="0" t="s">
        <v>73</v>
      </c>
      <c r="C2324" s="38" t="n">
        <f aca="false">Sens!$G$2301</f>
        <v>58.3154475103924</v>
      </c>
    </row>
    <row r="2325" customFormat="false" ht="17.15" hidden="false" customHeight="false" outlineLevel="0" collapsed="false">
      <c r="A2325" s="5" t="s">
        <v>867</v>
      </c>
      <c r="B2325" s="0" t="s">
        <v>73</v>
      </c>
      <c r="C2325" s="38" t="n">
        <f aca="false">(ant_val*ant_sh+oai_val*oai_sh)*(1-liq_disc)</f>
        <v>178.944</v>
      </c>
    </row>
    <row r="2326" customFormat="false" ht="15" hidden="false" customHeight="false" outlineLevel="0" collapsed="false">
      <c r="A2326" s="5" t="s">
        <v>868</v>
      </c>
      <c r="B2326" s="0" t="s">
        <v>73</v>
      </c>
      <c r="C2326" s="38" t="n">
        <f aca="false">Sens!$C$2322-Sens!$C$2324+Sens!$C$2325</f>
        <v>931.749847171295</v>
      </c>
    </row>
    <row r="2327" customFormat="false" ht="17.15" hidden="false" customHeight="false" outlineLevel="0" collapsed="false">
      <c r="A2327" s="5" t="s">
        <v>869</v>
      </c>
      <c r="B2327" s="0" t="s">
        <v>27</v>
      </c>
      <c r="C2327" s="30" t="n">
        <f aca="false">Sens!$C$2326/sh_val</f>
        <v>84.4717427963787</v>
      </c>
    </row>
    <row r="2328" customFormat="false" ht="17.15" hidden="false" customHeight="false" outlineLevel="0" collapsed="false">
      <c r="A2328" s="1" t="s">
        <v>870</v>
      </c>
      <c r="B2328" s="8" t="s">
        <v>27</v>
      </c>
      <c r="C2328" s="30" t="n">
        <f aca="false">Sens!$C$2327*(1+ke)^tp_yf</f>
        <v>93.2943872506753</v>
      </c>
    </row>
    <row r="2329" customFormat="false" ht="17.15" hidden="false" customHeight="false" outlineLevel="0" collapsed="false">
      <c r="A2329" s="3" t="s">
        <v>871</v>
      </c>
    </row>
    <row r="2330" customFormat="false" ht="17.15" hidden="false" customHeight="false" outlineLevel="0" collapsed="false">
      <c r="A2330" s="5" t="s">
        <v>872</v>
      </c>
      <c r="B2330" s="0" t="s">
        <v>73</v>
      </c>
      <c r="C2330" s="38" t="n">
        <f aca="false">0.25*Sens!$H$2260+0.75*Sens!$I$2260</f>
        <v>57.5541093268329</v>
      </c>
    </row>
    <row r="2331" customFormat="false" ht="15" hidden="false" customHeight="false" outlineLevel="0" collapsed="false">
      <c r="A2331" s="5" t="s">
        <v>873</v>
      </c>
      <c r="B2331" s="0" t="s">
        <v>57</v>
      </c>
      <c r="C2331" s="30" t="n">
        <f aca="false">m_ads*m_x</f>
        <v>9.11</v>
      </c>
    </row>
    <row r="2332" customFormat="false" ht="17.15" hidden="false" customHeight="false" outlineLevel="0" collapsed="false">
      <c r="A2332" s="5" t="s">
        <v>874</v>
      </c>
      <c r="B2332" s="0" t="s">
        <v>73</v>
      </c>
      <c r="C2332" s="38" t="n">
        <f aca="false">Sens!$C$2330*Sens!$C$2331</f>
        <v>524.317935967448</v>
      </c>
    </row>
    <row r="2333" customFormat="false" ht="17.15" hidden="false" customHeight="false" outlineLevel="0" collapsed="false">
      <c r="A2333" s="5" t="s">
        <v>875</v>
      </c>
      <c r="B2333" s="0" t="s">
        <v>73</v>
      </c>
      <c r="C2333" s="38" t="n">
        <f aca="false">0.25*Sens!$H$2261+0.75*Sens!$I$2261</f>
        <v>30.6290803533085</v>
      </c>
    </row>
    <row r="2334" customFormat="false" ht="15" hidden="false" customHeight="false" outlineLevel="0" collapsed="false">
      <c r="A2334" s="5" t="s">
        <v>876</v>
      </c>
      <c r="B2334" s="0" t="s">
        <v>57</v>
      </c>
      <c r="C2334" s="30" t="n">
        <f aca="false">m_retail*m_x</f>
        <v>17.72</v>
      </c>
    </row>
    <row r="2335" customFormat="false" ht="17.15" hidden="false" customHeight="false" outlineLevel="0" collapsed="false">
      <c r="A2335" s="5" t="s">
        <v>877</v>
      </c>
      <c r="B2335" s="0" t="s">
        <v>73</v>
      </c>
      <c r="C2335" s="38" t="n">
        <f aca="false">Sens!$C$2333*Sens!$C$2334</f>
        <v>542.747303860627</v>
      </c>
    </row>
    <row r="2336" customFormat="false" ht="17.15" hidden="false" customHeight="false" outlineLevel="0" collapsed="false">
      <c r="A2336" s="0" t="s">
        <v>878</v>
      </c>
      <c r="B2336" s="0" t="s">
        <v>73</v>
      </c>
      <c r="C2336" s="38" t="n">
        <f aca="false">0.25*Sens!$H$2262+0.75*Sens!$I$2262</f>
        <v>107.575398943098</v>
      </c>
    </row>
    <row r="2337" customFormat="false" ht="17.15" hidden="false" customHeight="false" outlineLevel="0" collapsed="false">
      <c r="A2337" s="0" t="s">
        <v>879</v>
      </c>
      <c r="B2337" s="0" t="s">
        <v>57</v>
      </c>
      <c r="C2337" s="30" t="n">
        <f aca="false">m_cloud*m_x</f>
        <v>13.82</v>
      </c>
    </row>
    <row r="2338" customFormat="false" ht="17.15" hidden="false" customHeight="false" outlineLevel="0" collapsed="false">
      <c r="A2338" s="0" t="s">
        <v>880</v>
      </c>
      <c r="B2338" s="0" t="s">
        <v>73</v>
      </c>
      <c r="C2338" s="38" t="n">
        <f aca="false">Sens!$C$2336*Sens!$C$2337</f>
        <v>1486.69201339361</v>
      </c>
    </row>
    <row r="2339" customFormat="false" ht="17.15" hidden="false" customHeight="false" outlineLevel="0" collapsed="false">
      <c r="A2339" s="0" t="s">
        <v>881</v>
      </c>
      <c r="B2339" s="0" t="s">
        <v>73</v>
      </c>
      <c r="C2339" s="38" t="n">
        <f aca="false">0.25*Sens!$H$2263+0.75*Sens!$I$2263</f>
        <v>61.9927082193335</v>
      </c>
    </row>
    <row r="2340" customFormat="false" ht="17.15" hidden="false" customHeight="false" outlineLevel="0" collapsed="false">
      <c r="A2340" s="0" t="s">
        <v>882</v>
      </c>
      <c r="B2340" s="0" t="s">
        <v>57</v>
      </c>
      <c r="C2340" s="30" t="n">
        <f aca="false">m_ai</f>
        <v>6</v>
      </c>
    </row>
    <row r="2341" customFormat="false" ht="17.15" hidden="false" customHeight="false" outlineLevel="0" collapsed="false">
      <c r="A2341" s="0" t="s">
        <v>883</v>
      </c>
      <c r="B2341" s="0" t="s">
        <v>73</v>
      </c>
      <c r="C2341" s="38" t="n">
        <f aca="false">Sens!$C$2339*Sens!$C$2340</f>
        <v>371.956249316001</v>
      </c>
    </row>
    <row r="2342" customFormat="false" ht="17.15" hidden="false" customHeight="false" outlineLevel="0" collapsed="false">
      <c r="A2342" s="5" t="s">
        <v>884</v>
      </c>
      <c r="B2342" s="0" t="s">
        <v>73</v>
      </c>
      <c r="C2342" s="38" t="n">
        <f aca="false">Sens!$C$2332+Sens!$C$2335+Sens!$C$2338+Sens!$C$2341</f>
        <v>2925.71350253769</v>
      </c>
    </row>
    <row r="2343" customFormat="false" ht="17.15" hidden="false" customHeight="false" outlineLevel="0" collapsed="false">
      <c r="A2343" s="5" t="s">
        <v>885</v>
      </c>
      <c r="B2343" s="0" t="s">
        <v>73</v>
      </c>
      <c r="C2343" s="38" t="n">
        <f aca="false">Sens!$H$2301</f>
        <v>88.1448692675695</v>
      </c>
    </row>
    <row r="2344" customFormat="false" ht="15" hidden="false" customHeight="false" outlineLevel="0" collapsed="false">
      <c r="A2344" s="5" t="s">
        <v>886</v>
      </c>
      <c r="B2344" s="0" t="s">
        <v>73</v>
      </c>
      <c r="C2344" s="38" t="n">
        <f aca="false">Sens!$C$2342-Sens!$C$2343+Sens!$C$2325</f>
        <v>3016.51263327012</v>
      </c>
    </row>
    <row r="2345" customFormat="false" ht="15" hidden="false" customHeight="false" outlineLevel="0" collapsed="false">
      <c r="A2345" s="3" t="s">
        <v>887</v>
      </c>
      <c r="B2345" s="8" t="s">
        <v>27</v>
      </c>
      <c r="C2345" s="30" t="n">
        <f aca="false">Sens!$C$2344/sh_val</f>
        <v>273.474774450674</v>
      </c>
    </row>
    <row r="2346" customFormat="false" ht="17.15" hidden="false" customHeight="false" outlineLevel="0" collapsed="false">
      <c r="A2346" s="46" t="s">
        <v>888</v>
      </c>
      <c r="B2346" s="13" t="s">
        <v>27</v>
      </c>
      <c r="C2346" s="43" t="n">
        <f aca="false">w_dcf*Sens!$C$2328+(1-w_dcf)*Sens!$C$2345</f>
        <v>183.384580850675</v>
      </c>
      <c r="D2346" s="13"/>
      <c r="E2346" s="13"/>
      <c r="F2346" s="13"/>
      <c r="G2346" s="13"/>
      <c r="H2346" s="13"/>
      <c r="I2346" s="13"/>
      <c r="J2346" s="13"/>
      <c r="K2346" s="13"/>
      <c r="L2346" s="13"/>
      <c r="M2346" s="13"/>
      <c r="N2346" s="13"/>
      <c r="O2346" s="13"/>
    </row>
    <row r="2347" customFormat="false" ht="17.15" hidden="false" customHeight="false" outlineLevel="0" collapsed="false">
      <c r="A2347" s="5" t="s">
        <v>889</v>
      </c>
      <c r="B2347" s="0" t="s">
        <v>27</v>
      </c>
      <c r="C2347" s="30" t="n">
        <f aca="false">0.45*Sens!$C$2328+0.55*Sens!$C$2345</f>
        <v>192.393600210675</v>
      </c>
    </row>
    <row r="2350" customFormat="false" ht="19.4" hidden="false" customHeight="false" outlineLevel="0" collapsed="false">
      <c r="A2350" s="31" t="s">
        <v>1095</v>
      </c>
    </row>
    <row r="2351" customFormat="false" ht="17.15" hidden="false" customHeight="false" outlineLevel="0" collapsed="false">
      <c r="A2351" s="6" t="s">
        <v>16</v>
      </c>
      <c r="B2351" s="6" t="s">
        <v>17</v>
      </c>
      <c r="C2351" s="20" t="s">
        <v>457</v>
      </c>
      <c r="D2351" s="20" t="s">
        <v>458</v>
      </c>
      <c r="E2351" s="20" t="s">
        <v>540</v>
      </c>
      <c r="F2351" s="20" t="s">
        <v>541</v>
      </c>
      <c r="G2351" s="20" t="s">
        <v>542</v>
      </c>
      <c r="H2351" s="20" t="s">
        <v>543</v>
      </c>
      <c r="I2351" s="20" t="s">
        <v>544</v>
      </c>
      <c r="J2351" s="20" t="s">
        <v>545</v>
      </c>
      <c r="K2351" s="20" t="s">
        <v>546</v>
      </c>
      <c r="L2351" s="20" t="s">
        <v>547</v>
      </c>
      <c r="M2351" s="20" t="s">
        <v>548</v>
      </c>
      <c r="N2351" s="20" t="s">
        <v>549</v>
      </c>
      <c r="O2351" s="20" t="s">
        <v>550</v>
      </c>
      <c r="P2351" s="6" t="s">
        <v>23</v>
      </c>
      <c r="R2351" s="20" t="n">
        <v>2023</v>
      </c>
      <c r="S2351" s="20" t="n">
        <v>2024</v>
      </c>
      <c r="T2351" s="20" t="n">
        <v>2025</v>
      </c>
      <c r="U2351" s="20" t="n">
        <v>2026</v>
      </c>
      <c r="V2351" s="20" t="n">
        <v>2027</v>
      </c>
      <c r="W2351" s="20" t="n">
        <v>2028</v>
      </c>
      <c r="X2351" s="20" t="n">
        <v>2029</v>
      </c>
      <c r="Y2351" s="20" t="n">
        <v>2030</v>
      </c>
      <c r="Z2351" s="20" t="n">
        <v>2031</v>
      </c>
      <c r="AA2351" s="20" t="n">
        <v>2032</v>
      </c>
    </row>
    <row r="2352" customFormat="false" ht="17.15" hidden="false" customHeight="false" outlineLevel="0" collapsed="false">
      <c r="A2352" s="1" t="s">
        <v>621</v>
      </c>
    </row>
    <row r="2353" customFormat="false" ht="17.15" hidden="false" customHeight="false" outlineLevel="0" collapsed="false">
      <c r="A2353" s="0" t="s">
        <v>479</v>
      </c>
      <c r="B2353" s="0" t="s">
        <v>73</v>
      </c>
      <c r="C2353" s="38" t="n">
        <f aca="false">Q!$D$10</f>
        <v>247.029</v>
      </c>
      <c r="D2353" s="38" t="n">
        <f aca="false">Q!$E$10</f>
        <v>269.287</v>
      </c>
      <c r="E2353" s="38" t="n">
        <f aca="false">Q!$P$10</f>
        <v>134.686</v>
      </c>
      <c r="F2353" s="38" t="n">
        <f aca="false">Sens!$O$2353*(1+Sens!$F$2354)-pd_amt*Q!$O$10/(Q!$O$10+Q!$O$12)</f>
        <v>160.728085930082</v>
      </c>
      <c r="G2353" s="38" t="n">
        <f aca="false">Sens!$E$2353+Sens!$F$2353</f>
        <v>295.414085930082</v>
      </c>
      <c r="H2353" s="38" t="n">
        <f aca="false">Sens!$G$2353*(1+Sens!$H$2354)</f>
        <v>320.828163943375</v>
      </c>
      <c r="I2353" s="38" t="n">
        <f aca="false">Sens!$H$2353*(1+Sens!$I$2354)</f>
        <v>344.575578072228</v>
      </c>
      <c r="J2353" s="38" t="n">
        <f aca="false">Sens!$I$2353*(1+Sens!$J$2354)</f>
        <v>365.942555779681</v>
      </c>
      <c r="K2353" s="38" t="n">
        <f aca="false">Sens!$J$2353*(1+Sens!$K$2354)</f>
        <v>384.239683568665</v>
      </c>
      <c r="L2353" s="38" t="n">
        <f aca="false">Sens!$K$2353*(1+Sens!$L$2354)</f>
        <v>403.451667747098</v>
      </c>
      <c r="M2353" s="38" t="n">
        <f aca="false">Sens!$L$2353*(1+Sens!$M$2354)</f>
        <v>423.624251134453</v>
      </c>
      <c r="N2353" s="38" t="n">
        <f aca="false">Q!$N$10</f>
        <v>118.892</v>
      </c>
      <c r="O2353" s="38" t="n">
        <f aca="false">Q!$O$10</f>
        <v>150.395</v>
      </c>
      <c r="P2353" s="8" t="s">
        <v>622</v>
      </c>
    </row>
    <row r="2354" customFormat="false" ht="17.15" hidden="false" customHeight="false" outlineLevel="0" collapsed="false">
      <c r="A2354" s="0" t="s">
        <v>623</v>
      </c>
      <c r="B2354" s="0" t="s">
        <v>52</v>
      </c>
      <c r="E2354" s="12" t="n">
        <f aca="false">Sens!$E$2353/Sens!$N$2353-1</f>
        <v>0.132843252699929</v>
      </c>
      <c r="F2354" s="12" t="n">
        <f aca="false">Sens!$O$2353/(Q!$F$10+Q!$G$10)-1</f>
        <v>0.0980382135842941</v>
      </c>
      <c r="G2354" s="12" t="n">
        <f aca="false">Sens!$G$2353/Sens!$D$2353-1</f>
        <v>0.0970231980380869</v>
      </c>
      <c r="H2354" s="12" t="n">
        <f aca="false">Sens!$F$2354+(g_os-Sens!$F$2354)*1/4</f>
        <v>0.0860286601882206</v>
      </c>
      <c r="I2354" s="12" t="n">
        <f aca="false">Sens!$F$2354+(g_os-Sens!$F$2354)*2/4</f>
        <v>0.074019106792147</v>
      </c>
      <c r="J2354" s="12" t="n">
        <f aca="false">Sens!$F$2354+(g_os-Sens!$F$2354)*3/4</f>
        <v>0.0620095533960735</v>
      </c>
      <c r="K2354" s="12" t="n">
        <f aca="false">Sens!$F$2354+(g_os-Sens!$F$2354)*4/4</f>
        <v>0.05</v>
      </c>
      <c r="L2354" s="12" t="n">
        <f aca="false">g_os</f>
        <v>0.05</v>
      </c>
      <c r="M2354" s="12" t="n">
        <f aca="false">g_os</f>
        <v>0.05</v>
      </c>
      <c r="P2354" s="8" t="s">
        <v>624</v>
      </c>
    </row>
    <row r="2355" customFormat="false" ht="17.15" hidden="false" customHeight="false" outlineLevel="0" collapsed="false">
      <c r="A2355" s="0" t="s">
        <v>480</v>
      </c>
      <c r="B2355" s="0" t="s">
        <v>73</v>
      </c>
      <c r="C2355" s="38" t="n">
        <f aca="false">Q!$D$11</f>
        <v>21.215</v>
      </c>
      <c r="D2355" s="38" t="n">
        <f aca="false">Q!$E$11</f>
        <v>22.561</v>
      </c>
      <c r="E2355" s="38" t="n">
        <f aca="false">Q!$P$11</f>
        <v>11.579</v>
      </c>
      <c r="F2355" s="38" t="n">
        <f aca="false">Sens!$O$2355*(1+Sens!$F$2356)</f>
        <v>12.0952613121125</v>
      </c>
      <c r="G2355" s="38" t="n">
        <f aca="false">Sens!$E$2355+Sens!$F$2355</f>
        <v>23.6742613121125</v>
      </c>
      <c r="H2355" s="38" t="n">
        <f aca="false">Sens!$G$2355*(1+Sens!$H$2356)</f>
        <v>24.8803243963206</v>
      </c>
      <c r="I2355" s="38" t="n">
        <f aca="false">Sens!$H$2355*(1+Sens!$I$2356)</f>
        <v>25.9741308664154</v>
      </c>
      <c r="J2355" s="38" t="n">
        <f aca="false">Sens!$I$2355*(1+Sens!$J$2356)</f>
        <v>26.9346894124267</v>
      </c>
      <c r="K2355" s="38" t="n">
        <f aca="false">Sens!$J$2355*(1+Sens!$K$2356)</f>
        <v>27.7427300947995</v>
      </c>
      <c r="L2355" s="38" t="n">
        <f aca="false">Sens!$K$2355*(1+Sens!$L$2356)</f>
        <v>28.5750119976435</v>
      </c>
      <c r="M2355" s="38" t="n">
        <f aca="false">Sens!$L$2355*(1+Sens!$M$2356)</f>
        <v>29.4322623575728</v>
      </c>
      <c r="N2355" s="38" t="n">
        <f aca="false">Q!$N$11</f>
        <v>11.128</v>
      </c>
      <c r="O2355" s="38" t="n">
        <f aca="false">Q!$O$11</f>
        <v>11.433</v>
      </c>
      <c r="P2355" s="8" t="s">
        <v>622</v>
      </c>
    </row>
    <row r="2356" customFormat="false" ht="17.15" hidden="false" customHeight="false" outlineLevel="0" collapsed="false">
      <c r="A2356" s="0" t="s">
        <v>625</v>
      </c>
      <c r="B2356" s="0" t="s">
        <v>52</v>
      </c>
      <c r="E2356" s="12" t="n">
        <f aca="false">Sens!$E$2355/Sens!$N$2355-1</f>
        <v>0.0405283968368082</v>
      </c>
      <c r="F2356" s="12" t="n">
        <f aca="false">Sens!$O$2355/(Q!$F$11+Q!$G$11)-1</f>
        <v>0.0579254187100955</v>
      </c>
      <c r="G2356" s="12" t="n">
        <f aca="false">Sens!$G$2355/Sens!$D$2355-1</f>
        <v>0.0493445021103904</v>
      </c>
      <c r="H2356" s="12" t="n">
        <f aca="false">Sens!$F$2356+(g_ps-Sens!$F$2356)*1/4</f>
        <v>0.0509440640325716</v>
      </c>
      <c r="I2356" s="12" t="n">
        <f aca="false">Sens!$F$2356+(g_ps-Sens!$F$2356)*2/4</f>
        <v>0.0439627093550477</v>
      </c>
      <c r="J2356" s="12" t="n">
        <f aca="false">Sens!$F$2356+(g_ps-Sens!$F$2356)*3/4</f>
        <v>0.0369813546775239</v>
      </c>
      <c r="K2356" s="12" t="n">
        <f aca="false">Sens!$F$2356+(g_ps-Sens!$F$2356)*4/4</f>
        <v>0.03</v>
      </c>
      <c r="L2356" s="12" t="n">
        <f aca="false">g_ps</f>
        <v>0.03</v>
      </c>
      <c r="M2356" s="12" t="n">
        <f aca="false">g_ps</f>
        <v>0.03</v>
      </c>
      <c r="P2356" s="8" t="s">
        <v>626</v>
      </c>
    </row>
    <row r="2357" customFormat="false" ht="17.15" hidden="false" customHeight="false" outlineLevel="0" collapsed="false">
      <c r="A2357" s="0" t="s">
        <v>481</v>
      </c>
      <c r="B2357" s="0" t="s">
        <v>73</v>
      </c>
      <c r="C2357" s="38" t="n">
        <f aca="false">Q!$D$12</f>
        <v>156.146</v>
      </c>
      <c r="D2357" s="38" t="n">
        <f aca="false">Q!$E$12</f>
        <v>172.162</v>
      </c>
      <c r="E2357" s="38" t="n">
        <f aca="false">Q!$P$12</f>
        <v>88.358</v>
      </c>
      <c r="F2357" s="38" t="n">
        <f aca="false">Sens!$O$2357*(1+Sens!$F$2358)-pd_amt*Q!$O$12/(Q!$O$10+Q!$O$12)</f>
        <v>103.62028337149</v>
      </c>
      <c r="G2357" s="38" t="n">
        <f aca="false">Sens!$E$2357+Sens!$F$2357</f>
        <v>191.97828337149</v>
      </c>
      <c r="H2357" s="38" t="n">
        <f aca="false">Sens!$G$2357*(1+Sens!$H$2358)</f>
        <v>212.128608444755</v>
      </c>
      <c r="I2357" s="38" t="n">
        <f aca="false">Sens!$H$2357*(1+Sens!$I$2358)</f>
        <v>231.92183134134</v>
      </c>
      <c r="J2357" s="38" t="n">
        <f aca="false">Sens!$I$2357*(1+Sens!$J$2358)</f>
        <v>250.859136487863</v>
      </c>
      <c r="K2357" s="38" t="n">
        <f aca="false">Sens!$J$2357*(1+Sens!$K$2358)</f>
        <v>268.419276042014</v>
      </c>
      <c r="L2357" s="38" t="n">
        <f aca="false">Sens!$K$2357*(1+Sens!$L$2358)</f>
        <v>287.208625364954</v>
      </c>
      <c r="M2357" s="38" t="n">
        <f aca="false">Sens!$L$2357*(1+Sens!$M$2358)</f>
        <v>307.313229140501</v>
      </c>
      <c r="N2357" s="38" t="n">
        <f aca="false">Q!$N$12</f>
        <v>76.86</v>
      </c>
      <c r="O2357" s="38" t="n">
        <f aca="false">Q!$O$12</f>
        <v>95.302</v>
      </c>
      <c r="P2357" s="8" t="s">
        <v>622</v>
      </c>
    </row>
    <row r="2358" customFormat="false" ht="17.15" hidden="false" customHeight="false" outlineLevel="0" collapsed="false">
      <c r="A2358" s="0" t="s">
        <v>627</v>
      </c>
      <c r="B2358" s="0" t="s">
        <v>52</v>
      </c>
      <c r="E2358" s="12" t="n">
        <f aca="false">Sens!$E$2357/Sens!$N$2357-1</f>
        <v>0.1495966692688</v>
      </c>
      <c r="F2358" s="12" t="n">
        <f aca="false">Sens!$O$2357/(Q!$F$12+Q!$G$12)-1</f>
        <v>0.11661530890813</v>
      </c>
      <c r="G2358" s="12" t="n">
        <f aca="false">Sens!$G$2357/Sens!$D$2357-1</f>
        <v>0.115102539303041</v>
      </c>
      <c r="H2358" s="12" t="n">
        <f aca="false">Sens!$F$2358+(g_sp-Sens!$F$2358)*1/4</f>
        <v>0.104961481681098</v>
      </c>
      <c r="I2358" s="12" t="n">
        <f aca="false">Sens!$F$2358+(g_sp-Sens!$F$2358)*2/4</f>
        <v>0.0933076544540651</v>
      </c>
      <c r="J2358" s="12" t="n">
        <f aca="false">Sens!$F$2358+(g_sp-Sens!$F$2358)*3/4</f>
        <v>0.0816538272270325</v>
      </c>
      <c r="K2358" s="12" t="n">
        <f aca="false">Sens!$F$2358+(g_sp-Sens!$F$2358)*4/4</f>
        <v>0.07</v>
      </c>
      <c r="L2358" s="12" t="n">
        <f aca="false">g_sp</f>
        <v>0.07</v>
      </c>
      <c r="M2358" s="12" t="n">
        <f aca="false">g_sp</f>
        <v>0.07</v>
      </c>
      <c r="P2358" s="8" t="s">
        <v>628</v>
      </c>
    </row>
    <row r="2359" customFormat="false" ht="17.15" hidden="false" customHeight="false" outlineLevel="0" collapsed="false">
      <c r="A2359" s="0" t="s">
        <v>482</v>
      </c>
      <c r="B2359" s="0" t="s">
        <v>73</v>
      </c>
      <c r="C2359" s="38" t="n">
        <f aca="false">Q!$D$13</f>
        <v>56.214</v>
      </c>
      <c r="D2359" s="38" t="n">
        <f aca="false">Q!$E$13</f>
        <v>68.635</v>
      </c>
      <c r="E2359" s="38" t="n">
        <f aca="false">Q!$P$13</f>
        <v>37.052</v>
      </c>
      <c r="F2359" s="38" t="n">
        <f aca="false">Sens!$O$2359*(1+Sens!$F$2360)</f>
        <v>48.1533381827382</v>
      </c>
      <c r="G2359" s="38" t="n">
        <f aca="false">Sens!$E$2359+Sens!$F$2359</f>
        <v>85.2053381827382</v>
      </c>
      <c r="H2359" s="38" t="n">
        <f aca="false">Sens!$G$2359*(1+Sens!$H$2360)</f>
        <v>102.29336185894</v>
      </c>
      <c r="I2359" s="38" t="n">
        <f aca="false">Sens!$H$2359*(1+Sens!$I$2360)</f>
        <v>119.379837585241</v>
      </c>
      <c r="J2359" s="38" t="n">
        <f aca="false">Sens!$I$2359*(1+Sens!$J$2360)</f>
        <v>135.319079048844</v>
      </c>
      <c r="K2359" s="38" t="n">
        <f aca="false">Sens!$J$2359*(1+Sens!$K$2360)</f>
        <v>148.850986953729</v>
      </c>
      <c r="L2359" s="38" t="n">
        <f aca="false">Sens!$K$2359*(1+Sens!$L$2360)</f>
        <v>163.736085649102</v>
      </c>
      <c r="M2359" s="38" t="n">
        <f aca="false">Sens!$L$2359*(1+Sens!$M$2360)</f>
        <v>180.109694214012</v>
      </c>
      <c r="N2359" s="38" t="n">
        <f aca="false">Q!$N$13</f>
        <v>29.615</v>
      </c>
      <c r="O2359" s="38" t="n">
        <f aca="false">Q!$O$13</f>
        <v>39.02</v>
      </c>
      <c r="P2359" s="8" t="s">
        <v>622</v>
      </c>
    </row>
    <row r="2360" customFormat="false" ht="17.15" hidden="false" customHeight="false" outlineLevel="0" collapsed="false">
      <c r="A2360" s="0" t="s">
        <v>629</v>
      </c>
      <c r="B2360" s="0" t="s">
        <v>52</v>
      </c>
      <c r="E2360" s="12" t="n">
        <f aca="false">Sens!$E$2359/Sens!$N$2359-1</f>
        <v>0.25112274185379</v>
      </c>
      <c r="F2360" s="12" t="n">
        <f aca="false">Sens!$O$2359/(Q!$F$13+Q!$G$13)-1</f>
        <v>0.234068123596572</v>
      </c>
      <c r="G2360" s="12" t="n">
        <f aca="false">Sens!$G$2359/Sens!$D$2359-1</f>
        <v>0.241426942270536</v>
      </c>
      <c r="H2360" s="12" t="n">
        <f aca="false">Sens!$F$2360+(g_ad-Sens!$F$2360)*1/4</f>
        <v>0.200551092697429</v>
      </c>
      <c r="I2360" s="12" t="n">
        <f aca="false">Sens!$F$2360+(g_ad-Sens!$F$2360)*2/4</f>
        <v>0.167034061798286</v>
      </c>
      <c r="J2360" s="12" t="n">
        <f aca="false">Sens!$F$2360+(g_ad-Sens!$F$2360)*3/4</f>
        <v>0.133517030899143</v>
      </c>
      <c r="K2360" s="12" t="n">
        <f aca="false">Sens!$F$2360+(g_ad-Sens!$F$2360)*4/4</f>
        <v>0.1</v>
      </c>
      <c r="L2360" s="12" t="n">
        <f aca="false">g_ad</f>
        <v>0.1</v>
      </c>
      <c r="M2360" s="12" t="n">
        <f aca="false">g_ad</f>
        <v>0.1</v>
      </c>
      <c r="P2360" s="8" t="s">
        <v>630</v>
      </c>
    </row>
    <row r="2361" customFormat="false" ht="17.15" hidden="false" customHeight="false" outlineLevel="0" collapsed="false">
      <c r="A2361" s="0" t="s">
        <v>483</v>
      </c>
      <c r="B2361" s="0" t="s">
        <v>73</v>
      </c>
      <c r="C2361" s="38" t="n">
        <f aca="false">Q!$D$14</f>
        <v>44.374</v>
      </c>
      <c r="D2361" s="38" t="n">
        <f aca="false">Q!$E$14</f>
        <v>49.619</v>
      </c>
      <c r="E2361" s="38" t="n">
        <f aca="false">Q!$P$14</f>
        <v>27.157</v>
      </c>
      <c r="F2361" s="38" t="n">
        <f aca="false">Sens!$O$2361*(1+Sens!$F$2362)</f>
        <v>28.9776360923374</v>
      </c>
      <c r="G2361" s="38" t="n">
        <f aca="false">Sens!$E$2361+Sens!$F$2361</f>
        <v>56.1346360923374</v>
      </c>
      <c r="H2361" s="38" t="n">
        <f aca="false">Sens!$G$2361*(1+Sens!$H$2362)</f>
        <v>62.4937078946075</v>
      </c>
      <c r="I2361" s="38" t="n">
        <f aca="false">Sens!$H$2361*(1+Sens!$I$2362)</f>
        <v>68.6715233062498</v>
      </c>
      <c r="J2361" s="38" t="n">
        <f aca="false">Sens!$I$2361*(1+Sens!$J$2362)</f>
        <v>74.4692882949818</v>
      </c>
      <c r="K2361" s="38" t="n">
        <f aca="false">Sens!$J$2361*(1+Sens!$K$2362)</f>
        <v>79.6821384756306</v>
      </c>
      <c r="L2361" s="38" t="n">
        <f aca="false">Sens!$K$2361*(1+Sens!$L$2362)</f>
        <v>85.2598881689247</v>
      </c>
      <c r="M2361" s="38" t="n">
        <f aca="false">Sens!$L$2361*(1+Sens!$M$2362)</f>
        <v>91.2280803407494</v>
      </c>
      <c r="N2361" s="38" t="n">
        <f aca="false">Q!$N$14</f>
        <v>23.923</v>
      </c>
      <c r="O2361" s="38" t="n">
        <f aca="false">Q!$O$14</f>
        <v>25.696</v>
      </c>
      <c r="P2361" s="8" t="s">
        <v>622</v>
      </c>
    </row>
    <row r="2362" customFormat="false" ht="17.15" hidden="false" customHeight="false" outlineLevel="0" collapsed="false">
      <c r="A2362" s="0" t="s">
        <v>631</v>
      </c>
      <c r="B2362" s="0" t="s">
        <v>52</v>
      </c>
      <c r="E2362" s="12" t="n">
        <f aca="false">Sens!$E$2361/Sens!$N$2361-1</f>
        <v>0.135183714417088</v>
      </c>
      <c r="F2362" s="12" t="n">
        <f aca="false">Sens!$O$2361/(Q!$F$14+Q!$G$14)-1</f>
        <v>0.127709997366804</v>
      </c>
      <c r="G2362" s="12" t="n">
        <f aca="false">Sens!$G$2361/Sens!$D$2361-1</f>
        <v>0.131313329416905</v>
      </c>
      <c r="H2362" s="12" t="n">
        <f aca="false">Sens!$F$2362+(g_sub-Sens!$F$2362)*1/4</f>
        <v>0.113282498025103</v>
      </c>
      <c r="I2362" s="12" t="n">
        <f aca="false">Sens!$F$2362+(g_sub-Sens!$F$2362)*2/4</f>
        <v>0.0988549986834021</v>
      </c>
      <c r="J2362" s="12" t="n">
        <f aca="false">Sens!$F$2362+(g_sub-Sens!$F$2362)*3/4</f>
        <v>0.084427499341701</v>
      </c>
      <c r="K2362" s="12" t="n">
        <f aca="false">Sens!$F$2362+(g_sub-Sens!$F$2362)*4/4</f>
        <v>0.07</v>
      </c>
      <c r="L2362" s="12" t="n">
        <f aca="false">g_sub</f>
        <v>0.07</v>
      </c>
      <c r="M2362" s="12" t="n">
        <f aca="false">g_sub</f>
        <v>0.07</v>
      </c>
      <c r="P2362" s="8" t="s">
        <v>632</v>
      </c>
    </row>
    <row r="2363" customFormat="false" ht="17.15" hidden="false" customHeight="false" outlineLevel="0" collapsed="false">
      <c r="A2363" s="0" t="s">
        <v>484</v>
      </c>
      <c r="B2363" s="0" t="s">
        <v>73</v>
      </c>
      <c r="C2363" s="38" t="n">
        <f aca="false">Q!$D$15</f>
        <v>5.425</v>
      </c>
      <c r="D2363" s="38" t="n">
        <f aca="false">Q!$E$15</f>
        <v>5.935</v>
      </c>
      <c r="E2363" s="38" t="n">
        <f aca="false">Q!$P$15</f>
        <v>3.474</v>
      </c>
      <c r="F2363" s="38" t="n">
        <f aca="false">Sens!$O$2363*(1+Sens!$F$2364)</f>
        <v>3.36182431966931</v>
      </c>
      <c r="G2363" s="38" t="n">
        <f aca="false">Sens!$E$2363+Sens!$F$2363</f>
        <v>6.83582431966931</v>
      </c>
      <c r="H2363" s="38" t="n">
        <f aca="false">Sens!$G$2363*(1+Sens!$H$2364)</f>
        <v>7.31157108370141</v>
      </c>
      <c r="I2363" s="38" t="n">
        <f aca="false">Sens!$H$2363*(1+Sens!$I$2364)</f>
        <v>7.77266852639815</v>
      </c>
      <c r="J2363" s="38" t="n">
        <f aca="false">Sens!$I$2363*(1+Sens!$J$2364)</f>
        <v>8.2120733019884</v>
      </c>
      <c r="K2363" s="38" t="n">
        <f aca="false">Sens!$J$2363*(1+Sens!$K$2364)</f>
        <v>8.62267696708783</v>
      </c>
      <c r="L2363" s="38" t="n">
        <f aca="false">Sens!$K$2363*(1+Sens!$L$2364)</f>
        <v>9.05381081544222</v>
      </c>
      <c r="M2363" s="38" t="n">
        <f aca="false">Sens!$L$2363*(1+Sens!$M$2364)</f>
        <v>9.50650135621433</v>
      </c>
      <c r="N2363" s="38" t="n">
        <f aca="false">Q!$N$15</f>
        <v>2.811</v>
      </c>
      <c r="O2363" s="38" t="n">
        <f aca="false">Q!$O$15</f>
        <v>3.124</v>
      </c>
      <c r="P2363" s="8" t="s">
        <v>622</v>
      </c>
    </row>
    <row r="2364" customFormat="false" ht="17.15" hidden="false" customHeight="false" outlineLevel="0" collapsed="false">
      <c r="A2364" s="0" t="s">
        <v>633</v>
      </c>
      <c r="B2364" s="0" t="s">
        <v>52</v>
      </c>
      <c r="E2364" s="12" t="n">
        <f aca="false">Sens!$E$2363/Sens!$N$2363-1</f>
        <v>0.235859124866596</v>
      </c>
      <c r="F2364" s="12" t="n">
        <f aca="false">Sens!$O$2363/(Q!$F$15+Q!$G$15)-1</f>
        <v>0.0761281433000345</v>
      </c>
      <c r="G2364" s="12" t="n">
        <f aca="false">Sens!$G$2363/Sens!$D$2363-1</f>
        <v>0.151781688234087</v>
      </c>
      <c r="H2364" s="12" t="n">
        <f aca="false">Sens!$F$2364+(g_ot-Sens!$F$2364)*1/4</f>
        <v>0.0695961074750259</v>
      </c>
      <c r="I2364" s="12" t="n">
        <f aca="false">Sens!$F$2364+(g_ot-Sens!$F$2364)*2/4</f>
        <v>0.0630640716500172</v>
      </c>
      <c r="J2364" s="12" t="n">
        <f aca="false">Sens!$F$2364+(g_ot-Sens!$F$2364)*3/4</f>
        <v>0.0565320358250086</v>
      </c>
      <c r="K2364" s="12" t="n">
        <f aca="false">Sens!$F$2364+(g_ot-Sens!$F$2364)*4/4</f>
        <v>0.05</v>
      </c>
      <c r="L2364" s="12" t="n">
        <f aca="false">g_ot</f>
        <v>0.05</v>
      </c>
      <c r="M2364" s="12" t="n">
        <f aca="false">g_ot</f>
        <v>0.05</v>
      </c>
      <c r="P2364" s="8" t="s">
        <v>634</v>
      </c>
    </row>
    <row r="2365" customFormat="false" ht="17.15" hidden="false" customHeight="false" outlineLevel="0" collapsed="false">
      <c r="A2365" s="3" t="s">
        <v>635</v>
      </c>
      <c r="B2365" s="8" t="s">
        <v>73</v>
      </c>
      <c r="C2365" s="38" t="n">
        <f aca="false">Sens!$C$2353+Sens!$C$2355+Sens!$C$2357+Sens!$C$2359+Sens!$C$2361+Sens!$C$2363</f>
        <v>530.403</v>
      </c>
      <c r="D2365" s="38" t="n">
        <f aca="false">Sens!$D$2353+Sens!$D$2355+Sens!$D$2357+Sens!$D$2359+Sens!$D$2361+Sens!$D$2363</f>
        <v>588.199</v>
      </c>
      <c r="E2365" s="38" t="n">
        <f aca="false">Sens!$E$2353+Sens!$E$2355+Sens!$E$2357+Sens!$E$2359+Sens!$E$2361+Sens!$E$2363</f>
        <v>302.306</v>
      </c>
      <c r="F2365" s="38" t="n">
        <f aca="false">Sens!$F$2353+Sens!$F$2355+Sens!$F$2357+Sens!$F$2359+Sens!$F$2361+Sens!$F$2363</f>
        <v>356.93642920843</v>
      </c>
      <c r="G2365" s="38" t="n">
        <f aca="false">Sens!$G$2353+Sens!$G$2355+Sens!$G$2357+Sens!$G$2359+Sens!$G$2361+Sens!$G$2363</f>
        <v>659.24242920843</v>
      </c>
      <c r="H2365" s="38" t="n">
        <f aca="false">Sens!$H$2353+Sens!$H$2355+Sens!$H$2357+Sens!$H$2359+Sens!$H$2361+Sens!$H$2363</f>
        <v>729.935737621701</v>
      </c>
      <c r="I2365" s="38" t="n">
        <f aca="false">Sens!$I$2353+Sens!$I$2355+Sens!$I$2357+Sens!$I$2359+Sens!$I$2361+Sens!$I$2363</f>
        <v>798.295569697873</v>
      </c>
      <c r="J2365" s="38" t="n">
        <f aca="false">Sens!$J$2353+Sens!$J$2355+Sens!$J$2357+Sens!$J$2359+Sens!$J$2361+Sens!$J$2363</f>
        <v>861.736822325785</v>
      </c>
      <c r="K2365" s="38" t="n">
        <f aca="false">Sens!$K$2353+Sens!$K$2355+Sens!$K$2357+Sens!$K$2359+Sens!$K$2361+Sens!$K$2363</f>
        <v>917.557492101925</v>
      </c>
      <c r="L2365" s="38" t="n">
        <f aca="false">Sens!$L$2353+Sens!$L$2355+Sens!$L$2357+Sens!$L$2359+Sens!$L$2361+Sens!$L$2363</f>
        <v>977.285089743165</v>
      </c>
      <c r="M2365" s="38" t="n">
        <f aca="false">Sens!$M$2353+Sens!$M$2355+Sens!$M$2357+Sens!$M$2359+Sens!$M$2361+Sens!$M$2363</f>
        <v>1041.2140185435</v>
      </c>
      <c r="N2365" s="38" t="n">
        <f aca="false">Sens!$N$2353+Sens!$N$2355+Sens!$N$2357+Sens!$N$2359+Sens!$N$2361+Sens!$N$2363</f>
        <v>263.229</v>
      </c>
      <c r="O2365" s="38" t="n">
        <f aca="false">Sens!$O$2353+Sens!$O$2355+Sens!$O$2357+Sens!$O$2359+Sens!$O$2361+Sens!$O$2363</f>
        <v>324.97</v>
      </c>
    </row>
    <row r="2366" customFormat="false" ht="17.15" hidden="false" customHeight="false" outlineLevel="0" collapsed="false">
      <c r="A2366" s="5" t="s">
        <v>636</v>
      </c>
      <c r="B2366" s="0" t="s">
        <v>52</v>
      </c>
      <c r="C2366" s="12" t="n">
        <f aca="false">Q!$D$5/(Q!$D$5+Q!$D$6)</f>
        <v>0.730570905519011</v>
      </c>
      <c r="D2366" s="12" t="n">
        <f aca="false">Q!$E$5/(Q!$E$5+Q!$E$6)</f>
        <v>0.724763217890544</v>
      </c>
      <c r="E2366" s="12" t="n">
        <f aca="false">Q!$P$5/(Q!$P$5+Q!$P$6)</f>
        <v>0.728797972914861</v>
      </c>
      <c r="F2366" s="12" t="n">
        <f aca="false">Sens!$O$2366</f>
        <v>0.718066283041511</v>
      </c>
      <c r="G2366" s="12" t="n">
        <f aca="false">Sens!$G$2367/Sens!$G$2365</f>
        <v>0.722987468473627</v>
      </c>
      <c r="H2366" s="12" t="n">
        <f aca="false">Sens!$G$2366</f>
        <v>0.722987468473627</v>
      </c>
      <c r="I2366" s="12" t="n">
        <f aca="false">Sens!$G$2366</f>
        <v>0.722987468473627</v>
      </c>
      <c r="J2366" s="12" t="n">
        <f aca="false">Sens!$G$2366</f>
        <v>0.722987468473627</v>
      </c>
      <c r="K2366" s="12" t="n">
        <f aca="false">Sens!$G$2366</f>
        <v>0.722987468473627</v>
      </c>
      <c r="L2366" s="12" t="n">
        <f aca="false">Sens!$G$2366</f>
        <v>0.722987468473627</v>
      </c>
      <c r="M2366" s="12" t="n">
        <f aca="false">Sens!$G$2366</f>
        <v>0.722987468473627</v>
      </c>
      <c r="N2366" s="12" t="n">
        <f aca="false">Q!$N$5/(Q!$N$5+Q!$N$6)</f>
        <v>0.733030935041352</v>
      </c>
      <c r="O2366" s="12" t="n">
        <f aca="false">Q!$O$5/(Q!$O$5+Q!$O$6)</f>
        <v>0.718066283041511</v>
      </c>
      <c r="P2366" s="8" t="s">
        <v>637</v>
      </c>
    </row>
    <row r="2367" customFormat="false" ht="17.15" hidden="false" customHeight="false" outlineLevel="0" collapsed="false">
      <c r="A2367" s="1" t="s">
        <v>472</v>
      </c>
      <c r="B2367" s="8" t="s">
        <v>73</v>
      </c>
      <c r="C2367" s="38" t="n">
        <f aca="false">Q!$D$5</f>
        <v>387.497</v>
      </c>
      <c r="D2367" s="38" t="n">
        <f aca="false">Q!$E$5</f>
        <v>426.305</v>
      </c>
      <c r="E2367" s="38" t="n">
        <f aca="false">Q!$P$5</f>
        <v>220.32</v>
      </c>
      <c r="F2367" s="38" t="n">
        <f aca="false">Sens!$F$2365*Sens!$F$2366</f>
        <v>256.304015003807</v>
      </c>
      <c r="G2367" s="38" t="n">
        <f aca="false">Sens!$E$2367+Sens!$F$2367</f>
        <v>476.624015003807</v>
      </c>
      <c r="H2367" s="38" t="n">
        <f aca="false">Sens!$H$2365*Sens!$H$2366</f>
        <v>527.734391091543</v>
      </c>
      <c r="I2367" s="38" t="n">
        <f aca="false">Sens!$I$2365*Sens!$I$2366</f>
        <v>577.157693029577</v>
      </c>
      <c r="J2367" s="38" t="n">
        <f aca="false">Sens!$J$2365*Sens!$J$2366</f>
        <v>623.024923663827</v>
      </c>
      <c r="K2367" s="38" t="n">
        <f aca="false">Sens!$K$2365*Sens!$K$2366</f>
        <v>663.382568393781</v>
      </c>
      <c r="L2367" s="38" t="n">
        <f aca="false">Sens!$L$2365*Sens!$L$2366</f>
        <v>706.564873010432</v>
      </c>
      <c r="M2367" s="38" t="n">
        <f aca="false">Sens!$M$2365*Sens!$M$2366</f>
        <v>752.784687406019</v>
      </c>
      <c r="N2367" s="38" t="n">
        <f aca="false">Q!$N$5</f>
        <v>192.955</v>
      </c>
      <c r="O2367" s="38" t="n">
        <f aca="false">Q!$O$5</f>
        <v>233.35</v>
      </c>
      <c r="P2367" s="5" t="s">
        <v>638</v>
      </c>
    </row>
    <row r="2368" customFormat="false" ht="17.15" hidden="false" customHeight="false" outlineLevel="0" collapsed="false">
      <c r="A2368" s="1" t="s">
        <v>475</v>
      </c>
      <c r="B2368" s="8" t="s">
        <v>73</v>
      </c>
      <c r="C2368" s="38" t="n">
        <f aca="false">Q!$D$6</f>
        <v>142.906</v>
      </c>
      <c r="D2368" s="38" t="n">
        <f aca="false">Q!$E$6</f>
        <v>161.894</v>
      </c>
      <c r="E2368" s="38" t="n">
        <f aca="false">Q!$P$6</f>
        <v>81.986</v>
      </c>
      <c r="F2368" s="38" t="n">
        <f aca="false">Sens!$F$2365*(1-Sens!$F$2366)</f>
        <v>100.632414204623</v>
      </c>
      <c r="G2368" s="38" t="n">
        <f aca="false">Sens!$E$2368+Sens!$F$2368</f>
        <v>182.618414204623</v>
      </c>
      <c r="H2368" s="38" t="n">
        <f aca="false">Sens!$H$2365*(1-Sens!$H$2366)</f>
        <v>202.201346530158</v>
      </c>
      <c r="I2368" s="38" t="n">
        <f aca="false">Sens!$I$2365*(1-Sens!$I$2366)</f>
        <v>221.137876668296</v>
      </c>
      <c r="J2368" s="38" t="n">
        <f aca="false">Sens!$J$2365*(1-Sens!$J$2366)</f>
        <v>238.711898661958</v>
      </c>
      <c r="K2368" s="38" t="n">
        <f aca="false">Sens!$K$2365*(1-Sens!$K$2366)</f>
        <v>254.174923708144</v>
      </c>
      <c r="L2368" s="38" t="n">
        <f aca="false">Sens!$L$2365*(1-Sens!$L$2366)</f>
        <v>270.720216732733</v>
      </c>
      <c r="M2368" s="38" t="n">
        <f aca="false">Sens!$M$2365*(1-Sens!$M$2366)</f>
        <v>288.429331137484</v>
      </c>
      <c r="N2368" s="38" t="n">
        <f aca="false">Q!$N$6</f>
        <v>70.274</v>
      </c>
      <c r="O2368" s="38" t="n">
        <f aca="false">Q!$O$6</f>
        <v>91.62</v>
      </c>
      <c r="P2368" s="5" t="s">
        <v>639</v>
      </c>
    </row>
    <row r="2369" customFormat="false" ht="17.15" hidden="false" customHeight="false" outlineLevel="0" collapsed="false">
      <c r="A2369" s="5" t="s">
        <v>640</v>
      </c>
      <c r="B2369" s="0" t="s">
        <v>73</v>
      </c>
      <c r="C2369" s="38" t="n">
        <f aca="false">Sens!$C$2359*Sens!$C$2366</f>
        <v>41.0683128828457</v>
      </c>
      <c r="D2369" s="38" t="n">
        <f aca="false">Sens!$D$2359*Sens!$D$2366</f>
        <v>49.7441234599175</v>
      </c>
      <c r="E2369" s="38" t="n">
        <f aca="false">Sens!$E$2359*Sens!$E$2366</f>
        <v>27.0034224924414</v>
      </c>
      <c r="F2369" s="38" t="n">
        <f aca="false">Sens!$F$2359*Sens!$F$2366</f>
        <v>34.5772885649197</v>
      </c>
      <c r="G2369" s="38" t="n">
        <f aca="false">Sens!$G$2359*Sens!$G$2366</f>
        <v>61.6023917531772</v>
      </c>
      <c r="H2369" s="38" t="n">
        <f aca="false">Sens!$H$2359*Sens!$H$2366</f>
        <v>73.9568187320519</v>
      </c>
      <c r="I2369" s="38" t="n">
        <f aca="false">Sens!$I$2359*Sens!$I$2366</f>
        <v>86.3101265625461</v>
      </c>
      <c r="J2369" s="38" t="n">
        <f aca="false">Sens!$J$2359*Sens!$J$2366</f>
        <v>97.8339983977065</v>
      </c>
      <c r="K2369" s="38" t="n">
        <f aca="false">Sens!$K$2359*Sens!$K$2366</f>
        <v>107.617398237477</v>
      </c>
      <c r="L2369" s="38" t="n">
        <f aca="false">Sens!$L$2359*Sens!$L$2366</f>
        <v>118.379138061225</v>
      </c>
      <c r="M2369" s="38" t="n">
        <f aca="false">Sens!$M$2359*Sens!$M$2366</f>
        <v>130.217051867347</v>
      </c>
      <c r="N2369" s="38" t="n">
        <f aca="false">Sens!$N$2359*Sens!$N$2366</f>
        <v>21.7087111412496</v>
      </c>
      <c r="O2369" s="38" t="n">
        <f aca="false">Sens!$O$2359*Sens!$O$2366</f>
        <v>28.0189463642798</v>
      </c>
      <c r="P2369" s="5" t="s">
        <v>641</v>
      </c>
    </row>
    <row r="2370" customFormat="false" ht="15" hidden="false" customHeight="false" outlineLevel="0" collapsed="false">
      <c r="A2370" s="5" t="s">
        <v>642</v>
      </c>
      <c r="B2370" s="0" t="s">
        <v>73</v>
      </c>
      <c r="C2370" s="38" t="n">
        <f aca="false">Sens!$C$2359-Sens!$C$2369</f>
        <v>15.1456871171543</v>
      </c>
      <c r="D2370" s="38" t="n">
        <f aca="false">Sens!$D$2359-Sens!$D$2369</f>
        <v>18.8908765400825</v>
      </c>
      <c r="E2370" s="38" t="n">
        <f aca="false">Sens!$E$2359-Sens!$E$2369</f>
        <v>10.0485775075586</v>
      </c>
      <c r="F2370" s="38" t="n">
        <f aca="false">Sens!$F$2359-Sens!$F$2369</f>
        <v>13.5760496178185</v>
      </c>
      <c r="G2370" s="38" t="n">
        <f aca="false">Sens!$G$2359-Sens!$G$2369</f>
        <v>23.6029464295611</v>
      </c>
      <c r="H2370" s="38" t="n">
        <f aca="false">Sens!$H$2359-Sens!$H$2369</f>
        <v>28.3365431268884</v>
      </c>
      <c r="I2370" s="38" t="n">
        <f aca="false">Sens!$I$2359-Sens!$I$2369</f>
        <v>33.0697110226949</v>
      </c>
      <c r="J2370" s="38" t="n">
        <f aca="false">Sens!$J$2359-Sens!$J$2369</f>
        <v>37.4850806511378</v>
      </c>
      <c r="K2370" s="38" t="n">
        <f aca="false">Sens!$K$2359-Sens!$K$2369</f>
        <v>41.2335887162515</v>
      </c>
      <c r="L2370" s="38" t="n">
        <f aca="false">Sens!$L$2359-Sens!$L$2369</f>
        <v>45.3569475878767</v>
      </c>
      <c r="M2370" s="38" t="n">
        <f aca="false">Sens!$M$2359-Sens!$M$2369</f>
        <v>49.8926423466644</v>
      </c>
      <c r="N2370" s="38" t="n">
        <f aca="false">Sens!$N$2359-Sens!$N$2369</f>
        <v>7.90628885875037</v>
      </c>
      <c r="O2370" s="38" t="n">
        <f aca="false">Sens!$O$2359-Sens!$O$2369</f>
        <v>11.0010536357202</v>
      </c>
    </row>
    <row r="2371" customFormat="false" ht="19.4" hidden="false" customHeight="false" outlineLevel="0" collapsed="false">
      <c r="A2371" s="31" t="s">
        <v>1096</v>
      </c>
    </row>
    <row r="2372" customFormat="false" ht="17.15" hidden="false" customHeight="false" outlineLevel="0" collapsed="false">
      <c r="A2372" s="6" t="s">
        <v>16</v>
      </c>
      <c r="B2372" s="6" t="s">
        <v>17</v>
      </c>
      <c r="C2372" s="20" t="s">
        <v>457</v>
      </c>
      <c r="D2372" s="20" t="s">
        <v>458</v>
      </c>
      <c r="E2372" s="20" t="s">
        <v>540</v>
      </c>
      <c r="F2372" s="20" t="s">
        <v>541</v>
      </c>
      <c r="G2372" s="20" t="s">
        <v>542</v>
      </c>
      <c r="H2372" s="20" t="s">
        <v>543</v>
      </c>
      <c r="I2372" s="20" t="s">
        <v>544</v>
      </c>
      <c r="J2372" s="20" t="s">
        <v>545</v>
      </c>
      <c r="K2372" s="20" t="s">
        <v>546</v>
      </c>
      <c r="L2372" s="20" t="s">
        <v>547</v>
      </c>
      <c r="M2372" s="20" t="s">
        <v>548</v>
      </c>
      <c r="N2372" s="20" t="s">
        <v>549</v>
      </c>
      <c r="O2372" s="20" t="s">
        <v>550</v>
      </c>
      <c r="P2372" s="6" t="s">
        <v>23</v>
      </c>
      <c r="R2372" s="20" t="n">
        <v>2023</v>
      </c>
      <c r="S2372" s="20" t="n">
        <v>2024</v>
      </c>
      <c r="T2372" s="20" t="n">
        <v>2025</v>
      </c>
      <c r="U2372" s="20" t="n">
        <v>2026</v>
      </c>
      <c r="V2372" s="20" t="n">
        <v>2027</v>
      </c>
      <c r="W2372" s="20" t="n">
        <v>2028</v>
      </c>
      <c r="X2372" s="20" t="n">
        <v>2029</v>
      </c>
      <c r="Y2372" s="20" t="n">
        <v>2030</v>
      </c>
      <c r="Z2372" s="20" t="n">
        <v>2031</v>
      </c>
      <c r="AA2372" s="20" t="n">
        <v>2032</v>
      </c>
    </row>
    <row r="2373" customFormat="false" ht="17.15" hidden="false" customHeight="false" outlineLevel="0" collapsed="false">
      <c r="A2373" s="1" t="s">
        <v>551</v>
      </c>
    </row>
    <row r="2374" customFormat="false" ht="17.15" hidden="false" customHeight="false" outlineLevel="0" collapsed="false">
      <c r="A2374" s="14" t="s">
        <v>552</v>
      </c>
      <c r="B2374" s="13" t="s">
        <v>108</v>
      </c>
      <c r="C2374" s="32" t="n">
        <f aca="false">mw_ye24</f>
        <v>360</v>
      </c>
      <c r="D2374" s="32" t="n">
        <f aca="false">mw_ye25</f>
        <v>1440</v>
      </c>
      <c r="E2374" s="32" t="n">
        <f aca="false">mw_open</f>
        <v>2080</v>
      </c>
      <c r="F2374" s="32" t="n">
        <f aca="false">Sens!$E$2374+pace_B*0.5</f>
        <v>3897.15</v>
      </c>
      <c r="G2374" s="32" t="n">
        <f aca="false">Sens!$F$2374</f>
        <v>3897.15</v>
      </c>
      <c r="H2374" s="32" t="n">
        <f aca="false">Sens!$G$2374+pace_B</f>
        <v>7531.45</v>
      </c>
      <c r="I2374" s="32" t="n">
        <f aca="false">Sens!$H$2374+pace_B</f>
        <v>11165.75</v>
      </c>
      <c r="J2374" s="32" t="n">
        <f aca="false">Sens!$I$2374+pace_B</f>
        <v>14800.05</v>
      </c>
      <c r="K2374" s="32" t="n">
        <f aca="false">Sens!$J$2374+pace_B</f>
        <v>18434.35</v>
      </c>
      <c r="L2374" s="32" t="n">
        <f aca="false">Sens!$K$2374+pace_B</f>
        <v>22068.65</v>
      </c>
      <c r="M2374" s="32" t="n">
        <f aca="false">Sens!$L$2374+pace_B</f>
        <v>25702.95</v>
      </c>
      <c r="N2374" s="32" t="n">
        <f aca="false">(mw_ye24+mw_ye25)/2</f>
        <v>900</v>
      </c>
      <c r="O2374" s="32" t="n">
        <f aca="false">mw_ye25</f>
        <v>1440</v>
      </c>
      <c r="P2374" s="5" t="s">
        <v>553</v>
      </c>
    </row>
    <row r="2375" customFormat="false" ht="17.15" hidden="false" customHeight="false" outlineLevel="0" collapsed="false">
      <c r="A2375" s="5" t="s">
        <v>554</v>
      </c>
      <c r="B2375" s="0" t="s">
        <v>108</v>
      </c>
      <c r="C2375" s="33" t="n">
        <f aca="false">(mw_ye23+mw_ye24)/2</f>
        <v>240</v>
      </c>
      <c r="D2375" s="33" t="n">
        <f aca="false">(Sens!$C$2374+Sens!$D$2374)/2</f>
        <v>900</v>
      </c>
      <c r="E2375" s="33" t="n">
        <f aca="false">(Sens!$D$2374+Sens!$E$2374)/2</f>
        <v>1760</v>
      </c>
      <c r="F2375" s="33" t="n">
        <f aca="false">(Sens!$E$2374+Sens!$F$2374)/2</f>
        <v>2988.575</v>
      </c>
      <c r="G2375" s="33" t="n">
        <f aca="false">(Sens!$E$2375+Sens!$F$2375)/2</f>
        <v>2374.2875</v>
      </c>
      <c r="H2375" s="33" t="n">
        <f aca="false">(Sens!$G$2374+Sens!$H$2374)/2</f>
        <v>5714.3</v>
      </c>
      <c r="I2375" s="33" t="n">
        <f aca="false">(Sens!$H$2374+Sens!$I$2374)/2</f>
        <v>9348.6</v>
      </c>
      <c r="J2375" s="33" t="n">
        <f aca="false">(Sens!$I$2374+Sens!$J$2374)/2</f>
        <v>12982.9</v>
      </c>
      <c r="K2375" s="33" t="n">
        <f aca="false">(Sens!$J$2374+Sens!$K$2374)/2</f>
        <v>16617.2</v>
      </c>
      <c r="L2375" s="33" t="n">
        <f aca="false">(Sens!$K$2374+Sens!$L$2374)/2</f>
        <v>20251.5</v>
      </c>
      <c r="M2375" s="33" t="n">
        <f aca="false">(Sens!$L$2374+Sens!$M$2374)/2</f>
        <v>23885.8</v>
      </c>
      <c r="N2375" s="33" t="n">
        <f aca="false">(Sens!$C$2374+Sens!$N$2374)/2</f>
        <v>630</v>
      </c>
      <c r="O2375" s="33" t="n">
        <f aca="false">(Sens!$N$2374+Sens!$O$2374)/2</f>
        <v>1170</v>
      </c>
    </row>
    <row r="2376" customFormat="false" ht="15" hidden="false" customHeight="false" outlineLevel="0" collapsed="false">
      <c r="A2376" s="5" t="s">
        <v>555</v>
      </c>
      <c r="B2376" s="5" t="s">
        <v>102</v>
      </c>
      <c r="C2376" s="34" t="n">
        <v>1</v>
      </c>
      <c r="D2376" s="34" t="n">
        <v>1</v>
      </c>
      <c r="E2376" s="34" t="n">
        <v>0.5</v>
      </c>
      <c r="F2376" s="34" t="n">
        <v>0.5</v>
      </c>
      <c r="G2376" s="34" t="n">
        <v>1</v>
      </c>
      <c r="H2376" s="34" t="n">
        <v>1</v>
      </c>
      <c r="I2376" s="34" t="n">
        <v>1</v>
      </c>
      <c r="J2376" s="34" t="n">
        <v>1</v>
      </c>
      <c r="K2376" s="34" t="n">
        <v>1</v>
      </c>
      <c r="L2376" s="34" t="n">
        <v>1</v>
      </c>
      <c r="M2376" s="34" t="n">
        <v>1</v>
      </c>
      <c r="N2376" s="34" t="n">
        <v>0.5</v>
      </c>
      <c r="O2376" s="34" t="n">
        <v>0.5</v>
      </c>
    </row>
    <row r="2377" customFormat="false" ht="17.15" hidden="false" customHeight="false" outlineLevel="0" collapsed="false">
      <c r="A2377" s="5" t="s">
        <v>556</v>
      </c>
      <c r="B2377" s="0" t="s">
        <v>108</v>
      </c>
      <c r="C2377" s="33" t="n">
        <f aca="false">Sens!$C$2374-mw_ye23</f>
        <v>240</v>
      </c>
      <c r="D2377" s="33" t="n">
        <f aca="false">Sens!$D$2374-Sens!$C$2374</f>
        <v>1080</v>
      </c>
      <c r="E2377" s="33" t="n">
        <f aca="false">Sens!$E$2374-Sens!$D$2374</f>
        <v>640</v>
      </c>
      <c r="F2377" s="33" t="n">
        <f aca="false">Sens!$F$2374-Sens!$E$2374</f>
        <v>1817.15</v>
      </c>
      <c r="G2377" s="33" t="n">
        <f aca="false">Sens!$E$2377+Sens!$F$2377</f>
        <v>2457.15</v>
      </c>
      <c r="H2377" s="33" t="n">
        <f aca="false">Sens!$H$2374-Sens!$G$2374</f>
        <v>3634.3</v>
      </c>
      <c r="I2377" s="33" t="n">
        <f aca="false">Sens!$I$2374-Sens!$H$2374</f>
        <v>3634.3</v>
      </c>
      <c r="J2377" s="33" t="n">
        <f aca="false">Sens!$J$2374-Sens!$I$2374</f>
        <v>3634.3</v>
      </c>
      <c r="K2377" s="33" t="n">
        <f aca="false">Sens!$K$2374-Sens!$J$2374</f>
        <v>3634.3</v>
      </c>
      <c r="L2377" s="33" t="n">
        <f aca="false">Sens!$L$2374-Sens!$K$2374</f>
        <v>3634.3</v>
      </c>
      <c r="M2377" s="33" t="n">
        <f aca="false">Sens!$M$2374-Sens!$L$2374</f>
        <v>3634.3</v>
      </c>
      <c r="N2377" s="33" t="n">
        <f aca="false">Sens!$N$2374-Sens!$C$2374</f>
        <v>540</v>
      </c>
      <c r="O2377" s="33" t="n">
        <f aca="false">Sens!$O$2374-Sens!$N$2374</f>
        <v>540</v>
      </c>
    </row>
    <row r="2378" customFormat="false" ht="17.15" hidden="false" customHeight="false" outlineLevel="0" collapsed="false">
      <c r="A2378" s="5" t="s">
        <v>557</v>
      </c>
      <c r="B2378" s="0" t="s">
        <v>108</v>
      </c>
      <c r="C2378" s="33" t="n">
        <f aca="false">Sens!$C$2377/ext_sh</f>
        <v>300</v>
      </c>
      <c r="D2378" s="33" t="n">
        <f aca="false">Sens!$D$2377/ext_sh</f>
        <v>1350</v>
      </c>
      <c r="E2378" s="33" t="n">
        <f aca="false">Sens!$E$2377/ext_sh</f>
        <v>800</v>
      </c>
      <c r="F2378" s="33" t="n">
        <f aca="false">Sens!$F$2377/ext_sh</f>
        <v>2271.4375</v>
      </c>
      <c r="G2378" s="33" t="n">
        <f aca="false">Sens!$G$2377/ext_sh</f>
        <v>3071.4375</v>
      </c>
      <c r="H2378" s="33" t="n">
        <f aca="false">Sens!$H$2377/ext_sh</f>
        <v>4542.875</v>
      </c>
      <c r="I2378" s="33" t="n">
        <f aca="false">Sens!$I$2377/ext_sh</f>
        <v>4542.875</v>
      </c>
      <c r="J2378" s="33" t="n">
        <f aca="false">Sens!$J$2377/ext_sh</f>
        <v>4542.875</v>
      </c>
      <c r="K2378" s="33" t="n">
        <f aca="false">Sens!$K$2377/ext_sh</f>
        <v>4542.875</v>
      </c>
      <c r="L2378" s="33" t="n">
        <f aca="false">Sens!$L$2377/ext_sh</f>
        <v>4542.875</v>
      </c>
      <c r="M2378" s="33" t="n">
        <f aca="false">Sens!$M$2377/ext_sh</f>
        <v>4542.875</v>
      </c>
      <c r="N2378" s="33" t="n">
        <f aca="false">Sens!$N$2377/ext_sh</f>
        <v>675</v>
      </c>
      <c r="O2378" s="33" t="n">
        <f aca="false">Sens!$O$2377/ext_sh</f>
        <v>675</v>
      </c>
      <c r="P2378" s="8" t="s">
        <v>558</v>
      </c>
      <c r="R2378" s="33" t="n">
        <f aca="false">mw_ye23/ext_sh</f>
        <v>150</v>
      </c>
      <c r="S2378" s="33" t="n">
        <f aca="false">Sens!$C$2378</f>
        <v>300</v>
      </c>
      <c r="T2378" s="33" t="n">
        <f aca="false">Sens!$D$2378</f>
        <v>1350</v>
      </c>
      <c r="U2378" s="33" t="n">
        <f aca="false">Sens!$G$2378</f>
        <v>3071.4375</v>
      </c>
      <c r="V2378" s="33" t="n">
        <f aca="false">Sens!$H$2378</f>
        <v>4542.875</v>
      </c>
      <c r="W2378" s="33" t="n">
        <f aca="false">Sens!$I$2378</f>
        <v>4542.875</v>
      </c>
      <c r="X2378" s="33" t="n">
        <f aca="false">Sens!$J$2378</f>
        <v>4542.875</v>
      </c>
      <c r="Y2378" s="33" t="n">
        <f aca="false">Sens!$K$2378</f>
        <v>4542.875</v>
      </c>
      <c r="Z2378" s="33" t="n">
        <f aca="false">Sens!$L$2378</f>
        <v>4542.875</v>
      </c>
      <c r="AA2378" s="33" t="n">
        <f aca="false">Sens!$M$2378</f>
        <v>4542.875</v>
      </c>
    </row>
    <row r="2379" customFormat="false" ht="17.15" hidden="false" customHeight="false" outlineLevel="0" collapsed="false">
      <c r="A2379" s="1" t="s">
        <v>559</v>
      </c>
    </row>
    <row r="2380" customFormat="false" ht="17.15" hidden="false" customHeight="false" outlineLevel="0" collapsed="false">
      <c r="A2380" s="0" t="s">
        <v>560</v>
      </c>
      <c r="B2380" s="0" t="s">
        <v>52</v>
      </c>
      <c r="F2380" s="35" t="n">
        <f aca="false">na_vr26</f>
        <v>0</v>
      </c>
      <c r="G2380" s="35" t="n">
        <f aca="false">na_vr26</f>
        <v>0</v>
      </c>
      <c r="H2380" s="35" t="n">
        <f aca="false">na_vr27</f>
        <v>0.5</v>
      </c>
      <c r="I2380" s="35" t="n">
        <f aca="false">na_vr28</f>
        <v>1</v>
      </c>
      <c r="J2380" s="35" t="n">
        <f aca="false">na_vr28</f>
        <v>1</v>
      </c>
      <c r="K2380" s="35" t="n">
        <f aca="false">na_vr28</f>
        <v>1</v>
      </c>
      <c r="L2380" s="35" t="n">
        <f aca="false">na_vr28</f>
        <v>1</v>
      </c>
      <c r="M2380" s="35" t="n">
        <f aca="false">na_vr28</f>
        <v>1</v>
      </c>
    </row>
    <row r="2381" customFormat="false" ht="17.15" hidden="false" customHeight="false" outlineLevel="0" collapsed="false">
      <c r="A2381" s="5" t="s">
        <v>561</v>
      </c>
      <c r="B2381" s="0" t="s">
        <v>151</v>
      </c>
      <c r="F2381" s="36" t="n">
        <f aca="false">cust_sh*tk_he_gb300*cf_chip+(1-cust_sh)*((1-Sens!$F$2380)*tk_he_gb300+Sens!$F$2380*tk_he_vr200)</f>
        <v>10.8864110021101</v>
      </c>
      <c r="G2381" s="36" t="n">
        <f aca="false">cust_sh*tk_he_gb300*cf_chip+(1-cust_sh)*((1-Sens!$G$2380)*tk_he_gb300+Sens!$G$2380*tk_he_vr200)</f>
        <v>10.8864110021101</v>
      </c>
      <c r="H2381" s="36" t="n">
        <f aca="false">cust_sh*tk_he_gb300*cf_chip+(1-cust_sh)*((1-Sens!$H$2380)*tk_he_gb300+Sens!$H$2380*tk_he_vr200)</f>
        <v>11.2211760027286</v>
      </c>
      <c r="I2381" s="36" t="n">
        <f aca="false">cust_sh*tk_he_gb300*cf_chip+(1-cust_sh)*((1-Sens!$I$2380)*tk_he_gb300+Sens!$I$2380*tk_he_vr200)</f>
        <v>11.5559410033471</v>
      </c>
      <c r="J2381" s="36" t="n">
        <f aca="false">cust_sh*tk_he_gb300*cf_chip+(1-cust_sh)*((1-Sens!$J$2380)*tk_he_gb300+Sens!$J$2380*tk_he_vr200)</f>
        <v>11.5559410033471</v>
      </c>
      <c r="K2381" s="36" t="n">
        <f aca="false">cust_sh*tk_he_gb300*cf_chip+(1-cust_sh)*((1-Sens!$K$2380)*tk_he_gb300+Sens!$K$2380*tk_he_vr200)</f>
        <v>11.5559410033471</v>
      </c>
      <c r="L2381" s="36" t="n">
        <f aca="false">cust_sh*tk_he_gb300*cf_chip+(1-cust_sh)*((1-Sens!$L$2380)*tk_he_gb300+Sens!$L$2380*tk_he_vr200)</f>
        <v>11.5559410033471</v>
      </c>
      <c r="M2381" s="36" t="n">
        <f aca="false">cust_sh*tk_he_gb300*cf_chip+(1-cust_sh)*((1-Sens!$M$2380)*tk_he_gb300+Sens!$M$2380*tk_he_vr200)</f>
        <v>11.5559410033471</v>
      </c>
    </row>
    <row r="2382" customFormat="false" ht="17.15" hidden="false" customHeight="false" outlineLevel="0" collapsed="false">
      <c r="A2382" s="5" t="s">
        <v>562</v>
      </c>
      <c r="B2382" s="0" t="s">
        <v>151</v>
      </c>
      <c r="F2382" s="36" t="n">
        <f aca="false">cust_sh*tk_ox_gb300+(1-cust_sh)*((1-Sens!$F$2380)*tk_ox_gb300+Sens!$F$2380*tk_ox_vr200)</f>
        <v>1.98263481314457</v>
      </c>
      <c r="G2382" s="36" t="n">
        <f aca="false">cust_sh*tk_ox_gb300+(1-cust_sh)*((1-Sens!$G$2380)*tk_ox_gb300+Sens!$G$2380*tk_ox_vr200)</f>
        <v>1.98263481314457</v>
      </c>
      <c r="H2382" s="36" t="n">
        <f aca="false">cust_sh*tk_ox_gb300+(1-cust_sh)*((1-Sens!$H$2380)*tk_ox_gb300+Sens!$H$2380*tk_ox_vr200)</f>
        <v>2.01034999693694</v>
      </c>
      <c r="I2382" s="36" t="n">
        <f aca="false">cust_sh*tk_ox_gb300+(1-cust_sh)*((1-Sens!$I$2380)*tk_ox_gb300+Sens!$I$2380*tk_ox_vr200)</f>
        <v>2.0380651807293</v>
      </c>
      <c r="J2382" s="36" t="n">
        <f aca="false">cust_sh*tk_ox_gb300+(1-cust_sh)*((1-Sens!$J$2380)*tk_ox_gb300+Sens!$J$2380*tk_ox_vr200)</f>
        <v>2.0380651807293</v>
      </c>
      <c r="K2382" s="36" t="n">
        <f aca="false">cust_sh*tk_ox_gb300+(1-cust_sh)*((1-Sens!$K$2380)*tk_ox_gb300+Sens!$K$2380*tk_ox_vr200)</f>
        <v>2.0380651807293</v>
      </c>
      <c r="L2382" s="36" t="n">
        <f aca="false">cust_sh*tk_ox_gb300+(1-cust_sh)*((1-Sens!$L$2380)*tk_ox_gb300+Sens!$L$2380*tk_ox_vr200)</f>
        <v>2.0380651807293</v>
      </c>
      <c r="M2382" s="36" t="n">
        <f aca="false">cust_sh*tk_ox_gb300+(1-cust_sh)*((1-Sens!$M$2380)*tk_ox_gb300+Sens!$M$2380*tk_ox_vr200)</f>
        <v>2.0380651807293</v>
      </c>
    </row>
    <row r="2383" customFormat="false" ht="17.15" hidden="false" customHeight="false" outlineLevel="0" collapsed="false">
      <c r="A2383" s="5" t="s">
        <v>563</v>
      </c>
      <c r="B2383" s="0" t="s">
        <v>170</v>
      </c>
      <c r="F2383" s="36" t="n">
        <f aca="false">cust_sh*tk_cx_gb300*cf_cx+(1-cust_sh)*((1-Sens!$F$2380)*tk_cx_gb300+Sens!$F$2380*tk_cx_vr200)</f>
        <v>32.237224</v>
      </c>
      <c r="G2383" s="36" t="n">
        <f aca="false">cust_sh*tk_cx_gb300*cf_cx+(1-cust_sh)*((1-Sens!$G$2380)*tk_cx_gb300+Sens!$G$2380*tk_cx_vr200)</f>
        <v>32.237224</v>
      </c>
      <c r="H2383" s="36" t="n">
        <f aca="false">cust_sh*tk_cx_gb300*cf_cx+(1-cust_sh)*((1-Sens!$H$2380)*tk_cx_gb300+Sens!$H$2380*tk_cx_vr200)</f>
        <v>33.574506</v>
      </c>
      <c r="I2383" s="36" t="n">
        <f aca="false">cust_sh*tk_cx_gb300*cf_cx+(1-cust_sh)*((1-Sens!$I$2380)*tk_cx_gb300+Sens!$I$2380*tk_cx_vr200)</f>
        <v>34.911788</v>
      </c>
      <c r="J2383" s="36" t="n">
        <f aca="false">cust_sh*tk_cx_gb300*cf_cx+(1-cust_sh)*((1-Sens!$J$2380)*tk_cx_gb300+Sens!$J$2380*tk_cx_vr200)</f>
        <v>34.911788</v>
      </c>
      <c r="K2383" s="36" t="n">
        <f aca="false">cust_sh*tk_cx_gb300*cf_cx+(1-cust_sh)*((1-Sens!$K$2380)*tk_cx_gb300+Sens!$K$2380*tk_cx_vr200)</f>
        <v>34.911788</v>
      </c>
      <c r="L2383" s="36" t="n">
        <f aca="false">cust_sh*tk_cx_gb300*cf_cx+(1-cust_sh)*((1-Sens!$L$2380)*tk_cx_gb300+Sens!$L$2380*tk_cx_vr200)</f>
        <v>34.911788</v>
      </c>
      <c r="M2383" s="36" t="n">
        <f aca="false">cust_sh*tk_cx_gb300*cf_cx+(1-cust_sh)*((1-Sens!$M$2380)*tk_cx_gb300+Sens!$M$2380*tk_cx_vr200)</f>
        <v>34.911788</v>
      </c>
    </row>
    <row r="2384" customFormat="false" ht="17.15" hidden="false" customHeight="false" outlineLevel="0" collapsed="false">
      <c r="A2384" s="5" t="s">
        <v>564</v>
      </c>
      <c r="B2384" s="0" t="s">
        <v>108</v>
      </c>
      <c r="F2384" s="33" t="n">
        <f aca="false">Sens!$F$2374-mw_open</f>
        <v>1817.15</v>
      </c>
      <c r="G2384" s="33" t="n">
        <f aca="false">Sens!$F$2384</f>
        <v>1817.15</v>
      </c>
      <c r="H2384" s="33" t="n">
        <f aca="false">Sens!$H$2374-mw_open</f>
        <v>5451.45</v>
      </c>
      <c r="I2384" s="33" t="n">
        <f aca="false">Sens!$I$2374-mw_open</f>
        <v>9085.75</v>
      </c>
      <c r="J2384" s="33" t="n">
        <f aca="false">Sens!$J$2374-mw_open</f>
        <v>12720.05</v>
      </c>
      <c r="K2384" s="33" t="n">
        <f aca="false">Sens!$K$2374-mw_open</f>
        <v>16354.35</v>
      </c>
      <c r="L2384" s="33" t="n">
        <f aca="false">Sens!$L$2374-mw_open</f>
        <v>19988.65</v>
      </c>
      <c r="M2384" s="33" t="n">
        <f aca="false">Sens!$M$2374-mw_open</f>
        <v>23622.95</v>
      </c>
    </row>
    <row r="2385" customFormat="false" ht="17.15" hidden="false" customHeight="false" outlineLevel="0" collapsed="false">
      <c r="A2385" s="0" t="s">
        <v>565</v>
      </c>
      <c r="B2385" s="0" t="s">
        <v>566</v>
      </c>
      <c r="F2385" s="33" t="n">
        <f aca="false">Sens!$F$2377*Sens!$F$2381</f>
        <v>19782.2417524844</v>
      </c>
      <c r="G2385" s="33" t="n">
        <f aca="false">Sens!$F$2385</f>
        <v>19782.2417524844</v>
      </c>
      <c r="H2385" s="33" t="n">
        <f aca="false">Sens!$G$2385+Sens!$H$2377*Sens!$H$2381</f>
        <v>60563.3616992009</v>
      </c>
      <c r="I2385" s="33" t="n">
        <f aca="false">Sens!$H$2385+Sens!$I$2377*Sens!$I$2381</f>
        <v>102561.118087665</v>
      </c>
      <c r="J2385" s="33" t="n">
        <f aca="false">Sens!$I$2385+Sens!$J$2377*Sens!$J$2381</f>
        <v>144558.87447613</v>
      </c>
      <c r="K2385" s="33" t="n">
        <f aca="false">Sens!$J$2385+Sens!$K$2377*Sens!$K$2381</f>
        <v>186556.630864594</v>
      </c>
      <c r="L2385" s="33" t="n">
        <f aca="false">Sens!$K$2385+Sens!$L$2377*Sens!$L$2381</f>
        <v>228554.387253058</v>
      </c>
      <c r="M2385" s="33" t="n">
        <f aca="false">Sens!$L$2385+Sens!$M$2377*Sens!$M$2381</f>
        <v>270552.143641523</v>
      </c>
    </row>
    <row r="2386" customFormat="false" ht="17.15" hidden="false" customHeight="false" outlineLevel="0" collapsed="false">
      <c r="A2386" s="0" t="s">
        <v>567</v>
      </c>
      <c r="B2386" s="0" t="s">
        <v>566</v>
      </c>
      <c r="F2386" s="33" t="n">
        <f aca="false">Sens!$F$2377*Sens!$F$2382</f>
        <v>3602.74485070566</v>
      </c>
      <c r="G2386" s="33" t="n">
        <f aca="false">Sens!$F$2386</f>
        <v>3602.74485070566</v>
      </c>
      <c r="H2386" s="33" t="n">
        <f aca="false">Sens!$G$2386+Sens!$H$2377*Sens!$H$2382</f>
        <v>10908.9598445736</v>
      </c>
      <c r="I2386" s="33" t="n">
        <f aca="false">Sens!$H$2386+Sens!$I$2377*Sens!$I$2382</f>
        <v>18315.9001308981</v>
      </c>
      <c r="J2386" s="33" t="n">
        <f aca="false">Sens!$I$2386+Sens!$J$2377*Sens!$J$2382</f>
        <v>25722.8404172225</v>
      </c>
      <c r="K2386" s="33" t="n">
        <f aca="false">Sens!$J$2386+Sens!$K$2377*Sens!$K$2382</f>
        <v>33129.780703547</v>
      </c>
      <c r="L2386" s="33" t="n">
        <f aca="false">Sens!$K$2386+Sens!$L$2377*Sens!$L$2382</f>
        <v>40536.7209898715</v>
      </c>
      <c r="M2386" s="33" t="n">
        <f aca="false">Sens!$L$2386+Sens!$M$2377*Sens!$M$2382</f>
        <v>47943.661276196</v>
      </c>
    </row>
    <row r="2387" customFormat="false" ht="17.15" hidden="false" customHeight="false" outlineLevel="0" collapsed="false">
      <c r="A2387" s="5" t="s">
        <v>568</v>
      </c>
      <c r="B2387" s="0" t="s">
        <v>151</v>
      </c>
      <c r="F2387" s="36" t="n">
        <f aca="false">IF(Sens!$F$2384&gt;0,Sens!$F$2385/Sens!$F$2384,Sens!$F$2381)</f>
        <v>10.8864110021101</v>
      </c>
      <c r="G2387" s="36" t="n">
        <f aca="false">IF(Sens!$G$2384&gt;0,Sens!$G$2385/Sens!$G$2384,Sens!$G$2381)</f>
        <v>10.8864110021101</v>
      </c>
      <c r="H2387" s="36" t="n">
        <f aca="false">IF(Sens!$H$2384&gt;0,Sens!$H$2385/Sens!$H$2384,Sens!$H$2381)</f>
        <v>11.1095876691891</v>
      </c>
      <c r="I2387" s="36" t="n">
        <f aca="false">IF(Sens!$I$2384&gt;0,Sens!$I$2385/Sens!$I$2384,Sens!$I$2381)</f>
        <v>11.2881290028523</v>
      </c>
      <c r="J2387" s="36" t="n">
        <f aca="false">IF(Sens!$J$2384&gt;0,Sens!$J$2385/Sens!$J$2384,Sens!$J$2381)</f>
        <v>11.3646467172794</v>
      </c>
      <c r="K2387" s="36" t="n">
        <f aca="false">IF(Sens!$K$2384&gt;0,Sens!$K$2385/Sens!$K$2384,Sens!$K$2381)</f>
        <v>11.4071565586278</v>
      </c>
      <c r="L2387" s="36" t="n">
        <f aca="false">IF(Sens!$L$2384&gt;0,Sens!$L$2385/Sens!$L$2384,Sens!$L$2381)</f>
        <v>11.4342082758495</v>
      </c>
      <c r="M2387" s="36" t="n">
        <f aca="false">IF(Sens!$M$2384&gt;0,Sens!$M$2385/Sens!$M$2384,Sens!$M$2381)</f>
        <v>11.4529363877722</v>
      </c>
    </row>
    <row r="2388" customFormat="false" ht="17.15" hidden="false" customHeight="false" outlineLevel="0" collapsed="false">
      <c r="A2388" s="5" t="s">
        <v>569</v>
      </c>
      <c r="B2388" s="0" t="s">
        <v>151</v>
      </c>
      <c r="F2388" s="36" t="n">
        <f aca="false">IF(Sens!$F$2384&gt;0,Sens!$F$2386/Sens!$F$2384,Sens!$F$2382)</f>
        <v>1.98263481314457</v>
      </c>
      <c r="G2388" s="36" t="n">
        <f aca="false">IF(Sens!$G$2384&gt;0,Sens!$G$2386/Sens!$G$2384,Sens!$G$2382)</f>
        <v>1.98263481314457</v>
      </c>
      <c r="H2388" s="36" t="n">
        <f aca="false">IF(Sens!$H$2384&gt;0,Sens!$H$2386/Sens!$H$2384,Sens!$H$2382)</f>
        <v>2.00111160233948</v>
      </c>
      <c r="I2388" s="36" t="n">
        <f aca="false">IF(Sens!$I$2384&gt;0,Sens!$I$2386/Sens!$I$2384,Sens!$I$2382)</f>
        <v>2.01589303369541</v>
      </c>
      <c r="J2388" s="36" t="n">
        <f aca="false">IF(Sens!$J$2384&gt;0,Sens!$J$2386/Sens!$J$2384,Sens!$J$2382)</f>
        <v>2.02222793284795</v>
      </c>
      <c r="K2388" s="36" t="n">
        <f aca="false">IF(Sens!$K$2384&gt;0,Sens!$K$2386/Sens!$K$2384,Sens!$K$2382)</f>
        <v>2.02574732126603</v>
      </c>
      <c r="L2388" s="36" t="n">
        <f aca="false">IF(Sens!$L$2384&gt;0,Sens!$L$2386/Sens!$L$2384,Sens!$L$2382)</f>
        <v>2.02798693207753</v>
      </c>
      <c r="M2388" s="36" t="n">
        <f aca="false">IF(Sens!$M$2384&gt;0,Sens!$M$2386/Sens!$M$2384,Sens!$M$2382)</f>
        <v>2.02953743187011</v>
      </c>
    </row>
    <row r="2389" customFormat="false" ht="17.15" hidden="false" customHeight="false" outlineLevel="0" collapsed="false">
      <c r="A2389" s="14" t="s">
        <v>570</v>
      </c>
      <c r="B2389" s="13" t="s">
        <v>151</v>
      </c>
      <c r="C2389" s="13"/>
      <c r="D2389" s="13"/>
      <c r="E2389" s="13"/>
      <c r="F2389" s="37" t="n">
        <f aca="false">Sens!$F$2387*k_B</f>
        <v>10.7987645808025</v>
      </c>
      <c r="G2389" s="37" t="n">
        <f aca="false">Sens!$G$2387*k_B</f>
        <v>10.7987645808025</v>
      </c>
      <c r="H2389" s="37" t="n">
        <f aca="false">Sens!$H$2387*k_B</f>
        <v>11.0201444540452</v>
      </c>
      <c r="I2389" s="37" t="n">
        <f aca="false">Sens!$I$2387*k_B</f>
        <v>11.1972483526393</v>
      </c>
      <c r="J2389" s="37" t="n">
        <f aca="false">Sens!$J$2387*k_B</f>
        <v>11.2731500234653</v>
      </c>
      <c r="K2389" s="37" t="n">
        <f aca="false">Sens!$K$2387*k_B</f>
        <v>11.3153176183687</v>
      </c>
      <c r="L2389" s="37" t="n">
        <f aca="false">Sens!$L$2387*k_B</f>
        <v>11.3421515423981</v>
      </c>
      <c r="M2389" s="37" t="n">
        <f aca="false">Sens!$M$2387*k_B</f>
        <v>11.3607288744184</v>
      </c>
      <c r="N2389" s="13"/>
      <c r="O2389" s="13"/>
      <c r="P2389" s="5" t="s">
        <v>571</v>
      </c>
    </row>
    <row r="2390" customFormat="false" ht="17.15" hidden="false" customHeight="false" outlineLevel="0" collapsed="false">
      <c r="A2390" s="5" t="s">
        <v>572</v>
      </c>
      <c r="B2390" s="0" t="s">
        <v>108</v>
      </c>
      <c r="F2390" s="33" t="n">
        <f aca="false">Sens!$F$2384/2</f>
        <v>908.575</v>
      </c>
      <c r="H2390" s="33" t="n">
        <f aca="false">(Sens!$G$2384+Sens!$H$2384)/2</f>
        <v>3634.3</v>
      </c>
      <c r="I2390" s="33" t="n">
        <f aca="false">(Sens!$H$2384+Sens!$I$2384)/2</f>
        <v>7268.6</v>
      </c>
      <c r="J2390" s="33" t="n">
        <f aca="false">(Sens!$I$2384+Sens!$J$2384)/2</f>
        <v>10902.9</v>
      </c>
      <c r="K2390" s="33" t="n">
        <f aca="false">(Sens!$J$2384+Sens!$K$2384)/2</f>
        <v>14537.2</v>
      </c>
      <c r="L2390" s="33" t="n">
        <f aca="false">(Sens!$K$2384+Sens!$L$2384)/2</f>
        <v>18171.5</v>
      </c>
      <c r="M2390" s="33" t="n">
        <f aca="false">(Sens!$L$2384+Sens!$M$2384)/2</f>
        <v>21805.8</v>
      </c>
    </row>
    <row r="2391" customFormat="false" ht="17.15" hidden="false" customHeight="false" outlineLevel="0" collapsed="false">
      <c r="A2391" s="1" t="s">
        <v>573</v>
      </c>
    </row>
    <row r="2392" customFormat="false" ht="17.15" hidden="false" customHeight="false" outlineLevel="0" collapsed="false">
      <c r="A2392" s="1" t="s">
        <v>574</v>
      </c>
      <c r="B2392" s="8" t="s">
        <v>73</v>
      </c>
      <c r="C2392" s="38" t="n">
        <f aca="false">Sens!$C$2375*rpm_open*Sens!$C$2376/1000</f>
        <v>2.32100535697364</v>
      </c>
      <c r="D2392" s="38" t="n">
        <f aca="false">Sens!$D$2375*rpm_open*Sens!$D$2376/1000</f>
        <v>8.70377008865116</v>
      </c>
      <c r="E2392" s="38" t="n">
        <f aca="false">Sens!$E$2375*rpm_open*Sens!$E$2376/1000</f>
        <v>8.51035297557002</v>
      </c>
      <c r="F2392" s="38" t="n">
        <f aca="false">(mw_open*rpm_open+Sens!$F$2390*Sens!$F$2389)*Sens!$F$2376/1000</f>
        <v>14.9634336447205</v>
      </c>
      <c r="G2392" s="38" t="n">
        <f aca="false">Sens!$E$2392+Sens!$F$2392</f>
        <v>23.4737866202905</v>
      </c>
      <c r="H2392" s="38" t="n">
        <f aca="false">(mw_open*rpm_open+Sens!$H$2390*Sens!$H$2389)/1000</f>
        <v>60.1658907497746</v>
      </c>
      <c r="I2392" s="38" t="n">
        <f aca="false">(mw_open*rpm_open+Sens!$I$2390*Sens!$I$2389)/1000</f>
        <v>101.503699136432</v>
      </c>
      <c r="J2392" s="38" t="n">
        <f aca="false">(mw_open*rpm_open+Sens!$J$2390*Sens!$J$2389)/1000</f>
        <v>143.025407151278</v>
      </c>
      <c r="K2392" s="38" t="n">
        <f aca="false">(mw_open*rpm_open+Sens!$K$2390*Sens!$K$2389)/1000</f>
        <v>184.608415042187</v>
      </c>
      <c r="L2392" s="38" t="n">
        <f aca="false">(mw_open*rpm_open+Sens!$L$2390*Sens!$L$2389)/1000</f>
        <v>226.219286513125</v>
      </c>
      <c r="M2392" s="38" t="n">
        <f aca="false">(mw_open*rpm_open+Sens!$M$2390*Sens!$M$2389)/1000</f>
        <v>267.845161450232</v>
      </c>
      <c r="N2392" s="38" t="n">
        <f aca="false">Sens!$N$2375*rpm_open*Sens!$N$2376/1000</f>
        <v>3.04631953102791</v>
      </c>
      <c r="O2392" s="38" t="n">
        <f aca="false">Sens!$O$2375*rpm_open*Sens!$O$2376/1000</f>
        <v>5.65745055762326</v>
      </c>
      <c r="P2392" s="5" t="s">
        <v>575</v>
      </c>
    </row>
    <row r="2393" customFormat="false" ht="17.15" hidden="false" customHeight="false" outlineLevel="0" collapsed="false">
      <c r="A2393" s="5" t="s">
        <v>576</v>
      </c>
      <c r="B2393" s="0" t="s">
        <v>151</v>
      </c>
      <c r="C2393" s="36" t="n">
        <f aca="false">Sens!$C$2392*1000/(Sens!$C$2375*Sens!$C$2376)</f>
        <v>9.67085565405685</v>
      </c>
      <c r="D2393" s="36" t="n">
        <f aca="false">Sens!$D$2392*1000/(Sens!$D$2375*Sens!$D$2376)</f>
        <v>9.67085565405685</v>
      </c>
      <c r="E2393" s="36" t="n">
        <f aca="false">Sens!$E$2392*1000/(Sens!$E$2375*Sens!$E$2376)</f>
        <v>9.67085565405685</v>
      </c>
      <c r="F2393" s="36" t="n">
        <f aca="false">Sens!$F$2392*1000/(Sens!$F$2375*Sens!$F$2376)</f>
        <v>10.0137581588017</v>
      </c>
      <c r="G2393" s="36" t="n">
        <f aca="false">Sens!$G$2392*1000/(Sens!$G$2375*Sens!$G$2376)</f>
        <v>9.88666562928478</v>
      </c>
      <c r="H2393" s="36" t="n">
        <f aca="false">Sens!$H$2392*1000/(Sens!$H$2375*Sens!$H$2376)</f>
        <v>10.5290045586992</v>
      </c>
      <c r="I2393" s="36" t="n">
        <f aca="false">Sens!$I$2392*1000/(Sens!$I$2375*Sens!$I$2376)</f>
        <v>10.8576363451674</v>
      </c>
      <c r="J2393" s="36" t="n">
        <f aca="false">Sens!$J$2392*1000/(Sens!$J$2375*Sens!$J$2376)</f>
        <v>11.0164452588619</v>
      </c>
      <c r="K2393" s="36" t="n">
        <f aca="false">Sens!$K$2392*1000/(Sens!$K$2375*Sens!$K$2376)</f>
        <v>11.1094778327388</v>
      </c>
      <c r="L2393" s="36" t="n">
        <f aca="false">Sens!$L$2392*1000/(Sens!$L$2375*Sens!$L$2376)</f>
        <v>11.1704953466718</v>
      </c>
      <c r="M2393" s="36" t="n">
        <f aca="false">Sens!$M$2392*1000/(Sens!$M$2375*Sens!$M$2376)</f>
        <v>11.2135729785158</v>
      </c>
      <c r="N2393" s="36" t="n">
        <f aca="false">Sens!$N$2392*1000/(Sens!$N$2375*Sens!$N$2376)</f>
        <v>9.67085565405685</v>
      </c>
      <c r="O2393" s="36" t="n">
        <f aca="false">Sens!$O$2392*1000/(Sens!$O$2375*Sens!$O$2376)</f>
        <v>9.67085565405685</v>
      </c>
    </row>
    <row r="2394" customFormat="false" ht="17.15" hidden="false" customHeight="false" outlineLevel="0" collapsed="false">
      <c r="A2394" s="0" t="s">
        <v>577</v>
      </c>
      <c r="B2394" s="0" t="s">
        <v>73</v>
      </c>
      <c r="C2394" s="38" t="n">
        <f aca="false">Sens!$C$2375/ext_sh*(ox_open+rent_mw)*Sens!$C$2376/1000</f>
        <v>0.642569210675032</v>
      </c>
      <c r="D2394" s="38" t="n">
        <f aca="false">Sens!$D$2375/ext_sh*(ox_open+rent_mw)*Sens!$D$2376/1000</f>
        <v>2.40963454003137</v>
      </c>
      <c r="E2394" s="38" t="n">
        <f aca="false">Sens!$E$2375/ext_sh*(ox_open+rent_mw)*Sens!$E$2376/1000</f>
        <v>2.35608710580845</v>
      </c>
      <c r="F2394" s="38" t="n">
        <f aca="false">((mw_open*ox_open+Sens!$F$2390*Sens!$F$2388)/ext_sh+Sens!$F$2375/ext_sh*rent_mw)*Sens!$F$2376/1000</f>
        <v>4.05421991106232</v>
      </c>
      <c r="G2394" s="38" t="n">
        <f aca="false">Sens!$E$2394+Sens!$F$2394</f>
        <v>6.41030701687077</v>
      </c>
      <c r="H2394" s="38" t="n">
        <f aca="false">((mw_open*ox_open+Sens!$H$2390*Sens!$H$2388)/ext_sh+Sens!$H$2375/ext_sh*rent_mw)*Sens!$H$2376/1000</f>
        <v>15.8108975546616</v>
      </c>
      <c r="I2394" s="38" t="n">
        <f aca="false">((mw_open*ox_open+Sens!$I$2390*Sens!$I$2388)/ext_sh+Sens!$I$2375/ext_sh*rent_mw)*Sens!$I$2376/1000</f>
        <v>26.1871623400817</v>
      </c>
      <c r="J2394" s="38" t="n">
        <f aca="false">((mw_open*ox_open+Sens!$J$2390*Sens!$J$2388)/ext_sh+Sens!$J$2375/ext_sh*rent_mw)*Sens!$J$2376/1000</f>
        <v>36.5826128954935</v>
      </c>
      <c r="K2394" s="38" t="n">
        <f aca="false">((mw_open*ox_open+Sens!$K$2390*Sens!$K$2388)/ext_sh+Sens!$K$2375/ext_sh*rent_mw)*Sens!$K$2376/1000</f>
        <v>46.9844587075692</v>
      </c>
      <c r="L2394" s="38" t="n">
        <f aca="false">((mw_open*ox_open+Sens!$L$2390*Sens!$L$2388)/ext_sh+Sens!$L$2375/ext_sh*rent_mw)*Sens!$L$2376/1000</f>
        <v>57.3892114544922</v>
      </c>
      <c r="M2394" s="38" t="n">
        <f aca="false">((mw_open*ox_open+Sens!$M$2390*Sens!$M$2388)/ext_sh+Sens!$M$2375/ext_sh*rent_mw)*Sens!$M$2376/1000</f>
        <v>67.7955294740252</v>
      </c>
      <c r="N2394" s="38" t="n">
        <f aca="false">Sens!$N$2375/ext_sh*(ox_open+rent_mw)*Sens!$N$2376/1000</f>
        <v>0.84337208901098</v>
      </c>
      <c r="O2394" s="38" t="n">
        <f aca="false">Sens!$O$2375/ext_sh*(ox_open+rent_mw)*Sens!$O$2376/1000</f>
        <v>1.56626245102039</v>
      </c>
    </row>
    <row r="2395" customFormat="false" ht="17.15" hidden="false" customHeight="false" outlineLevel="0" collapsed="false">
      <c r="A2395" s="0" t="s">
        <v>578</v>
      </c>
      <c r="B2395" s="0" t="s">
        <v>73</v>
      </c>
      <c r="C2395" s="38" t="n">
        <f aca="false">Q!$D$7</f>
        <v>107.556</v>
      </c>
      <c r="D2395" s="38" t="n">
        <f aca="false">Q!$E$7</f>
        <v>128.725</v>
      </c>
      <c r="E2395" s="38" t="n">
        <f aca="false">Q!$P$7</f>
        <v>79.819</v>
      </c>
      <c r="N2395" s="38" t="n">
        <f aca="false">Q!$N$7</f>
        <v>60.14</v>
      </c>
      <c r="O2395" s="38" t="n">
        <f aca="false">Q!$O$7</f>
        <v>68.585</v>
      </c>
    </row>
    <row r="2396" customFormat="false" ht="17.15" hidden="false" customHeight="false" outlineLevel="0" collapsed="false">
      <c r="A2396" s="1" t="s">
        <v>579</v>
      </c>
      <c r="B2396" s="8" t="s">
        <v>73</v>
      </c>
      <c r="C2396" s="38" t="n">
        <f aca="false">Sens!$C$2395-Sens!$C$2392</f>
        <v>105.234994643026</v>
      </c>
      <c r="D2396" s="38" t="n">
        <f aca="false">Sens!$D$2395-Sens!$D$2392</f>
        <v>120.021229911349</v>
      </c>
      <c r="E2396" s="38" t="n">
        <f aca="false">Sens!$E$2395-Sens!$E$2392</f>
        <v>71.30864702443</v>
      </c>
      <c r="F2396" s="38" t="n">
        <f aca="false">Sens!$O$2396*(1+Sens!$F$2397)</f>
        <v>78.5950104186653</v>
      </c>
      <c r="G2396" s="38" t="n">
        <f aca="false">Sens!$E$2396+Sens!$F$2396</f>
        <v>149.903657443095</v>
      </c>
      <c r="H2396" s="38" t="n">
        <f aca="false">Sens!$G$2396*(1+Sens!$H$2397)</f>
        <v>180.893560768142</v>
      </c>
      <c r="I2396" s="38" t="n">
        <f aca="false">Sens!$H$2396*(1+Sens!$I$2397)</f>
        <v>210.64839721501</v>
      </c>
      <c r="J2396" s="38" t="n">
        <f aca="false">Sens!$I$2396*(1+Sens!$J$2397)</f>
        <v>236.398909446495</v>
      </c>
      <c r="K2396" s="38" t="n">
        <f aca="false">Sens!$J$2396*(1+Sens!$K$2397)</f>
        <v>255.310822202215</v>
      </c>
      <c r="L2396" s="38" t="n">
        <f aca="false">Sens!$K$2396*(1+Sens!$L$2397)</f>
        <v>275.735687978392</v>
      </c>
      <c r="M2396" s="38" t="n">
        <f aca="false">Sens!$L$2396*(1+Sens!$M$2397)</f>
        <v>297.794543016663</v>
      </c>
      <c r="N2396" s="38" t="n">
        <f aca="false">Sens!$N$2395-Sens!$N$2392</f>
        <v>57.0936804689721</v>
      </c>
      <c r="O2396" s="38" t="n">
        <f aca="false">Sens!$O$2395-Sens!$O$2392</f>
        <v>62.9275494423768</v>
      </c>
      <c r="P2396" s="5" t="s">
        <v>580</v>
      </c>
    </row>
    <row r="2397" customFormat="false" ht="17.15" hidden="false" customHeight="false" outlineLevel="0" collapsed="false">
      <c r="A2397" s="0" t="s">
        <v>581</v>
      </c>
      <c r="B2397" s="0" t="s">
        <v>52</v>
      </c>
      <c r="E2397" s="12" t="n">
        <f aca="false">Sens!$E$2396/Sens!$N$2396-1</f>
        <v>0.248976181579029</v>
      </c>
      <c r="F2397" s="12" t="n">
        <f aca="false">Sens!$E$2397</f>
        <v>0.248976181579029</v>
      </c>
      <c r="G2397" s="12" t="n">
        <f aca="false">Sens!$G$2396/Sens!$D$2396-1</f>
        <v>0.248976181579029</v>
      </c>
      <c r="H2397" s="12" t="n">
        <f aca="false">Sens!$E$2397+(g_awso_lt-Sens!$E$2397)*1/4</f>
        <v>0.206732136184272</v>
      </c>
      <c r="I2397" s="12" t="n">
        <f aca="false">Sens!$E$2397+(g_awso_lt-Sens!$E$2397)*2/4</f>
        <v>0.164488090789515</v>
      </c>
      <c r="J2397" s="12" t="n">
        <f aca="false">Sens!$E$2397+(g_awso_lt-Sens!$E$2397)*3/4</f>
        <v>0.122244045394757</v>
      </c>
      <c r="K2397" s="12" t="n">
        <f aca="false">Sens!$E$2397+(g_awso_lt-Sens!$E$2397)*4/4</f>
        <v>0.08</v>
      </c>
      <c r="L2397" s="12" t="n">
        <f aca="false">g_awso_lt</f>
        <v>0.08</v>
      </c>
      <c r="M2397" s="12" t="n">
        <f aca="false">g_awso_lt</f>
        <v>0.08</v>
      </c>
      <c r="P2397" s="8" t="s">
        <v>582</v>
      </c>
    </row>
    <row r="2398" customFormat="false" ht="17.15" hidden="false" customHeight="false" outlineLevel="0" collapsed="false">
      <c r="A2398" s="1" t="s">
        <v>583</v>
      </c>
    </row>
    <row r="2399" customFormat="false" ht="17.15" hidden="false" customHeight="false" outlineLevel="0" collapsed="false">
      <c r="A2399" s="0" t="s">
        <v>584</v>
      </c>
      <c r="B2399" s="0" t="s">
        <v>73</v>
      </c>
      <c r="F2399" s="38" t="n">
        <f aca="false">cx_rt*Sens!$F$2365+cx_awso*Sens!$F$2396</f>
        <v>36.8045765066526</v>
      </c>
    </row>
    <row r="2400" customFormat="false" ht="17.15" hidden="false" customHeight="false" outlineLevel="0" collapsed="false">
      <c r="A2400" s="0" t="s">
        <v>585</v>
      </c>
      <c r="B2400" s="0" t="s">
        <v>52</v>
      </c>
      <c r="C2400" s="12" t="n">
        <f aca="false">tk_cx_h100/(tk_cx_h100+tk_fac*(1-colo_sh))</f>
        <v>0.730756458006641</v>
      </c>
      <c r="D2400" s="12" t="n">
        <f aca="false">tk_cx_h100/(tk_cx_h100+tk_fac*(1-colo_sh))</f>
        <v>0.730756458006641</v>
      </c>
      <c r="E2400" s="12" t="n">
        <f aca="false">Sens!$F$2400</f>
        <v>0.760792334328868</v>
      </c>
      <c r="F2400" s="12" t="n">
        <f aca="false">Sens!$F$2383/(Sens!$F$2383+tk_fac*(1-colo_sh))</f>
        <v>0.760792334328868</v>
      </c>
      <c r="G2400" s="12" t="n">
        <f aca="false">Sens!$G$2383/(Sens!$G$2383+tk_fac*(1-colo_sh))</f>
        <v>0.760792334328868</v>
      </c>
      <c r="H2400" s="12" t="n">
        <f aca="false">Sens!$H$2383/(Sens!$H$2383+tk_fac*(1-colo_sh))</f>
        <v>0.768110668862996</v>
      </c>
      <c r="I2400" s="12" t="n">
        <f aca="false">Sens!$I$2383/(Sens!$I$2383+tk_fac*(1-colo_sh))</f>
        <v>0.77499450139483</v>
      </c>
      <c r="J2400" s="12" t="n">
        <f aca="false">Sens!$J$2383/(Sens!$J$2383+tk_fac*(1-colo_sh))</f>
        <v>0.77499450139483</v>
      </c>
      <c r="K2400" s="12" t="n">
        <f aca="false">Sens!$K$2383/(Sens!$K$2383+tk_fac*(1-colo_sh))</f>
        <v>0.77499450139483</v>
      </c>
      <c r="L2400" s="12" t="n">
        <f aca="false">Sens!$L$2383/(Sens!$L$2383+tk_fac*(1-colo_sh))</f>
        <v>0.77499450139483</v>
      </c>
      <c r="M2400" s="12" t="n">
        <f aca="false">Sens!$M$2383/(Sens!$M$2383+tk_fac*(1-colo_sh))</f>
        <v>0.77499450139483</v>
      </c>
    </row>
    <row r="2401" customFormat="false" ht="17.15" hidden="false" customHeight="false" outlineLevel="0" collapsed="false">
      <c r="A2401" s="1" t="s">
        <v>586</v>
      </c>
      <c r="B2401" s="8" t="s">
        <v>73</v>
      </c>
      <c r="C2401" s="38" t="n">
        <f aca="false">Q!$D$46-cx_rt*Q!$D$16-cx_awso*Sens!$C$2396</f>
        <v>25.2781053077374</v>
      </c>
      <c r="D2401" s="38" t="n">
        <f aca="false">Q!$E$46-cx_rt*Q!$E$16-cx_awso*Sens!$D$2396</f>
        <v>69.5686316310026</v>
      </c>
      <c r="E2401" s="38" t="n">
        <f aca="false">Q!$P$46-cx_rt*Q!$P$16-cx_awso*Sens!$E$2396</f>
        <v>64.1899206485108</v>
      </c>
      <c r="F2401" s="38" t="n">
        <f aca="false">MAX(Sens!$F$2378*(Sens!$F$2383+tk_fac*(1-colo_sh))/1000,capex_g26-Q!$P$46-Sens!$F$2399)</f>
        <v>96.2481299895</v>
      </c>
      <c r="G2401" s="38" t="n">
        <f aca="false">Sens!$E$2401+Sens!$F$2401</f>
        <v>160.438050638011</v>
      </c>
      <c r="H2401" s="38" t="n">
        <f aca="false">Sens!$H$2378*(Sens!$H$2383+tk_fac*(1-colo_sh))/1000+Sens!$H$2402</f>
        <v>198.57136494475</v>
      </c>
      <c r="I2401" s="38" t="n">
        <f aca="false">Sens!$I$2378*(Sens!$I$2383+tk_fac*(1-colo_sh))/1000+Sens!$I$2402</f>
        <v>204.6464699105</v>
      </c>
      <c r="J2401" s="38" t="n">
        <f aca="false">Sens!$J$2378*(Sens!$J$2383+tk_fac*(1-colo_sh))/1000+Sens!$J$2402</f>
        <v>209.8832381105</v>
      </c>
      <c r="K2401" s="38" t="n">
        <f aca="false">Sens!$K$2378*(Sens!$K$2383+tk_fac*(1-colo_sh))/1000+Sens!$K$2402</f>
        <v>215.1200063105</v>
      </c>
      <c r="L2401" s="38" t="n">
        <f aca="false">Sens!$L$2378*(Sens!$L$2383+tk_fac*(1-colo_sh))/1000+Sens!$L$2402</f>
        <v>251.7773837105</v>
      </c>
      <c r="M2401" s="38" t="n">
        <f aca="false">Sens!$M$2378*(Sens!$M$2383+tk_fac*(1-colo_sh))/1000+Sens!$M$2402</f>
        <v>311.87584476575</v>
      </c>
      <c r="P2401" s="5" t="s">
        <v>587</v>
      </c>
      <c r="R2401" s="38" t="n">
        <f aca="false">Q!$C$46-cx_rt*Q!$C$16-cx_awso*(Q!$C$7-mw_ye23/2*rpm_open/1000)</f>
        <v>1.50429979529945</v>
      </c>
      <c r="S2401" s="38" t="n">
        <f aca="false">Sens!$C$2401</f>
        <v>25.2781053077374</v>
      </c>
      <c r="T2401" s="38" t="n">
        <f aca="false">Sens!$D$2401</f>
        <v>69.5686316310026</v>
      </c>
      <c r="U2401" s="38" t="n">
        <f aca="false">Sens!$G$2401</f>
        <v>160.438050638011</v>
      </c>
      <c r="V2401" s="38" t="n">
        <f aca="false">Sens!$H$2401</f>
        <v>198.57136494475</v>
      </c>
      <c r="W2401" s="38" t="n">
        <f aca="false">Sens!$I$2401</f>
        <v>204.6464699105</v>
      </c>
      <c r="X2401" s="38" t="n">
        <f aca="false">Sens!$J$2401</f>
        <v>209.8832381105</v>
      </c>
      <c r="Y2401" s="38" t="n">
        <f aca="false">Sens!$K$2401</f>
        <v>215.1200063105</v>
      </c>
      <c r="Z2401" s="38" t="n">
        <f aca="false">Sens!$L$2401</f>
        <v>251.7773837105</v>
      </c>
      <c r="AA2401" s="38" t="n">
        <f aca="false">Sens!$M$2401</f>
        <v>311.87584476575</v>
      </c>
    </row>
    <row r="2402" customFormat="false" ht="17.15" hidden="false" customHeight="false" outlineLevel="0" collapsed="false">
      <c r="A2402" s="0" t="s">
        <v>588</v>
      </c>
      <c r="B2402" s="0" t="s">
        <v>73</v>
      </c>
      <c r="H2402" s="38" t="n">
        <f aca="false">SUMPRODUCT(--(Sens!$R$2372:$AA$2372=2027-tk_life),Sens!$R$2378:$AA$2378)*Sens!$H$2383/1000</f>
        <v>0</v>
      </c>
      <c r="I2402" s="38" t="n">
        <f aca="false">SUMPRODUCT(--(Sens!$R$2372:$AA$2372=2028-tk_life),Sens!$R$2378:$AA$2378)*Sens!$I$2383/1000</f>
        <v>0</v>
      </c>
      <c r="J2402" s="38" t="n">
        <f aca="false">SUMPRODUCT(--(Sens!$R$2372:$AA$2372=2029-tk_life),Sens!$R$2378:$AA$2378)*Sens!$J$2383/1000</f>
        <v>5.2367682</v>
      </c>
      <c r="K2402" s="38" t="n">
        <f aca="false">SUMPRODUCT(--(Sens!$R$2372:$AA$2372=2030-tk_life),Sens!$R$2378:$AA$2378)*Sens!$K$2383/1000</f>
        <v>10.4735364</v>
      </c>
      <c r="L2402" s="38" t="n">
        <f aca="false">SUMPRODUCT(--(Sens!$R$2372:$AA$2372=2031-tk_life),Sens!$R$2378:$AA$2378)*Sens!$L$2383/1000</f>
        <v>47.1309138</v>
      </c>
      <c r="M2402" s="38" t="n">
        <f aca="false">SUMPRODUCT(--(Sens!$R$2372:$AA$2372=2032-tk_life),Sens!$R$2378:$AA$2378)*Sens!$M$2383/1000</f>
        <v>107.22937485525</v>
      </c>
    </row>
    <row r="2403" customFormat="false" ht="17.15" hidden="false" customHeight="false" outlineLevel="0" collapsed="false">
      <c r="A2403" s="5" t="s">
        <v>589</v>
      </c>
      <c r="B2403" s="0" t="s">
        <v>73</v>
      </c>
      <c r="C2403" s="38" t="n">
        <f aca="false">Sens!$C$2401*Sens!$C$2400</f>
        <v>18.472138699801</v>
      </c>
      <c r="D2403" s="38" t="n">
        <f aca="false">Sens!$D$2401*Sens!$D$2400</f>
        <v>50.8377268390402</v>
      </c>
      <c r="E2403" s="38" t="n">
        <f aca="false">Sens!$E$2401*Sens!$E$2400</f>
        <v>48.8351995705653</v>
      </c>
      <c r="F2403" s="38" t="n">
        <f aca="false">Sens!$F$2401*Sens!$F$2400</f>
        <v>73.2248394895</v>
      </c>
      <c r="G2403" s="38" t="n">
        <f aca="false">Sens!$E$2403+Sens!$F$2403</f>
        <v>122.060039060065</v>
      </c>
      <c r="H2403" s="38" t="n">
        <f aca="false">(Sens!$H$2401-Sens!$H$2402)*Sens!$H$2400+Sens!$H$2402</f>
        <v>152.52478394475</v>
      </c>
      <c r="I2403" s="38" t="n">
        <f aca="false">(Sens!$I$2401-Sens!$I$2402)*Sens!$I$2400+Sens!$I$2402</f>
        <v>158.5998889105</v>
      </c>
      <c r="J2403" s="38" t="n">
        <f aca="false">(Sens!$J$2401-Sens!$J$2402)*Sens!$J$2400+Sens!$J$2402</f>
        <v>163.8366571105</v>
      </c>
      <c r="K2403" s="38" t="n">
        <f aca="false">(Sens!$K$2401-Sens!$K$2402)*Sens!$K$2400+Sens!$K$2402</f>
        <v>169.0734253105</v>
      </c>
      <c r="L2403" s="38" t="n">
        <f aca="false">(Sens!$L$2401-Sens!$L$2402)*Sens!$L$2400+Sens!$L$2402</f>
        <v>205.7308027105</v>
      </c>
      <c r="M2403" s="38" t="n">
        <f aca="false">(Sens!$M$2401-Sens!$M$2402)*Sens!$M$2400+Sens!$M$2402</f>
        <v>265.82926376575</v>
      </c>
      <c r="R2403" s="38" t="n">
        <f aca="false">Sens!$R$2401*Sens!$C$2400</f>
        <v>1.09927679019314</v>
      </c>
      <c r="S2403" s="38" t="n">
        <f aca="false">Sens!$C$2403</f>
        <v>18.472138699801</v>
      </c>
      <c r="T2403" s="38" t="n">
        <f aca="false">Sens!$D$2403</f>
        <v>50.8377268390402</v>
      </c>
      <c r="U2403" s="38" t="n">
        <f aca="false">Sens!$G$2403</f>
        <v>122.060039060065</v>
      </c>
      <c r="V2403" s="38" t="n">
        <f aca="false">Sens!$H$2403</f>
        <v>152.52478394475</v>
      </c>
      <c r="W2403" s="38" t="n">
        <f aca="false">Sens!$I$2403</f>
        <v>158.5998889105</v>
      </c>
      <c r="X2403" s="38" t="n">
        <f aca="false">Sens!$J$2403</f>
        <v>163.8366571105</v>
      </c>
      <c r="Y2403" s="38" t="n">
        <f aca="false">Sens!$K$2403</f>
        <v>169.0734253105</v>
      </c>
      <c r="Z2403" s="38" t="n">
        <f aca="false">Sens!$L$2403</f>
        <v>205.7308027105</v>
      </c>
      <c r="AA2403" s="38" t="n">
        <f aca="false">Sens!$M$2403</f>
        <v>265.82926376575</v>
      </c>
    </row>
    <row r="2404" customFormat="false" ht="15" hidden="false" customHeight="false" outlineLevel="0" collapsed="false">
      <c r="A2404" s="5" t="s">
        <v>590</v>
      </c>
      <c r="B2404" s="0" t="s">
        <v>73</v>
      </c>
      <c r="C2404" s="38" t="n">
        <f aca="false">Sens!$C$2401-Sens!$C$2403</f>
        <v>6.80596660793636</v>
      </c>
      <c r="D2404" s="38" t="n">
        <f aca="false">Sens!$D$2401-Sens!$D$2403</f>
        <v>18.7309047919624</v>
      </c>
      <c r="E2404" s="38" t="n">
        <f aca="false">Sens!$E$2401-Sens!$E$2403</f>
        <v>15.3547210779455</v>
      </c>
      <c r="F2404" s="38" t="n">
        <f aca="false">Sens!$F$2401-Sens!$F$2403</f>
        <v>23.0232905</v>
      </c>
      <c r="G2404" s="38" t="n">
        <f aca="false">Sens!$G$2401-Sens!$G$2403</f>
        <v>38.3780115779455</v>
      </c>
      <c r="H2404" s="38" t="n">
        <f aca="false">Sens!$H$2401-Sens!$H$2403</f>
        <v>46.046581</v>
      </c>
      <c r="I2404" s="38" t="n">
        <f aca="false">Sens!$I$2401-Sens!$I$2403</f>
        <v>46.046581</v>
      </c>
      <c r="J2404" s="38" t="n">
        <f aca="false">Sens!$J$2401-Sens!$J$2403</f>
        <v>46.046581</v>
      </c>
      <c r="K2404" s="38" t="n">
        <f aca="false">Sens!$K$2401-Sens!$K$2403</f>
        <v>46.046581</v>
      </c>
      <c r="L2404" s="38" t="n">
        <f aca="false">Sens!$L$2401-Sens!$L$2403</f>
        <v>46.046581</v>
      </c>
      <c r="M2404" s="38" t="n">
        <f aca="false">Sens!$M$2401-Sens!$M$2403</f>
        <v>46.046581</v>
      </c>
      <c r="R2404" s="38" t="n">
        <f aca="false">Sens!$R$2401-Sens!$R$2403</f>
        <v>0.405023005106309</v>
      </c>
      <c r="S2404" s="38" t="n">
        <f aca="false">Sens!$S$2401-Sens!$S$2403</f>
        <v>6.80596660793636</v>
      </c>
      <c r="T2404" s="38" t="n">
        <f aca="false">Sens!$T$2401-Sens!$T$2403</f>
        <v>18.7309047919624</v>
      </c>
      <c r="U2404" s="38" t="n">
        <f aca="false">Sens!$U$2401-Sens!$U$2403</f>
        <v>38.3780115779455</v>
      </c>
      <c r="V2404" s="38" t="n">
        <f aca="false">Sens!$V$2401-Sens!$V$2403</f>
        <v>46.046581</v>
      </c>
      <c r="W2404" s="38" t="n">
        <f aca="false">Sens!$W$2401-Sens!$W$2403</f>
        <v>46.046581</v>
      </c>
      <c r="X2404" s="38" t="n">
        <f aca="false">Sens!$X$2401-Sens!$X$2403</f>
        <v>46.046581</v>
      </c>
      <c r="Y2404" s="38" t="n">
        <f aca="false">Sens!$Y$2401-Sens!$Y$2403</f>
        <v>46.046581</v>
      </c>
      <c r="Z2404" s="38" t="n">
        <f aca="false">Sens!$Z$2401-Sens!$Z$2403</f>
        <v>46.046581</v>
      </c>
      <c r="AA2404" s="38" t="n">
        <f aca="false">Sens!$AA$2401-Sens!$AA$2403</f>
        <v>46.046581</v>
      </c>
    </row>
    <row r="2405" customFormat="false" ht="17.15" hidden="false" customHeight="false" outlineLevel="0" collapsed="false">
      <c r="A2405" s="0" t="s">
        <v>591</v>
      </c>
      <c r="B2405" s="0" t="s">
        <v>52</v>
      </c>
      <c r="C2405" s="12" t="n">
        <f aca="false">Sens!$C$2401/Sens!$C$2517</f>
        <v>0.325505489553393</v>
      </c>
      <c r="D2405" s="12" t="n">
        <f aca="false">Sens!$D$2401/Sens!$D$2517</f>
        <v>0.54214956071542</v>
      </c>
      <c r="E2405" s="12" t="n">
        <f aca="false">Sens!$E$2401/Sens!$E$2517</f>
        <v>0.666492790452817</v>
      </c>
      <c r="F2405" s="12" t="n">
        <f aca="false">Sens!$F$2401/Sens!$F$2517</f>
        <v>0.723383481058938</v>
      </c>
      <c r="G2405" s="12" t="n">
        <f aca="false">Sens!$G$2401/Sens!$G$2517</f>
        <v>0.699494931364102</v>
      </c>
      <c r="H2405" s="12" t="n">
        <f aca="false">Sens!$H$2401/Sens!$H$2517</f>
        <v>0.714619350171483</v>
      </c>
      <c r="I2405" s="12" t="n">
        <f aca="false">Sens!$I$2401/Sens!$I$2517</f>
        <v>0.696231624961614</v>
      </c>
      <c r="J2405" s="12" t="n">
        <f aca="false">Sens!$J$2401/Sens!$J$2517</f>
        <v>0.681286352509885</v>
      </c>
      <c r="K2405" s="12" t="n">
        <f aca="false">Sens!$K$2401/Sens!$K$2517</f>
        <v>0.671440649805508</v>
      </c>
      <c r="L2405" s="12" t="n">
        <f aca="false">Sens!$L$2401/Sens!$L$2517</f>
        <v>0.6904509846562</v>
      </c>
      <c r="M2405" s="12" t="n">
        <f aca="false">Sens!$M$2401/Sens!$M$2517</f>
        <v>0.720362080285865</v>
      </c>
    </row>
    <row r="2406" customFormat="false" ht="17.15" hidden="false" customHeight="false" outlineLevel="0" collapsed="false">
      <c r="A2406" s="0" t="s">
        <v>592</v>
      </c>
      <c r="B2406" s="0" t="s">
        <v>73</v>
      </c>
      <c r="C2406" s="38" t="n">
        <f aca="false">Sens!$S$2406</f>
        <v>0.183212798365523</v>
      </c>
      <c r="D2406" s="38" t="n">
        <f aca="false">Sens!$T$2406</f>
        <v>3.2619025816657</v>
      </c>
      <c r="E2406" s="38" t="n">
        <f aca="false">Sens!$G$2406/2</f>
        <v>5.86742852741953</v>
      </c>
      <c r="F2406" s="38" t="n">
        <f aca="false">Sens!$G$2406/2</f>
        <v>5.86742852741953</v>
      </c>
      <c r="G2406" s="38" t="n">
        <f aca="false">Sens!$U$2406</f>
        <v>11.7348570548391</v>
      </c>
      <c r="H2406" s="38" t="n">
        <f aca="false">Sens!$V$2406</f>
        <v>32.0781968981833</v>
      </c>
      <c r="I2406" s="38" t="n">
        <f aca="false">Sens!$W$2406</f>
        <v>57.4989942223083</v>
      </c>
      <c r="J2406" s="38" t="n">
        <f aca="false">Sens!$X$2406</f>
        <v>83.932309040725</v>
      </c>
      <c r="K2406" s="38" t="n">
        <f aca="false">Sens!$Y$2406</f>
        <v>111.055205760776</v>
      </c>
      <c r="L2406" s="38" t="n">
        <f aca="false">Sens!$Z$2406</f>
        <v>136.155420195893</v>
      </c>
      <c r="M2406" s="38" t="n">
        <f aca="false">Sens!$AA$2406</f>
        <v>161.970932841136</v>
      </c>
      <c r="N2406" s="38" t="n">
        <f aca="false">Sens!$D$2406/2</f>
        <v>1.63095129083285</v>
      </c>
      <c r="O2406" s="38" t="n">
        <f aca="false">Sens!$D$2406/2</f>
        <v>1.63095129083285</v>
      </c>
      <c r="R2406" s="38" t="n">
        <f aca="false">SUMPRODUCT(--(Sens!$R$2372:$AA$2372&lt;Sens!R$2372),--(Sens!$R$2372:$AA$2372&gt;=Sens!R$2372-tk_life),Sens!$R$2403:$AA$2403)/tk_life</f>
        <v>0</v>
      </c>
      <c r="S2406" s="38" t="n">
        <f aca="false">SUMPRODUCT(--(Sens!$R$2372:$AA$2372&lt;Sens!S$2372),--(Sens!$R$2372:$AA$2372&gt;=Sens!S$2372-tk_life),Sens!$R$2403:$AA$2403)/tk_life</f>
        <v>0.183212798365523</v>
      </c>
      <c r="T2406" s="38" t="n">
        <f aca="false">SUMPRODUCT(--(Sens!$R$2372:$AA$2372&lt;Sens!T$2372),--(Sens!$R$2372:$AA$2372&gt;=Sens!T$2372-tk_life),Sens!$R$2403:$AA$2403)/tk_life</f>
        <v>3.2619025816657</v>
      </c>
      <c r="U2406" s="38" t="n">
        <f aca="false">SUMPRODUCT(--(Sens!$R$2372:$AA$2372&lt;Sens!U$2372),--(Sens!$R$2372:$AA$2372&gt;=Sens!U$2372-tk_life),Sens!$R$2403:$AA$2403)/tk_life</f>
        <v>11.7348570548391</v>
      </c>
      <c r="V2406" s="38" t="n">
        <f aca="false">SUMPRODUCT(--(Sens!$R$2372:$AA$2372&lt;Sens!V$2372),--(Sens!$R$2372:$AA$2372&gt;=Sens!V$2372-tk_life),Sens!$R$2403:$AA$2403)/tk_life</f>
        <v>32.0781968981833</v>
      </c>
      <c r="W2406" s="38" t="n">
        <f aca="false">SUMPRODUCT(--(Sens!$R$2372:$AA$2372&lt;Sens!W$2372),--(Sens!$R$2372:$AA$2372&gt;=Sens!W$2372-tk_life),Sens!$R$2403:$AA$2403)/tk_life</f>
        <v>57.4989942223083</v>
      </c>
      <c r="X2406" s="38" t="n">
        <f aca="false">SUMPRODUCT(--(Sens!$R$2372:$AA$2372&lt;Sens!X$2372),--(Sens!$R$2372:$AA$2372&gt;=Sens!X$2372-tk_life),Sens!$R$2403:$AA$2403)/tk_life</f>
        <v>83.932309040725</v>
      </c>
      <c r="Y2406" s="38" t="n">
        <f aca="false">SUMPRODUCT(--(Sens!$R$2372:$AA$2372&lt;Sens!Y$2372),--(Sens!$R$2372:$AA$2372&gt;=Sens!Y$2372-tk_life),Sens!$R$2403:$AA$2403)/tk_life</f>
        <v>111.055205760776</v>
      </c>
      <c r="Z2406" s="38" t="n">
        <f aca="false">SUMPRODUCT(--(Sens!$R$2372:$AA$2372&lt;Sens!Z$2372),--(Sens!$R$2372:$AA$2372&gt;=Sens!Z$2372-tk_life),Sens!$R$2403:$AA$2403)/tk_life</f>
        <v>136.155420195893</v>
      </c>
      <c r="AA2406" s="38" t="n">
        <f aca="false">SUMPRODUCT(--(Sens!$R$2372:$AA$2372&lt;Sens!AA$2372),--(Sens!$R$2372:$AA$2372&gt;=Sens!AA$2372-tk_life),Sens!$R$2403:$AA$2403)/tk_life</f>
        <v>161.970932841136</v>
      </c>
    </row>
    <row r="2407" customFormat="false" ht="17.15" hidden="false" customHeight="false" outlineLevel="0" collapsed="false">
      <c r="A2407" s="0" t="s">
        <v>593</v>
      </c>
      <c r="B2407" s="0" t="s">
        <v>73</v>
      </c>
      <c r="C2407" s="38" t="n">
        <f aca="false">Sens!$S$2407</f>
        <v>0.0202511502553155</v>
      </c>
      <c r="D2407" s="38" t="n">
        <f aca="false">Sens!$T$2407</f>
        <v>0.360549480652134</v>
      </c>
      <c r="E2407" s="38" t="n">
        <f aca="false">Sens!$G$2407/2</f>
        <v>0.648547360125127</v>
      </c>
      <c r="F2407" s="38" t="n">
        <f aca="false">Sens!$G$2407/2</f>
        <v>0.648547360125127</v>
      </c>
      <c r="G2407" s="38" t="n">
        <f aca="false">Sens!$U$2407</f>
        <v>1.29709472025025</v>
      </c>
      <c r="H2407" s="38" t="n">
        <f aca="false">Sens!$V$2407</f>
        <v>3.21599529914753</v>
      </c>
      <c r="I2407" s="38" t="n">
        <f aca="false">Sens!$W$2407</f>
        <v>5.51832434914753</v>
      </c>
      <c r="J2407" s="38" t="n">
        <f aca="false">Sens!$X$2407</f>
        <v>7.82065339914753</v>
      </c>
      <c r="K2407" s="38" t="n">
        <f aca="false">Sens!$Y$2407</f>
        <v>10.1229824491475</v>
      </c>
      <c r="L2407" s="38" t="n">
        <f aca="false">Sens!$Z$2407</f>
        <v>12.4253114991475</v>
      </c>
      <c r="M2407" s="38" t="n">
        <f aca="false">Sens!$AA$2407</f>
        <v>14.7276405491475</v>
      </c>
      <c r="N2407" s="38" t="n">
        <f aca="false">Sens!$D$2407/2</f>
        <v>0.180274740326067</v>
      </c>
      <c r="O2407" s="38" t="n">
        <f aca="false">Sens!$D$2407/2</f>
        <v>0.180274740326067</v>
      </c>
      <c r="R2407" s="38" t="n">
        <f aca="false">SUMPRODUCT(--(Sens!$R$2372:$AA$2372&lt;Sens!R$2372),Sens!$R$2404:$AA$2404)/fac_life</f>
        <v>0</v>
      </c>
      <c r="S2407" s="38" t="n">
        <f aca="false">SUMPRODUCT(--(Sens!$R$2372:$AA$2372&lt;Sens!S$2372),Sens!$R$2404:$AA$2404)/fac_life</f>
        <v>0.0202511502553155</v>
      </c>
      <c r="T2407" s="38" t="n">
        <f aca="false">SUMPRODUCT(--(Sens!$R$2372:$AA$2372&lt;Sens!T$2372),Sens!$R$2404:$AA$2404)/fac_life</f>
        <v>0.360549480652134</v>
      </c>
      <c r="U2407" s="38" t="n">
        <f aca="false">SUMPRODUCT(--(Sens!$R$2372:$AA$2372&lt;Sens!U$2372),Sens!$R$2404:$AA$2404)/fac_life</f>
        <v>1.29709472025025</v>
      </c>
      <c r="V2407" s="38" t="n">
        <f aca="false">SUMPRODUCT(--(Sens!$R$2372:$AA$2372&lt;Sens!V$2372),Sens!$R$2404:$AA$2404)/fac_life</f>
        <v>3.21599529914753</v>
      </c>
      <c r="W2407" s="38" t="n">
        <f aca="false">SUMPRODUCT(--(Sens!$R$2372:$AA$2372&lt;Sens!W$2372),Sens!$R$2404:$AA$2404)/fac_life</f>
        <v>5.51832434914753</v>
      </c>
      <c r="X2407" s="38" t="n">
        <f aca="false">SUMPRODUCT(--(Sens!$R$2372:$AA$2372&lt;Sens!X$2372),Sens!$R$2404:$AA$2404)/fac_life</f>
        <v>7.82065339914753</v>
      </c>
      <c r="Y2407" s="38" t="n">
        <f aca="false">SUMPRODUCT(--(Sens!$R$2372:$AA$2372&lt;Sens!Y$2372),Sens!$R$2404:$AA$2404)/fac_life</f>
        <v>10.1229824491475</v>
      </c>
      <c r="Z2407" s="38" t="n">
        <f aca="false">SUMPRODUCT(--(Sens!$R$2372:$AA$2372&lt;Sens!Z$2372),Sens!$R$2404:$AA$2404)/fac_life</f>
        <v>12.4253114991475</v>
      </c>
      <c r="AA2407" s="38" t="n">
        <f aca="false">SUMPRODUCT(--(Sens!$R$2372:$AA$2372&lt;Sens!AA$2372),Sens!$R$2404:$AA$2404)/fac_life</f>
        <v>14.7276405491475</v>
      </c>
    </row>
    <row r="2408" customFormat="false" ht="17.15" hidden="false" customHeight="false" outlineLevel="0" collapsed="false">
      <c r="A2408" s="1" t="s">
        <v>594</v>
      </c>
      <c r="B2408" s="8" t="s">
        <v>73</v>
      </c>
      <c r="C2408" s="38" t="n">
        <f aca="false">Sens!$C$2406+Sens!$C$2407</f>
        <v>0.203463948620839</v>
      </c>
      <c r="D2408" s="38" t="n">
        <f aca="false">Sens!$D$2406+Sens!$D$2407</f>
        <v>3.62245206231783</v>
      </c>
      <c r="E2408" s="38" t="n">
        <f aca="false">Sens!$E$2406+Sens!$E$2407</f>
        <v>6.51597588754466</v>
      </c>
      <c r="F2408" s="38" t="n">
        <f aca="false">Sens!$F$2406+Sens!$F$2407</f>
        <v>6.51597588754466</v>
      </c>
      <c r="G2408" s="38" t="n">
        <f aca="false">Sens!$G$2406+Sens!$G$2407</f>
        <v>13.0319517750893</v>
      </c>
      <c r="H2408" s="38" t="n">
        <f aca="false">Sens!$H$2406+Sens!$H$2407</f>
        <v>35.2941921973308</v>
      </c>
      <c r="I2408" s="38" t="n">
        <f aca="false">Sens!$I$2406+Sens!$I$2407</f>
        <v>63.0173185714558</v>
      </c>
      <c r="J2408" s="38" t="n">
        <f aca="false">Sens!$J$2406+Sens!$J$2407</f>
        <v>91.7529624398725</v>
      </c>
      <c r="K2408" s="38" t="n">
        <f aca="false">Sens!$K$2406+Sens!$K$2407</f>
        <v>121.178188209924</v>
      </c>
      <c r="L2408" s="38" t="n">
        <f aca="false">Sens!$L$2406+Sens!$L$2407</f>
        <v>148.58073169504</v>
      </c>
      <c r="M2408" s="38" t="n">
        <f aca="false">Sens!$M$2406+Sens!$M$2407</f>
        <v>176.698573390283</v>
      </c>
      <c r="N2408" s="38" t="n">
        <f aca="false">Sens!$N$2406+Sens!$N$2407</f>
        <v>1.81122603115892</v>
      </c>
      <c r="O2408" s="38" t="n">
        <f aca="false">Sens!$O$2406+Sens!$O$2407</f>
        <v>1.81122603115892</v>
      </c>
      <c r="R2408" s="38" t="n">
        <f aca="false">Sens!$R$2406+Sens!$R$2407</f>
        <v>0</v>
      </c>
      <c r="S2408" s="38" t="n">
        <f aca="false">Sens!$S$2406+Sens!$S$2407</f>
        <v>0.203463948620839</v>
      </c>
      <c r="T2408" s="38" t="n">
        <f aca="false">Sens!$T$2406+Sens!$T$2407</f>
        <v>3.62245206231783</v>
      </c>
      <c r="U2408" s="38" t="n">
        <f aca="false">Sens!$U$2406+Sens!$U$2407</f>
        <v>13.0319517750893</v>
      </c>
      <c r="V2408" s="38" t="n">
        <f aca="false">Sens!$V$2406+Sens!$V$2407</f>
        <v>35.2941921973308</v>
      </c>
      <c r="W2408" s="38" t="n">
        <f aca="false">Sens!$W$2406+Sens!$W$2407</f>
        <v>63.0173185714558</v>
      </c>
      <c r="X2408" s="38" t="n">
        <f aca="false">Sens!$X$2406+Sens!$X$2407</f>
        <v>91.7529624398725</v>
      </c>
      <c r="Y2408" s="38" t="n">
        <f aca="false">Sens!$Y$2406+Sens!$Y$2407</f>
        <v>121.178188209924</v>
      </c>
      <c r="Z2408" s="38" t="n">
        <f aca="false">Sens!$Z$2406+Sens!$Z$2407</f>
        <v>148.58073169504</v>
      </c>
      <c r="AA2408" s="38" t="n">
        <f aca="false">Sens!$AA$2406+Sens!$AA$2407</f>
        <v>176.698573390283</v>
      </c>
    </row>
    <row r="2409" customFormat="false" ht="17.15" hidden="false" customHeight="false" outlineLevel="0" collapsed="false">
      <c r="A2409" s="0" t="s">
        <v>595</v>
      </c>
      <c r="B2409" s="0" t="s">
        <v>73</v>
      </c>
      <c r="C2409" s="38" t="n">
        <f aca="false">Sens!$S$2409</f>
        <v>26.578941154416</v>
      </c>
      <c r="D2409" s="38" t="n">
        <f aca="false">Sens!$T$2409</f>
        <v>92.5251207231008</v>
      </c>
      <c r="G2409" s="38" t="n">
        <f aca="false">Sens!$U$2409</f>
        <v>239.931219586022</v>
      </c>
      <c r="H2409" s="38" t="n">
        <f aca="false">Sens!$V$2409</f>
        <v>403.208392333442</v>
      </c>
      <c r="I2409" s="38" t="n">
        <f aca="false">Sens!$W$2409</f>
        <v>544.837543672486</v>
      </c>
      <c r="J2409" s="38" t="n">
        <f aca="false">Sens!$X$2409</f>
        <v>662.967819343113</v>
      </c>
      <c r="K2409" s="38" t="n">
        <f aca="false">Sens!$Y$2409</f>
        <v>756.90963744369</v>
      </c>
      <c r="L2409" s="38" t="n">
        <f aca="false">Sens!$Z$2409</f>
        <v>860.10628945915</v>
      </c>
      <c r="M2409" s="38" t="n">
        <f aca="false">Sens!$AA$2409</f>
        <v>995.283560834616</v>
      </c>
      <c r="R2409" s="38" t="n">
        <f aca="false">SUM(Sens!$R$2401:$R$2401)-SUM(Sens!$R$2408:$R$2408)</f>
        <v>1.50429979529945</v>
      </c>
      <c r="S2409" s="38" t="n">
        <f aca="false">SUM(Sens!$R$2401:$S$2401)-SUM(Sens!$R$2408:$S$2408)</f>
        <v>26.578941154416</v>
      </c>
      <c r="T2409" s="38" t="n">
        <f aca="false">SUM(Sens!$R$2401:$T$2401)-SUM(Sens!$R$2408:$T$2408)</f>
        <v>92.5251207231008</v>
      </c>
      <c r="U2409" s="38" t="n">
        <f aca="false">SUM(Sens!$R$2401:$U$2401)-SUM(Sens!$R$2408:$U$2408)</f>
        <v>239.931219586022</v>
      </c>
      <c r="V2409" s="38" t="n">
        <f aca="false">SUM(Sens!$R$2401:$V$2401)-SUM(Sens!$R$2408:$V$2408)</f>
        <v>403.208392333442</v>
      </c>
      <c r="W2409" s="38" t="n">
        <f aca="false">SUM(Sens!$R$2401:$W$2401)-SUM(Sens!$R$2408:$W$2408)</f>
        <v>544.837543672486</v>
      </c>
      <c r="X2409" s="38" t="n">
        <f aca="false">SUM(Sens!$R$2401:$X$2401)-SUM(Sens!$R$2408:$X$2408)</f>
        <v>662.967819343113</v>
      </c>
      <c r="Y2409" s="38" t="n">
        <f aca="false">SUM(Sens!$R$2401:$Y$2401)-SUM(Sens!$R$2408:$Y$2408)</f>
        <v>756.90963744369</v>
      </c>
      <c r="Z2409" s="38" t="n">
        <f aca="false">SUM(Sens!$R$2401:$Z$2401)-SUM(Sens!$R$2408:$Z$2408)</f>
        <v>860.10628945915</v>
      </c>
      <c r="AA2409" s="38" t="n">
        <f aca="false">SUM(Sens!$R$2401:$AA$2401)-SUM(Sens!$R$2408:$AA$2408)</f>
        <v>995.283560834616</v>
      </c>
    </row>
    <row r="2410" customFormat="false" ht="17.15" hidden="false" customHeight="false" outlineLevel="0" collapsed="false">
      <c r="A2410" s="1" t="s">
        <v>596</v>
      </c>
    </row>
    <row r="2411" customFormat="false" ht="17.15" hidden="false" customHeight="false" outlineLevel="0" collapsed="false">
      <c r="A2411" s="0" t="s">
        <v>597</v>
      </c>
      <c r="B2411" s="0" t="s">
        <v>73</v>
      </c>
      <c r="C2411" s="38" t="n">
        <f aca="false">Sens!$C$2392-ext_sh*Sens!$C$2394</f>
        <v>1.80694998843362</v>
      </c>
      <c r="D2411" s="38" t="n">
        <f aca="false">Sens!$D$2392-ext_sh*Sens!$D$2394</f>
        <v>6.77606245662607</v>
      </c>
      <c r="E2411" s="38" t="n">
        <f aca="false">Sens!$E$2392-ext_sh*Sens!$E$2394</f>
        <v>6.62548329092326</v>
      </c>
      <c r="F2411" s="38" t="n">
        <f aca="false">Sens!$F$2392-ext_sh*Sens!$F$2394</f>
        <v>11.7200577158706</v>
      </c>
      <c r="G2411" s="38" t="n">
        <f aca="false">Sens!$G$2392-ext_sh*Sens!$G$2394</f>
        <v>18.3455410067939</v>
      </c>
      <c r="H2411" s="38" t="n">
        <f aca="false">Sens!$H$2392-ext_sh*Sens!$H$2394</f>
        <v>47.5171727060453</v>
      </c>
      <c r="I2411" s="38" t="n">
        <f aca="false">Sens!$I$2392-ext_sh*Sens!$I$2394</f>
        <v>80.5539692643667</v>
      </c>
      <c r="J2411" s="38" t="n">
        <f aca="false">Sens!$J$2392-ext_sh*Sens!$J$2394</f>
        <v>113.759316834883</v>
      </c>
      <c r="K2411" s="38" t="n">
        <f aca="false">Sens!$K$2392-ext_sh*Sens!$K$2394</f>
        <v>147.020848076132</v>
      </c>
      <c r="L2411" s="38" t="n">
        <f aca="false">Sens!$L$2392-ext_sh*Sens!$L$2394</f>
        <v>180.307917349531</v>
      </c>
      <c r="M2411" s="38" t="n">
        <f aca="false">Sens!$M$2392-ext_sh*Sens!$M$2394</f>
        <v>213.608737871012</v>
      </c>
      <c r="N2411" s="38" t="n">
        <f aca="false">Sens!$N$2392-ext_sh*Sens!$N$2394</f>
        <v>2.37162185981912</v>
      </c>
      <c r="O2411" s="38" t="n">
        <f aca="false">Sens!$O$2392-ext_sh*Sens!$O$2394</f>
        <v>4.40444059680694</v>
      </c>
    </row>
    <row r="2412" customFormat="false" ht="17.15" hidden="false" customHeight="false" outlineLevel="0" collapsed="false">
      <c r="A2412" s="1" t="s">
        <v>598</v>
      </c>
      <c r="B2412" s="8" t="s">
        <v>73</v>
      </c>
      <c r="C2412" s="38" t="n">
        <f aca="false">Sens!$C$2411-ext_sh*Sens!$C$2408</f>
        <v>1.64417882953695</v>
      </c>
      <c r="D2412" s="38" t="n">
        <f aca="false">Sens!$D$2411-ext_sh*Sens!$D$2408</f>
        <v>3.8781008067718</v>
      </c>
      <c r="E2412" s="38" t="n">
        <f aca="false">Sens!$E$2411-ext_sh*Sens!$E$2408</f>
        <v>1.41270258088753</v>
      </c>
      <c r="F2412" s="38" t="n">
        <f aca="false">Sens!$F$2411-ext_sh*Sens!$F$2408</f>
        <v>6.50727700583486</v>
      </c>
      <c r="G2412" s="38" t="n">
        <f aca="false">Sens!$G$2411-ext_sh*Sens!$G$2408</f>
        <v>7.9199795867224</v>
      </c>
      <c r="H2412" s="38" t="n">
        <f aca="false">Sens!$H$2411-ext_sh*Sens!$H$2408</f>
        <v>19.2818189481807</v>
      </c>
      <c r="I2412" s="38" t="n">
        <f aca="false">Sens!$I$2411-ext_sh*Sens!$I$2408</f>
        <v>30.140114407202</v>
      </c>
      <c r="J2412" s="38" t="n">
        <f aca="false">Sens!$J$2411-ext_sh*Sens!$J$2408</f>
        <v>40.3569468829854</v>
      </c>
      <c r="K2412" s="38" t="n">
        <f aca="false">Sens!$K$2411-ext_sh*Sens!$K$2408</f>
        <v>50.0782975081929</v>
      </c>
      <c r="L2412" s="38" t="n">
        <f aca="false">Sens!$L$2411-ext_sh*Sens!$L$2408</f>
        <v>61.443331993499</v>
      </c>
      <c r="M2412" s="38" t="n">
        <f aca="false">Sens!$M$2411-ext_sh*Sens!$M$2408</f>
        <v>72.2498791587849</v>
      </c>
      <c r="N2412" s="38" t="n">
        <f aca="false">Sens!$N$2411-ext_sh*Sens!$N$2408</f>
        <v>0.92264103489199</v>
      </c>
      <c r="O2412" s="38" t="n">
        <f aca="false">Sens!$O$2411-ext_sh*Sens!$O$2408</f>
        <v>2.95545977187981</v>
      </c>
    </row>
    <row r="2413" customFormat="false" ht="17.15" hidden="false" customHeight="false" outlineLevel="0" collapsed="false">
      <c r="A2413" s="0" t="s">
        <v>599</v>
      </c>
      <c r="B2413" s="0" t="s">
        <v>52</v>
      </c>
      <c r="C2413" s="12" t="n">
        <f aca="false">Sens!$C$2412/Sens!$C$2392</f>
        <v>0.708390794789371</v>
      </c>
      <c r="D2413" s="12" t="n">
        <f aca="false">Sens!$D$2412/Sens!$D$2392</f>
        <v>0.445565630441968</v>
      </c>
      <c r="E2413" s="12" t="n">
        <f aca="false">Sens!$E$2412/Sens!$E$2392</f>
        <v>0.165998118402711</v>
      </c>
      <c r="F2413" s="12" t="n">
        <f aca="false">Sens!$F$2412/Sens!$F$2392</f>
        <v>0.434878595403858</v>
      </c>
      <c r="G2413" s="12" t="n">
        <f aca="false">Sens!$G$2412/Sens!$G$2392</f>
        <v>0.3373967615381</v>
      </c>
      <c r="H2413" s="12" t="n">
        <f aca="false">Sens!$H$2412/Sens!$H$2392</f>
        <v>0.320477578041224</v>
      </c>
      <c r="I2413" s="12" t="n">
        <f aca="false">Sens!$I$2412/Sens!$I$2392</f>
        <v>0.296936118226494</v>
      </c>
      <c r="J2413" s="12" t="n">
        <f aca="false">Sens!$J$2412/Sens!$J$2392</f>
        <v>0.282166278613001</v>
      </c>
      <c r="K2413" s="12" t="n">
        <f aca="false">Sens!$K$2412/Sens!$K$2392</f>
        <v>0.271267685694333</v>
      </c>
      <c r="L2413" s="12" t="n">
        <f aca="false">Sens!$L$2412/Sens!$L$2392</f>
        <v>0.27160960915653</v>
      </c>
      <c r="M2413" s="12" t="n">
        <f aca="false">Sens!$M$2412/Sens!$M$2392</f>
        <v>0.26974494804234</v>
      </c>
      <c r="N2413" s="12" t="n">
        <f aca="false">Sens!$N$2412/Sens!$N$2392</f>
        <v>0.302870734830849</v>
      </c>
      <c r="O2413" s="12" t="n">
        <f aca="false">Sens!$O$2412/Sens!$O$2392</f>
        <v>0.52240134346334</v>
      </c>
    </row>
    <row r="2414" customFormat="false" ht="17.15" hidden="false" customHeight="false" outlineLevel="0" collapsed="false">
      <c r="A2414" s="5" t="s">
        <v>600</v>
      </c>
      <c r="B2414" s="0" t="s">
        <v>73</v>
      </c>
      <c r="C2414" s="38" t="n">
        <f aca="false">rd2_hi*(1-ext_sh)/ext_sh*Sens!$C$2375*he_open*Sens!$C$2376/1000</f>
        <v>0.584960855129516</v>
      </c>
      <c r="D2414" s="38" t="n">
        <f aca="false">rd2_hi*(1-ext_sh)/ext_sh*Sens!$D$2375*he_open*Sens!$D$2376/1000</f>
        <v>2.19360320673569</v>
      </c>
      <c r="E2414" s="38" t="n">
        <f aca="false">rd2_hi*(1-ext_sh)/ext_sh*Sens!$E$2375*he_open*Sens!$E$2376/1000</f>
        <v>2.14485646880823</v>
      </c>
      <c r="F2414" s="38" t="n">
        <f aca="false">rd2_hi*(1-ext_sh)/ext_sh*(mw_open*he_open+Sens!$F$2390*Sens!$F$2387)*Sens!$F$2376/1000</f>
        <v>3.77122048175818</v>
      </c>
      <c r="G2414" s="38" t="n">
        <f aca="false">Sens!$E$2414+Sens!$F$2414</f>
        <v>5.9160769505664</v>
      </c>
      <c r="H2414" s="38" t="n">
        <f aca="false">rd2_hi*(1-ext_sh)/ext_sh*(mw_open*he_open+Sens!$H$2390*Sens!$H$2387)*Sens!$H$2376/1000</f>
        <v>15.1635543609893</v>
      </c>
      <c r="I2414" s="38" t="n">
        <f aca="false">rd2_hi*(1-ext_sh)/ext_sh*(mw_open*he_open+Sens!$I$2390*Sens!$I$2387)*Sens!$I$2376/1000</f>
        <v>25.5818843619889</v>
      </c>
      <c r="J2414" s="38" t="n">
        <f aca="false">rd2_hi*(1-ext_sh)/ext_sh*(mw_open*he_open+Sens!$J$2390*Sens!$J$2387)*Sens!$J$2376/1000</f>
        <v>36.0465624179122</v>
      </c>
      <c r="K2414" s="38" t="n">
        <f aca="false">rd2_hi*(1-ext_sh)/ext_sh*(mw_open*he_open+Sens!$K$2390*Sens!$K$2387)*Sens!$K$2376/1000</f>
        <v>46.5266898254767</v>
      </c>
      <c r="L2414" s="38" t="n">
        <f aca="false">rd2_hi*(1-ext_sh)/ext_sh*(mw_open*he_open+Sens!$L$2390*Sens!$L$2387)*Sens!$L$2376/1000</f>
        <v>57.0138396656054</v>
      </c>
      <c r="M2414" s="38" t="n">
        <f aca="false">rd2_hi*(1-ext_sh)/ext_sh*(mw_open*he_open+Sens!$M$2390*Sens!$M$2387)*Sens!$M$2376/1000</f>
        <v>67.5047708155764</v>
      </c>
      <c r="N2414" s="38" t="n">
        <f aca="false">rd2_hi*(1-ext_sh)/ext_sh*Sens!$N$2375*he_open*Sens!$N$2376/1000</f>
        <v>0.76776112235749</v>
      </c>
      <c r="O2414" s="38" t="n">
        <f aca="false">rd2_hi*(1-ext_sh)/ext_sh*Sens!$O$2375*he_open*Sens!$O$2376/1000</f>
        <v>1.4258420843782</v>
      </c>
      <c r="P2414" s="8" t="s">
        <v>601</v>
      </c>
    </row>
    <row r="2415" customFormat="false" ht="17.15" hidden="false" customHeight="false" outlineLevel="0" collapsed="false">
      <c r="A2415" s="5" t="s">
        <v>602</v>
      </c>
      <c r="B2415" s="0" t="s">
        <v>73</v>
      </c>
      <c r="C2415" s="38" t="n">
        <f aca="false">(1-ext_sh)*(Sens!$C$2394+Sens!$C$2408)-Sens!$C$2414</f>
        <v>-0.415754223270342</v>
      </c>
      <c r="D2415" s="38" t="n">
        <f aca="false">(1-ext_sh)*(Sens!$D$2394+Sens!$D$2408)-Sens!$D$2414</f>
        <v>-0.987185886265846</v>
      </c>
      <c r="E2415" s="38" t="n">
        <f aca="false">(1-ext_sh)*(Sens!$E$2394+Sens!$E$2408)-Sens!$E$2414</f>
        <v>-0.370443870137604</v>
      </c>
      <c r="F2415" s="38" t="n">
        <f aca="false">(1-ext_sh)*(Sens!$F$2394+Sens!$F$2408)-Sens!$F$2414</f>
        <v>-1.65718132203678</v>
      </c>
      <c r="G2415" s="38" t="n">
        <f aca="false">(1-ext_sh)*(Sens!$G$2394+Sens!$G$2408)-Sens!$G$2414</f>
        <v>-2.02762519217439</v>
      </c>
      <c r="H2415" s="38" t="n">
        <f aca="false">(1-ext_sh)*(Sens!$H$2394+Sens!$H$2408)-Sens!$H$2414</f>
        <v>-4.94253641059082</v>
      </c>
      <c r="I2415" s="38" t="n">
        <f aca="false">(1-ext_sh)*(Sens!$I$2394+Sens!$I$2408)-Sens!$I$2414</f>
        <v>-7.74098817968138</v>
      </c>
      <c r="J2415" s="38" t="n">
        <f aca="false">(1-ext_sh)*(Sens!$J$2394+Sens!$J$2408)-Sens!$J$2414</f>
        <v>-10.379447350839</v>
      </c>
      <c r="K2415" s="38" t="n">
        <f aca="false">(1-ext_sh)*(Sens!$K$2394+Sens!$K$2408)-Sens!$K$2414</f>
        <v>-12.8941604419781</v>
      </c>
      <c r="L2415" s="38" t="n">
        <f aca="false">(1-ext_sh)*(Sens!$L$2394+Sens!$L$2408)-Sens!$L$2414</f>
        <v>-15.819851035699</v>
      </c>
      <c r="M2415" s="38" t="n">
        <f aca="false">(1-ext_sh)*(Sens!$M$2394+Sens!$M$2408)-Sens!$M$2414</f>
        <v>-18.6059502427147</v>
      </c>
      <c r="N2415" s="38" t="n">
        <f aca="false">(1-ext_sh)*(Sens!$N$2394+Sens!$N$2408)-Sens!$N$2414</f>
        <v>-0.236841498323511</v>
      </c>
      <c r="O2415" s="38" t="n">
        <f aca="false">(1-ext_sh)*(Sens!$O$2394+Sens!$O$2408)-Sens!$O$2414</f>
        <v>-0.750344387942335</v>
      </c>
    </row>
    <row r="2416" customFormat="false" ht="17.15" hidden="false" customHeight="false" outlineLevel="0" collapsed="false">
      <c r="A2416" s="0" t="s">
        <v>603</v>
      </c>
      <c r="B2416" s="0" t="s">
        <v>73</v>
      </c>
      <c r="C2416" s="38" t="n">
        <f aca="false">Q!$D$24</f>
        <v>39.834</v>
      </c>
      <c r="D2416" s="38" t="n">
        <f aca="false">Q!$E$24</f>
        <v>45.606</v>
      </c>
      <c r="E2416" s="38" t="n">
        <f aca="false">Q!$P$24</f>
        <v>30.782</v>
      </c>
      <c r="N2416" s="38" t="n">
        <f aca="false">Q!$N$24</f>
        <v>21.707</v>
      </c>
      <c r="O2416" s="38" t="n">
        <f aca="false">Q!$O$24</f>
        <v>23.899</v>
      </c>
    </row>
    <row r="2417" customFormat="false" ht="17.15" hidden="false" customHeight="false" outlineLevel="0" collapsed="false">
      <c r="A2417" s="0" t="s">
        <v>604</v>
      </c>
      <c r="B2417" s="0" t="s">
        <v>73</v>
      </c>
      <c r="C2417" s="38" t="n">
        <f aca="false">Sens!$C$2416-Sens!$C$2412</f>
        <v>38.1898211704631</v>
      </c>
      <c r="D2417" s="38" t="n">
        <f aca="false">Sens!$D$2416-Sens!$D$2412</f>
        <v>41.7278991932282</v>
      </c>
      <c r="E2417" s="38" t="n">
        <f aca="false">Sens!$E$2416-Sens!$E$2412</f>
        <v>29.3692974191125</v>
      </c>
      <c r="F2417" s="38" t="n">
        <f aca="false">Sens!$F$2396*Sens!$F$2418</f>
        <v>29.458060516894</v>
      </c>
      <c r="G2417" s="38" t="n">
        <f aca="false">Sens!$E$2417+Sens!$F$2417</f>
        <v>58.8273579360065</v>
      </c>
      <c r="H2417" s="38" t="n">
        <f aca="false">Sens!$H$2396*Sens!$H$2418</f>
        <v>67.8004040185081</v>
      </c>
      <c r="I2417" s="38" t="n">
        <f aca="false">Sens!$I$2396*Sens!$I$2418</f>
        <v>78.9527630302702</v>
      </c>
      <c r="J2417" s="38" t="n">
        <f aca="false">Sens!$J$2396*Sens!$J$2418</f>
        <v>88.6042681781841</v>
      </c>
      <c r="K2417" s="38" t="n">
        <f aca="false">Sens!$K$2396*Sens!$K$2418</f>
        <v>95.6926096324389</v>
      </c>
      <c r="L2417" s="38" t="n">
        <f aca="false">Sens!$L$2396*Sens!$L$2418</f>
        <v>103.348018403034</v>
      </c>
      <c r="M2417" s="38" t="n">
        <f aca="false">Sens!$M$2396*Sens!$M$2418</f>
        <v>111.615859875277</v>
      </c>
      <c r="N2417" s="38" t="n">
        <f aca="false">Sens!$N$2416-Sens!$N$2412</f>
        <v>20.784358965108</v>
      </c>
      <c r="O2417" s="38" t="n">
        <f aca="false">Sens!$O$2416-Sens!$O$2412</f>
        <v>20.9435402281202</v>
      </c>
      <c r="P2417" s="5" t="s">
        <v>605</v>
      </c>
    </row>
    <row r="2418" customFormat="false" ht="17.15" hidden="false" customHeight="false" outlineLevel="0" collapsed="false">
      <c r="A2418" s="0" t="s">
        <v>606</v>
      </c>
      <c r="B2418" s="0" t="s">
        <v>52</v>
      </c>
      <c r="C2418" s="12" t="n">
        <f aca="false">Sens!$C$2417/Sens!$C$2396</f>
        <v>0.362900395443635</v>
      </c>
      <c r="D2418" s="12" t="n">
        <f aca="false">Sens!$D$2417/Sens!$D$2396</f>
        <v>0.34767098474203</v>
      </c>
      <c r="E2418" s="12" t="n">
        <f aca="false">Sens!$E$2417/Sens!$E$2396</f>
        <v>0.411861655558416</v>
      </c>
      <c r="F2418" s="12" t="n">
        <f aca="false">(Sens!$O$2417+Sens!$E$2417)/(Sens!$O$2396+Sens!$E$2396)</f>
        <v>0.37480827803158</v>
      </c>
      <c r="G2418" s="12" t="n">
        <f aca="false">Sens!$G$2417/Sens!$G$2396</f>
        <v>0.392434440489471</v>
      </c>
      <c r="H2418" s="12" t="n">
        <f aca="false">Sens!$F$2418</f>
        <v>0.37480827803158</v>
      </c>
      <c r="I2418" s="12" t="n">
        <f aca="false">Sens!$F$2418</f>
        <v>0.37480827803158</v>
      </c>
      <c r="J2418" s="12" t="n">
        <f aca="false">Sens!$F$2418</f>
        <v>0.37480827803158</v>
      </c>
      <c r="K2418" s="12" t="n">
        <f aca="false">Sens!$F$2418</f>
        <v>0.37480827803158</v>
      </c>
      <c r="L2418" s="12" t="n">
        <f aca="false">Sens!$F$2418</f>
        <v>0.37480827803158</v>
      </c>
      <c r="M2418" s="12" t="n">
        <f aca="false">Sens!$F$2418</f>
        <v>0.37480827803158</v>
      </c>
      <c r="N2418" s="12" t="n">
        <f aca="false">Sens!$N$2417/Sens!$N$2396</f>
        <v>0.364039571356823</v>
      </c>
      <c r="O2418" s="12" t="n">
        <f aca="false">Sens!$O$2417/Sens!$O$2396</f>
        <v>0.332819892300086</v>
      </c>
      <c r="P2418" s="8" t="s">
        <v>607</v>
      </c>
    </row>
    <row r="2419" customFormat="false" ht="17.15" hidden="false" customHeight="false" outlineLevel="0" collapsed="false">
      <c r="A2419" s="0" t="s">
        <v>608</v>
      </c>
      <c r="B2419" s="0" t="s">
        <v>52</v>
      </c>
      <c r="D2419" s="12" t="n">
        <f aca="false">(Q!$E$31-ext_sh*Sens!$D$2408)/Sens!$D$2396</f>
        <v>0.154572973163571</v>
      </c>
    </row>
    <row r="2420" customFormat="false" ht="17.15" hidden="false" customHeight="false" outlineLevel="0" collapsed="false">
      <c r="A2420" s="0" t="s">
        <v>609</v>
      </c>
      <c r="B2420" s="0" t="s">
        <v>73</v>
      </c>
      <c r="C2420" s="38" t="n">
        <f aca="false">Q!$D$31</f>
        <v>13.32</v>
      </c>
      <c r="D2420" s="38" t="n">
        <f aca="false">Q!$E$31</f>
        <v>21.45</v>
      </c>
      <c r="E2420" s="38" t="n">
        <f aca="false">Q!$P$31</f>
        <v>15.353</v>
      </c>
      <c r="F2420" s="38" t="n">
        <f aca="false">ext_sh*Sens!$F$2408+Sens!$D$2419*Sens!$F$2396</f>
        <v>17.3614451462707</v>
      </c>
      <c r="G2420" s="38" t="n">
        <f aca="false">Sens!$E$2420+Sens!$F$2420</f>
        <v>32.7144451462707</v>
      </c>
      <c r="H2420" s="38" t="n">
        <f aca="false">ext_sh*Sens!$H$2408+Sens!$D$2419*Sens!$H$2396</f>
        <v>56.1966092719415</v>
      </c>
      <c r="I2420" s="38" t="n">
        <f aca="false">ext_sh*Sens!$I$2408+Sens!$D$2419*Sens!$I$2396</f>
        <v>82.9744039068297</v>
      </c>
      <c r="J2420" s="38" t="n">
        <f aca="false">ext_sh*Sens!$J$2408+Sens!$D$2419*Sens!$J$2396</f>
        <v>109.943252237669</v>
      </c>
      <c r="K2420" s="38" t="n">
        <f aca="false">ext_sh*Sens!$K$2408+Sens!$D$2419*Sens!$K$2396</f>
        <v>136.406703436571</v>
      </c>
      <c r="L2420" s="38" t="n">
        <f aca="false">ext_sh*Sens!$L$2408+Sens!$D$2419*Sens!$L$2396</f>
        <v>161.485870454155</v>
      </c>
      <c r="M2420" s="38" t="n">
        <f aca="false">ext_sh*Sens!$M$2408+Sens!$D$2419*Sens!$M$2396</f>
        <v>187.389846618199</v>
      </c>
      <c r="N2420" s="38" t="n">
        <f aca="false">Q!$N$31</f>
        <v>9.234</v>
      </c>
      <c r="O2420" s="38" t="n">
        <f aca="false">Q!$O$31</f>
        <v>12.216</v>
      </c>
    </row>
    <row r="2421" customFormat="false" ht="17.15" hidden="false" customHeight="false" outlineLevel="0" collapsed="false">
      <c r="A2421" s="1" t="s">
        <v>610</v>
      </c>
    </row>
    <row r="2422" customFormat="false" ht="17.15" hidden="false" customHeight="false" outlineLevel="0" collapsed="false">
      <c r="A2422" s="14" t="s">
        <v>611</v>
      </c>
      <c r="B2422" s="13" t="s">
        <v>52</v>
      </c>
      <c r="C2422" s="13"/>
      <c r="D2422" s="13"/>
      <c r="E2422" s="13"/>
      <c r="F2422" s="13"/>
      <c r="G2422" s="16" t="n">
        <f aca="false">Sens!$G$2412*(1-tax)/(ext_sh*(Sens!$D$2409+Sens!$G$2409)/2)</f>
        <v>0.0492184452944045</v>
      </c>
      <c r="H2422" s="16" t="n">
        <f aca="false">Sens!$H$2412*(1-tax)/(ext_sh*(Sens!$G$2409+Sens!$H$2409)/2)</f>
        <v>0.0619414246858107</v>
      </c>
      <c r="I2422" s="16" t="n">
        <f aca="false">Sens!$I$2412*(1-tax)/(ext_sh*(Sens!$H$2409+Sens!$I$2409)/2)</f>
        <v>0.0656831488051666</v>
      </c>
      <c r="J2422" s="16" t="n">
        <f aca="false">Sens!$J$2412*(1-tax)/(ext_sh*(Sens!$I$2409+Sens!$J$2409)/2)</f>
        <v>0.0690334849962116</v>
      </c>
      <c r="K2422" s="16" t="n">
        <f aca="false">Sens!$K$2412*(1-tax)/(ext_sh*(Sens!$J$2409+Sens!$K$2409)/2)</f>
        <v>0.0728680488295485</v>
      </c>
      <c r="L2422" s="16" t="n">
        <f aca="false">Sens!$L$2412*(1-tax)/(ext_sh*(Sens!$K$2409+Sens!$L$2409)/2)</f>
        <v>0.0785052878122331</v>
      </c>
      <c r="M2422" s="16" t="n">
        <f aca="false">Sens!$M$2412*(1-tax)/(ext_sh*(Sens!$L$2409+Sens!$M$2409)/2)</f>
        <v>0.0804526580722741</v>
      </c>
      <c r="N2422" s="13"/>
      <c r="O2422" s="13"/>
      <c r="P2422" s="8" t="s">
        <v>612</v>
      </c>
    </row>
    <row r="2423" customFormat="false" ht="17.15" hidden="false" customHeight="false" outlineLevel="0" collapsed="false">
      <c r="A2423" s="5" t="s">
        <v>613</v>
      </c>
      <c r="B2423" s="0" t="s">
        <v>57</v>
      </c>
      <c r="H2423" s="36" t="n">
        <f aca="false">Sens!$H$2392*1000/(mw_open*he_open+Sens!$H$2390*Sens!$H$2387)</f>
        <v>0.991949006767191</v>
      </c>
      <c r="I2423" s="36" t="n">
        <f aca="false">Sens!$I$2392*1000/(mw_open*he_open+Sens!$I$2390*Sens!$I$2387)</f>
        <v>0.991949006767191</v>
      </c>
      <c r="J2423" s="36" t="n">
        <f aca="false">Sens!$J$2392*1000/(mw_open*he_open+Sens!$J$2390*Sens!$J$2387)</f>
        <v>0.991949006767191</v>
      </c>
      <c r="K2423" s="36" t="n">
        <f aca="false">Sens!$K$2392*1000/(mw_open*he_open+Sens!$K$2390*Sens!$K$2387)</f>
        <v>0.991949006767191</v>
      </c>
      <c r="L2423" s="36" t="n">
        <f aca="false">Sens!$L$2392*1000/(mw_open*he_open+Sens!$L$2390*Sens!$L$2387)</f>
        <v>0.991949006767191</v>
      </c>
      <c r="M2423" s="36" t="n">
        <f aca="false">Sens!$M$2392*1000/(mw_open*he_open+Sens!$M$2390*Sens!$M$2387)</f>
        <v>0.991949006767192</v>
      </c>
    </row>
    <row r="2424" customFormat="false" ht="17.15" hidden="false" customHeight="false" outlineLevel="0" collapsed="false">
      <c r="A2424" s="5" t="s">
        <v>614</v>
      </c>
      <c r="B2424" s="0" t="s">
        <v>57</v>
      </c>
      <c r="H2424" s="36" t="n">
        <f aca="false">Sens!$H$2423*(Sens!$H$2392+wacc*ext_sh*(Sens!$G$2409+Sens!$H$2409)/2/(1-tax)-Sens!$H$2412)/Sens!$H$2392</f>
        <v>1.3149781212103</v>
      </c>
      <c r="I2424" s="36" t="n">
        <f aca="false">Sens!$I$2423*(Sens!$I$2392+wacc*ext_sh*(Sens!$H$2409+Sens!$I$2409)/2/(1-tax)-Sens!$I$2412)/Sens!$I$2392</f>
        <v>1.25742005569107</v>
      </c>
      <c r="J2424" s="36" t="n">
        <f aca="false">Sens!$J$2423*(Sens!$J$2392+wacc*ext_sh*(Sens!$I$2409+Sens!$J$2409)/2/(1-tax)-Sens!$J$2412)/Sens!$J$2392</f>
        <v>1.21838845868559</v>
      </c>
      <c r="K2424" s="36" t="n">
        <f aca="false">Sens!$K$2423*(Sens!$K$2392+wacc*ext_sh*(Sens!$J$2409+Sens!$K$2409)/2/(1-tax)-Sens!$K$2412)/Sens!$K$2392</f>
        <v>1.18402644209548</v>
      </c>
      <c r="L2424" s="36" t="n">
        <f aca="false">Sens!$L$2423*(Sens!$L$2392+wacc*ext_sh*(Sens!$K$2409+Sens!$L$2409)/2/(1-tax)-Sens!$L$2412)/Sens!$L$2392</f>
        <v>1.15111215322059</v>
      </c>
      <c r="M2424" s="36" t="n">
        <f aca="false">Sens!$M$2423*(Sens!$M$2392+wacc*ext_sh*(Sens!$L$2409+Sens!$M$2409)/2/(1-tax)-Sens!$M$2412)/Sens!$M$2392</f>
        <v>1.1397166845677</v>
      </c>
    </row>
    <row r="2425" customFormat="false" ht="17.15" hidden="false" customHeight="false" outlineLevel="0" collapsed="false">
      <c r="A2425" s="5" t="s">
        <v>615</v>
      </c>
      <c r="B2425" s="0" t="s">
        <v>52</v>
      </c>
      <c r="C2425" s="12" t="n">
        <f aca="false">Sens!$C$2393/tk_pq</f>
        <v>0.195316432429398</v>
      </c>
      <c r="D2425" s="12" t="n">
        <f aca="false">Sens!$D$2393/tk_pq</f>
        <v>0.195316432429398</v>
      </c>
      <c r="E2425" s="12" t="n">
        <f aca="false">Sens!$E$2393/tk_pq</f>
        <v>0.195316432429398</v>
      </c>
      <c r="F2425" s="12" t="n">
        <f aca="false">Sens!$F$2393/tk_pq</f>
        <v>0.202241827274866</v>
      </c>
      <c r="G2425" s="12" t="n">
        <f aca="false">Sens!$G$2393/tk_pq</f>
        <v>0.199675016194063</v>
      </c>
      <c r="H2425" s="12" t="n">
        <f aca="false">Sens!$H$2393/tk_pq</f>
        <v>0.212647947710325</v>
      </c>
      <c r="I2425" s="12" t="n">
        <f aca="false">Sens!$I$2393/tk_pq</f>
        <v>0.219285125475351</v>
      </c>
      <c r="J2425" s="12" t="n">
        <f aca="false">Sens!$J$2393/tk_pq</f>
        <v>0.222492493217189</v>
      </c>
      <c r="K2425" s="12" t="n">
        <f aca="false">Sens!$K$2393/tk_pq</f>
        <v>0.224371415939166</v>
      </c>
      <c r="L2425" s="12" t="n">
        <f aca="false">Sens!$L$2393/tk_pq</f>
        <v>0.225603749825993</v>
      </c>
      <c r="M2425" s="12" t="n">
        <f aca="false">Sens!$M$2393/tk_pq</f>
        <v>0.22647376274628</v>
      </c>
      <c r="N2425" s="12" t="n">
        <f aca="false">Sens!$N$2393/tk_pq</f>
        <v>0.195316432429398</v>
      </c>
      <c r="O2425" s="12" t="n">
        <f aca="false">Sens!$O$2393/tk_pq</f>
        <v>0.195316432429398</v>
      </c>
      <c r="P2425" s="5" t="s">
        <v>616</v>
      </c>
    </row>
    <row r="2428" customFormat="false" ht="17.15" hidden="false" customHeight="false" outlineLevel="0" collapsed="false">
      <c r="A2428" s="1" t="s">
        <v>643</v>
      </c>
    </row>
    <row r="2429" customFormat="false" ht="17.15" hidden="false" customHeight="false" outlineLevel="0" collapsed="false">
      <c r="A2429" s="0" t="s">
        <v>644</v>
      </c>
      <c r="B2429" s="0" t="s">
        <v>73</v>
      </c>
      <c r="C2429" s="38" t="n">
        <f aca="false">Sens!$C$2392</f>
        <v>2.32100535697364</v>
      </c>
      <c r="D2429" s="38" t="n">
        <f aca="false">Sens!$D$2392</f>
        <v>8.70377008865116</v>
      </c>
      <c r="E2429" s="38" t="n">
        <f aca="false">Sens!$E$2392</f>
        <v>8.51035297557002</v>
      </c>
      <c r="F2429" s="38" t="n">
        <f aca="false">Sens!$F$2392</f>
        <v>14.9634336447205</v>
      </c>
      <c r="G2429" s="38" t="n">
        <f aca="false">Sens!$G$2392</f>
        <v>23.4737866202905</v>
      </c>
      <c r="H2429" s="38" t="n">
        <f aca="false">Sens!$H$2392</f>
        <v>60.1658907497746</v>
      </c>
      <c r="I2429" s="38" t="n">
        <f aca="false">Sens!$I$2392</f>
        <v>101.503699136432</v>
      </c>
      <c r="J2429" s="38" t="n">
        <f aca="false">Sens!$J$2392</f>
        <v>143.025407151278</v>
      </c>
      <c r="K2429" s="38" t="n">
        <f aca="false">Sens!$K$2392</f>
        <v>184.608415042187</v>
      </c>
      <c r="L2429" s="38" t="n">
        <f aca="false">Sens!$L$2392</f>
        <v>226.219286513125</v>
      </c>
      <c r="M2429" s="38" t="n">
        <f aca="false">Sens!$M$2392</f>
        <v>267.845161450232</v>
      </c>
      <c r="N2429" s="38" t="n">
        <f aca="false">Sens!$N$2392</f>
        <v>3.04631953102791</v>
      </c>
      <c r="O2429" s="38" t="n">
        <f aca="false">Sens!$O$2392</f>
        <v>5.65745055762326</v>
      </c>
      <c r="P2429" s="8" t="s">
        <v>645</v>
      </c>
    </row>
    <row r="2430" customFormat="false" ht="17.15" hidden="false" customHeight="false" outlineLevel="0" collapsed="false">
      <c r="A2430" s="0" t="s">
        <v>646</v>
      </c>
      <c r="B2430" s="0" t="s">
        <v>73</v>
      </c>
      <c r="C2430" s="38" t="n">
        <f aca="false">Sens!$C$2396</f>
        <v>105.234994643026</v>
      </c>
      <c r="D2430" s="38" t="n">
        <f aca="false">Sens!$D$2396</f>
        <v>120.021229911349</v>
      </c>
      <c r="E2430" s="38" t="n">
        <f aca="false">Sens!$E$2396</f>
        <v>71.30864702443</v>
      </c>
      <c r="F2430" s="38" t="n">
        <f aca="false">Sens!$F$2396</f>
        <v>78.5950104186653</v>
      </c>
      <c r="G2430" s="38" t="n">
        <f aca="false">Sens!$G$2396</f>
        <v>149.903657443095</v>
      </c>
      <c r="H2430" s="38" t="n">
        <f aca="false">Sens!$H$2396</f>
        <v>180.893560768142</v>
      </c>
      <c r="I2430" s="38" t="n">
        <f aca="false">Sens!$I$2396</f>
        <v>210.64839721501</v>
      </c>
      <c r="J2430" s="38" t="n">
        <f aca="false">Sens!$J$2396</f>
        <v>236.398909446495</v>
      </c>
      <c r="K2430" s="38" t="n">
        <f aca="false">Sens!$K$2396</f>
        <v>255.310822202215</v>
      </c>
      <c r="L2430" s="38" t="n">
        <f aca="false">Sens!$L$2396</f>
        <v>275.735687978392</v>
      </c>
      <c r="M2430" s="38" t="n">
        <f aca="false">Sens!$M$2396</f>
        <v>297.794543016663</v>
      </c>
      <c r="N2430" s="38" t="n">
        <f aca="false">Sens!$N$2396</f>
        <v>57.0936804689721</v>
      </c>
      <c r="O2430" s="38" t="n">
        <f aca="false">Sens!$O$2396</f>
        <v>62.9275494423768</v>
      </c>
      <c r="P2430" s="8" t="s">
        <v>645</v>
      </c>
    </row>
    <row r="2431" customFormat="false" ht="17.15" hidden="false" customHeight="false" outlineLevel="0" collapsed="false">
      <c r="A2431" s="1" t="s">
        <v>476</v>
      </c>
      <c r="B2431" s="8" t="s">
        <v>73</v>
      </c>
      <c r="C2431" s="38" t="n">
        <f aca="false">Q!$D$7</f>
        <v>107.556</v>
      </c>
      <c r="D2431" s="38" t="n">
        <f aca="false">Q!$E$7</f>
        <v>128.725</v>
      </c>
      <c r="E2431" s="38" t="n">
        <f aca="false">Q!$P$7</f>
        <v>79.819</v>
      </c>
      <c r="F2431" s="38" t="n">
        <f aca="false">Sens!$F$2429+Sens!$F$2430</f>
        <v>93.5584440633857</v>
      </c>
      <c r="G2431" s="38" t="n">
        <f aca="false">Sens!$G$2429+Sens!$G$2430</f>
        <v>173.377444063386</v>
      </c>
      <c r="H2431" s="38" t="n">
        <f aca="false">Sens!$H$2429+Sens!$H$2430</f>
        <v>241.059451517916</v>
      </c>
      <c r="I2431" s="38" t="n">
        <f aca="false">Sens!$I$2429+Sens!$I$2430</f>
        <v>312.152096351442</v>
      </c>
      <c r="J2431" s="38" t="n">
        <f aca="false">Sens!$J$2429+Sens!$J$2430</f>
        <v>379.424316597773</v>
      </c>
      <c r="K2431" s="38" t="n">
        <f aca="false">Sens!$K$2429+Sens!$K$2430</f>
        <v>439.919237244402</v>
      </c>
      <c r="L2431" s="38" t="n">
        <f aca="false">Sens!$L$2429+Sens!$L$2430</f>
        <v>501.954974491517</v>
      </c>
      <c r="M2431" s="38" t="n">
        <f aca="false">Sens!$M$2429+Sens!$M$2430</f>
        <v>565.639704466895</v>
      </c>
      <c r="N2431" s="38" t="n">
        <f aca="false">Q!$N$7</f>
        <v>60.14</v>
      </c>
      <c r="O2431" s="38" t="n">
        <f aca="false">Q!$O$7</f>
        <v>68.585</v>
      </c>
      <c r="P2431" s="5" t="s">
        <v>647</v>
      </c>
    </row>
    <row r="2432" customFormat="false" ht="15" hidden="false" customHeight="false" outlineLevel="0" collapsed="false">
      <c r="A2432" s="3" t="s">
        <v>648</v>
      </c>
      <c r="B2432" s="8" t="s">
        <v>73</v>
      </c>
      <c r="C2432" s="38" t="n">
        <f aca="false">Q!$D$8</f>
        <v>637.959</v>
      </c>
      <c r="D2432" s="38" t="n">
        <f aca="false">Q!$E$8</f>
        <v>716.924</v>
      </c>
      <c r="E2432" s="38" t="n">
        <f aca="false">Q!$P$8</f>
        <v>382.125</v>
      </c>
      <c r="F2432" s="38" t="n">
        <f aca="false">Sens!$F$2365+Sens!$F$2431</f>
        <v>450.494873271816</v>
      </c>
      <c r="G2432" s="38" t="n">
        <f aca="false">Sens!$G$2365+Sens!$G$2431</f>
        <v>832.619873271816</v>
      </c>
      <c r="H2432" s="38" t="n">
        <f aca="false">Sens!$H$2365+Sens!$H$2431</f>
        <v>970.995189139617</v>
      </c>
      <c r="I2432" s="38" t="n">
        <f aca="false">Sens!$I$2365+Sens!$I$2431</f>
        <v>1110.44766604932</v>
      </c>
      <c r="J2432" s="38" t="n">
        <f aca="false">Sens!$J$2365+Sens!$J$2431</f>
        <v>1241.16113892356</v>
      </c>
      <c r="K2432" s="38" t="n">
        <f aca="false">Sens!$K$2365+Sens!$K$2431</f>
        <v>1357.47672934633</v>
      </c>
      <c r="L2432" s="38" t="n">
        <f aca="false">Sens!$L$2365+Sens!$L$2431</f>
        <v>1479.24006423468</v>
      </c>
      <c r="M2432" s="38" t="n">
        <f aca="false">Sens!$M$2365+Sens!$M$2431</f>
        <v>1606.8537230104</v>
      </c>
      <c r="N2432" s="38" t="n">
        <f aca="false">Q!$N$8</f>
        <v>323.369</v>
      </c>
      <c r="O2432" s="38" t="n">
        <f aca="false">Q!$O$8</f>
        <v>393.555</v>
      </c>
    </row>
    <row r="2433" customFormat="false" ht="17.15" hidden="false" customHeight="false" outlineLevel="0" collapsed="false">
      <c r="A2433" s="24" t="s">
        <v>656</v>
      </c>
      <c r="B2433" s="25" t="s">
        <v>73</v>
      </c>
      <c r="C2433" s="39" t="n">
        <f aca="false">Sens!$C$2365-(Sens!$C$2367+Sens!$C$2368)</f>
        <v>0</v>
      </c>
      <c r="D2433" s="39" t="n">
        <f aca="false">Sens!$D$2365-(Sens!$D$2367+Sens!$D$2368)</f>
        <v>0</v>
      </c>
      <c r="E2433" s="39" t="n">
        <f aca="false">Sens!$E$2365-(Sens!$E$2367+Sens!$E$2368)</f>
        <v>0</v>
      </c>
      <c r="F2433" s="39" t="n">
        <f aca="false">Sens!$F$2365-(Sens!$F$2367+Sens!$F$2368)</f>
        <v>0</v>
      </c>
      <c r="G2433" s="39" t="n">
        <f aca="false">Sens!$G$2365-(Sens!$G$2367+Sens!$G$2368)</f>
        <v>0</v>
      </c>
      <c r="H2433" s="39" t="n">
        <f aca="false">Sens!$H$2365-(Sens!$H$2367+Sens!$H$2368)</f>
        <v>0</v>
      </c>
      <c r="I2433" s="39" t="n">
        <f aca="false">Sens!$I$2365-(Sens!$I$2367+Sens!$I$2368)</f>
        <v>0</v>
      </c>
      <c r="J2433" s="39" t="n">
        <f aca="false">Sens!$J$2365-(Sens!$J$2367+Sens!$J$2368)</f>
        <v>0</v>
      </c>
      <c r="K2433" s="39" t="n">
        <f aca="false">Sens!$K$2365-(Sens!$K$2367+Sens!$K$2368)</f>
        <v>0</v>
      </c>
      <c r="L2433" s="39" t="n">
        <f aca="false">Sens!$L$2365-(Sens!$L$2367+Sens!$L$2368)</f>
        <v>0</v>
      </c>
      <c r="M2433" s="39" t="n">
        <f aca="false">Sens!$M$2365-(Sens!$M$2367+Sens!$M$2368)</f>
        <v>0</v>
      </c>
      <c r="N2433" s="39" t="n">
        <f aca="false">Sens!$N$2365-(Sens!$N$2367+Sens!$N$2368)</f>
        <v>0</v>
      </c>
      <c r="O2433" s="39" t="n">
        <f aca="false">Sens!$O$2365-(Sens!$O$2367+Sens!$O$2368)</f>
        <v>0</v>
      </c>
    </row>
    <row r="2434" customFormat="false" ht="17.15" hidden="false" customHeight="false" outlineLevel="0" collapsed="false">
      <c r="A2434" s="24" t="s">
        <v>657</v>
      </c>
      <c r="B2434" s="25" t="s">
        <v>73</v>
      </c>
      <c r="C2434" s="39" t="n">
        <f aca="false">Sens!$C$2429+Sens!$C$2430-Sens!$C$2431</f>
        <v>0</v>
      </c>
      <c r="D2434" s="39" t="n">
        <f aca="false">Sens!$D$2429+Sens!$D$2430-Sens!$D$2431</f>
        <v>0</v>
      </c>
      <c r="E2434" s="39" t="n">
        <f aca="false">Sens!$E$2429+Sens!$E$2430-Sens!$E$2431</f>
        <v>0</v>
      </c>
      <c r="F2434" s="39" t="n">
        <f aca="false">Sens!$F$2429+Sens!$F$2430-Sens!$F$2431</f>
        <v>0</v>
      </c>
      <c r="G2434" s="39" t="n">
        <f aca="false">Sens!$G$2429+Sens!$G$2430-Sens!$G$2431</f>
        <v>0</v>
      </c>
      <c r="H2434" s="39" t="n">
        <f aca="false">Sens!$H$2429+Sens!$H$2430-Sens!$H$2431</f>
        <v>0</v>
      </c>
      <c r="I2434" s="39" t="n">
        <f aca="false">Sens!$I$2429+Sens!$I$2430-Sens!$I$2431</f>
        <v>0</v>
      </c>
      <c r="J2434" s="39" t="n">
        <f aca="false">Sens!$J$2429+Sens!$J$2430-Sens!$J$2431</f>
        <v>0</v>
      </c>
      <c r="K2434" s="39" t="n">
        <f aca="false">Sens!$K$2429+Sens!$K$2430-Sens!$K$2431</f>
        <v>0</v>
      </c>
      <c r="L2434" s="39" t="n">
        <f aca="false">Sens!$L$2429+Sens!$L$2430-Sens!$L$2431</f>
        <v>0</v>
      </c>
      <c r="M2434" s="39" t="n">
        <f aca="false">Sens!$M$2429+Sens!$M$2430-Sens!$M$2431</f>
        <v>0</v>
      </c>
      <c r="N2434" s="39" t="n">
        <f aca="false">Sens!$N$2429+Sens!$N$2430-Sens!$N$2431</f>
        <v>0</v>
      </c>
      <c r="O2434" s="39" t="n">
        <f aca="false">Sens!$O$2429+Sens!$O$2430-Sens!$O$2431</f>
        <v>0</v>
      </c>
    </row>
    <row r="2435" customFormat="false" ht="17.15" hidden="false" customHeight="false" outlineLevel="0" collapsed="false">
      <c r="A2435" s="24" t="s">
        <v>658</v>
      </c>
      <c r="B2435" s="25" t="s">
        <v>73</v>
      </c>
      <c r="C2435" s="39" t="n">
        <f aca="false">Sens!$C$2367+Sens!$C$2368+Sens!$C$2431-Sens!$C$2432</f>
        <v>0</v>
      </c>
      <c r="D2435" s="39" t="n">
        <f aca="false">Sens!$D$2367+Sens!$D$2368+Sens!$D$2431-Sens!$D$2432</f>
        <v>0</v>
      </c>
      <c r="E2435" s="39" t="n">
        <f aca="false">Sens!$E$2367+Sens!$E$2368+Sens!$E$2431-Sens!$E$2432</f>
        <v>0</v>
      </c>
      <c r="F2435" s="39" t="n">
        <f aca="false">Sens!$F$2367+Sens!$F$2368+Sens!$F$2431-Sens!$F$2432</f>
        <v>0</v>
      </c>
      <c r="G2435" s="39" t="n">
        <f aca="false">Sens!$G$2367+Sens!$G$2368+Sens!$G$2431-Sens!$G$2432</f>
        <v>0</v>
      </c>
      <c r="H2435" s="39" t="n">
        <f aca="false">Sens!$H$2367+Sens!$H$2368+Sens!$H$2431-Sens!$H$2432</f>
        <v>0</v>
      </c>
      <c r="I2435" s="39" t="n">
        <f aca="false">Sens!$I$2367+Sens!$I$2368+Sens!$I$2431-Sens!$I$2432</f>
        <v>0</v>
      </c>
      <c r="J2435" s="39" t="n">
        <f aca="false">Sens!$J$2367+Sens!$J$2368+Sens!$J$2431-Sens!$J$2432</f>
        <v>0</v>
      </c>
      <c r="K2435" s="39" t="n">
        <f aca="false">Sens!$K$2367+Sens!$K$2368+Sens!$K$2431-Sens!$K$2432</f>
        <v>0</v>
      </c>
      <c r="L2435" s="39" t="n">
        <f aca="false">Sens!$L$2367+Sens!$L$2368+Sens!$L$2431-Sens!$L$2432</f>
        <v>0</v>
      </c>
      <c r="M2435" s="39" t="n">
        <f aca="false">Sens!$M$2367+Sens!$M$2368+Sens!$M$2431-Sens!$M$2432</f>
        <v>0</v>
      </c>
      <c r="N2435" s="39" t="n">
        <f aca="false">Sens!$N$2367+Sens!$N$2368+Sens!$N$2431-Sens!$N$2432</f>
        <v>0</v>
      </c>
      <c r="O2435" s="39" t="n">
        <f aca="false">Sens!$O$2367+Sens!$O$2368+Sens!$O$2431-Sens!$O$2432</f>
        <v>0</v>
      </c>
    </row>
    <row r="2436" customFormat="false" ht="15" hidden="false" customHeight="false" outlineLevel="0" collapsed="false">
      <c r="A2436" s="5" t="s">
        <v>652</v>
      </c>
      <c r="B2436" s="0" t="s">
        <v>52</v>
      </c>
      <c r="G2436" s="12" t="n">
        <f aca="false">Sens!$G$2432/Sens!$D$2432-1</f>
        <v>0.161378156222718</v>
      </c>
      <c r="H2436" s="12" t="n">
        <f aca="false">Sens!$H$2432/Sens!$G$2432-1</f>
        <v>0.166192665236357</v>
      </c>
      <c r="I2436" s="12" t="n">
        <f aca="false">Sens!$I$2432/Sens!$H$2432-1</f>
        <v>0.143618092519351</v>
      </c>
      <c r="J2436" s="12" t="n">
        <f aca="false">Sens!$J$2432/Sens!$I$2432-1</f>
        <v>0.117712411733268</v>
      </c>
      <c r="K2436" s="12" t="n">
        <f aca="false">Sens!$K$2432/Sens!$J$2432-1</f>
        <v>0.0937151404237868</v>
      </c>
      <c r="L2436" s="12" t="n">
        <f aca="false">Sens!$L$2432/Sens!$K$2432-1</f>
        <v>0.0896982852494186</v>
      </c>
      <c r="M2436" s="12" t="n">
        <f aca="false">Sens!$M$2432/Sens!$L$2432-1</f>
        <v>0.0862697420528154</v>
      </c>
    </row>
    <row r="2437" customFormat="false" ht="17.15" hidden="false" customHeight="false" outlineLevel="0" collapsed="false">
      <c r="A2437" s="0" t="s">
        <v>653</v>
      </c>
      <c r="B2437" s="0" t="s">
        <v>52</v>
      </c>
      <c r="C2437" s="12" t="n">
        <f aca="false">Sens!$C$2431/Sens!$C$2432</f>
        <v>0.168593906504964</v>
      </c>
      <c r="D2437" s="12" t="n">
        <f aca="false">Sens!$D$2431/Sens!$D$2432</f>
        <v>0.179551807444025</v>
      </c>
      <c r="E2437" s="12" t="n">
        <f aca="false">Sens!$E$2431/Sens!$E$2432</f>
        <v>0.208881910369643</v>
      </c>
      <c r="F2437" s="12" t="n">
        <f aca="false">Sens!$F$2431/Sens!$F$2432</f>
        <v>0.207679264769203</v>
      </c>
      <c r="G2437" s="12" t="n">
        <f aca="false">Sens!$G$2431/Sens!$G$2432</f>
        <v>0.208231210458731</v>
      </c>
      <c r="H2437" s="12" t="n">
        <f aca="false">Sens!$H$2431/Sens!$H$2432</f>
        <v>0.248260191414043</v>
      </c>
      <c r="I2437" s="12" t="n">
        <f aca="false">Sens!$I$2431/Sens!$I$2432</f>
        <v>0.28110473450946</v>
      </c>
      <c r="J2437" s="12" t="n">
        <f aca="false">Sens!$J$2431/Sens!$J$2432</f>
        <v>0.30570109287086</v>
      </c>
      <c r="K2437" s="12" t="n">
        <f aca="false">Sens!$K$2431/Sens!$K$2432</f>
        <v>0.324071291782835</v>
      </c>
      <c r="L2437" s="12" t="n">
        <f aca="false">Sens!$L$2431/Sens!$L$2432</f>
        <v>0.339333003903741</v>
      </c>
      <c r="M2437" s="12" t="n">
        <f aca="false">Sens!$M$2431/Sens!$M$2432</f>
        <v>0.3520169237354</v>
      </c>
      <c r="N2437" s="12" t="n">
        <f aca="false">Sens!$N$2431/Sens!$N$2432</f>
        <v>0.185979484737251</v>
      </c>
      <c r="O2437" s="12" t="n">
        <f aca="false">Sens!$O$2431/Sens!$O$2432</f>
        <v>0.174270432341096</v>
      </c>
    </row>
    <row r="2438" customFormat="false" ht="17.15" hidden="false" customHeight="false" outlineLevel="0" collapsed="false">
      <c r="A2438" s="0" t="s">
        <v>654</v>
      </c>
      <c r="B2438" s="0" t="s">
        <v>52</v>
      </c>
      <c r="C2438" s="12" t="n">
        <f aca="false">Sens!$C$2429/Sens!$C$2431</f>
        <v>0.0215795060896058</v>
      </c>
      <c r="D2438" s="12" t="n">
        <f aca="false">Sens!$D$2429/Sens!$D$2431</f>
        <v>0.0676152269462122</v>
      </c>
      <c r="E2438" s="12" t="n">
        <f aca="false">Sens!$E$2429/Sens!$E$2431</f>
        <v>0.106620641395783</v>
      </c>
      <c r="F2438" s="12" t="n">
        <f aca="false">Sens!$F$2429/Sens!$F$2431</f>
        <v>0.159936751776064</v>
      </c>
      <c r="G2438" s="12" t="n">
        <f aca="false">Sens!$G$2429/Sens!$G$2431</f>
        <v>0.135391237003751</v>
      </c>
      <c r="H2438" s="12" t="n">
        <f aca="false">Sens!$H$2429/Sens!$H$2431</f>
        <v>0.249589428545194</v>
      </c>
      <c r="I2438" s="12" t="n">
        <f aca="false">Sens!$I$2429/Sens!$I$2431</f>
        <v>0.325173850577483</v>
      </c>
      <c r="J2438" s="12" t="n">
        <f aca="false">Sens!$J$2429/Sens!$J$2431</f>
        <v>0.376953718817392</v>
      </c>
      <c r="K2438" s="12" t="n">
        <f aca="false">Sens!$K$2429/Sens!$K$2431</f>
        <v>0.419641605578676</v>
      </c>
      <c r="L2438" s="12" t="n">
        <f aca="false">Sens!$L$2429/Sens!$L$2431</f>
        <v>0.450676451094615</v>
      </c>
      <c r="M2438" s="12" t="n">
        <f aca="false">Sens!$M$2429/Sens!$M$2431</f>
        <v>0.473526096798086</v>
      </c>
      <c r="N2438" s="12" t="n">
        <f aca="false">Sens!$N$2429/Sens!$N$2431</f>
        <v>0.0506537999838362</v>
      </c>
      <c r="O2438" s="12" t="n">
        <f aca="false">Sens!$O$2429/Sens!$O$2431</f>
        <v>0.0824881615167056</v>
      </c>
    </row>
    <row r="2441" customFormat="false" ht="19.4" hidden="false" customHeight="false" outlineLevel="0" collapsed="false">
      <c r="A2441" s="31" t="s">
        <v>1097</v>
      </c>
    </row>
    <row r="2442" customFormat="false" ht="17.15" hidden="false" customHeight="false" outlineLevel="0" collapsed="false">
      <c r="A2442" s="6" t="s">
        <v>16</v>
      </c>
      <c r="B2442" s="6" t="s">
        <v>17</v>
      </c>
      <c r="C2442" s="20" t="s">
        <v>457</v>
      </c>
      <c r="D2442" s="20" t="s">
        <v>458</v>
      </c>
      <c r="E2442" s="20" t="s">
        <v>540</v>
      </c>
      <c r="F2442" s="20" t="s">
        <v>541</v>
      </c>
      <c r="G2442" s="20" t="s">
        <v>542</v>
      </c>
      <c r="H2442" s="20" t="s">
        <v>543</v>
      </c>
      <c r="I2442" s="20" t="s">
        <v>544</v>
      </c>
      <c r="J2442" s="20" t="s">
        <v>545</v>
      </c>
      <c r="K2442" s="20" t="s">
        <v>546</v>
      </c>
      <c r="L2442" s="20" t="s">
        <v>547</v>
      </c>
      <c r="M2442" s="20" t="s">
        <v>548</v>
      </c>
      <c r="N2442" s="20" t="s">
        <v>549</v>
      </c>
      <c r="O2442" s="20" t="s">
        <v>550</v>
      </c>
      <c r="P2442" s="6" t="s">
        <v>23</v>
      </c>
      <c r="R2442" s="20" t="n">
        <v>2023</v>
      </c>
      <c r="S2442" s="20" t="n">
        <v>2024</v>
      </c>
      <c r="T2442" s="20" t="n">
        <v>2025</v>
      </c>
      <c r="U2442" s="20" t="n">
        <v>2026</v>
      </c>
      <c r="V2442" s="20" t="n">
        <v>2027</v>
      </c>
      <c r="W2442" s="20" t="n">
        <v>2028</v>
      </c>
      <c r="X2442" s="20" t="n">
        <v>2029</v>
      </c>
      <c r="Y2442" s="20" t="n">
        <v>2030</v>
      </c>
      <c r="Z2442" s="20" t="n">
        <v>2031</v>
      </c>
      <c r="AA2442" s="20" t="n">
        <v>2032</v>
      </c>
    </row>
    <row r="2443" customFormat="false" ht="17.15" hidden="false" customHeight="false" outlineLevel="0" collapsed="false">
      <c r="A2443" s="1" t="s">
        <v>669</v>
      </c>
    </row>
    <row r="2444" customFormat="false" ht="15" hidden="false" customHeight="false" outlineLevel="0" collapsed="false">
      <c r="A2444" s="0" t="s">
        <v>479</v>
      </c>
      <c r="B2444" s="0" t="s">
        <v>73</v>
      </c>
      <c r="C2444" s="38" t="n">
        <f aca="false">Sens!$C$2353</f>
        <v>247.029</v>
      </c>
      <c r="D2444" s="38" t="n">
        <f aca="false">Sens!$D$2353</f>
        <v>269.287</v>
      </c>
      <c r="E2444" s="38" t="n">
        <f aca="false">Sens!$E$2353</f>
        <v>134.686</v>
      </c>
      <c r="F2444" s="38" t="n">
        <f aca="false">Sens!$F$2353</f>
        <v>160.728085930082</v>
      </c>
      <c r="G2444" s="38" t="n">
        <f aca="false">Sens!$G$2353</f>
        <v>295.414085930082</v>
      </c>
      <c r="H2444" s="38" t="n">
        <f aca="false">Sens!$H$2353</f>
        <v>320.828163943375</v>
      </c>
      <c r="I2444" s="38" t="n">
        <f aca="false">Sens!$I$2353</f>
        <v>344.575578072228</v>
      </c>
      <c r="J2444" s="38" t="n">
        <f aca="false">Sens!$J$2353</f>
        <v>365.942555779681</v>
      </c>
      <c r="K2444" s="38" t="n">
        <f aca="false">Sens!$K$2353</f>
        <v>384.239683568665</v>
      </c>
      <c r="L2444" s="38" t="n">
        <f aca="false">Sens!$L$2353</f>
        <v>403.451667747098</v>
      </c>
      <c r="M2444" s="38" t="n">
        <f aca="false">Sens!$M$2353</f>
        <v>423.624251134453</v>
      </c>
      <c r="N2444" s="38" t="n">
        <f aca="false">Sens!$N$2353</f>
        <v>118.892</v>
      </c>
      <c r="O2444" s="38" t="n">
        <f aca="false">Sens!$O$2353</f>
        <v>150.395</v>
      </c>
    </row>
    <row r="2445" customFormat="false" ht="15" hidden="false" customHeight="false" outlineLevel="0" collapsed="false">
      <c r="A2445" s="0" t="s">
        <v>480</v>
      </c>
      <c r="B2445" s="0" t="s">
        <v>73</v>
      </c>
      <c r="C2445" s="38" t="n">
        <f aca="false">Sens!$C$2355</f>
        <v>21.215</v>
      </c>
      <c r="D2445" s="38" t="n">
        <f aca="false">Sens!$D$2355</f>
        <v>22.561</v>
      </c>
      <c r="E2445" s="38" t="n">
        <f aca="false">Sens!$E$2355</f>
        <v>11.579</v>
      </c>
      <c r="F2445" s="38" t="n">
        <f aca="false">Sens!$F$2355</f>
        <v>12.0952613121125</v>
      </c>
      <c r="G2445" s="38" t="n">
        <f aca="false">Sens!$G$2355</f>
        <v>23.6742613121125</v>
      </c>
      <c r="H2445" s="38" t="n">
        <f aca="false">Sens!$H$2355</f>
        <v>24.8803243963206</v>
      </c>
      <c r="I2445" s="38" t="n">
        <f aca="false">Sens!$I$2355</f>
        <v>25.9741308664154</v>
      </c>
      <c r="J2445" s="38" t="n">
        <f aca="false">Sens!$J$2355</f>
        <v>26.9346894124267</v>
      </c>
      <c r="K2445" s="38" t="n">
        <f aca="false">Sens!$K$2355</f>
        <v>27.7427300947995</v>
      </c>
      <c r="L2445" s="38" t="n">
        <f aca="false">Sens!$L$2355</f>
        <v>28.5750119976435</v>
      </c>
      <c r="M2445" s="38" t="n">
        <f aca="false">Sens!$M$2355</f>
        <v>29.4322623575728</v>
      </c>
      <c r="N2445" s="38" t="n">
        <f aca="false">Sens!$N$2355</f>
        <v>11.128</v>
      </c>
      <c r="O2445" s="38" t="n">
        <f aca="false">Sens!$O$2355</f>
        <v>11.433</v>
      </c>
    </row>
    <row r="2446" customFormat="false" ht="15" hidden="false" customHeight="false" outlineLevel="0" collapsed="false">
      <c r="A2446" s="0" t="s">
        <v>481</v>
      </c>
      <c r="B2446" s="0" t="s">
        <v>73</v>
      </c>
      <c r="C2446" s="38" t="n">
        <f aca="false">Sens!$C$2357</f>
        <v>156.146</v>
      </c>
      <c r="D2446" s="38" t="n">
        <f aca="false">Sens!$D$2357</f>
        <v>172.162</v>
      </c>
      <c r="E2446" s="38" t="n">
        <f aca="false">Sens!$E$2357</f>
        <v>88.358</v>
      </c>
      <c r="F2446" s="38" t="n">
        <f aca="false">Sens!$F$2357</f>
        <v>103.62028337149</v>
      </c>
      <c r="G2446" s="38" t="n">
        <f aca="false">Sens!$G$2357</f>
        <v>191.97828337149</v>
      </c>
      <c r="H2446" s="38" t="n">
        <f aca="false">Sens!$H$2357</f>
        <v>212.128608444755</v>
      </c>
      <c r="I2446" s="38" t="n">
        <f aca="false">Sens!$I$2357</f>
        <v>231.92183134134</v>
      </c>
      <c r="J2446" s="38" t="n">
        <f aca="false">Sens!$J$2357</f>
        <v>250.859136487863</v>
      </c>
      <c r="K2446" s="38" t="n">
        <f aca="false">Sens!$K$2357</f>
        <v>268.419276042014</v>
      </c>
      <c r="L2446" s="38" t="n">
        <f aca="false">Sens!$L$2357</f>
        <v>287.208625364954</v>
      </c>
      <c r="M2446" s="38" t="n">
        <f aca="false">Sens!$M$2357</f>
        <v>307.313229140501</v>
      </c>
      <c r="N2446" s="38" t="n">
        <f aca="false">Sens!$N$2357</f>
        <v>76.86</v>
      </c>
      <c r="O2446" s="38" t="n">
        <f aca="false">Sens!$O$2357</f>
        <v>95.302</v>
      </c>
    </row>
    <row r="2447" customFormat="false" ht="15" hidden="false" customHeight="false" outlineLevel="0" collapsed="false">
      <c r="A2447" s="0" t="s">
        <v>482</v>
      </c>
      <c r="B2447" s="0" t="s">
        <v>73</v>
      </c>
      <c r="C2447" s="38" t="n">
        <f aca="false">Sens!$C$2359</f>
        <v>56.214</v>
      </c>
      <c r="D2447" s="38" t="n">
        <f aca="false">Sens!$D$2359</f>
        <v>68.635</v>
      </c>
      <c r="E2447" s="38" t="n">
        <f aca="false">Sens!$E$2359</f>
        <v>37.052</v>
      </c>
      <c r="F2447" s="38" t="n">
        <f aca="false">Sens!$F$2359</f>
        <v>48.1533381827382</v>
      </c>
      <c r="G2447" s="38" t="n">
        <f aca="false">Sens!$G$2359</f>
        <v>85.2053381827382</v>
      </c>
      <c r="H2447" s="38" t="n">
        <f aca="false">Sens!$H$2359</f>
        <v>102.29336185894</v>
      </c>
      <c r="I2447" s="38" t="n">
        <f aca="false">Sens!$I$2359</f>
        <v>119.379837585241</v>
      </c>
      <c r="J2447" s="38" t="n">
        <f aca="false">Sens!$J$2359</f>
        <v>135.319079048844</v>
      </c>
      <c r="K2447" s="38" t="n">
        <f aca="false">Sens!$K$2359</f>
        <v>148.850986953729</v>
      </c>
      <c r="L2447" s="38" t="n">
        <f aca="false">Sens!$L$2359</f>
        <v>163.736085649102</v>
      </c>
      <c r="M2447" s="38" t="n">
        <f aca="false">Sens!$M$2359</f>
        <v>180.109694214012</v>
      </c>
      <c r="N2447" s="38" t="n">
        <f aca="false">Sens!$N$2359</f>
        <v>29.615</v>
      </c>
      <c r="O2447" s="38" t="n">
        <f aca="false">Sens!$O$2359</f>
        <v>39.02</v>
      </c>
    </row>
    <row r="2448" customFormat="false" ht="15" hidden="false" customHeight="false" outlineLevel="0" collapsed="false">
      <c r="A2448" s="0" t="s">
        <v>483</v>
      </c>
      <c r="B2448" s="0" t="s">
        <v>73</v>
      </c>
      <c r="C2448" s="38" t="n">
        <f aca="false">Sens!$C$2361</f>
        <v>44.374</v>
      </c>
      <c r="D2448" s="38" t="n">
        <f aca="false">Sens!$D$2361</f>
        <v>49.619</v>
      </c>
      <c r="E2448" s="38" t="n">
        <f aca="false">Sens!$E$2361</f>
        <v>27.157</v>
      </c>
      <c r="F2448" s="38" t="n">
        <f aca="false">Sens!$F$2361</f>
        <v>28.9776360923374</v>
      </c>
      <c r="G2448" s="38" t="n">
        <f aca="false">Sens!$G$2361</f>
        <v>56.1346360923374</v>
      </c>
      <c r="H2448" s="38" t="n">
        <f aca="false">Sens!$H$2361</f>
        <v>62.4937078946075</v>
      </c>
      <c r="I2448" s="38" t="n">
        <f aca="false">Sens!$I$2361</f>
        <v>68.6715233062498</v>
      </c>
      <c r="J2448" s="38" t="n">
        <f aca="false">Sens!$J$2361</f>
        <v>74.4692882949818</v>
      </c>
      <c r="K2448" s="38" t="n">
        <f aca="false">Sens!$K$2361</f>
        <v>79.6821384756306</v>
      </c>
      <c r="L2448" s="38" t="n">
        <f aca="false">Sens!$L$2361</f>
        <v>85.2598881689247</v>
      </c>
      <c r="M2448" s="38" t="n">
        <f aca="false">Sens!$M$2361</f>
        <v>91.2280803407494</v>
      </c>
      <c r="N2448" s="38" t="n">
        <f aca="false">Sens!$N$2361</f>
        <v>23.923</v>
      </c>
      <c r="O2448" s="38" t="n">
        <f aca="false">Sens!$O$2361</f>
        <v>25.696</v>
      </c>
    </row>
    <row r="2449" customFormat="false" ht="15" hidden="false" customHeight="false" outlineLevel="0" collapsed="false">
      <c r="A2449" s="0" t="s">
        <v>484</v>
      </c>
      <c r="B2449" s="0" t="s">
        <v>73</v>
      </c>
      <c r="C2449" s="38" t="n">
        <f aca="false">Sens!$C$2363</f>
        <v>5.425</v>
      </c>
      <c r="D2449" s="38" t="n">
        <f aca="false">Sens!$D$2363</f>
        <v>5.935</v>
      </c>
      <c r="E2449" s="38" t="n">
        <f aca="false">Sens!$E$2363</f>
        <v>3.474</v>
      </c>
      <c r="F2449" s="38" t="n">
        <f aca="false">Sens!$F$2363</f>
        <v>3.36182431966931</v>
      </c>
      <c r="G2449" s="38" t="n">
        <f aca="false">Sens!$G$2363</f>
        <v>6.83582431966931</v>
      </c>
      <c r="H2449" s="38" t="n">
        <f aca="false">Sens!$H$2363</f>
        <v>7.31157108370141</v>
      </c>
      <c r="I2449" s="38" t="n">
        <f aca="false">Sens!$I$2363</f>
        <v>7.77266852639815</v>
      </c>
      <c r="J2449" s="38" t="n">
        <f aca="false">Sens!$J$2363</f>
        <v>8.2120733019884</v>
      </c>
      <c r="K2449" s="38" t="n">
        <f aca="false">Sens!$K$2363</f>
        <v>8.62267696708783</v>
      </c>
      <c r="L2449" s="38" t="n">
        <f aca="false">Sens!$L$2363</f>
        <v>9.05381081544222</v>
      </c>
      <c r="M2449" s="38" t="n">
        <f aca="false">Sens!$M$2363</f>
        <v>9.50650135621433</v>
      </c>
      <c r="N2449" s="38" t="n">
        <f aca="false">Sens!$N$2363</f>
        <v>2.811</v>
      </c>
      <c r="O2449" s="38" t="n">
        <f aca="false">Sens!$O$2363</f>
        <v>3.124</v>
      </c>
    </row>
    <row r="2450" customFormat="false" ht="17.15" hidden="false" customHeight="false" outlineLevel="0" collapsed="false">
      <c r="A2450" s="0" t="s">
        <v>670</v>
      </c>
      <c r="B2450" s="0" t="s">
        <v>73</v>
      </c>
      <c r="C2450" s="38" t="n">
        <f aca="false">Sens!$C$2431</f>
        <v>107.556</v>
      </c>
      <c r="D2450" s="38" t="n">
        <f aca="false">Sens!$D$2431</f>
        <v>128.725</v>
      </c>
      <c r="E2450" s="38" t="n">
        <f aca="false">Sens!$E$2431</f>
        <v>79.819</v>
      </c>
      <c r="F2450" s="38" t="n">
        <f aca="false">Sens!$F$2431</f>
        <v>93.5584440633857</v>
      </c>
      <c r="G2450" s="38" t="n">
        <f aca="false">Sens!$G$2431</f>
        <v>173.377444063386</v>
      </c>
      <c r="H2450" s="38" t="n">
        <f aca="false">Sens!$H$2431</f>
        <v>241.059451517916</v>
      </c>
      <c r="I2450" s="38" t="n">
        <f aca="false">Sens!$I$2431</f>
        <v>312.152096351442</v>
      </c>
      <c r="J2450" s="38" t="n">
        <f aca="false">Sens!$J$2431</f>
        <v>379.424316597773</v>
      </c>
      <c r="K2450" s="38" t="n">
        <f aca="false">Sens!$K$2431</f>
        <v>439.919237244402</v>
      </c>
      <c r="L2450" s="38" t="n">
        <f aca="false">Sens!$L$2431</f>
        <v>501.954974491517</v>
      </c>
      <c r="M2450" s="38" t="n">
        <f aca="false">Sens!$M$2431</f>
        <v>565.639704466895</v>
      </c>
      <c r="N2450" s="38" t="n">
        <f aca="false">Sens!$N$2431</f>
        <v>60.14</v>
      </c>
      <c r="O2450" s="38" t="n">
        <f aca="false">Sens!$O$2431</f>
        <v>68.585</v>
      </c>
    </row>
    <row r="2451" customFormat="false" ht="15" hidden="false" customHeight="false" outlineLevel="0" collapsed="false">
      <c r="A2451" s="1" t="s">
        <v>472</v>
      </c>
      <c r="B2451" s="8" t="s">
        <v>73</v>
      </c>
      <c r="C2451" s="38" t="n">
        <f aca="false">Sens!$C$2367</f>
        <v>387.497</v>
      </c>
      <c r="D2451" s="38" t="n">
        <f aca="false">Sens!$D$2367</f>
        <v>426.305</v>
      </c>
      <c r="E2451" s="38" t="n">
        <f aca="false">Sens!$E$2367</f>
        <v>220.32</v>
      </c>
      <c r="F2451" s="38" t="n">
        <f aca="false">Sens!$F$2367</f>
        <v>256.304015003807</v>
      </c>
      <c r="G2451" s="38" t="n">
        <f aca="false">Sens!$G$2367</f>
        <v>476.624015003807</v>
      </c>
      <c r="H2451" s="38" t="n">
        <f aca="false">Sens!$H$2367</f>
        <v>527.734391091543</v>
      </c>
      <c r="I2451" s="38" t="n">
        <f aca="false">Sens!$I$2367</f>
        <v>577.157693029577</v>
      </c>
      <c r="J2451" s="38" t="n">
        <f aca="false">Sens!$J$2367</f>
        <v>623.024923663827</v>
      </c>
      <c r="K2451" s="38" t="n">
        <f aca="false">Sens!$K$2367</f>
        <v>663.382568393781</v>
      </c>
      <c r="L2451" s="38" t="n">
        <f aca="false">Sens!$L$2367</f>
        <v>706.564873010432</v>
      </c>
      <c r="M2451" s="38" t="n">
        <f aca="false">Sens!$M$2367</f>
        <v>752.784687406019</v>
      </c>
      <c r="N2451" s="38" t="n">
        <f aca="false">Sens!$N$2367</f>
        <v>192.955</v>
      </c>
      <c r="O2451" s="38" t="n">
        <f aca="false">Sens!$O$2367</f>
        <v>233.35</v>
      </c>
    </row>
    <row r="2452" customFormat="false" ht="15" hidden="false" customHeight="false" outlineLevel="0" collapsed="false">
      <c r="A2452" s="1" t="s">
        <v>475</v>
      </c>
      <c r="B2452" s="8" t="s">
        <v>73</v>
      </c>
      <c r="C2452" s="38" t="n">
        <f aca="false">Sens!$C$2368</f>
        <v>142.906</v>
      </c>
      <c r="D2452" s="38" t="n">
        <f aca="false">Sens!$D$2368</f>
        <v>161.894</v>
      </c>
      <c r="E2452" s="38" t="n">
        <f aca="false">Sens!$E$2368</f>
        <v>81.986</v>
      </c>
      <c r="F2452" s="38" t="n">
        <f aca="false">Sens!$F$2368</f>
        <v>100.632414204623</v>
      </c>
      <c r="G2452" s="38" t="n">
        <f aca="false">Sens!$G$2368</f>
        <v>182.618414204623</v>
      </c>
      <c r="H2452" s="38" t="n">
        <f aca="false">Sens!$H$2368</f>
        <v>202.201346530158</v>
      </c>
      <c r="I2452" s="38" t="n">
        <f aca="false">Sens!$I$2368</f>
        <v>221.137876668296</v>
      </c>
      <c r="J2452" s="38" t="n">
        <f aca="false">Sens!$J$2368</f>
        <v>238.711898661958</v>
      </c>
      <c r="K2452" s="38" t="n">
        <f aca="false">Sens!$K$2368</f>
        <v>254.174923708144</v>
      </c>
      <c r="L2452" s="38" t="n">
        <f aca="false">Sens!$L$2368</f>
        <v>270.720216732733</v>
      </c>
      <c r="M2452" s="38" t="n">
        <f aca="false">Sens!$M$2368</f>
        <v>288.429331137484</v>
      </c>
      <c r="N2452" s="38" t="n">
        <f aca="false">Sens!$N$2368</f>
        <v>70.274</v>
      </c>
      <c r="O2452" s="38" t="n">
        <f aca="false">Sens!$O$2368</f>
        <v>91.62</v>
      </c>
    </row>
    <row r="2453" customFormat="false" ht="15" hidden="false" customHeight="false" outlineLevel="0" collapsed="false">
      <c r="A2453" s="1" t="s">
        <v>476</v>
      </c>
      <c r="B2453" s="8" t="s">
        <v>73</v>
      </c>
      <c r="C2453" s="38" t="n">
        <f aca="false">Sens!$C$2431</f>
        <v>107.556</v>
      </c>
      <c r="D2453" s="38" t="n">
        <f aca="false">Sens!$D$2431</f>
        <v>128.725</v>
      </c>
      <c r="E2453" s="38" t="n">
        <f aca="false">Sens!$E$2431</f>
        <v>79.819</v>
      </c>
      <c r="F2453" s="38" t="n">
        <f aca="false">Sens!$F$2431</f>
        <v>93.5584440633857</v>
      </c>
      <c r="G2453" s="38" t="n">
        <f aca="false">Sens!$G$2431</f>
        <v>173.377444063386</v>
      </c>
      <c r="H2453" s="38" t="n">
        <f aca="false">Sens!$H$2431</f>
        <v>241.059451517916</v>
      </c>
      <c r="I2453" s="38" t="n">
        <f aca="false">Sens!$I$2431</f>
        <v>312.152096351442</v>
      </c>
      <c r="J2453" s="38" t="n">
        <f aca="false">Sens!$J$2431</f>
        <v>379.424316597773</v>
      </c>
      <c r="K2453" s="38" t="n">
        <f aca="false">Sens!$K$2431</f>
        <v>439.919237244402</v>
      </c>
      <c r="L2453" s="38" t="n">
        <f aca="false">Sens!$L$2431</f>
        <v>501.954974491517</v>
      </c>
      <c r="M2453" s="38" t="n">
        <f aca="false">Sens!$M$2431</f>
        <v>565.639704466895</v>
      </c>
      <c r="N2453" s="38" t="n">
        <f aca="false">Sens!$N$2431</f>
        <v>60.14</v>
      </c>
      <c r="O2453" s="38" t="n">
        <f aca="false">Sens!$O$2431</f>
        <v>68.585</v>
      </c>
    </row>
    <row r="2454" customFormat="false" ht="17.15" hidden="false" customHeight="false" outlineLevel="0" collapsed="false">
      <c r="A2454" s="0" t="s">
        <v>644</v>
      </c>
      <c r="B2454" s="0" t="s">
        <v>73</v>
      </c>
      <c r="C2454" s="38" t="n">
        <f aca="false">Sens!$C$2429</f>
        <v>2.32100535697364</v>
      </c>
      <c r="D2454" s="38" t="n">
        <f aca="false">Sens!$D$2429</f>
        <v>8.70377008865116</v>
      </c>
      <c r="E2454" s="38" t="n">
        <f aca="false">Sens!$E$2429</f>
        <v>8.51035297557002</v>
      </c>
      <c r="F2454" s="38" t="n">
        <f aca="false">Sens!$F$2429</f>
        <v>14.9634336447205</v>
      </c>
      <c r="G2454" s="38" t="n">
        <f aca="false">Sens!$G$2429</f>
        <v>23.4737866202905</v>
      </c>
      <c r="H2454" s="38" t="n">
        <f aca="false">Sens!$H$2429</f>
        <v>60.1658907497746</v>
      </c>
      <c r="I2454" s="38" t="n">
        <f aca="false">Sens!$I$2429</f>
        <v>101.503699136432</v>
      </c>
      <c r="J2454" s="38" t="n">
        <f aca="false">Sens!$J$2429</f>
        <v>143.025407151278</v>
      </c>
      <c r="K2454" s="38" t="n">
        <f aca="false">Sens!$K$2429</f>
        <v>184.608415042187</v>
      </c>
      <c r="L2454" s="38" t="n">
        <f aca="false">Sens!$L$2429</f>
        <v>226.219286513125</v>
      </c>
      <c r="M2454" s="38" t="n">
        <f aca="false">Sens!$M$2429</f>
        <v>267.845161450232</v>
      </c>
      <c r="N2454" s="38" t="n">
        <f aca="false">Sens!$N$2429</f>
        <v>3.04631953102791</v>
      </c>
      <c r="O2454" s="38" t="n">
        <f aca="false">Sens!$O$2429</f>
        <v>5.65745055762326</v>
      </c>
    </row>
    <row r="2455" customFormat="false" ht="17.15" hidden="false" customHeight="false" outlineLevel="0" collapsed="false">
      <c r="A2455" s="0" t="s">
        <v>646</v>
      </c>
      <c r="B2455" s="0" t="s">
        <v>73</v>
      </c>
      <c r="C2455" s="38" t="n">
        <f aca="false">Sens!$C$2430</f>
        <v>105.234994643026</v>
      </c>
      <c r="D2455" s="38" t="n">
        <f aca="false">Sens!$D$2430</f>
        <v>120.021229911349</v>
      </c>
      <c r="E2455" s="38" t="n">
        <f aca="false">Sens!$E$2430</f>
        <v>71.30864702443</v>
      </c>
      <c r="F2455" s="38" t="n">
        <f aca="false">Sens!$F$2430</f>
        <v>78.5950104186653</v>
      </c>
      <c r="G2455" s="38" t="n">
        <f aca="false">Sens!$G$2430</f>
        <v>149.903657443095</v>
      </c>
      <c r="H2455" s="38" t="n">
        <f aca="false">Sens!$H$2430</f>
        <v>180.893560768142</v>
      </c>
      <c r="I2455" s="38" t="n">
        <f aca="false">Sens!$I$2430</f>
        <v>210.64839721501</v>
      </c>
      <c r="J2455" s="38" t="n">
        <f aca="false">Sens!$J$2430</f>
        <v>236.398909446495</v>
      </c>
      <c r="K2455" s="38" t="n">
        <f aca="false">Sens!$K$2430</f>
        <v>255.310822202215</v>
      </c>
      <c r="L2455" s="38" t="n">
        <f aca="false">Sens!$L$2430</f>
        <v>275.735687978392</v>
      </c>
      <c r="M2455" s="38" t="n">
        <f aca="false">Sens!$M$2430</f>
        <v>297.794543016663</v>
      </c>
      <c r="N2455" s="38" t="n">
        <f aca="false">Sens!$N$2430</f>
        <v>57.0936804689721</v>
      </c>
      <c r="O2455" s="38" t="n">
        <f aca="false">Sens!$O$2430</f>
        <v>62.9275494423768</v>
      </c>
    </row>
    <row r="2456" customFormat="false" ht="15" hidden="false" customHeight="false" outlineLevel="0" collapsed="false">
      <c r="A2456" s="3" t="s">
        <v>477</v>
      </c>
      <c r="B2456" s="8" t="s">
        <v>73</v>
      </c>
      <c r="C2456" s="38" t="n">
        <f aca="false">Sens!$C$2432</f>
        <v>637.959</v>
      </c>
      <c r="D2456" s="38" t="n">
        <f aca="false">Sens!$D$2432</f>
        <v>716.924</v>
      </c>
      <c r="E2456" s="38" t="n">
        <f aca="false">Sens!$E$2432</f>
        <v>382.125</v>
      </c>
      <c r="F2456" s="38" t="n">
        <f aca="false">Sens!$F$2432</f>
        <v>450.494873271816</v>
      </c>
      <c r="G2456" s="38" t="n">
        <f aca="false">Sens!$G$2432</f>
        <v>832.619873271816</v>
      </c>
      <c r="H2456" s="38" t="n">
        <f aca="false">Sens!$H$2432</f>
        <v>970.995189139617</v>
      </c>
      <c r="I2456" s="38" t="n">
        <f aca="false">Sens!$I$2432</f>
        <v>1110.44766604932</v>
      </c>
      <c r="J2456" s="38" t="n">
        <f aca="false">Sens!$J$2432</f>
        <v>1241.16113892356</v>
      </c>
      <c r="K2456" s="38" t="n">
        <f aca="false">Sens!$K$2432</f>
        <v>1357.47672934633</v>
      </c>
      <c r="L2456" s="38" t="n">
        <f aca="false">Sens!$L$2432</f>
        <v>1479.24006423468</v>
      </c>
      <c r="M2456" s="38" t="n">
        <f aca="false">Sens!$M$2432</f>
        <v>1606.8537230104</v>
      </c>
      <c r="N2456" s="38" t="n">
        <f aca="false">Sens!$N$2432</f>
        <v>323.369</v>
      </c>
      <c r="O2456" s="38" t="n">
        <f aca="false">Sens!$O$2432</f>
        <v>393.555</v>
      </c>
    </row>
    <row r="2457" customFormat="false" ht="17.15" hidden="false" customHeight="false" outlineLevel="0" collapsed="false">
      <c r="A2457" s="24" t="s">
        <v>656</v>
      </c>
      <c r="B2457" s="25" t="s">
        <v>73</v>
      </c>
      <c r="C2457" s="39" t="n">
        <f aca="false">Sens!$C$2444+Sens!$C$2445+Sens!$C$2446+Sens!$C$2447+Sens!$C$2448+Sens!$C$2449-(Sens!$C$2451+Sens!$C$2452)</f>
        <v>0</v>
      </c>
      <c r="D2457" s="39" t="n">
        <f aca="false">Sens!$D$2444+Sens!$D$2445+Sens!$D$2446+Sens!$D$2447+Sens!$D$2448+Sens!$D$2449-(Sens!$D$2451+Sens!$D$2452)</f>
        <v>0</v>
      </c>
      <c r="E2457" s="39" t="n">
        <f aca="false">Sens!$E$2444+Sens!$E$2445+Sens!$E$2446+Sens!$E$2447+Sens!$E$2448+Sens!$E$2449-(Sens!$E$2451+Sens!$E$2452)</f>
        <v>0</v>
      </c>
      <c r="F2457" s="39" t="n">
        <f aca="false">Sens!$F$2444+Sens!$F$2445+Sens!$F$2446+Sens!$F$2447+Sens!$F$2448+Sens!$F$2449-(Sens!$F$2451+Sens!$F$2452)</f>
        <v>0</v>
      </c>
      <c r="G2457" s="39" t="n">
        <f aca="false">Sens!$G$2444+Sens!$G$2445+Sens!$G$2446+Sens!$G$2447+Sens!$G$2448+Sens!$G$2449-(Sens!$G$2451+Sens!$G$2452)</f>
        <v>0</v>
      </c>
      <c r="H2457" s="39" t="n">
        <f aca="false">Sens!$H$2444+Sens!$H$2445+Sens!$H$2446+Sens!$H$2447+Sens!$H$2448+Sens!$H$2449-(Sens!$H$2451+Sens!$H$2452)</f>
        <v>0</v>
      </c>
      <c r="I2457" s="39" t="n">
        <f aca="false">Sens!$I$2444+Sens!$I$2445+Sens!$I$2446+Sens!$I$2447+Sens!$I$2448+Sens!$I$2449-(Sens!$I$2451+Sens!$I$2452)</f>
        <v>0</v>
      </c>
      <c r="J2457" s="39" t="n">
        <f aca="false">Sens!$J$2444+Sens!$J$2445+Sens!$J$2446+Sens!$J$2447+Sens!$J$2448+Sens!$J$2449-(Sens!$J$2451+Sens!$J$2452)</f>
        <v>0</v>
      </c>
      <c r="K2457" s="39" t="n">
        <f aca="false">Sens!$K$2444+Sens!$K$2445+Sens!$K$2446+Sens!$K$2447+Sens!$K$2448+Sens!$K$2449-(Sens!$K$2451+Sens!$K$2452)</f>
        <v>0</v>
      </c>
      <c r="L2457" s="39" t="n">
        <f aca="false">Sens!$L$2444+Sens!$L$2445+Sens!$L$2446+Sens!$L$2447+Sens!$L$2448+Sens!$L$2449-(Sens!$L$2451+Sens!$L$2452)</f>
        <v>0</v>
      </c>
      <c r="M2457" s="39" t="n">
        <f aca="false">Sens!$M$2444+Sens!$M$2445+Sens!$M$2446+Sens!$M$2447+Sens!$M$2448+Sens!$M$2449-(Sens!$M$2451+Sens!$M$2452)</f>
        <v>0</v>
      </c>
      <c r="N2457" s="39" t="n">
        <f aca="false">Sens!$N$2444+Sens!$N$2445+Sens!$N$2446+Sens!$N$2447+Sens!$N$2448+Sens!$N$2449-(Sens!$N$2451+Sens!$N$2452)</f>
        <v>0</v>
      </c>
      <c r="O2457" s="39" t="n">
        <f aca="false">Sens!$O$2444+Sens!$O$2445+Sens!$O$2446+Sens!$O$2447+Sens!$O$2448+Sens!$O$2449-(Sens!$O$2451+Sens!$O$2452)</f>
        <v>0</v>
      </c>
    </row>
    <row r="2458" customFormat="false" ht="17.15" hidden="false" customHeight="false" outlineLevel="0" collapsed="false">
      <c r="A2458" s="24" t="s">
        <v>657</v>
      </c>
      <c r="B2458" s="25" t="s">
        <v>73</v>
      </c>
      <c r="C2458" s="39" t="n">
        <f aca="false">Sens!$C$2454+Sens!$C$2455-Sens!$C$2453</f>
        <v>0</v>
      </c>
      <c r="D2458" s="39" t="n">
        <f aca="false">Sens!$D$2454+Sens!$D$2455-Sens!$D$2453</f>
        <v>0</v>
      </c>
      <c r="E2458" s="39" t="n">
        <f aca="false">Sens!$E$2454+Sens!$E$2455-Sens!$E$2453</f>
        <v>0</v>
      </c>
      <c r="F2458" s="39" t="n">
        <f aca="false">Sens!$F$2454+Sens!$F$2455-Sens!$F$2453</f>
        <v>0</v>
      </c>
      <c r="G2458" s="39" t="n">
        <f aca="false">Sens!$G$2454+Sens!$G$2455-Sens!$G$2453</f>
        <v>0</v>
      </c>
      <c r="H2458" s="39" t="n">
        <f aca="false">Sens!$H$2454+Sens!$H$2455-Sens!$H$2453</f>
        <v>0</v>
      </c>
      <c r="I2458" s="39" t="n">
        <f aca="false">Sens!$I$2454+Sens!$I$2455-Sens!$I$2453</f>
        <v>0</v>
      </c>
      <c r="J2458" s="39" t="n">
        <f aca="false">Sens!$J$2454+Sens!$J$2455-Sens!$J$2453</f>
        <v>0</v>
      </c>
      <c r="K2458" s="39" t="n">
        <f aca="false">Sens!$K$2454+Sens!$K$2455-Sens!$K$2453</f>
        <v>0</v>
      </c>
      <c r="L2458" s="39" t="n">
        <f aca="false">Sens!$L$2454+Sens!$L$2455-Sens!$L$2453</f>
        <v>0</v>
      </c>
      <c r="M2458" s="39" t="n">
        <f aca="false">Sens!$M$2454+Sens!$M$2455-Sens!$M$2453</f>
        <v>0</v>
      </c>
      <c r="N2458" s="39" t="n">
        <f aca="false">Sens!$N$2454+Sens!$N$2455-Sens!$N$2453</f>
        <v>0</v>
      </c>
      <c r="O2458" s="39" t="n">
        <f aca="false">Sens!$O$2454+Sens!$O$2455-Sens!$O$2453</f>
        <v>0</v>
      </c>
    </row>
    <row r="2459" customFormat="false" ht="17.15" hidden="false" customHeight="false" outlineLevel="0" collapsed="false">
      <c r="A2459" s="24" t="s">
        <v>711</v>
      </c>
      <c r="B2459" s="25" t="s">
        <v>73</v>
      </c>
      <c r="C2459" s="39" t="n">
        <f aca="false">Sens!$C$2444+Sens!$C$2445+Sens!$C$2446+Sens!$C$2447+Sens!$C$2448+Sens!$C$2449+Sens!$C$2450-Sens!$C$2456</f>
        <v>0</v>
      </c>
      <c r="D2459" s="39" t="n">
        <f aca="false">Sens!$D$2444+Sens!$D$2445+Sens!$D$2446+Sens!$D$2447+Sens!$D$2448+Sens!$D$2449+Sens!$D$2450-Sens!$D$2456</f>
        <v>0</v>
      </c>
      <c r="E2459" s="39" t="n">
        <f aca="false">Sens!$E$2444+Sens!$E$2445+Sens!$E$2446+Sens!$E$2447+Sens!$E$2448+Sens!$E$2449+Sens!$E$2450-Sens!$E$2456</f>
        <v>0</v>
      </c>
      <c r="F2459" s="39" t="n">
        <f aca="false">Sens!$F$2444+Sens!$F$2445+Sens!$F$2446+Sens!$F$2447+Sens!$F$2448+Sens!$F$2449+Sens!$F$2450-Sens!$F$2456</f>
        <v>0</v>
      </c>
      <c r="G2459" s="39" t="n">
        <f aca="false">Sens!$G$2444+Sens!$G$2445+Sens!$G$2446+Sens!$G$2447+Sens!$G$2448+Sens!$G$2449+Sens!$G$2450-Sens!$G$2456</f>
        <v>0</v>
      </c>
      <c r="H2459" s="39" t="n">
        <f aca="false">Sens!$H$2444+Sens!$H$2445+Sens!$H$2446+Sens!$H$2447+Sens!$H$2448+Sens!$H$2449+Sens!$H$2450-Sens!$H$2456</f>
        <v>0</v>
      </c>
      <c r="I2459" s="39" t="n">
        <f aca="false">Sens!$I$2444+Sens!$I$2445+Sens!$I$2446+Sens!$I$2447+Sens!$I$2448+Sens!$I$2449+Sens!$I$2450-Sens!$I$2456</f>
        <v>0</v>
      </c>
      <c r="J2459" s="39" t="n">
        <f aca="false">Sens!$J$2444+Sens!$J$2445+Sens!$J$2446+Sens!$J$2447+Sens!$J$2448+Sens!$J$2449+Sens!$J$2450-Sens!$J$2456</f>
        <v>0</v>
      </c>
      <c r="K2459" s="39" t="n">
        <f aca="false">Sens!$K$2444+Sens!$K$2445+Sens!$K$2446+Sens!$K$2447+Sens!$K$2448+Sens!$K$2449+Sens!$K$2450-Sens!$K$2456</f>
        <v>0</v>
      </c>
      <c r="L2459" s="39" t="n">
        <f aca="false">Sens!$L$2444+Sens!$L$2445+Sens!$L$2446+Sens!$L$2447+Sens!$L$2448+Sens!$L$2449+Sens!$L$2450-Sens!$L$2456</f>
        <v>0</v>
      </c>
      <c r="M2459" s="39" t="n">
        <f aca="false">Sens!$M$2444+Sens!$M$2445+Sens!$M$2446+Sens!$M$2447+Sens!$M$2448+Sens!$M$2449+Sens!$M$2450-Sens!$M$2456</f>
        <v>0</v>
      </c>
      <c r="N2459" s="39" t="n">
        <f aca="false">Sens!$N$2444+Sens!$N$2445+Sens!$N$2446+Sens!$N$2447+Sens!$N$2448+Sens!$N$2449+Sens!$N$2450-Sens!$N$2456</f>
        <v>0</v>
      </c>
      <c r="O2459" s="39" t="n">
        <f aca="false">Sens!$O$2444+Sens!$O$2445+Sens!$O$2446+Sens!$O$2447+Sens!$O$2448+Sens!$O$2449+Sens!$O$2450-Sens!$O$2456</f>
        <v>0</v>
      </c>
    </row>
    <row r="2460" customFormat="false" ht="17.15" hidden="false" customHeight="false" outlineLevel="0" collapsed="false">
      <c r="A2460" s="24" t="s">
        <v>658</v>
      </c>
      <c r="B2460" s="25" t="s">
        <v>73</v>
      </c>
      <c r="C2460" s="39" t="n">
        <f aca="false">Sens!$C$2451+Sens!$C$2452+Sens!$C$2453-Sens!$C$2456</f>
        <v>0</v>
      </c>
      <c r="D2460" s="39" t="n">
        <f aca="false">Sens!$D$2451+Sens!$D$2452+Sens!$D$2453-Sens!$D$2456</f>
        <v>0</v>
      </c>
      <c r="E2460" s="39" t="n">
        <f aca="false">Sens!$E$2451+Sens!$E$2452+Sens!$E$2453-Sens!$E$2456</f>
        <v>0</v>
      </c>
      <c r="F2460" s="39" t="n">
        <f aca="false">Sens!$F$2451+Sens!$F$2452+Sens!$F$2453-Sens!$F$2456</f>
        <v>0</v>
      </c>
      <c r="G2460" s="39" t="n">
        <f aca="false">Sens!$G$2451+Sens!$G$2452+Sens!$G$2453-Sens!$G$2456</f>
        <v>0</v>
      </c>
      <c r="H2460" s="39" t="n">
        <f aca="false">Sens!$H$2451+Sens!$H$2452+Sens!$H$2453-Sens!$H$2456</f>
        <v>0</v>
      </c>
      <c r="I2460" s="39" t="n">
        <f aca="false">Sens!$I$2451+Sens!$I$2452+Sens!$I$2453-Sens!$I$2456</f>
        <v>0</v>
      </c>
      <c r="J2460" s="39" t="n">
        <f aca="false">Sens!$J$2451+Sens!$J$2452+Sens!$J$2453-Sens!$J$2456</f>
        <v>0</v>
      </c>
      <c r="K2460" s="39" t="n">
        <f aca="false">Sens!$K$2451+Sens!$K$2452+Sens!$K$2453-Sens!$K$2456</f>
        <v>0</v>
      </c>
      <c r="L2460" s="39" t="n">
        <f aca="false">Sens!$L$2451+Sens!$L$2452+Sens!$L$2453-Sens!$L$2456</f>
        <v>0</v>
      </c>
      <c r="M2460" s="39" t="n">
        <f aca="false">Sens!$M$2451+Sens!$M$2452+Sens!$M$2453-Sens!$M$2456</f>
        <v>0</v>
      </c>
      <c r="N2460" s="39" t="n">
        <f aca="false">Sens!$N$2451+Sens!$N$2452+Sens!$N$2453-Sens!$N$2456</f>
        <v>0</v>
      </c>
      <c r="O2460" s="39" t="n">
        <f aca="false">Sens!$O$2451+Sens!$O$2452+Sens!$O$2453-Sens!$O$2456</f>
        <v>0</v>
      </c>
    </row>
    <row r="2461" customFormat="false" ht="17.15" hidden="false" customHeight="false" outlineLevel="0" collapsed="false">
      <c r="A2461" s="1" t="s">
        <v>672</v>
      </c>
    </row>
    <row r="2462" customFormat="false" ht="17.15" hidden="false" customHeight="false" outlineLevel="0" collapsed="false">
      <c r="A2462" s="0" t="s">
        <v>673</v>
      </c>
      <c r="B2462" s="0" t="s">
        <v>73</v>
      </c>
      <c r="C2462" s="38" t="n">
        <f aca="false">Sens!$C$2369*m_ad</f>
        <v>20.5341564414228</v>
      </c>
      <c r="D2462" s="38" t="n">
        <f aca="false">Sens!$D$2369*m_ad</f>
        <v>24.8720617299587</v>
      </c>
      <c r="E2462" s="38" t="n">
        <f aca="false">Sens!$E$2369*m_ad</f>
        <v>13.5017112462207</v>
      </c>
      <c r="F2462" s="38" t="n">
        <f aca="false">Sens!$F$2369*m_ad</f>
        <v>17.2886442824599</v>
      </c>
      <c r="G2462" s="38" t="n">
        <f aca="false">Sens!$G$2369*m_ad</f>
        <v>30.8011958765886</v>
      </c>
      <c r="H2462" s="38" t="n">
        <f aca="false">Sens!$H$2369*m_ad</f>
        <v>36.978409366026</v>
      </c>
      <c r="I2462" s="38" t="n">
        <f aca="false">Sens!$I$2369*m_ad</f>
        <v>43.155063281273</v>
      </c>
      <c r="J2462" s="38" t="n">
        <f aca="false">Sens!$J$2369*m_ad</f>
        <v>48.9169991988532</v>
      </c>
      <c r="K2462" s="38" t="n">
        <f aca="false">Sens!$K$2369*m_ad</f>
        <v>53.8086991187386</v>
      </c>
      <c r="L2462" s="38" t="n">
        <f aca="false">Sens!$L$2369*m_ad</f>
        <v>59.1895690306124</v>
      </c>
      <c r="M2462" s="38" t="n">
        <f aca="false">Sens!$M$2369*m_ad</f>
        <v>65.1085259336737</v>
      </c>
      <c r="N2462" s="38" t="n">
        <f aca="false">Sens!$N$2369*m_ad</f>
        <v>10.8543555706248</v>
      </c>
      <c r="O2462" s="38" t="n">
        <f aca="false">Sens!$O$2369*m_ad</f>
        <v>14.0094731821399</v>
      </c>
    </row>
    <row r="2463" customFormat="false" ht="17.15" hidden="false" customHeight="false" outlineLevel="0" collapsed="false">
      <c r="A2463" s="0" t="s">
        <v>674</v>
      </c>
      <c r="B2463" s="0" t="s">
        <v>73</v>
      </c>
      <c r="C2463" s="38" t="n">
        <f aca="false">Sens!$C$2367-Sens!$C$2369</f>
        <v>346.428687117154</v>
      </c>
      <c r="D2463" s="38" t="n">
        <f aca="false">Sens!$D$2367-Sens!$D$2369</f>
        <v>376.560876540083</v>
      </c>
      <c r="E2463" s="38" t="n">
        <f aca="false">Sens!$E$2367-Sens!$E$2369</f>
        <v>193.316577507559</v>
      </c>
      <c r="F2463" s="38" t="n">
        <f aca="false">Sens!$F$2367-Sens!$F$2369</f>
        <v>221.726726438887</v>
      </c>
      <c r="G2463" s="38" t="n">
        <f aca="false">Sens!$G$2367-Sens!$G$2369</f>
        <v>415.02162325063</v>
      </c>
      <c r="H2463" s="38" t="n">
        <f aca="false">Sens!$H$2367-Sens!$H$2369</f>
        <v>453.777572359491</v>
      </c>
      <c r="I2463" s="38" t="n">
        <f aca="false">Sens!$I$2367-Sens!$I$2369</f>
        <v>490.847566467031</v>
      </c>
      <c r="J2463" s="38" t="n">
        <f aca="false">Sens!$J$2367-Sens!$J$2369</f>
        <v>525.190925266121</v>
      </c>
      <c r="K2463" s="38" t="n">
        <f aca="false">Sens!$K$2367-Sens!$K$2369</f>
        <v>555.765170156304</v>
      </c>
      <c r="L2463" s="38" t="n">
        <f aca="false">Sens!$L$2367-Sens!$L$2369</f>
        <v>588.185734949207</v>
      </c>
      <c r="M2463" s="38" t="n">
        <f aca="false">Sens!$M$2367-Sens!$M$2369</f>
        <v>622.567635538672</v>
      </c>
      <c r="N2463" s="38" t="n">
        <f aca="false">Sens!$N$2367-Sens!$N$2369</f>
        <v>171.24628885875</v>
      </c>
      <c r="O2463" s="38" t="n">
        <f aca="false">Sens!$O$2367-Sens!$O$2369</f>
        <v>205.33105363572</v>
      </c>
    </row>
    <row r="2464" customFormat="false" ht="17.15" hidden="false" customHeight="false" outlineLevel="0" collapsed="false">
      <c r="A2464" s="0" t="s">
        <v>675</v>
      </c>
      <c r="B2464" s="0" t="s">
        <v>73</v>
      </c>
      <c r="C2464" s="38" t="n">
        <f aca="false">Sens!$C$2415*Sens!$C$2366</f>
        <v>-0.303737939367967</v>
      </c>
      <c r="D2464" s="38" t="n">
        <f aca="false">Sens!$D$2415*Sens!$D$2366</f>
        <v>-0.715476019586163</v>
      </c>
      <c r="E2464" s="38" t="n">
        <f aca="false">Sens!$E$2415*Sens!$E$2366</f>
        <v>-0.269978741635022</v>
      </c>
      <c r="F2464" s="38" t="n">
        <f aca="false">Sens!$F$2415*Sens!$F$2366</f>
        <v>-1.18996603224077</v>
      </c>
      <c r="G2464" s="38" t="n">
        <f aca="false">Sens!$G$2415*Sens!$G$2366</f>
        <v>-1.46594760470351</v>
      </c>
      <c r="H2464" s="38" t="n">
        <f aca="false">Sens!$H$2415*Sens!$H$2366</f>
        <v>-3.57339188733178</v>
      </c>
      <c r="I2464" s="38" t="n">
        <f aca="false">Sens!$I$2415*Sens!$I$2366</f>
        <v>-5.59663744751211</v>
      </c>
      <c r="J2464" s="38" t="n">
        <f aca="false">Sens!$J$2415*Sens!$J$2366</f>
        <v>-7.50421036433836</v>
      </c>
      <c r="K2464" s="38" t="n">
        <f aca="false">Sens!$K$2415*Sens!$K$2366</f>
        <v>-9.32231641603855</v>
      </c>
      <c r="L2464" s="38" t="n">
        <f aca="false">Sens!$L$2415*Sens!$L$2366</f>
        <v>-11.4375540519299</v>
      </c>
      <c r="M2464" s="38" t="n">
        <f aca="false">Sens!$M$2415*Sens!$M$2366</f>
        <v>-13.4518688645266</v>
      </c>
      <c r="N2464" s="38" t="n">
        <f aca="false">Sens!$N$2415*Sens!$N$2366</f>
        <v>-0.173612144972678</v>
      </c>
      <c r="O2464" s="38" t="n">
        <f aca="false">Sens!$O$2415*Sens!$O$2366</f>
        <v>-0.53879700565081</v>
      </c>
    </row>
    <row r="2465" customFormat="false" ht="17.15" hidden="false" customHeight="false" outlineLevel="0" collapsed="false">
      <c r="A2465" s="0" t="s">
        <v>676</v>
      </c>
      <c r="B2465" s="0" t="s">
        <v>52</v>
      </c>
      <c r="C2465" s="28" t="n">
        <f aca="false">(Sens!$C$2466-Sens!$C$2462+Sens!$C$2464)/Sens!$C$2463</f>
        <v>0.0119190637864607</v>
      </c>
      <c r="D2465" s="28" t="n">
        <f aca="false">(Sens!$D$2466-Sens!$D$2462+Sens!$D$2464)/Sens!$D$2463</f>
        <v>0.0107060039999295</v>
      </c>
      <c r="E2465" s="28" t="n">
        <f aca="false">(Sens!$E$2466-Sens!$E$2462+Sens!$E$2464)/Sens!$E$2463</f>
        <v>0.0187170187823276</v>
      </c>
      <c r="F2465" s="28" t="n">
        <f aca="false">Sens!$O$2465+(Sens!$E$2465-Sens!$N$2465)</f>
        <v>0.0134520052096294</v>
      </c>
      <c r="G2465" s="28" t="n">
        <f aca="false">(Sens!$G$2466-Sens!$G$2462+Sens!$G$2464)/Sens!$G$2463</f>
        <v>0.0158645611305953</v>
      </c>
      <c r="H2465" s="28" t="n">
        <f aca="false">Sens!$G$2465+step_na</f>
        <v>0.0188645611305953</v>
      </c>
      <c r="I2465" s="28" t="n">
        <f aca="false">Sens!$H$2465+step_na</f>
        <v>0.0218645611305953</v>
      </c>
      <c r="J2465" s="28" t="n">
        <f aca="false">Sens!$I$2465+step_na</f>
        <v>0.0248645611305953</v>
      </c>
      <c r="K2465" s="28" t="n">
        <f aca="false">Sens!$J$2465+step_na</f>
        <v>0.0278645611305953</v>
      </c>
      <c r="L2465" s="28" t="n">
        <f aca="false">Sens!$K$2465</f>
        <v>0.0278645611305953</v>
      </c>
      <c r="M2465" s="28" t="n">
        <f aca="false">Sens!$L$2465</f>
        <v>0.0278645611305953</v>
      </c>
      <c r="N2465" s="28" t="n">
        <f aca="false">(Sens!$N$2466-Sens!$N$2462+Sens!$N$2464)/Sens!$N$2463</f>
        <v>0.0136063227993477</v>
      </c>
      <c r="O2465" s="28" t="n">
        <f aca="false">(Sens!$O$2466-Sens!$O$2462+Sens!$O$2464)/Sens!$O$2463</f>
        <v>0.00834130922664953</v>
      </c>
      <c r="P2465" s="8" t="s">
        <v>677</v>
      </c>
    </row>
    <row r="2466" customFormat="false" ht="17.15" hidden="false" customHeight="false" outlineLevel="0" collapsed="false">
      <c r="A2466" s="1" t="s">
        <v>678</v>
      </c>
      <c r="B2466" s="8" t="s">
        <v>73</v>
      </c>
      <c r="C2466" s="38" t="n">
        <f aca="false">Q!$D$22</f>
        <v>24.967</v>
      </c>
      <c r="D2466" s="38" t="n">
        <f aca="false">Q!$E$22</f>
        <v>29.619</v>
      </c>
      <c r="E2466" s="38" t="n">
        <f aca="false">Q!$P$22</f>
        <v>17.39</v>
      </c>
      <c r="F2466" s="38" t="n">
        <f aca="false">Sens!$F$2462+Sens!$F$2463*Sens!$F$2465-Sens!$F$2464</f>
        <v>21.4612793938706</v>
      </c>
      <c r="G2466" s="38" t="n">
        <f aca="false">Sens!$E$2466+Sens!$F$2466</f>
        <v>38.8512793938706</v>
      </c>
      <c r="H2466" s="38" t="n">
        <f aca="false">Sens!$H$2462+Sens!$H$2463*Sens!$H$2465-Sens!$H$2464</f>
        <v>49.1121160068265</v>
      </c>
      <c r="I2466" s="38" t="n">
        <f aca="false">Sens!$I$2462+Sens!$I$2463*Sens!$I$2465-Sens!$I$2464</f>
        <v>59.4838673516075</v>
      </c>
      <c r="J2466" s="38" t="n">
        <f aca="false">Sens!$J$2462+Sens!$J$2463*Sens!$J$2465-Sens!$J$2464</f>
        <v>69.479851429705</v>
      </c>
      <c r="K2466" s="38" t="n">
        <f aca="false">Sens!$K$2462+Sens!$K$2463*Sens!$K$2465-Sens!$K$2464</f>
        <v>78.6171680928532</v>
      </c>
      <c r="L2466" s="38" t="n">
        <f aca="false">Sens!$L$2462+Sens!$L$2463*Sens!$L$2465-Sens!$L$2464</f>
        <v>87.0166604501787</v>
      </c>
      <c r="M2466" s="38" t="n">
        <f aca="false">Sens!$M$2462+Sens!$M$2463*Sens!$M$2465-Sens!$M$2464</f>
        <v>95.9079687365978</v>
      </c>
      <c r="N2466" s="38" t="n">
        <f aca="false">Q!$N$22</f>
        <v>13.358</v>
      </c>
      <c r="O2466" s="38" t="n">
        <f aca="false">Q!$O$22</f>
        <v>16.261</v>
      </c>
    </row>
    <row r="2467" customFormat="false" ht="17.15" hidden="false" customHeight="false" outlineLevel="0" collapsed="false">
      <c r="A2467" s="0" t="s">
        <v>679</v>
      </c>
      <c r="B2467" s="0" t="s">
        <v>73</v>
      </c>
      <c r="C2467" s="38" t="n">
        <f aca="false">Sens!$C$2370*m_ad</f>
        <v>7.57284355857716</v>
      </c>
      <c r="D2467" s="38" t="n">
        <f aca="false">Sens!$D$2370*m_ad</f>
        <v>9.44543827004127</v>
      </c>
      <c r="E2467" s="38" t="n">
        <f aca="false">Sens!$E$2370*m_ad</f>
        <v>5.02428875377928</v>
      </c>
      <c r="F2467" s="38" t="n">
        <f aca="false">Sens!$F$2370*m_ad</f>
        <v>6.78802480890925</v>
      </c>
      <c r="G2467" s="38" t="n">
        <f aca="false">Sens!$G$2370*m_ad</f>
        <v>11.8014732147805</v>
      </c>
      <c r="H2467" s="38" t="n">
        <f aca="false">Sens!$H$2370*m_ad</f>
        <v>14.1682715634442</v>
      </c>
      <c r="I2467" s="38" t="n">
        <f aca="false">Sens!$I$2370*m_ad</f>
        <v>16.5348555113474</v>
      </c>
      <c r="J2467" s="38" t="n">
        <f aca="false">Sens!$J$2370*m_ad</f>
        <v>18.7425403255689</v>
      </c>
      <c r="K2467" s="38" t="n">
        <f aca="false">Sens!$K$2370*m_ad</f>
        <v>20.6167943581258</v>
      </c>
      <c r="L2467" s="38" t="n">
        <f aca="false">Sens!$L$2370*m_ad</f>
        <v>22.6784737939383</v>
      </c>
      <c r="M2467" s="38" t="n">
        <f aca="false">Sens!$M$2370*m_ad</f>
        <v>24.9463211733322</v>
      </c>
      <c r="N2467" s="38" t="n">
        <f aca="false">Sens!$N$2370*m_ad</f>
        <v>3.95314442937518</v>
      </c>
      <c r="O2467" s="38" t="n">
        <f aca="false">Sens!$O$2370*m_ad</f>
        <v>5.50052681786011</v>
      </c>
    </row>
    <row r="2468" customFormat="false" ht="17.15" hidden="false" customHeight="false" outlineLevel="0" collapsed="false">
      <c r="A2468" s="0" t="s">
        <v>680</v>
      </c>
      <c r="B2468" s="0" t="s">
        <v>73</v>
      </c>
      <c r="C2468" s="38" t="n">
        <f aca="false">Sens!$C$2368-Sens!$C$2370</f>
        <v>127.760312882846</v>
      </c>
      <c r="D2468" s="38" t="n">
        <f aca="false">Sens!$D$2368-Sens!$D$2370</f>
        <v>143.003123459917</v>
      </c>
      <c r="E2468" s="38" t="n">
        <f aca="false">Sens!$E$2368-Sens!$E$2370</f>
        <v>71.9374224924414</v>
      </c>
      <c r="F2468" s="38" t="n">
        <f aca="false">Sens!$F$2368-Sens!$F$2370</f>
        <v>87.0563645868046</v>
      </c>
      <c r="G2468" s="38" t="n">
        <f aca="false">Sens!$G$2368-Sens!$G$2370</f>
        <v>159.015467775062</v>
      </c>
      <c r="H2468" s="38" t="n">
        <f aca="false">Sens!$H$2368-Sens!$H$2370</f>
        <v>173.864803403269</v>
      </c>
      <c r="I2468" s="38" t="n">
        <f aca="false">Sens!$I$2368-Sens!$I$2370</f>
        <v>188.068165645601</v>
      </c>
      <c r="J2468" s="38" t="n">
        <f aca="false">Sens!$J$2368-Sens!$J$2370</f>
        <v>201.22681801082</v>
      </c>
      <c r="K2468" s="38" t="n">
        <f aca="false">Sens!$K$2368-Sens!$K$2370</f>
        <v>212.941334991893</v>
      </c>
      <c r="L2468" s="38" t="n">
        <f aca="false">Sens!$L$2368-Sens!$L$2370</f>
        <v>225.363269144856</v>
      </c>
      <c r="M2468" s="38" t="n">
        <f aca="false">Sens!$M$2368-Sens!$M$2370</f>
        <v>238.536688790819</v>
      </c>
      <c r="N2468" s="38" t="n">
        <f aca="false">Sens!$N$2368-Sens!$N$2370</f>
        <v>62.3677111412496</v>
      </c>
      <c r="O2468" s="38" t="n">
        <f aca="false">Sens!$O$2368-Sens!$O$2370</f>
        <v>80.6189463642798</v>
      </c>
    </row>
    <row r="2469" customFormat="false" ht="17.15" hidden="false" customHeight="false" outlineLevel="0" collapsed="false">
      <c r="A2469" s="0" t="s">
        <v>681</v>
      </c>
      <c r="B2469" s="0" t="s">
        <v>73</v>
      </c>
      <c r="C2469" s="38" t="n">
        <f aca="false">Sens!$C$2415*(1-Sens!$C$2366)</f>
        <v>-0.112016283902375</v>
      </c>
      <c r="D2469" s="38" t="n">
        <f aca="false">Sens!$D$2415*(1-Sens!$D$2366)</f>
        <v>-0.271709866679683</v>
      </c>
      <c r="E2469" s="38" t="n">
        <f aca="false">Sens!$E$2415*(1-Sens!$E$2366)</f>
        <v>-0.100465128502582</v>
      </c>
      <c r="F2469" s="38" t="n">
        <f aca="false">Sens!$F$2415*(1-Sens!$F$2366)</f>
        <v>-0.467215289796012</v>
      </c>
      <c r="G2469" s="38" t="n">
        <f aca="false">Sens!$G$2415*(1-Sens!$G$2366)</f>
        <v>-0.561677587470875</v>
      </c>
      <c r="H2469" s="38" t="n">
        <f aca="false">Sens!$H$2415*(1-Sens!$H$2366)</f>
        <v>-1.36914452325904</v>
      </c>
      <c r="I2469" s="38" t="n">
        <f aca="false">Sens!$I$2415*(1-Sens!$I$2366)</f>
        <v>-2.14435073216927</v>
      </c>
      <c r="J2469" s="38" t="n">
        <f aca="false">Sens!$J$2415*(1-Sens!$J$2366)</f>
        <v>-2.87523698650061</v>
      </c>
      <c r="K2469" s="38" t="n">
        <f aca="false">Sens!$K$2415*(1-Sens!$K$2366)</f>
        <v>-3.57184402593958</v>
      </c>
      <c r="L2469" s="38" t="n">
        <f aca="false">Sens!$L$2415*(1-Sens!$L$2366)</f>
        <v>-4.38229698376909</v>
      </c>
      <c r="M2469" s="38" t="n">
        <f aca="false">Sens!$M$2415*(1-Sens!$M$2366)</f>
        <v>-5.15408137818814</v>
      </c>
      <c r="N2469" s="38" t="n">
        <f aca="false">Sens!$N$2415*(1-Sens!$N$2366)</f>
        <v>-0.063229353350833</v>
      </c>
      <c r="O2469" s="38" t="n">
        <f aca="false">Sens!$O$2415*(1-Sens!$O$2366)</f>
        <v>-0.211547382291525</v>
      </c>
    </row>
    <row r="2470" customFormat="false" ht="17.15" hidden="false" customHeight="false" outlineLevel="0" collapsed="false">
      <c r="A2470" s="0" t="s">
        <v>682</v>
      </c>
      <c r="B2470" s="0" t="s">
        <v>52</v>
      </c>
      <c r="C2470" s="28" t="n">
        <f aca="false">(Sens!$C$2471-Sens!$C$2467+Sens!$C$2469)/Sens!$C$2468</f>
        <v>-0.0304700243341547</v>
      </c>
      <c r="D2470" s="28" t="n">
        <f aca="false">(Sens!$D$2471-Sens!$D$2467+Sens!$D$2469)/Sens!$D$2468</f>
        <v>-0.0347345429704072</v>
      </c>
      <c r="E2470" s="28" t="n">
        <f aca="false">(Sens!$E$2471-Sens!$E$2467+Sens!$E$2469)/Sens!$E$2468</f>
        <v>-0.0275761045301602</v>
      </c>
      <c r="F2470" s="28" t="n">
        <f aca="false">Sens!$O$2470+(Sens!$E$2470-Sens!$N$2470)</f>
        <v>-0.0465191588862894</v>
      </c>
      <c r="G2470" s="28" t="n">
        <f aca="false">(Sens!$G$2471-Sens!$G$2467+Sens!$G$2469)/Sens!$G$2468</f>
        <v>-0.0378371968715237</v>
      </c>
      <c r="H2470" s="28" t="n">
        <f aca="false">Sens!$G$2470+step_in</f>
        <v>-0.0378371968715237</v>
      </c>
      <c r="I2470" s="28" t="n">
        <f aca="false">Sens!$H$2470+step_in</f>
        <v>-0.0378371968715237</v>
      </c>
      <c r="J2470" s="28" t="n">
        <f aca="false">Sens!$I$2470+step_in</f>
        <v>-0.0378371968715237</v>
      </c>
      <c r="K2470" s="28" t="n">
        <f aca="false">Sens!$J$2470+step_in</f>
        <v>-0.0378371968715237</v>
      </c>
      <c r="L2470" s="28" t="n">
        <f aca="false">Sens!$K$2470</f>
        <v>-0.0378371968715237</v>
      </c>
      <c r="M2470" s="28" t="n">
        <f aca="false">Sens!$L$2470</f>
        <v>-0.0378371968715237</v>
      </c>
      <c r="N2470" s="28" t="n">
        <f aca="false">(Sens!$N$2471-Sens!$N$2467+Sens!$N$2469)/Sens!$N$2468</f>
        <v>-0.0241370695698077</v>
      </c>
      <c r="O2470" s="28" t="n">
        <f aca="false">(Sens!$O$2471-Sens!$O$2467+Sens!$O$2469)/Sens!$O$2468</f>
        <v>-0.0430801239259369</v>
      </c>
      <c r="P2470" s="8" t="s">
        <v>677</v>
      </c>
    </row>
    <row r="2471" customFormat="false" ht="17.15" hidden="false" customHeight="false" outlineLevel="0" collapsed="false">
      <c r="A2471" s="1" t="s">
        <v>683</v>
      </c>
      <c r="B2471" s="8" t="s">
        <v>73</v>
      </c>
      <c r="C2471" s="38" t="n">
        <f aca="false">Q!$D$23</f>
        <v>3.792</v>
      </c>
      <c r="D2471" s="38" t="n">
        <f aca="false">Q!$E$23</f>
        <v>4.75</v>
      </c>
      <c r="E2471" s="38" t="n">
        <f aca="false">Q!$P$23</f>
        <v>3.141</v>
      </c>
      <c r="F2471" s="38" t="n">
        <f aca="false">Sens!$F$2467+Sens!$F$2468*Sens!$F$2470-Sens!$F$2469</f>
        <v>3.20545124242896</v>
      </c>
      <c r="G2471" s="38" t="n">
        <f aca="false">Sens!$E$2471+Sens!$F$2471</f>
        <v>6.34645124242896</v>
      </c>
      <c r="H2471" s="38" t="n">
        <f aca="false">Sens!$H$2467+Sens!$H$2468*Sens!$H$2470-Sens!$H$2469</f>
        <v>8.95885929130498</v>
      </c>
      <c r="I2471" s="38" t="n">
        <f aca="false">Sens!$I$2467+Sens!$I$2468*Sens!$I$2470-Sens!$I$2469</f>
        <v>11.5632340347178</v>
      </c>
      <c r="J2471" s="38" t="n">
        <f aca="false">Sens!$J$2467+Sens!$J$2468*Sens!$J$2470-Sens!$J$2469</f>
        <v>14.0039185831638</v>
      </c>
      <c r="K2471" s="38" t="n">
        <f aca="false">Sens!$K$2467+Sens!$K$2468*Sens!$K$2470-Sens!$K$2469</f>
        <v>16.131535169892</v>
      </c>
      <c r="L2471" s="38" t="n">
        <f aca="false">Sens!$L$2467+Sens!$L$2468*Sens!$L$2470-Sens!$L$2469</f>
        <v>18.5336563954633</v>
      </c>
      <c r="M2471" s="38" t="n">
        <f aca="false">Sens!$M$2467+Sens!$M$2468*Sens!$M$2470-Sens!$M$2469</f>
        <v>21.0748428966607</v>
      </c>
      <c r="N2471" s="38" t="n">
        <f aca="false">Q!$N$23</f>
        <v>2.511</v>
      </c>
      <c r="O2471" s="38" t="n">
        <f aca="false">Q!$O$23</f>
        <v>2.239</v>
      </c>
    </row>
    <row r="2472" customFormat="false" ht="17.15" hidden="false" customHeight="false" outlineLevel="0" collapsed="false">
      <c r="A2472" s="0" t="s">
        <v>684</v>
      </c>
      <c r="B2472" s="0" t="s">
        <v>73</v>
      </c>
      <c r="C2472" s="38" t="n">
        <f aca="false">Sens!$C$2412</f>
        <v>1.64417882953695</v>
      </c>
      <c r="D2472" s="38" t="n">
        <f aca="false">Sens!$D$2412</f>
        <v>3.8781008067718</v>
      </c>
      <c r="E2472" s="38" t="n">
        <f aca="false">Sens!$E$2412</f>
        <v>1.41270258088753</v>
      </c>
      <c r="F2472" s="38" t="n">
        <f aca="false">Sens!$F$2412</f>
        <v>6.50727700583486</v>
      </c>
      <c r="G2472" s="38" t="n">
        <f aca="false">Sens!$G$2412</f>
        <v>7.9199795867224</v>
      </c>
      <c r="H2472" s="38" t="n">
        <f aca="false">Sens!$H$2412</f>
        <v>19.2818189481807</v>
      </c>
      <c r="I2472" s="38" t="n">
        <f aca="false">Sens!$I$2412</f>
        <v>30.140114407202</v>
      </c>
      <c r="J2472" s="38" t="n">
        <f aca="false">Sens!$J$2412</f>
        <v>40.3569468829854</v>
      </c>
      <c r="K2472" s="38" t="n">
        <f aca="false">Sens!$K$2412</f>
        <v>50.0782975081929</v>
      </c>
      <c r="L2472" s="38" t="n">
        <f aca="false">Sens!$L$2412</f>
        <v>61.443331993499</v>
      </c>
      <c r="M2472" s="38" t="n">
        <f aca="false">Sens!$M$2412</f>
        <v>72.2498791587849</v>
      </c>
      <c r="N2472" s="38" t="n">
        <f aca="false">Sens!$N$2412</f>
        <v>0.92264103489199</v>
      </c>
      <c r="O2472" s="38" t="n">
        <f aca="false">Sens!$O$2412</f>
        <v>2.95545977187981</v>
      </c>
    </row>
    <row r="2473" customFormat="false" ht="17.15" hidden="false" customHeight="false" outlineLevel="0" collapsed="false">
      <c r="A2473" s="0" t="s">
        <v>604</v>
      </c>
      <c r="B2473" s="0" t="s">
        <v>73</v>
      </c>
      <c r="C2473" s="38" t="n">
        <f aca="false">Sens!$C$2417</f>
        <v>38.1898211704631</v>
      </c>
      <c r="D2473" s="38" t="n">
        <f aca="false">Sens!$D$2417</f>
        <v>41.7278991932282</v>
      </c>
      <c r="E2473" s="38" t="n">
        <f aca="false">Sens!$E$2417</f>
        <v>29.3692974191125</v>
      </c>
      <c r="F2473" s="38" t="n">
        <f aca="false">Sens!$F$2417</f>
        <v>29.458060516894</v>
      </c>
      <c r="G2473" s="38" t="n">
        <f aca="false">Sens!$G$2417</f>
        <v>58.8273579360065</v>
      </c>
      <c r="H2473" s="38" t="n">
        <f aca="false">Sens!$H$2417</f>
        <v>67.8004040185081</v>
      </c>
      <c r="I2473" s="38" t="n">
        <f aca="false">Sens!$I$2417</f>
        <v>78.9527630302702</v>
      </c>
      <c r="J2473" s="38" t="n">
        <f aca="false">Sens!$J$2417</f>
        <v>88.6042681781841</v>
      </c>
      <c r="K2473" s="38" t="n">
        <f aca="false">Sens!$K$2417</f>
        <v>95.6926096324389</v>
      </c>
      <c r="L2473" s="38" t="n">
        <f aca="false">Sens!$L$2417</f>
        <v>103.348018403034</v>
      </c>
      <c r="M2473" s="38" t="n">
        <f aca="false">Sens!$M$2417</f>
        <v>111.615859875277</v>
      </c>
      <c r="N2473" s="38" t="n">
        <f aca="false">Sens!$N$2417</f>
        <v>20.784358965108</v>
      </c>
      <c r="O2473" s="38" t="n">
        <f aca="false">Sens!$O$2417</f>
        <v>20.9435402281202</v>
      </c>
    </row>
    <row r="2474" customFormat="false" ht="17.15" hidden="false" customHeight="false" outlineLevel="0" collapsed="false">
      <c r="A2474" s="1" t="s">
        <v>685</v>
      </c>
      <c r="B2474" s="8" t="s">
        <v>73</v>
      </c>
      <c r="C2474" s="38" t="n">
        <f aca="false">Q!$D$24</f>
        <v>39.834</v>
      </c>
      <c r="D2474" s="38" t="n">
        <f aca="false">Q!$E$24</f>
        <v>45.606</v>
      </c>
      <c r="E2474" s="38" t="n">
        <f aca="false">Q!$P$24</f>
        <v>30.782</v>
      </c>
      <c r="F2474" s="38" t="n">
        <f aca="false">Sens!$F$2472+Sens!$F$2473</f>
        <v>35.9653375227289</v>
      </c>
      <c r="G2474" s="38" t="n">
        <f aca="false">Sens!$G$2472+Sens!$G$2473</f>
        <v>66.7473375227289</v>
      </c>
      <c r="H2474" s="38" t="n">
        <f aca="false">Sens!$H$2472+Sens!$H$2473</f>
        <v>87.0822229666888</v>
      </c>
      <c r="I2474" s="38" t="n">
        <f aca="false">Sens!$I$2472+Sens!$I$2473</f>
        <v>109.092877437472</v>
      </c>
      <c r="J2474" s="38" t="n">
        <f aca="false">Sens!$J$2472+Sens!$J$2473</f>
        <v>128.96121506117</v>
      </c>
      <c r="K2474" s="38" t="n">
        <f aca="false">Sens!$K$2472+Sens!$K$2473</f>
        <v>145.770907140632</v>
      </c>
      <c r="L2474" s="38" t="n">
        <f aca="false">Sens!$L$2472+Sens!$L$2473</f>
        <v>164.791350396533</v>
      </c>
      <c r="M2474" s="38" t="n">
        <f aca="false">Sens!$M$2472+Sens!$M$2473</f>
        <v>183.865739034062</v>
      </c>
      <c r="N2474" s="38" t="n">
        <f aca="false">Q!$N$24</f>
        <v>21.707</v>
      </c>
      <c r="O2474" s="38" t="n">
        <f aca="false">Q!$O$24</f>
        <v>23.899</v>
      </c>
    </row>
    <row r="2475" customFormat="false" ht="17.15" hidden="false" customHeight="false" outlineLevel="0" collapsed="false">
      <c r="A2475" s="5" t="s">
        <v>686</v>
      </c>
      <c r="B2475" s="0" t="s">
        <v>73</v>
      </c>
      <c r="C2475" s="38" t="n">
        <f aca="false">Q!$D$26</f>
        <v>0</v>
      </c>
      <c r="D2475" s="38" t="n">
        <f aca="false">Q!$E$26</f>
        <v>0</v>
      </c>
      <c r="E2475" s="38" t="n">
        <f aca="false">Q!$P$26</f>
        <v>0</v>
      </c>
      <c r="F2475" s="41" t="n">
        <v>0</v>
      </c>
      <c r="G2475" s="38" t="n">
        <f aca="false">Sens!$E$2475+Sens!$F$2475</f>
        <v>0</v>
      </c>
      <c r="H2475" s="41" t="n">
        <v>0</v>
      </c>
      <c r="I2475" s="41" t="n">
        <v>0</v>
      </c>
      <c r="J2475" s="41" t="n">
        <v>0</v>
      </c>
      <c r="K2475" s="41" t="n">
        <v>0</v>
      </c>
      <c r="L2475" s="41" t="n">
        <v>0</v>
      </c>
      <c r="M2475" s="41" t="n">
        <v>0</v>
      </c>
      <c r="N2475" s="38" t="n">
        <f aca="false">Q!$N$26</f>
        <v>0</v>
      </c>
      <c r="O2475" s="38" t="n">
        <f aca="false">Q!$O$26</f>
        <v>0</v>
      </c>
    </row>
    <row r="2476" customFormat="false" ht="15" hidden="false" customHeight="false" outlineLevel="0" collapsed="false">
      <c r="A2476" s="3" t="s">
        <v>494</v>
      </c>
      <c r="B2476" s="8" t="s">
        <v>73</v>
      </c>
      <c r="C2476" s="38" t="n">
        <f aca="false">Q!$D$25</f>
        <v>68.593</v>
      </c>
      <c r="D2476" s="38" t="n">
        <f aca="false">Q!$E$25</f>
        <v>79.975</v>
      </c>
      <c r="E2476" s="38" t="n">
        <f aca="false">Q!$P$25</f>
        <v>51.313</v>
      </c>
      <c r="F2476" s="38" t="n">
        <f aca="false">Sens!$F$2466+Sens!$F$2471+Sens!$F$2474+Sens!$F$2475</f>
        <v>60.6320681590284</v>
      </c>
      <c r="G2476" s="38" t="n">
        <f aca="false">Sens!$G$2466+Sens!$G$2471+Sens!$G$2474+Sens!$G$2475</f>
        <v>111.945068159028</v>
      </c>
      <c r="H2476" s="38" t="n">
        <f aca="false">Sens!$H$2466+Sens!$H$2471+Sens!$H$2474+Sens!$H$2475</f>
        <v>145.15319826482</v>
      </c>
      <c r="I2476" s="38" t="n">
        <f aca="false">Sens!$I$2466+Sens!$I$2471+Sens!$I$2474+Sens!$I$2475</f>
        <v>180.139978823798</v>
      </c>
      <c r="J2476" s="38" t="n">
        <f aca="false">Sens!$J$2466+Sens!$J$2471+Sens!$J$2474+Sens!$J$2475</f>
        <v>212.444985074038</v>
      </c>
      <c r="K2476" s="38" t="n">
        <f aca="false">Sens!$K$2466+Sens!$K$2471+Sens!$K$2474+Sens!$K$2475</f>
        <v>240.519610403377</v>
      </c>
      <c r="L2476" s="38" t="n">
        <f aca="false">Sens!$L$2466+Sens!$L$2471+Sens!$L$2474+Sens!$L$2475</f>
        <v>270.341667242175</v>
      </c>
      <c r="M2476" s="38" t="n">
        <f aca="false">Sens!$M$2466+Sens!$M$2471+Sens!$M$2474+Sens!$M$2475</f>
        <v>300.84855066732</v>
      </c>
      <c r="N2476" s="38" t="n">
        <f aca="false">Q!$N$25</f>
        <v>37.576</v>
      </c>
      <c r="O2476" s="38" t="n">
        <f aca="false">Q!$O$25</f>
        <v>42.399</v>
      </c>
    </row>
    <row r="2477" customFormat="false" ht="17.15" hidden="false" customHeight="false" outlineLevel="0" collapsed="false">
      <c r="A2477" s="24" t="s">
        <v>712</v>
      </c>
      <c r="B2477" s="25" t="s">
        <v>73</v>
      </c>
      <c r="C2477" s="39" t="n">
        <f aca="false">Sens!$C$2466+Sens!$C$2471+Sens!$C$2474+Sens!$C$2475-Sens!$C$2476</f>
        <v>0</v>
      </c>
      <c r="D2477" s="39" t="n">
        <f aca="false">Sens!$D$2466+Sens!$D$2471+Sens!$D$2474+Sens!$D$2475-Sens!$D$2476</f>
        <v>0</v>
      </c>
      <c r="E2477" s="39" t="n">
        <f aca="false">Sens!$E$2466+Sens!$E$2471+Sens!$E$2474+Sens!$E$2475-Sens!$E$2476</f>
        <v>0</v>
      </c>
      <c r="F2477" s="39" t="n">
        <f aca="false">Sens!$F$2466+Sens!$F$2471+Sens!$F$2474+Sens!$F$2475-Sens!$F$2476</f>
        <v>0</v>
      </c>
      <c r="G2477" s="39" t="n">
        <f aca="false">Sens!$G$2466+Sens!$G$2471+Sens!$G$2474+Sens!$G$2475-Sens!$G$2476</f>
        <v>0</v>
      </c>
      <c r="H2477" s="39" t="n">
        <f aca="false">Sens!$H$2466+Sens!$H$2471+Sens!$H$2474+Sens!$H$2475-Sens!$H$2476</f>
        <v>0</v>
      </c>
      <c r="I2477" s="39" t="n">
        <f aca="false">Sens!$I$2466+Sens!$I$2471+Sens!$I$2474+Sens!$I$2475-Sens!$I$2476</f>
        <v>0</v>
      </c>
      <c r="J2477" s="39" t="n">
        <f aca="false">Sens!$J$2466+Sens!$J$2471+Sens!$J$2474+Sens!$J$2475-Sens!$J$2476</f>
        <v>0</v>
      </c>
      <c r="K2477" s="39" t="n">
        <f aca="false">Sens!$K$2466+Sens!$K$2471+Sens!$K$2474+Sens!$K$2475-Sens!$K$2476</f>
        <v>0</v>
      </c>
      <c r="L2477" s="39" t="n">
        <f aca="false">Sens!$L$2466+Sens!$L$2471+Sens!$L$2474+Sens!$L$2475-Sens!$L$2476</f>
        <v>0</v>
      </c>
      <c r="M2477" s="39" t="n">
        <f aca="false">Sens!$M$2466+Sens!$M$2471+Sens!$M$2474+Sens!$M$2475-Sens!$M$2476</f>
        <v>0</v>
      </c>
      <c r="N2477" s="39" t="n">
        <f aca="false">Sens!$N$2466+Sens!$N$2471+Sens!$N$2474+Sens!$N$2475-Sens!$N$2476</f>
        <v>0</v>
      </c>
      <c r="O2477" s="39" t="n">
        <f aca="false">Sens!$O$2466+Sens!$O$2471+Sens!$O$2474+Sens!$O$2475-Sens!$O$2476</f>
        <v>0</v>
      </c>
    </row>
    <row r="2478" customFormat="false" ht="17.15" hidden="false" customHeight="false" outlineLevel="0" collapsed="false">
      <c r="A2478" s="0" t="s">
        <v>688</v>
      </c>
      <c r="B2478" s="0" t="s">
        <v>52</v>
      </c>
      <c r="C2478" s="12" t="n">
        <f aca="false">Sens!$C$2466/Sens!$C$2451</f>
        <v>0.0644314665661928</v>
      </c>
      <c r="D2478" s="12" t="n">
        <f aca="false">Sens!$D$2466/Sens!$D$2451</f>
        <v>0.0694784250712518</v>
      </c>
      <c r="E2478" s="12" t="n">
        <f aca="false">Sens!$E$2466/Sens!$E$2451</f>
        <v>0.0789306463326071</v>
      </c>
      <c r="F2478" s="12" t="n">
        <f aca="false">Sens!$F$2466/Sens!$F$2451</f>
        <v>0.083733683975071</v>
      </c>
      <c r="G2478" s="12" t="n">
        <f aca="false">Sens!$G$2466/Sens!$G$2451</f>
        <v>0.0815134742918069</v>
      </c>
      <c r="H2478" s="12" t="n">
        <f aca="false">Sens!$H$2466/Sens!$H$2451</f>
        <v>0.093062185894774</v>
      </c>
      <c r="I2478" s="12" t="n">
        <f aca="false">Sens!$I$2466/Sens!$I$2451</f>
        <v>0.103063457474454</v>
      </c>
      <c r="J2478" s="12" t="n">
        <f aca="false">Sens!$J$2466/Sens!$J$2451</f>
        <v>0.111520179676143</v>
      </c>
      <c r="K2478" s="12" t="n">
        <f aca="false">Sens!$K$2466/Sens!$K$2451</f>
        <v>0.118509547640369</v>
      </c>
      <c r="L2478" s="12" t="n">
        <f aca="false">Sens!$L$2466/Sens!$L$2451</f>
        <v>0.123154523772786</v>
      </c>
      <c r="M2478" s="12" t="n">
        <f aca="false">Sens!$M$2466/Sens!$M$2451</f>
        <v>0.127404250300417</v>
      </c>
      <c r="N2478" s="12" t="n">
        <f aca="false">Sens!$N$2466/Sens!$N$2451</f>
        <v>0.069228576611127</v>
      </c>
      <c r="O2478" s="12" t="n">
        <f aca="false">Sens!$O$2466/Sens!$O$2451</f>
        <v>0.069685022498393</v>
      </c>
    </row>
    <row r="2479" customFormat="false" ht="17.15" hidden="false" customHeight="false" outlineLevel="0" collapsed="false">
      <c r="A2479" s="0" t="s">
        <v>689</v>
      </c>
      <c r="B2479" s="0" t="s">
        <v>52</v>
      </c>
      <c r="C2479" s="12" t="n">
        <f aca="false">Sens!$C$2471/Sens!$C$2452</f>
        <v>0.026534925055631</v>
      </c>
      <c r="D2479" s="12" t="n">
        <f aca="false">Sens!$D$2471/Sens!$D$2452</f>
        <v>0.0293401855535103</v>
      </c>
      <c r="E2479" s="12" t="n">
        <f aca="false">Sens!$E$2471/Sens!$E$2452</f>
        <v>0.03831141902276</v>
      </c>
      <c r="F2479" s="12" t="n">
        <f aca="false">Sens!$F$2471/Sens!$F$2452</f>
        <v>0.0318530690907513</v>
      </c>
      <c r="G2479" s="12" t="n">
        <f aca="false">Sens!$G$2471/Sens!$G$2452</f>
        <v>0.0347525262995537</v>
      </c>
      <c r="H2479" s="12" t="n">
        <f aca="false">Sens!$H$2471/Sens!$H$2452</f>
        <v>0.0443066252774375</v>
      </c>
      <c r="I2479" s="12" t="n">
        <f aca="false">Sens!$I$2471/Sens!$I$2452</f>
        <v>0.052289703640695</v>
      </c>
      <c r="J2479" s="12" t="n">
        <f aca="false">Sens!$J$2471/Sens!$J$2452</f>
        <v>0.0586645184494757</v>
      </c>
      <c r="K2479" s="12" t="n">
        <f aca="false">Sens!$K$2471/Sens!$K$2452</f>
        <v>0.0634662732835715</v>
      </c>
      <c r="L2479" s="12" t="n">
        <f aca="false">Sens!$L$2471/Sens!$L$2452</f>
        <v>0.0684605553997491</v>
      </c>
      <c r="M2479" s="12" t="n">
        <f aca="false">Sens!$M$2471/Sens!$M$2452</f>
        <v>0.0730676135244203</v>
      </c>
      <c r="N2479" s="12" t="n">
        <f aca="false">Sens!$N$2471/Sens!$N$2452</f>
        <v>0.0357315650169337</v>
      </c>
      <c r="O2479" s="12" t="n">
        <f aca="false">Sens!$O$2471/Sens!$O$2452</f>
        <v>0.0244378956559703</v>
      </c>
    </row>
    <row r="2480" customFormat="false" ht="17.15" hidden="false" customHeight="false" outlineLevel="0" collapsed="false">
      <c r="A2480" s="13" t="s">
        <v>690</v>
      </c>
      <c r="B2480" s="13" t="s">
        <v>52</v>
      </c>
      <c r="C2480" s="16" t="n">
        <f aca="false">Sens!$C$2474/Sens!$C$2453</f>
        <v>0.370355907620217</v>
      </c>
      <c r="D2480" s="16" t="n">
        <f aca="false">Sens!$D$2474/Sens!$D$2453</f>
        <v>0.35429015342785</v>
      </c>
      <c r="E2480" s="16" t="n">
        <f aca="false">Sens!$E$2474/Sens!$E$2453</f>
        <v>0.385647527531039</v>
      </c>
      <c r="F2480" s="16" t="n">
        <f aca="false">Sens!$F$2474/Sens!$F$2453</f>
        <v>0.384415729470259</v>
      </c>
      <c r="G2480" s="16" t="n">
        <f aca="false">Sens!$G$2474/Sens!$G$2453</f>
        <v>0.38498282105443</v>
      </c>
      <c r="H2480" s="16" t="n">
        <f aca="false">Sens!$H$2474/Sens!$H$2453</f>
        <v>0.361247909668527</v>
      </c>
      <c r="I2480" s="16" t="n">
        <f aca="false">Sens!$I$2474/Sens!$I$2453</f>
        <v>0.349486287974975</v>
      </c>
      <c r="J2480" s="16" t="n">
        <f aca="false">Sens!$J$2474/Sens!$J$2453</f>
        <v>0.339886531832068</v>
      </c>
      <c r="K2480" s="16" t="n">
        <f aca="false">Sens!$K$2474/Sens!$K$2453</f>
        <v>0.33135833762061</v>
      </c>
      <c r="L2480" s="16" t="n">
        <f aca="false">Sens!$L$2474/Sens!$L$2453</f>
        <v>0.328299068185284</v>
      </c>
      <c r="M2480" s="16" t="n">
        <f aca="false">Sens!$M$2474/Sens!$M$2453</f>
        <v>0.325058049465166</v>
      </c>
      <c r="N2480" s="16" t="n">
        <f aca="false">Sens!$N$2474/Sens!$N$2453</f>
        <v>0.360941137346192</v>
      </c>
      <c r="O2480" s="16" t="n">
        <f aca="false">Sens!$O$2474/Sens!$O$2453</f>
        <v>0.348458117664212</v>
      </c>
    </row>
    <row r="2481" customFormat="false" ht="17.15" hidden="false" customHeight="false" outlineLevel="0" collapsed="false">
      <c r="A2481" s="0" t="s">
        <v>691</v>
      </c>
      <c r="B2481" s="0" t="s">
        <v>52</v>
      </c>
      <c r="C2481" s="12" t="n">
        <f aca="false">Sens!$C$2472/Sens!$C$2454</f>
        <v>0.708390794789371</v>
      </c>
      <c r="D2481" s="12" t="n">
        <f aca="false">Sens!$D$2472/Sens!$D$2454</f>
        <v>0.445565630441968</v>
      </c>
      <c r="E2481" s="12" t="n">
        <f aca="false">Sens!$E$2472/Sens!$E$2454</f>
        <v>0.165998118402711</v>
      </c>
      <c r="F2481" s="12" t="n">
        <f aca="false">Sens!$F$2472/Sens!$F$2454</f>
        <v>0.434878595403858</v>
      </c>
      <c r="G2481" s="12" t="n">
        <f aca="false">Sens!$G$2472/Sens!$G$2454</f>
        <v>0.3373967615381</v>
      </c>
      <c r="H2481" s="12" t="n">
        <f aca="false">Sens!$H$2472/Sens!$H$2454</f>
        <v>0.320477578041224</v>
      </c>
      <c r="I2481" s="12" t="n">
        <f aca="false">Sens!$I$2472/Sens!$I$2454</f>
        <v>0.296936118226494</v>
      </c>
      <c r="J2481" s="12" t="n">
        <f aca="false">Sens!$J$2472/Sens!$J$2454</f>
        <v>0.282166278613001</v>
      </c>
      <c r="K2481" s="12" t="n">
        <f aca="false">Sens!$K$2472/Sens!$K$2454</f>
        <v>0.271267685694333</v>
      </c>
      <c r="L2481" s="12" t="n">
        <f aca="false">Sens!$L$2472/Sens!$L$2454</f>
        <v>0.27160960915653</v>
      </c>
      <c r="M2481" s="12" t="n">
        <f aca="false">Sens!$M$2472/Sens!$M$2454</f>
        <v>0.26974494804234</v>
      </c>
      <c r="N2481" s="12" t="n">
        <f aca="false">Sens!$N$2472/Sens!$N$2454</f>
        <v>0.302870734830849</v>
      </c>
      <c r="O2481" s="12" t="n">
        <f aca="false">Sens!$O$2472/Sens!$O$2454</f>
        <v>0.52240134346334</v>
      </c>
    </row>
    <row r="2482" customFormat="false" ht="15" hidden="false" customHeight="false" outlineLevel="0" collapsed="false">
      <c r="A2482" s="5" t="s">
        <v>692</v>
      </c>
      <c r="B2482" s="0" t="s">
        <v>52</v>
      </c>
      <c r="C2482" s="12" t="n">
        <f aca="false">Sens!$C$2476/Sens!$C$2456</f>
        <v>0.107519448742004</v>
      </c>
      <c r="D2482" s="12" t="n">
        <f aca="false">Sens!$D$2476/Sens!$D$2456</f>
        <v>0.111552967957552</v>
      </c>
      <c r="E2482" s="12" t="n">
        <f aca="false">Sens!$E$2476/Sens!$E$2456</f>
        <v>0.13428328426562</v>
      </c>
      <c r="F2482" s="12" t="n">
        <f aca="false">Sens!$F$2476/Sens!$F$2456</f>
        <v>0.134589918235196</v>
      </c>
      <c r="G2482" s="12" t="n">
        <f aca="false">Sens!$G$2476/Sens!$G$2456</f>
        <v>0.134449190744313</v>
      </c>
      <c r="H2482" s="12" t="n">
        <f aca="false">Sens!$H$2476/Sens!$H$2456</f>
        <v>0.149489101375917</v>
      </c>
      <c r="I2482" s="12" t="n">
        <f aca="false">Sens!$I$2476/Sens!$I$2456</f>
        <v>0.162222844291878</v>
      </c>
      <c r="J2482" s="12" t="n">
        <f aca="false">Sens!$J$2476/Sens!$J$2456</f>
        <v>0.171166320320252</v>
      </c>
      <c r="K2482" s="12" t="n">
        <f aca="false">Sens!$K$2476/Sens!$K$2456</f>
        <v>0.17718138749914</v>
      </c>
      <c r="L2482" s="12" t="n">
        <f aca="false">Sens!$L$2476/Sens!$L$2456</f>
        <v>0.182757129000587</v>
      </c>
      <c r="M2482" s="12" t="n">
        <f aca="false">Sens!$M$2476/Sens!$M$2456</f>
        <v>0.187228337190325</v>
      </c>
      <c r="N2482" s="12" t="n">
        <f aca="false">Sens!$N$2476/Sens!$N$2456</f>
        <v>0.116201614873411</v>
      </c>
      <c r="O2482" s="12" t="n">
        <f aca="false">Sens!$O$2476/Sens!$O$2456</f>
        <v>0.107733353660861</v>
      </c>
    </row>
    <row r="2483" customFormat="false" ht="17.15" hidden="false" customHeight="false" outlineLevel="0" collapsed="false">
      <c r="A2483" s="1" t="s">
        <v>693</v>
      </c>
    </row>
    <row r="2484" customFormat="false" ht="17.15" hidden="false" customHeight="false" outlineLevel="0" collapsed="false">
      <c r="A2484" s="5" t="s">
        <v>694</v>
      </c>
      <c r="B2484" s="0" t="s">
        <v>52</v>
      </c>
      <c r="D2484" s="28" t="n">
        <f aca="false">(Q!$E$29+Q!$E$30-(1-ext_sh)*Sens!$D$2408)/Sens!$D$2365</f>
        <v>0.0334674312393194</v>
      </c>
    </row>
    <row r="2485" customFormat="false" ht="17.15" hidden="false" customHeight="false" outlineLevel="0" collapsed="false">
      <c r="A2485" s="0" t="s">
        <v>498</v>
      </c>
      <c r="B2485" s="0" t="s">
        <v>73</v>
      </c>
      <c r="C2485" s="38" t="n">
        <f aca="false">Q!$D$29</f>
        <v>14.285</v>
      </c>
      <c r="D2485" s="38" t="n">
        <f aca="false">Q!$E$29</f>
        <v>15.503</v>
      </c>
      <c r="E2485" s="38" t="n">
        <f aca="false">Q!$P$29</f>
        <v>8.78</v>
      </c>
      <c r="F2485" s="38" t="n">
        <f aca="false">(Sens!$D$2484*Sens!$F$2365+(1-ext_sh)*Sens!$F$2408)*Sens!$F$2366</f>
        <v>9.51361751569285</v>
      </c>
      <c r="G2485" s="38" t="n">
        <f aca="false">Sens!$E$2485+Sens!$F$2485</f>
        <v>18.2936175156929</v>
      </c>
      <c r="H2485" s="38" t="n">
        <f aca="false">(Sens!$D$2484*Sens!$H$2365+(1-ext_sh)*Sens!$H$2408)*Sens!$H$2366</f>
        <v>22.7653661801943</v>
      </c>
      <c r="I2485" s="38" t="n">
        <f aca="false">(Sens!$D$2484*Sens!$I$2365+(1-ext_sh)*Sens!$I$2408)*Sens!$I$2366</f>
        <v>28.4281317305062</v>
      </c>
      <c r="J2485" s="38" t="n">
        <f aca="false">(Sens!$D$2484*Sens!$J$2365+(1-ext_sh)*Sens!$J$2408)*Sens!$J$2366</f>
        <v>34.1182922009732</v>
      </c>
      <c r="K2485" s="38" t="n">
        <f aca="false">(Sens!$D$2484*Sens!$K$2365+(1-ext_sh)*Sens!$K$2408)*Sens!$K$2366</f>
        <v>39.7237727987046</v>
      </c>
      <c r="L2485" s="38" t="n">
        <f aca="false">(Sens!$D$2484*Sens!$L$2365+(1-ext_sh)*Sens!$L$2408)*Sens!$L$2366</f>
        <v>45.1313127180263</v>
      </c>
      <c r="M2485" s="38" t="n">
        <f aca="false">(Sens!$D$2484*Sens!$M$2365+(1-ext_sh)*Sens!$M$2408)*Sens!$M$2366</f>
        <v>50.743940615442</v>
      </c>
      <c r="N2485" s="38" t="n">
        <f aca="false">Q!$N$29</f>
        <v>7.272</v>
      </c>
      <c r="O2485" s="38" t="n">
        <f aca="false">Q!$O$29</f>
        <v>8.231</v>
      </c>
    </row>
    <row r="2486" customFormat="false" ht="17.15" hidden="false" customHeight="false" outlineLevel="0" collapsed="false">
      <c r="A2486" s="0" t="s">
        <v>500</v>
      </c>
      <c r="B2486" s="0" t="s">
        <v>73</v>
      </c>
      <c r="C2486" s="38" t="n">
        <f aca="false">Q!$D$30</f>
        <v>4.462</v>
      </c>
      <c r="D2486" s="38" t="n">
        <f aca="false">Q!$E$30</f>
        <v>4.907</v>
      </c>
      <c r="E2486" s="38" t="n">
        <f aca="false">Q!$P$30</f>
        <v>2.57</v>
      </c>
      <c r="F2486" s="38" t="n">
        <f aca="false">(Sens!$D$2484*Sens!$F$2365+(1-ext_sh)*Sens!$F$2408)*(1-Sens!$F$2366)</f>
        <v>3.7353230631574</v>
      </c>
      <c r="G2486" s="38" t="n">
        <f aca="false">Sens!$E$2486+Sens!$F$2486</f>
        <v>6.3053230631574</v>
      </c>
      <c r="H2486" s="38" t="n">
        <f aca="false">(Sens!$D$2484*Sens!$H$2365+(1-ext_sh)*Sens!$H$2408)*(1-Sens!$H$2366)</f>
        <v>8.72254636724805</v>
      </c>
      <c r="I2486" s="38" t="n">
        <f aca="false">(Sens!$D$2484*Sens!$I$2365+(1-ext_sh)*Sens!$I$2408)*(1-Sens!$I$2366)</f>
        <v>10.8922340713019</v>
      </c>
      <c r="J2486" s="38" t="n">
        <f aca="false">(Sens!$D$2484*Sens!$J$2365+(1-ext_sh)*Sens!$J$2408)*(1-Sens!$J$2366)</f>
        <v>13.0724181345791</v>
      </c>
      <c r="K2486" s="38" t="n">
        <f aca="false">(Sens!$D$2484*Sens!$K$2365+(1-ext_sh)*Sens!$K$2408)*(1-Sens!$K$2366)</f>
        <v>15.2201571183236</v>
      </c>
      <c r="L2486" s="38" t="n">
        <f aca="false">(Sens!$D$2484*Sens!$L$2365+(1-ext_sh)*Sens!$L$2408)*(1-Sens!$L$2366)</f>
        <v>17.2920551631732</v>
      </c>
      <c r="M2486" s="38" t="n">
        <f aca="false">(Sens!$D$2484*Sens!$M$2365+(1-ext_sh)*Sens!$M$2408)*(1-Sens!$M$2366)</f>
        <v>19.4425326336348</v>
      </c>
      <c r="N2486" s="38" t="n">
        <f aca="false">Q!$N$30</f>
        <v>2.316</v>
      </c>
      <c r="O2486" s="38" t="n">
        <f aca="false">Q!$O$30</f>
        <v>2.591</v>
      </c>
    </row>
    <row r="2487" customFormat="false" ht="17.15" hidden="false" customHeight="false" outlineLevel="0" collapsed="false">
      <c r="A2487" s="0" t="s">
        <v>501</v>
      </c>
      <c r="B2487" s="0" t="s">
        <v>73</v>
      </c>
      <c r="C2487" s="38" t="n">
        <f aca="false">Sens!$C$2420</f>
        <v>13.32</v>
      </c>
      <c r="D2487" s="38" t="n">
        <f aca="false">Sens!$D$2420</f>
        <v>21.45</v>
      </c>
      <c r="E2487" s="38" t="n">
        <f aca="false">Sens!$E$2420</f>
        <v>15.353</v>
      </c>
      <c r="F2487" s="38" t="n">
        <f aca="false">Sens!$F$2420</f>
        <v>17.3614451462707</v>
      </c>
      <c r="G2487" s="38" t="n">
        <f aca="false">Sens!$G$2420</f>
        <v>32.7144451462707</v>
      </c>
      <c r="H2487" s="38" t="n">
        <f aca="false">Sens!$H$2420</f>
        <v>56.1966092719415</v>
      </c>
      <c r="I2487" s="38" t="n">
        <f aca="false">Sens!$I$2420</f>
        <v>82.9744039068297</v>
      </c>
      <c r="J2487" s="38" t="n">
        <f aca="false">Sens!$J$2420</f>
        <v>109.943252237669</v>
      </c>
      <c r="K2487" s="38" t="n">
        <f aca="false">Sens!$K$2420</f>
        <v>136.406703436571</v>
      </c>
      <c r="L2487" s="38" t="n">
        <f aca="false">Sens!$L$2420</f>
        <v>161.485870454155</v>
      </c>
      <c r="M2487" s="38" t="n">
        <f aca="false">Sens!$M$2420</f>
        <v>187.389846618199</v>
      </c>
      <c r="N2487" s="38" t="n">
        <f aca="false">Sens!$N$2420</f>
        <v>9.234</v>
      </c>
      <c r="O2487" s="38" t="n">
        <f aca="false">Sens!$O$2420</f>
        <v>12.216</v>
      </c>
    </row>
    <row r="2488" customFormat="false" ht="17.15" hidden="false" customHeight="false" outlineLevel="0" collapsed="false">
      <c r="A2488" s="5" t="s">
        <v>695</v>
      </c>
      <c r="B2488" s="0" t="s">
        <v>73</v>
      </c>
      <c r="C2488" s="38" t="n">
        <f aca="false">Sens!$C$2485+Sens!$C$2486+Sens!$C$2487</f>
        <v>32.067</v>
      </c>
      <c r="D2488" s="38" t="n">
        <f aca="false">Sens!$D$2485+Sens!$D$2486+Sens!$D$2487</f>
        <v>41.86</v>
      </c>
      <c r="E2488" s="38" t="n">
        <f aca="false">Sens!$E$2485+Sens!$E$2486+Sens!$E$2487</f>
        <v>26.703</v>
      </c>
      <c r="F2488" s="38" t="n">
        <f aca="false">Sens!$F$2485+Sens!$F$2486+Sens!$F$2487</f>
        <v>30.6103857251209</v>
      </c>
      <c r="G2488" s="38" t="n">
        <f aca="false">Sens!$G$2485+Sens!$G$2486+Sens!$G$2487</f>
        <v>57.3133857251209</v>
      </c>
      <c r="H2488" s="38" t="n">
        <f aca="false">Sens!$H$2485+Sens!$H$2486+Sens!$H$2487</f>
        <v>87.6845218193838</v>
      </c>
      <c r="I2488" s="38" t="n">
        <f aca="false">Sens!$I$2485+Sens!$I$2486+Sens!$I$2487</f>
        <v>122.294769708638</v>
      </c>
      <c r="J2488" s="38" t="n">
        <f aca="false">Sens!$J$2485+Sens!$J$2486+Sens!$J$2487</f>
        <v>157.133962573221</v>
      </c>
      <c r="K2488" s="38" t="n">
        <f aca="false">Sens!$K$2485+Sens!$K$2486+Sens!$K$2487</f>
        <v>191.350633353599</v>
      </c>
      <c r="L2488" s="38" t="n">
        <f aca="false">Sens!$L$2485+Sens!$L$2486+Sens!$L$2487</f>
        <v>223.909238335354</v>
      </c>
      <c r="M2488" s="38" t="n">
        <f aca="false">Sens!$M$2485+Sens!$M$2486+Sens!$M$2487</f>
        <v>257.576319867276</v>
      </c>
      <c r="N2488" s="38" t="n">
        <f aca="false">Sens!$N$2485+Sens!$N$2486+Sens!$N$2487</f>
        <v>18.822</v>
      </c>
      <c r="O2488" s="38" t="n">
        <f aca="false">Sens!$O$2485+Sens!$O$2486+Sens!$O$2487</f>
        <v>23.038</v>
      </c>
    </row>
    <row r="2489" customFormat="false" ht="17.15" hidden="false" customHeight="false" outlineLevel="0" collapsed="false">
      <c r="A2489" s="0" t="s">
        <v>696</v>
      </c>
      <c r="B2489" s="0" t="s">
        <v>73</v>
      </c>
      <c r="C2489" s="38" t="n">
        <f aca="false">Sens!$C$2462+Sens!$C$2467</f>
        <v>28.107</v>
      </c>
      <c r="D2489" s="38" t="n">
        <f aca="false">Sens!$D$2462+Sens!$D$2467</f>
        <v>34.3175</v>
      </c>
      <c r="E2489" s="38" t="n">
        <f aca="false">Sens!$E$2462+Sens!$E$2467</f>
        <v>18.526</v>
      </c>
      <c r="F2489" s="38" t="n">
        <f aca="false">Sens!$F$2462+Sens!$F$2467</f>
        <v>24.0766690913691</v>
      </c>
      <c r="G2489" s="38" t="n">
        <f aca="false">Sens!$G$2462+Sens!$G$2467</f>
        <v>42.6026690913691</v>
      </c>
      <c r="H2489" s="38" t="n">
        <f aca="false">Sens!$H$2462+Sens!$H$2467</f>
        <v>51.1466809294702</v>
      </c>
      <c r="I2489" s="38" t="n">
        <f aca="false">Sens!$I$2462+Sens!$I$2467</f>
        <v>59.6899187926205</v>
      </c>
      <c r="J2489" s="38" t="n">
        <f aca="false">Sens!$J$2462+Sens!$J$2467</f>
        <v>67.6595395244221</v>
      </c>
      <c r="K2489" s="38" t="n">
        <f aca="false">Sens!$K$2462+Sens!$K$2467</f>
        <v>74.4254934768643</v>
      </c>
      <c r="L2489" s="38" t="n">
        <f aca="false">Sens!$L$2462+Sens!$L$2467</f>
        <v>81.8680428245508</v>
      </c>
      <c r="M2489" s="38" t="n">
        <f aca="false">Sens!$M$2462+Sens!$M$2467</f>
        <v>90.0548471070059</v>
      </c>
      <c r="N2489" s="38" t="n">
        <f aca="false">Sens!$N$2462+Sens!$N$2467</f>
        <v>14.8075</v>
      </c>
      <c r="O2489" s="38" t="n">
        <f aca="false">Sens!$O$2462+Sens!$O$2467</f>
        <v>19.51</v>
      </c>
    </row>
    <row r="2490" customFormat="false" ht="17.15" hidden="false" customHeight="false" outlineLevel="0" collapsed="false">
      <c r="A2490" s="0" t="s">
        <v>697</v>
      </c>
      <c r="B2490" s="0" t="s">
        <v>73</v>
      </c>
      <c r="C2490" s="38" t="n">
        <f aca="false">Sens!$C$2466+Sens!$C$2471+Sens!$C$2485+Sens!$C$2486-Sens!$C$2489</f>
        <v>19.399</v>
      </c>
      <c r="D2490" s="38" t="n">
        <f aca="false">Sens!$D$2466+Sens!$D$2471+Sens!$D$2485+Sens!$D$2486-Sens!$D$2489</f>
        <v>20.4615</v>
      </c>
      <c r="E2490" s="38" t="n">
        <f aca="false">Sens!$E$2466+Sens!$E$2471+Sens!$E$2485+Sens!$E$2486-Sens!$E$2489</f>
        <v>13.355</v>
      </c>
      <c r="F2490" s="38" t="n">
        <f aca="false">Sens!$F$2466+Sens!$F$2471+Sens!$F$2485+Sens!$F$2486-Sens!$F$2489</f>
        <v>13.8390021237807</v>
      </c>
      <c r="G2490" s="38" t="n">
        <f aca="false">Sens!$G$2466+Sens!$G$2471+Sens!$G$2485+Sens!$G$2486-Sens!$G$2489</f>
        <v>27.1940021237807</v>
      </c>
      <c r="H2490" s="38" t="n">
        <f aca="false">Sens!$H$2466+Sens!$H$2471+Sens!$H$2485+Sens!$H$2486-Sens!$H$2489</f>
        <v>38.4122069161036</v>
      </c>
      <c r="I2490" s="38" t="n">
        <f aca="false">Sens!$I$2466+Sens!$I$2471+Sens!$I$2485+Sens!$I$2486-Sens!$I$2489</f>
        <v>50.6775483955128</v>
      </c>
      <c r="J2490" s="38" t="n">
        <f aca="false">Sens!$J$2466+Sens!$J$2471+Sens!$J$2485+Sens!$J$2486-Sens!$J$2489</f>
        <v>63.014940823999</v>
      </c>
      <c r="K2490" s="38" t="n">
        <f aca="false">Sens!$K$2466+Sens!$K$2471+Sens!$K$2485+Sens!$K$2486-Sens!$K$2489</f>
        <v>75.2671397029091</v>
      </c>
      <c r="L2490" s="38" t="n">
        <f aca="false">Sens!$L$2466+Sens!$L$2471+Sens!$L$2485+Sens!$L$2486-Sens!$L$2489</f>
        <v>86.1056419022907</v>
      </c>
      <c r="M2490" s="38" t="n">
        <f aca="false">Sens!$M$2466+Sens!$M$2471+Sens!$M$2485+Sens!$M$2486-Sens!$M$2489</f>
        <v>97.1144377753294</v>
      </c>
      <c r="N2490" s="38" t="n">
        <f aca="false">Sens!$N$2466+Sens!$N$2471+Sens!$N$2485+Sens!$N$2486-Sens!$N$2489</f>
        <v>10.6495</v>
      </c>
      <c r="O2490" s="38" t="n">
        <f aca="false">Sens!$O$2466+Sens!$O$2471+Sens!$O$2485+Sens!$O$2486-Sens!$O$2489</f>
        <v>9.81200000000001</v>
      </c>
    </row>
    <row r="2491" customFormat="false" ht="17.15" hidden="false" customHeight="false" outlineLevel="0" collapsed="false">
      <c r="A2491" s="0" t="s">
        <v>698</v>
      </c>
      <c r="B2491" s="0" t="s">
        <v>73</v>
      </c>
      <c r="C2491" s="38" t="n">
        <f aca="false">Sens!$C$2473+Sens!$C$2487-ext_sh*Sens!$C$2408</f>
        <v>51.3470500115664</v>
      </c>
      <c r="D2491" s="38" t="n">
        <f aca="false">Sens!$D$2473+Sens!$D$2487-ext_sh*Sens!$D$2408</f>
        <v>60.2799375433739</v>
      </c>
      <c r="E2491" s="38" t="n">
        <f aca="false">Sens!$E$2473+Sens!$E$2487-ext_sh*Sens!$E$2408</f>
        <v>39.5095167090767</v>
      </c>
      <c r="F2491" s="38" t="n">
        <f aca="false">Sens!$F$2473+Sens!$F$2487-ext_sh*Sens!$F$2408</f>
        <v>41.606724953129</v>
      </c>
      <c r="G2491" s="38" t="n">
        <f aca="false">Sens!$G$2473+Sens!$G$2487-ext_sh*Sens!$G$2408</f>
        <v>81.1162416622057</v>
      </c>
      <c r="H2491" s="38" t="n">
        <f aca="false">Sens!$H$2473+Sens!$H$2487-ext_sh*Sens!$H$2408</f>
        <v>95.7616595325849</v>
      </c>
      <c r="I2491" s="38" t="n">
        <f aca="false">Sens!$I$2473+Sens!$I$2487-ext_sh*Sens!$I$2408</f>
        <v>111.513312079935</v>
      </c>
      <c r="J2491" s="38" t="n">
        <f aca="false">Sens!$J$2473+Sens!$J$2487-ext_sh*Sens!$J$2408</f>
        <v>125.145150463955</v>
      </c>
      <c r="K2491" s="38" t="n">
        <f aca="false">Sens!$K$2473+Sens!$K$2487-ext_sh*Sens!$K$2408</f>
        <v>135.156762501071</v>
      </c>
      <c r="L2491" s="38" t="n">
        <f aca="false">Sens!$L$2473+Sens!$L$2487-ext_sh*Sens!$L$2408</f>
        <v>145.969303501157</v>
      </c>
      <c r="M2491" s="38" t="n">
        <f aca="false">Sens!$M$2473+Sens!$M$2487-ext_sh*Sens!$M$2408</f>
        <v>157.646847781249</v>
      </c>
      <c r="N2491" s="38" t="n">
        <f aca="false">Sens!$N$2473+Sens!$N$2487-ext_sh*Sens!$N$2408</f>
        <v>28.5693781401809</v>
      </c>
      <c r="O2491" s="38" t="n">
        <f aca="false">Sens!$O$2473+Sens!$O$2487-ext_sh*Sens!$O$2408</f>
        <v>31.7105594031931</v>
      </c>
    </row>
    <row r="2492" customFormat="false" ht="17.15" hidden="false" customHeight="false" outlineLevel="0" collapsed="false">
      <c r="A2492" s="0" t="s">
        <v>699</v>
      </c>
      <c r="B2492" s="0" t="s">
        <v>73</v>
      </c>
      <c r="C2492" s="38" t="n">
        <f aca="false">Sens!$C$2411</f>
        <v>1.80694998843362</v>
      </c>
      <c r="D2492" s="38" t="n">
        <f aca="false">Sens!$D$2411</f>
        <v>6.77606245662607</v>
      </c>
      <c r="E2492" s="38" t="n">
        <f aca="false">Sens!$E$2411</f>
        <v>6.62548329092326</v>
      </c>
      <c r="F2492" s="38" t="n">
        <f aca="false">Sens!$F$2411</f>
        <v>11.7200577158706</v>
      </c>
      <c r="G2492" s="38" t="n">
        <f aca="false">Sens!$G$2411</f>
        <v>18.3455410067939</v>
      </c>
      <c r="H2492" s="38" t="n">
        <f aca="false">Sens!$H$2411</f>
        <v>47.5171727060453</v>
      </c>
      <c r="I2492" s="38" t="n">
        <f aca="false">Sens!$I$2411</f>
        <v>80.5539692643667</v>
      </c>
      <c r="J2492" s="38" t="n">
        <f aca="false">Sens!$J$2411</f>
        <v>113.759316834883</v>
      </c>
      <c r="K2492" s="38" t="n">
        <f aca="false">Sens!$K$2411</f>
        <v>147.020848076132</v>
      </c>
      <c r="L2492" s="38" t="n">
        <f aca="false">Sens!$L$2411</f>
        <v>180.307917349531</v>
      </c>
      <c r="M2492" s="38" t="n">
        <f aca="false">Sens!$M$2411</f>
        <v>213.608737871012</v>
      </c>
      <c r="N2492" s="38" t="n">
        <f aca="false">Sens!$N$2411</f>
        <v>2.37162185981912</v>
      </c>
      <c r="O2492" s="38" t="n">
        <f aca="false">Sens!$O$2411</f>
        <v>4.40444059680694</v>
      </c>
    </row>
    <row r="2493" customFormat="false" ht="17.15" hidden="false" customHeight="false" outlineLevel="0" collapsed="false">
      <c r="A2493" s="0" t="s">
        <v>700</v>
      </c>
      <c r="B2493" s="0" t="s">
        <v>73</v>
      </c>
      <c r="C2493" s="38" t="n">
        <f aca="false">Sens!$C$2476+Sens!$C$2488</f>
        <v>100.66</v>
      </c>
      <c r="D2493" s="38" t="n">
        <f aca="false">Sens!$D$2476+Sens!$D$2488</f>
        <v>121.835</v>
      </c>
      <c r="E2493" s="38" t="n">
        <f aca="false">Sens!$E$2476+Sens!$E$2488</f>
        <v>78.016</v>
      </c>
      <c r="F2493" s="38" t="n">
        <f aca="false">Sens!$F$2476+Sens!$F$2488</f>
        <v>91.2424538841494</v>
      </c>
      <c r="G2493" s="38" t="n">
        <f aca="false">Sens!$G$2476+Sens!$G$2488</f>
        <v>169.258453884149</v>
      </c>
      <c r="H2493" s="38" t="n">
        <f aca="false">Sens!$H$2476+Sens!$H$2488</f>
        <v>232.837720084204</v>
      </c>
      <c r="I2493" s="38" t="n">
        <f aca="false">Sens!$I$2476+Sens!$I$2488</f>
        <v>302.434748532435</v>
      </c>
      <c r="J2493" s="38" t="n">
        <f aca="false">Sens!$J$2476+Sens!$J$2488</f>
        <v>369.578947647259</v>
      </c>
      <c r="K2493" s="38" t="n">
        <f aca="false">Sens!$K$2476+Sens!$K$2488</f>
        <v>431.870243756976</v>
      </c>
      <c r="L2493" s="38" t="n">
        <f aca="false">Sens!$L$2476+Sens!$L$2488</f>
        <v>494.250905577529</v>
      </c>
      <c r="M2493" s="38" t="n">
        <f aca="false">Sens!$M$2476+Sens!$M$2488</f>
        <v>558.424870534596</v>
      </c>
      <c r="N2493" s="38" t="n">
        <f aca="false">Sens!$N$2476+Sens!$N$2488</f>
        <v>56.398</v>
      </c>
      <c r="O2493" s="38" t="n">
        <f aca="false">Sens!$O$2476+Sens!$O$2488</f>
        <v>65.437</v>
      </c>
    </row>
    <row r="2494" customFormat="false" ht="17.15" hidden="false" customHeight="false" outlineLevel="0" collapsed="false">
      <c r="A2494" s="1" t="s">
        <v>701</v>
      </c>
    </row>
    <row r="2495" customFormat="false" ht="15" hidden="false" customHeight="false" outlineLevel="0" collapsed="false">
      <c r="A2495" s="5" t="s">
        <v>504</v>
      </c>
      <c r="B2495" s="0" t="s">
        <v>73</v>
      </c>
      <c r="C2495" s="38" t="n">
        <f aca="false">Q!$D$34</f>
        <v>2.406</v>
      </c>
      <c r="D2495" s="38" t="n">
        <f aca="false">Q!$E$34</f>
        <v>2.274</v>
      </c>
      <c r="E2495" s="38" t="n">
        <f aca="false">Q!$P$34</f>
        <v>2.114</v>
      </c>
      <c r="F2495" s="38" t="n">
        <f aca="false">Sens!$F$2531</f>
        <v>3.24888964316061</v>
      </c>
      <c r="G2495" s="38" t="n">
        <f aca="false">Sens!$E$2495+Sens!$F$2495</f>
        <v>5.36288964316061</v>
      </c>
      <c r="H2495" s="38" t="n">
        <f aca="false">Sens!$H$2531</f>
        <v>7.42354178632123</v>
      </c>
      <c r="I2495" s="38" t="n">
        <f aca="false">Sens!$I$2531</f>
        <v>7.42354178632123</v>
      </c>
      <c r="J2495" s="38" t="n">
        <f aca="false">Sens!$J$2531</f>
        <v>7.42354178632123</v>
      </c>
      <c r="K2495" s="38" t="n">
        <f aca="false">Sens!$K$2531</f>
        <v>7.42354178632123</v>
      </c>
      <c r="L2495" s="38" t="n">
        <f aca="false">Sens!$L$2531</f>
        <v>7.42354178632123</v>
      </c>
      <c r="M2495" s="38" t="n">
        <f aca="false">Sens!$M$2531</f>
        <v>7.42354178632123</v>
      </c>
      <c r="N2495" s="38" t="n">
        <f aca="false">Q!$N$34</f>
        <v>1.057</v>
      </c>
      <c r="O2495" s="38" t="n">
        <f aca="false">Q!$O$34</f>
        <v>1.217</v>
      </c>
    </row>
    <row r="2496" customFormat="false" ht="15" hidden="false" customHeight="false" outlineLevel="0" collapsed="false">
      <c r="A2496" s="5" t="s">
        <v>702</v>
      </c>
      <c r="B2496" s="0" t="s">
        <v>73</v>
      </c>
      <c r="F2496" s="38" t="n">
        <f aca="false">Sens!$F$2532</f>
        <v>2.59</v>
      </c>
      <c r="H2496" s="38" t="n">
        <f aca="false">Sens!$H$2532</f>
        <v>4.03580349385239</v>
      </c>
      <c r="I2496" s="38" t="n">
        <f aca="false">Sens!$I$2532</f>
        <v>2.40102893617073</v>
      </c>
      <c r="J2496" s="38" t="n">
        <f aca="false">Sens!$J$2532</f>
        <v>2.92488616726666</v>
      </c>
      <c r="K2496" s="38" t="n">
        <f aca="false">Sens!$K$2532</f>
        <v>5.66651056465182</v>
      </c>
      <c r="L2496" s="38" t="n">
        <f aca="false">Sens!$L$2532</f>
        <v>10.5838291482247</v>
      </c>
      <c r="M2496" s="38" t="n">
        <f aca="false">Sens!$M$2532</f>
        <v>16.4061862511383</v>
      </c>
    </row>
    <row r="2497" customFormat="false" ht="17.15" hidden="false" customHeight="false" outlineLevel="0" collapsed="false">
      <c r="A2497" s="5" t="s">
        <v>703</v>
      </c>
      <c r="B2497" s="0" t="s">
        <v>73</v>
      </c>
      <c r="C2497" s="38" t="n">
        <f aca="false">Q!$D$39</f>
        <v>2.427</v>
      </c>
      <c r="D2497" s="38" t="n">
        <f aca="false">Q!$E$39</f>
        <v>19.61</v>
      </c>
      <c r="E2497" s="38" t="n">
        <f aca="false">Q!$P$39</f>
        <v>71.492</v>
      </c>
      <c r="F2497" s="41" t="n">
        <v>0</v>
      </c>
      <c r="G2497" s="38" t="n">
        <f aca="false">Sens!$E$2497+Sens!$F$2497</f>
        <v>71.492</v>
      </c>
      <c r="H2497" s="41" t="n">
        <v>0</v>
      </c>
      <c r="I2497" s="41" t="n">
        <v>0</v>
      </c>
      <c r="J2497" s="41" t="n">
        <v>0</v>
      </c>
      <c r="K2497" s="41" t="n">
        <v>0</v>
      </c>
      <c r="L2497" s="41" t="n">
        <v>0</v>
      </c>
      <c r="M2497" s="41" t="n">
        <v>0</v>
      </c>
      <c r="N2497" s="38" t="n">
        <f aca="false">Q!$N$39</f>
        <v>6.017</v>
      </c>
      <c r="O2497" s="38" t="n">
        <f aca="false">Q!$O$39</f>
        <v>13.593</v>
      </c>
      <c r="P2497" s="5" t="s">
        <v>704</v>
      </c>
    </row>
    <row r="2498" customFormat="false" ht="15" hidden="false" customHeight="false" outlineLevel="0" collapsed="false">
      <c r="A2498" s="5" t="s">
        <v>507</v>
      </c>
      <c r="B2498" s="0" t="s">
        <v>73</v>
      </c>
      <c r="C2498" s="38" t="n">
        <f aca="false">Q!$D$36</f>
        <v>68.614</v>
      </c>
      <c r="D2498" s="38" t="n">
        <f aca="false">Q!$E$36</f>
        <v>97.311</v>
      </c>
      <c r="E2498" s="38" t="n">
        <f aca="false">Q!$P$36</f>
        <v>120.691</v>
      </c>
      <c r="F2498" s="38" t="n">
        <f aca="false">Sens!$F$2476-Sens!$F$2495+Sens!$F$2496+Sens!$F$2497</f>
        <v>59.9731785158678</v>
      </c>
      <c r="G2498" s="38" t="n">
        <f aca="false">Sens!$E$2498+Sens!$F$2498</f>
        <v>180.664178515868</v>
      </c>
      <c r="H2498" s="38" t="n">
        <f aca="false">Sens!$H$2476-Sens!$H$2495+Sens!$H$2496+Sens!$H$2497</f>
        <v>141.765459972351</v>
      </c>
      <c r="I2498" s="38" t="n">
        <f aca="false">Sens!$I$2476-Sens!$I$2495+Sens!$I$2496+Sens!$I$2497</f>
        <v>175.117465973647</v>
      </c>
      <c r="J2498" s="38" t="n">
        <f aca="false">Sens!$J$2476-Sens!$J$2495+Sens!$J$2496+Sens!$J$2497</f>
        <v>207.946329454984</v>
      </c>
      <c r="K2498" s="38" t="n">
        <f aca="false">Sens!$K$2476-Sens!$K$2495+Sens!$K$2496+Sens!$K$2497</f>
        <v>238.762579181708</v>
      </c>
      <c r="L2498" s="38" t="n">
        <f aca="false">Sens!$L$2476-Sens!$L$2495+Sens!$L$2496+Sens!$L$2497</f>
        <v>273.501954604078</v>
      </c>
      <c r="M2498" s="38" t="n">
        <f aca="false">Sens!$M$2476-Sens!$M$2495+Sens!$M$2496+Sens!$M$2497</f>
        <v>309.831195132137</v>
      </c>
      <c r="N2498" s="38" t="n">
        <f aca="false">Q!$N$36</f>
        <v>42.536</v>
      </c>
      <c r="O2498" s="38" t="n">
        <f aca="false">Q!$O$36</f>
        <v>54.775</v>
      </c>
    </row>
    <row r="2499" customFormat="false" ht="15" hidden="false" customHeight="false" outlineLevel="0" collapsed="false">
      <c r="A2499" s="5" t="s">
        <v>508</v>
      </c>
      <c r="B2499" s="0" t="s">
        <v>73</v>
      </c>
      <c r="C2499" s="38" t="n">
        <f aca="false">Q!$D$37</f>
        <v>9.265</v>
      </c>
      <c r="D2499" s="38" t="n">
        <f aca="false">Q!$E$37</f>
        <v>19.087</v>
      </c>
      <c r="E2499" s="38" t="n">
        <f aca="false">Q!$P$37</f>
        <v>27.759</v>
      </c>
      <c r="F2499" s="38" t="n">
        <f aca="false">Sens!$F$2498*tax</f>
        <v>10.4104158026352</v>
      </c>
      <c r="G2499" s="38" t="n">
        <f aca="false">Sens!$E$2499+Sens!$F$2499</f>
        <v>38.1694158026352</v>
      </c>
      <c r="H2499" s="38" t="n">
        <f aca="false">Sens!$H$2498*tax</f>
        <v>24.6082902605126</v>
      </c>
      <c r="I2499" s="38" t="n">
        <f aca="false">Sens!$I$2498*tax</f>
        <v>30.3976824341091</v>
      </c>
      <c r="J2499" s="38" t="n">
        <f aca="false">Sens!$J$2498*tax</f>
        <v>36.0962651610232</v>
      </c>
      <c r="K2499" s="38" t="n">
        <f aca="false">Sens!$K$2498*tax</f>
        <v>41.4454892820719</v>
      </c>
      <c r="L2499" s="38" t="n">
        <f aca="false">Sens!$L$2498*tax</f>
        <v>47.4757073198743</v>
      </c>
      <c r="M2499" s="38" t="n">
        <f aca="false">Sens!$M$2498*tax</f>
        <v>53.7819013394387</v>
      </c>
      <c r="N2499" s="38" t="n">
        <f aca="false">Q!$N$37</f>
        <v>7.231</v>
      </c>
      <c r="O2499" s="38" t="n">
        <f aca="false">Q!$O$37</f>
        <v>11.856</v>
      </c>
    </row>
    <row r="2500" customFormat="false" ht="15" hidden="false" customHeight="false" outlineLevel="0" collapsed="false">
      <c r="A2500" s="3" t="s">
        <v>509</v>
      </c>
      <c r="B2500" s="8" t="s">
        <v>73</v>
      </c>
      <c r="C2500" s="38" t="n">
        <f aca="false">Q!$D$38</f>
        <v>59.248</v>
      </c>
      <c r="D2500" s="38" t="n">
        <f aca="false">Q!$E$38</f>
        <v>77.67</v>
      </c>
      <c r="E2500" s="38" t="n">
        <f aca="false">Q!$P$38</f>
        <v>92.902</v>
      </c>
      <c r="F2500" s="38" t="n">
        <f aca="false">Sens!$F$2498-Sens!$F$2499</f>
        <v>49.5627627132326</v>
      </c>
      <c r="G2500" s="38" t="n">
        <f aca="false">Sens!$E$2500+Sens!$F$2500</f>
        <v>142.464762713233</v>
      </c>
      <c r="H2500" s="38" t="n">
        <f aca="false">Sens!$H$2498-Sens!$H$2499</f>
        <v>117.157169711839</v>
      </c>
      <c r="I2500" s="38" t="n">
        <f aca="false">Sens!$I$2498-Sens!$I$2499</f>
        <v>144.719783539538</v>
      </c>
      <c r="J2500" s="38" t="n">
        <f aca="false">Sens!$J$2498-Sens!$J$2499</f>
        <v>171.850064293961</v>
      </c>
      <c r="K2500" s="38" t="n">
        <f aca="false">Sens!$K$2498-Sens!$K$2499</f>
        <v>197.317089899636</v>
      </c>
      <c r="L2500" s="38" t="n">
        <f aca="false">Sens!$L$2498-Sens!$L$2499</f>
        <v>226.026247284204</v>
      </c>
      <c r="M2500" s="38" t="n">
        <f aca="false">Sens!$M$2498-Sens!$M$2499</f>
        <v>256.049293792698</v>
      </c>
      <c r="N2500" s="38" t="n">
        <f aca="false">Q!$N$38</f>
        <v>35.291</v>
      </c>
      <c r="O2500" s="38" t="n">
        <f aca="false">Q!$O$38</f>
        <v>42.379</v>
      </c>
    </row>
    <row r="2501" customFormat="false" ht="17.15" hidden="false" customHeight="false" outlineLevel="0" collapsed="false">
      <c r="A2501" s="5" t="s">
        <v>512</v>
      </c>
      <c r="B2501" s="5" t="s">
        <v>33</v>
      </c>
      <c r="C2501" s="22" t="n">
        <f aca="false">Q!$D$41</f>
        <v>10.721</v>
      </c>
      <c r="D2501" s="22" t="n">
        <f aca="false">Q!$E$41</f>
        <v>10.827</v>
      </c>
      <c r="E2501" s="22" t="n">
        <f aca="false">(Q!$L$41+Q!$M$41)/2</f>
        <v>10.8885</v>
      </c>
      <c r="F2501" s="22" t="n">
        <f aca="false">Sens!$G$2501</f>
        <v>10.924806</v>
      </c>
      <c r="G2501" s="22" t="n">
        <f aca="false">Q!$M$41*(1+sh_g*0.25)</f>
        <v>10.924806</v>
      </c>
      <c r="H2501" s="22" t="n">
        <f aca="false">Sens!$G$2501*(1+sh_g)</f>
        <v>11.012204448</v>
      </c>
      <c r="I2501" s="22" t="n">
        <f aca="false">Sens!$H$2501*(1+sh_g)</f>
        <v>11.100302083584</v>
      </c>
      <c r="J2501" s="22" t="n">
        <f aca="false">Sens!$I$2501*(1+sh_g)</f>
        <v>11.1891045002527</v>
      </c>
      <c r="K2501" s="22" t="n">
        <f aca="false">Sens!$J$2501*(1+sh_g)</f>
        <v>11.2786173362547</v>
      </c>
      <c r="L2501" s="22" t="n">
        <f aca="false">Sens!$K$2501*(1+sh_g)</f>
        <v>11.3688462749447</v>
      </c>
      <c r="M2501" s="22" t="n">
        <f aca="false">Sens!$L$2501*(1+sh_g)</f>
        <v>11.4597970451443</v>
      </c>
      <c r="P2501" s="5" t="s">
        <v>705</v>
      </c>
    </row>
    <row r="2502" customFormat="false" ht="17.15" hidden="false" customHeight="false" outlineLevel="0" collapsed="false">
      <c r="A2502" s="42" t="s">
        <v>706</v>
      </c>
      <c r="B2502" s="13" t="s">
        <v>27</v>
      </c>
      <c r="C2502" s="43" t="n">
        <f aca="false">Sens!$C$2500/Sens!$C$2501</f>
        <v>5.52635015390355</v>
      </c>
      <c r="D2502" s="43" t="n">
        <f aca="false">Sens!$D$2500/Sens!$D$2501</f>
        <v>7.1737323358271</v>
      </c>
      <c r="E2502" s="43" t="n">
        <f aca="false">Sens!$E$2500/Sens!$E$2501</f>
        <v>8.53212104513937</v>
      </c>
      <c r="F2502" s="13"/>
      <c r="G2502" s="43" t="n">
        <f aca="false">Sens!$G$2500/Sens!$G$2501</f>
        <v>13.0404844455117</v>
      </c>
      <c r="H2502" s="43" t="n">
        <f aca="false">Sens!$H$2500/Sens!$H$2501</f>
        <v>10.6388480403773</v>
      </c>
      <c r="I2502" s="43" t="n">
        <f aca="false">Sens!$I$2500/Sens!$I$2501</f>
        <v>13.0374635257504</v>
      </c>
      <c r="J2502" s="43" t="n">
        <f aca="false">Sens!$J$2500/Sens!$J$2501</f>
        <v>15.358696872487</v>
      </c>
      <c r="K2502" s="43" t="n">
        <f aca="false">Sens!$K$2500/Sens!$K$2501</f>
        <v>17.4947942657268</v>
      </c>
      <c r="L2502" s="43" t="n">
        <f aca="false">Sens!$L$2500/Sens!$L$2501</f>
        <v>19.8811947859945</v>
      </c>
      <c r="M2502" s="43" t="n">
        <f aca="false">Sens!$M$2500/Sens!$M$2501</f>
        <v>22.3432660093392</v>
      </c>
      <c r="N2502" s="13"/>
      <c r="O2502" s="13"/>
    </row>
    <row r="2503" customFormat="false" ht="17.15" hidden="false" customHeight="false" outlineLevel="0" collapsed="false">
      <c r="A2503" s="0" t="s">
        <v>707</v>
      </c>
      <c r="B2503" s="0" t="s">
        <v>27</v>
      </c>
      <c r="C2503" s="30" t="n">
        <f aca="false">(Sens!$C$2500-Sens!$C$2497*(1-tax))/Sens!$C$2501</f>
        <v>5.33926775917445</v>
      </c>
      <c r="D2503" s="30" t="n">
        <f aca="false">(Sens!$D$2500-Sens!$D$2497*(1-tax))/Sens!$D$2501</f>
        <v>5.67691812755503</v>
      </c>
      <c r="E2503" s="30" t="n">
        <f aca="false">(Sens!$E$2500-Sens!$E$2497*(1-tax))/Sens!$E$2501</f>
        <v>3.10602057006846</v>
      </c>
      <c r="G2503" s="30" t="n">
        <f aca="false">(Sens!$G$2500-Sens!$G$2497*(1-tax))/Sens!$G$2501</f>
        <v>7.6324163276147</v>
      </c>
      <c r="H2503" s="30" t="n">
        <f aca="false">(Sens!$H$2500-Sens!$H$2497*(1-tax))/Sens!$H$2501</f>
        <v>10.6388480403773</v>
      </c>
      <c r="I2503" s="30" t="n">
        <f aca="false">(Sens!$I$2500-Sens!$I$2497*(1-tax))/Sens!$I$2501</f>
        <v>13.0374635257504</v>
      </c>
      <c r="J2503" s="30" t="n">
        <f aca="false">(Sens!$J$2500-Sens!$J$2497*(1-tax))/Sens!$J$2501</f>
        <v>15.358696872487</v>
      </c>
      <c r="K2503" s="30" t="n">
        <f aca="false">(Sens!$K$2500-Sens!$K$2497*(1-tax))/Sens!$K$2501</f>
        <v>17.4947942657268</v>
      </c>
      <c r="L2503" s="30" t="n">
        <f aca="false">(Sens!$L$2500-Sens!$L$2497*(1-tax))/Sens!$L$2501</f>
        <v>19.8811947859945</v>
      </c>
      <c r="M2503" s="30" t="n">
        <f aca="false">(Sens!$M$2500-Sens!$M$2497*(1-tax))/Sens!$M$2501</f>
        <v>22.3432660093392</v>
      </c>
      <c r="P2503" s="5" t="s">
        <v>708</v>
      </c>
    </row>
    <row r="2504" customFormat="false" ht="17.15" hidden="false" customHeight="false" outlineLevel="0" collapsed="false">
      <c r="A2504" s="0" t="s">
        <v>709</v>
      </c>
      <c r="B2504" s="0" t="s">
        <v>52</v>
      </c>
      <c r="H2504" s="12" t="n">
        <f aca="false">Sens!$H$2502/Sens!$G$2502-1</f>
        <v>-0.184167728980421</v>
      </c>
      <c r="I2504" s="12" t="n">
        <f aca="false">Sens!$I$2502/Sens!$H$2502-1</f>
        <v>0.225458195875132</v>
      </c>
      <c r="J2504" s="12" t="n">
        <f aca="false">Sens!$J$2502/Sens!$I$2502-1</f>
        <v>0.178043324313187</v>
      </c>
      <c r="K2504" s="12" t="n">
        <f aca="false">Sens!$K$2502/Sens!$J$2502-1</f>
        <v>0.139080640172435</v>
      </c>
      <c r="L2504" s="12" t="n">
        <f aca="false">Sens!$L$2502/Sens!$K$2502-1</f>
        <v>0.136406320875848</v>
      </c>
      <c r="M2504" s="12" t="n">
        <f aca="false">Sens!$M$2502/Sens!$L$2502-1</f>
        <v>0.123839198289992</v>
      </c>
    </row>
    <row r="2507" customFormat="false" ht="19.4" hidden="false" customHeight="false" outlineLevel="0" collapsed="false">
      <c r="A2507" s="31" t="s">
        <v>1098</v>
      </c>
    </row>
    <row r="2508" customFormat="false" ht="17.15" hidden="false" customHeight="false" outlineLevel="0" collapsed="false">
      <c r="A2508" s="6" t="s">
        <v>16</v>
      </c>
      <c r="B2508" s="6" t="s">
        <v>17</v>
      </c>
      <c r="C2508" s="20" t="s">
        <v>457</v>
      </c>
      <c r="D2508" s="20" t="s">
        <v>458</v>
      </c>
      <c r="E2508" s="20" t="s">
        <v>540</v>
      </c>
      <c r="F2508" s="20" t="s">
        <v>541</v>
      </c>
      <c r="G2508" s="20" t="s">
        <v>542</v>
      </c>
      <c r="H2508" s="20" t="s">
        <v>543</v>
      </c>
      <c r="I2508" s="20" t="s">
        <v>544</v>
      </c>
      <c r="J2508" s="20" t="s">
        <v>545</v>
      </c>
      <c r="K2508" s="20" t="s">
        <v>546</v>
      </c>
      <c r="L2508" s="20" t="s">
        <v>547</v>
      </c>
      <c r="M2508" s="20" t="s">
        <v>548</v>
      </c>
      <c r="N2508" s="20" t="s">
        <v>549</v>
      </c>
      <c r="O2508" s="20" t="s">
        <v>550</v>
      </c>
      <c r="P2508" s="6" t="s">
        <v>23</v>
      </c>
      <c r="R2508" s="20" t="n">
        <v>2023</v>
      </c>
      <c r="S2508" s="20" t="n">
        <v>2024</v>
      </c>
      <c r="T2508" s="20" t="n">
        <v>2025</v>
      </c>
      <c r="U2508" s="20" t="n">
        <v>2026</v>
      </c>
      <c r="V2508" s="20" t="n">
        <v>2027</v>
      </c>
      <c r="W2508" s="20" t="n">
        <v>2028</v>
      </c>
      <c r="X2508" s="20" t="n">
        <v>2029</v>
      </c>
      <c r="Y2508" s="20" t="n">
        <v>2030</v>
      </c>
      <c r="Z2508" s="20" t="n">
        <v>2031</v>
      </c>
      <c r="AA2508" s="20" t="n">
        <v>2032</v>
      </c>
    </row>
    <row r="2509" customFormat="false" ht="15" hidden="false" customHeight="false" outlineLevel="0" collapsed="false">
      <c r="A2509" s="5" t="s">
        <v>509</v>
      </c>
      <c r="B2509" s="0" t="s">
        <v>73</v>
      </c>
      <c r="C2509" s="38" t="n">
        <f aca="false">Sens!$C$2500</f>
        <v>59.248</v>
      </c>
      <c r="D2509" s="38" t="n">
        <f aca="false">Sens!$D$2500</f>
        <v>77.67</v>
      </c>
      <c r="E2509" s="38" t="n">
        <f aca="false">Sens!$E$2500</f>
        <v>92.902</v>
      </c>
      <c r="F2509" s="38" t="n">
        <f aca="false">Sens!$F$2500</f>
        <v>49.5627627132326</v>
      </c>
      <c r="G2509" s="38" t="n">
        <f aca="false">Sens!$G$2500</f>
        <v>142.464762713233</v>
      </c>
      <c r="H2509" s="38" t="n">
        <f aca="false">Sens!$H$2500</f>
        <v>117.157169711839</v>
      </c>
      <c r="I2509" s="38" t="n">
        <f aca="false">Sens!$I$2500</f>
        <v>144.719783539538</v>
      </c>
      <c r="J2509" s="38" t="n">
        <f aca="false">Sens!$J$2500</f>
        <v>171.850064293961</v>
      </c>
      <c r="K2509" s="38" t="n">
        <f aca="false">Sens!$K$2500</f>
        <v>197.317089899636</v>
      </c>
      <c r="L2509" s="38" t="n">
        <f aca="false">Sens!$L$2500</f>
        <v>226.026247284204</v>
      </c>
      <c r="M2509" s="38" t="n">
        <f aca="false">Sens!$M$2500</f>
        <v>256.049293792698</v>
      </c>
    </row>
    <row r="2510" customFormat="false" ht="17.15" hidden="false" customHeight="false" outlineLevel="0" collapsed="false">
      <c r="A2510" s="5" t="s">
        <v>731</v>
      </c>
      <c r="B2510" s="0" t="s">
        <v>73</v>
      </c>
      <c r="C2510" s="38" t="n">
        <f aca="false">Sens!$C$2488</f>
        <v>32.067</v>
      </c>
      <c r="D2510" s="38" t="n">
        <f aca="false">Sens!$D$2488</f>
        <v>41.86</v>
      </c>
      <c r="E2510" s="38" t="n">
        <f aca="false">Sens!$E$2488</f>
        <v>26.703</v>
      </c>
      <c r="F2510" s="38" t="n">
        <f aca="false">Sens!$F$2488</f>
        <v>30.6103857251209</v>
      </c>
      <c r="G2510" s="38" t="n">
        <f aca="false">Sens!$G$2488</f>
        <v>57.3133857251209</v>
      </c>
      <c r="H2510" s="38" t="n">
        <f aca="false">Sens!$H$2488</f>
        <v>87.6845218193838</v>
      </c>
      <c r="I2510" s="38" t="n">
        <f aca="false">Sens!$I$2488</f>
        <v>122.294769708638</v>
      </c>
      <c r="J2510" s="38" t="n">
        <f aca="false">Sens!$J$2488</f>
        <v>157.133962573221</v>
      </c>
      <c r="K2510" s="38" t="n">
        <f aca="false">Sens!$K$2488</f>
        <v>191.350633353599</v>
      </c>
      <c r="L2510" s="38" t="n">
        <f aca="false">Sens!$L$2488</f>
        <v>223.909238335354</v>
      </c>
      <c r="M2510" s="38" t="n">
        <f aca="false">Sens!$M$2488</f>
        <v>257.576319867276</v>
      </c>
    </row>
    <row r="2511" customFormat="false" ht="15" hidden="false" customHeight="false" outlineLevel="0" collapsed="false">
      <c r="A2511" s="5" t="s">
        <v>732</v>
      </c>
      <c r="B2511" s="0" t="s">
        <v>73</v>
      </c>
      <c r="C2511" s="38" t="n">
        <f aca="false">Q!$D$48</f>
        <v>22.011</v>
      </c>
      <c r="D2511" s="38" t="n">
        <f aca="false">Q!$E$48</f>
        <v>19.467</v>
      </c>
      <c r="E2511" s="38" t="n">
        <f aca="false">Q!$P$48</f>
        <v>10.07</v>
      </c>
      <c r="F2511" s="38" t="n">
        <f aca="false">sbc_r*Sens!$F$2432</f>
        <v>11.2170714500462</v>
      </c>
      <c r="G2511" s="38" t="n">
        <f aca="false">Sens!$E$2511+Sens!$F$2511</f>
        <v>21.2870714500462</v>
      </c>
      <c r="H2511" s="38" t="n">
        <f aca="false">sbc_r*Sens!$H$2432</f>
        <v>24.1772394325528</v>
      </c>
      <c r="I2511" s="38" t="n">
        <f aca="false">sbc_r*Sens!$I$2432</f>
        <v>27.6495284422397</v>
      </c>
      <c r="J2511" s="38" t="n">
        <f aca="false">sbc_r*Sens!$J$2432</f>
        <v>30.9042211184633</v>
      </c>
      <c r="K2511" s="38" t="n">
        <f aca="false">sbc_r*Sens!$K$2432</f>
        <v>33.8004145402678</v>
      </c>
      <c r="L2511" s="38" t="n">
        <f aca="false">sbc_r*Sens!$L$2432</f>
        <v>36.8322537652494</v>
      </c>
      <c r="M2511" s="38" t="n">
        <f aca="false">sbc_r*Sens!$M$2432</f>
        <v>40.0097627968013</v>
      </c>
    </row>
    <row r="2512" customFormat="false" ht="17.15" hidden="false" customHeight="false" outlineLevel="0" collapsed="false">
      <c r="A2512" s="5" t="s">
        <v>733</v>
      </c>
      <c r="B2512" s="0" t="s">
        <v>73</v>
      </c>
      <c r="C2512" s="38" t="n">
        <f aca="false">Q!$D$44-Sens!$C$2509-Sens!$C$2510-Sens!$C$2511</f>
        <v>2.551</v>
      </c>
      <c r="D2512" s="38" t="n">
        <f aca="false">Q!$E$44-Sens!$D$2509-Sens!$D$2510-Sens!$D$2511</f>
        <v>0.51700000000001</v>
      </c>
      <c r="E2512" s="38" t="n">
        <f aca="false">Q!$P$44-Sens!$E$2509-Sens!$E$2510-Sens!$E$2511</f>
        <v>-58.256</v>
      </c>
      <c r="F2512" s="38" t="n">
        <f aca="false">wc_2h26+oth_r*Sens!$F$2432</f>
        <v>7.34599241893378</v>
      </c>
      <c r="G2512" s="38" t="n">
        <f aca="false">Sens!$E$2512+Sens!$F$2512</f>
        <v>-50.9100075810662</v>
      </c>
      <c r="H2512" s="38" t="n">
        <f aca="false">oth_r*Sens!$H$2432</f>
        <v>11.6369707537667</v>
      </c>
      <c r="I2512" s="38" t="n">
        <f aca="false">oth_r*Sens!$I$2432</f>
        <v>13.3082502961262</v>
      </c>
      <c r="J2512" s="38" t="n">
        <f aca="false">oth_r*Sens!$J$2432</f>
        <v>14.8747965344332</v>
      </c>
      <c r="K2512" s="38" t="n">
        <f aca="false">oth_r*Sens!$K$2432</f>
        <v>16.2687901804328</v>
      </c>
      <c r="L2512" s="38" t="n">
        <f aca="false">oth_r*Sens!$L$2432</f>
        <v>17.7280727627002</v>
      </c>
      <c r="M2512" s="38" t="n">
        <f aca="false">oth_r*Sens!$M$2432</f>
        <v>19.2574690270319</v>
      </c>
      <c r="P2512" s="8" t="s">
        <v>734</v>
      </c>
    </row>
    <row r="2513" customFormat="false" ht="15" hidden="false" customHeight="false" outlineLevel="0" collapsed="false">
      <c r="A2513" s="3" t="s">
        <v>515</v>
      </c>
      <c r="B2513" s="8" t="s">
        <v>73</v>
      </c>
      <c r="C2513" s="38" t="n">
        <f aca="false">Q!$D$44</f>
        <v>115.877</v>
      </c>
      <c r="D2513" s="38" t="n">
        <f aca="false">Q!$E$44</f>
        <v>139.514</v>
      </c>
      <c r="E2513" s="38" t="n">
        <f aca="false">Q!$P$44</f>
        <v>71.419</v>
      </c>
      <c r="F2513" s="38" t="n">
        <f aca="false">Sens!$F$2509+Sens!$F$2510+Sens!$F$2511+Sens!$F$2512</f>
        <v>98.7362123073336</v>
      </c>
      <c r="G2513" s="38" t="n">
        <f aca="false">Sens!$E$2513+Sens!$F$2513</f>
        <v>170.155212307334</v>
      </c>
      <c r="H2513" s="38" t="n">
        <f aca="false">Sens!$H$2509+Sens!$H$2510+Sens!$H$2511+Sens!$H$2512</f>
        <v>240.655901717542</v>
      </c>
      <c r="I2513" s="38" t="n">
        <f aca="false">Sens!$I$2509+Sens!$I$2510+Sens!$I$2511+Sens!$I$2512</f>
        <v>307.972331986542</v>
      </c>
      <c r="J2513" s="38" t="n">
        <f aca="false">Sens!$J$2509+Sens!$J$2510+Sens!$J$2511+Sens!$J$2512</f>
        <v>374.763044520078</v>
      </c>
      <c r="K2513" s="38" t="n">
        <f aca="false">Sens!$K$2509+Sens!$K$2510+Sens!$K$2511+Sens!$K$2512</f>
        <v>438.736927973936</v>
      </c>
      <c r="L2513" s="38" t="n">
        <f aca="false">Sens!$L$2509+Sens!$L$2510+Sens!$L$2511+Sens!$L$2512</f>
        <v>504.495812147508</v>
      </c>
      <c r="M2513" s="38" t="n">
        <f aca="false">Sens!$M$2509+Sens!$M$2510+Sens!$M$2511+Sens!$M$2512</f>
        <v>572.892845483808</v>
      </c>
    </row>
    <row r="2514" customFormat="false" ht="17.15" hidden="false" customHeight="false" outlineLevel="0" collapsed="false">
      <c r="A2514" s="5" t="s">
        <v>735</v>
      </c>
      <c r="B2514" s="0" t="s">
        <v>73</v>
      </c>
      <c r="C2514" s="38" t="n">
        <f aca="false">Sens!$C$2401</f>
        <v>25.2781053077374</v>
      </c>
      <c r="D2514" s="38" t="n">
        <f aca="false">Sens!$D$2401</f>
        <v>69.5686316310026</v>
      </c>
      <c r="E2514" s="38" t="n">
        <f aca="false">Sens!$E$2401</f>
        <v>64.1899206485108</v>
      </c>
      <c r="F2514" s="38" t="n">
        <f aca="false">Sens!$F$2401</f>
        <v>96.2481299895</v>
      </c>
      <c r="G2514" s="38" t="n">
        <f aca="false">Sens!$G$2401</f>
        <v>160.438050638011</v>
      </c>
      <c r="H2514" s="38" t="n">
        <f aca="false">Sens!$H$2401</f>
        <v>198.57136494475</v>
      </c>
      <c r="I2514" s="38" t="n">
        <f aca="false">Sens!$I$2401</f>
        <v>204.6464699105</v>
      </c>
      <c r="J2514" s="38" t="n">
        <f aca="false">Sens!$J$2401</f>
        <v>209.8832381105</v>
      </c>
      <c r="K2514" s="38" t="n">
        <f aca="false">Sens!$K$2401</f>
        <v>215.1200063105</v>
      </c>
      <c r="L2514" s="38" t="n">
        <f aca="false">Sens!$L$2401</f>
        <v>251.7773837105</v>
      </c>
      <c r="M2514" s="38" t="n">
        <f aca="false">Sens!$M$2401</f>
        <v>311.87584476575</v>
      </c>
    </row>
    <row r="2515" customFormat="false" ht="17.15" hidden="false" customHeight="false" outlineLevel="0" collapsed="false">
      <c r="A2515" s="5" t="s">
        <v>736</v>
      </c>
      <c r="B2515" s="0" t="s">
        <v>73</v>
      </c>
      <c r="C2515" s="38" t="n">
        <f aca="false">cx_awso*Sens!$C$2430</f>
        <v>21.0469989286053</v>
      </c>
      <c r="D2515" s="38" t="n">
        <f aca="false">cx_awso*Sens!$D$2430</f>
        <v>24.0042459822698</v>
      </c>
      <c r="E2515" s="38" t="n">
        <f aca="false">cx_awso*Sens!$E$2430</f>
        <v>14.261729404886</v>
      </c>
      <c r="F2515" s="38" t="n">
        <f aca="false">cx_awso*Sens!$F$2430</f>
        <v>15.7190020837331</v>
      </c>
      <c r="G2515" s="38" t="n">
        <f aca="false">Sens!$E$2515+Sens!$F$2515</f>
        <v>29.9807314886191</v>
      </c>
      <c r="H2515" s="38" t="n">
        <f aca="false">cx_awso*Sens!$H$2430</f>
        <v>36.1787121536283</v>
      </c>
      <c r="I2515" s="38" t="n">
        <f aca="false">cx_awso*Sens!$I$2430</f>
        <v>42.1296794430021</v>
      </c>
      <c r="J2515" s="38" t="n">
        <f aca="false">cx_awso*Sens!$J$2430</f>
        <v>47.279781889299</v>
      </c>
      <c r="K2515" s="38" t="n">
        <f aca="false">cx_awso*Sens!$K$2430</f>
        <v>51.0621644404429</v>
      </c>
      <c r="L2515" s="38" t="n">
        <f aca="false">cx_awso*Sens!$L$2430</f>
        <v>55.1471375956783</v>
      </c>
      <c r="M2515" s="38" t="n">
        <f aca="false">cx_awso*Sens!$M$2430</f>
        <v>59.5589086033326</v>
      </c>
    </row>
    <row r="2516" customFormat="false" ht="17.15" hidden="false" customHeight="false" outlineLevel="0" collapsed="false">
      <c r="A2516" s="5" t="s">
        <v>737</v>
      </c>
      <c r="B2516" s="0" t="s">
        <v>73</v>
      </c>
      <c r="C2516" s="38" t="n">
        <f aca="false">Q!$D$46-Sens!$C$2514-Sens!$C$2515</f>
        <v>31.3328957636573</v>
      </c>
      <c r="D2516" s="38" t="n">
        <f aca="false">Q!$E$46-Sens!$D$2514-Sens!$D$2515</f>
        <v>34.7471223867276</v>
      </c>
      <c r="E2516" s="38" t="n">
        <f aca="false">Q!$P$46-Sens!$E$2514-Sens!$E$2515</f>
        <v>17.8583499466032</v>
      </c>
      <c r="F2516" s="38" t="n">
        <f aca="false">cx_rt*Sens!$F$2365</f>
        <v>21.0855744229195</v>
      </c>
      <c r="G2516" s="38" t="n">
        <f aca="false">Sens!$E$2516+Sens!$F$2516</f>
        <v>38.9439243695228</v>
      </c>
      <c r="H2516" s="38" t="n">
        <f aca="false">cx_rt*Sens!$H$2365</f>
        <v>43.1200434029767</v>
      </c>
      <c r="I2516" s="38" t="n">
        <f aca="false">cx_rt*Sens!$I$2365</f>
        <v>47.1583152318763</v>
      </c>
      <c r="J2516" s="38" t="n">
        <f aca="false">cx_rt*Sens!$J$2365</f>
        <v>50.9060281137911</v>
      </c>
      <c r="K2516" s="38" t="n">
        <f aca="false">cx_rt*Sens!$K$2365</f>
        <v>54.2035645673053</v>
      </c>
      <c r="L2516" s="38" t="n">
        <f aca="false">cx_rt*Sens!$L$2365</f>
        <v>57.7318979121519</v>
      </c>
      <c r="M2516" s="38" t="n">
        <f aca="false">cx_rt*Sens!$M$2365</f>
        <v>61.5084196557756</v>
      </c>
    </row>
    <row r="2517" customFormat="false" ht="15" hidden="false" customHeight="false" outlineLevel="0" collapsed="false">
      <c r="A2517" s="3" t="s">
        <v>738</v>
      </c>
      <c r="B2517" s="8" t="s">
        <v>73</v>
      </c>
      <c r="C2517" s="38" t="n">
        <f aca="false">Q!$D$46</f>
        <v>77.658</v>
      </c>
      <c r="D2517" s="38" t="n">
        <f aca="false">Q!$E$46</f>
        <v>128.32</v>
      </c>
      <c r="E2517" s="38" t="n">
        <f aca="false">Q!$P$46</f>
        <v>96.31</v>
      </c>
      <c r="F2517" s="38" t="n">
        <f aca="false">Sens!$F$2514+Sens!$F$2515+Sens!$F$2516</f>
        <v>133.052706496153</v>
      </c>
      <c r="G2517" s="38" t="n">
        <f aca="false">Sens!$E$2517+Sens!$F$2517</f>
        <v>229.362706496153</v>
      </c>
      <c r="H2517" s="38" t="n">
        <f aca="false">Sens!$H$2514+Sens!$H$2515+Sens!$H$2516</f>
        <v>277.870120501355</v>
      </c>
      <c r="I2517" s="38" t="n">
        <f aca="false">Sens!$I$2514+Sens!$I$2515+Sens!$I$2516</f>
        <v>293.934464585378</v>
      </c>
      <c r="J2517" s="38" t="n">
        <f aca="false">Sens!$J$2514+Sens!$J$2515+Sens!$J$2516</f>
        <v>308.06904811359</v>
      </c>
      <c r="K2517" s="38" t="n">
        <f aca="false">Sens!$K$2514+Sens!$K$2515+Sens!$K$2516</f>
        <v>320.385735318248</v>
      </c>
      <c r="L2517" s="38" t="n">
        <f aca="false">Sens!$L$2514+Sens!$L$2515+Sens!$L$2516</f>
        <v>364.65641921833</v>
      </c>
      <c r="M2517" s="38" t="n">
        <f aca="false">Sens!$M$2514+Sens!$M$2515+Sens!$M$2516</f>
        <v>432.943173024858</v>
      </c>
    </row>
    <row r="2518" customFormat="false" ht="17.15" hidden="false" customHeight="false" outlineLevel="0" collapsed="false">
      <c r="A2518" s="5" t="s">
        <v>523</v>
      </c>
      <c r="B2518" s="0" t="s">
        <v>73</v>
      </c>
      <c r="C2518" s="38" t="n">
        <f aca="false">Q!$D$50</f>
        <v>2.043</v>
      </c>
      <c r="D2518" s="38" t="n">
        <f aca="false">Q!$E$50</f>
        <v>1.557</v>
      </c>
      <c r="E2518" s="38" t="n">
        <f aca="false">lease_pr/2</f>
        <v>0.8</v>
      </c>
      <c r="F2518" s="38" t="n">
        <f aca="false">lease_pr/2</f>
        <v>0.8</v>
      </c>
      <c r="G2518" s="38" t="n">
        <f aca="false">Sens!$E$2518+Sens!$F$2518</f>
        <v>1.6</v>
      </c>
      <c r="H2518" s="38" t="n">
        <f aca="false">lease_pr</f>
        <v>1.6</v>
      </c>
      <c r="I2518" s="38" t="n">
        <f aca="false">lease_pr</f>
        <v>1.6</v>
      </c>
      <c r="J2518" s="38" t="n">
        <f aca="false">lease_pr</f>
        <v>1.6</v>
      </c>
      <c r="K2518" s="38" t="n">
        <f aca="false">lease_pr</f>
        <v>1.6</v>
      </c>
      <c r="L2518" s="38" t="n">
        <f aca="false">lease_pr</f>
        <v>1.6</v>
      </c>
      <c r="M2518" s="38" t="n">
        <f aca="false">lease_pr</f>
        <v>1.6</v>
      </c>
      <c r="P2518" s="8" t="s">
        <v>739</v>
      </c>
    </row>
    <row r="2519" customFormat="false" ht="15" hidden="false" customHeight="false" outlineLevel="0" collapsed="false">
      <c r="A2519" s="46" t="s">
        <v>740</v>
      </c>
      <c r="B2519" s="13" t="s">
        <v>73</v>
      </c>
      <c r="C2519" s="47" t="n">
        <f aca="false">Sens!$C$2513-Sens!$C$2517-Sens!$C$2518</f>
        <v>36.176</v>
      </c>
      <c r="D2519" s="47" t="n">
        <f aca="false">Sens!$D$2513-Sens!$D$2517-Sens!$D$2518</f>
        <v>9.63700000000002</v>
      </c>
      <c r="E2519" s="47" t="n">
        <f aca="false">Sens!$E$2513-Sens!$E$2517-Sens!$E$2518</f>
        <v>-25.691</v>
      </c>
      <c r="F2519" s="47" t="n">
        <f aca="false">Sens!$F$2513-Sens!$F$2517-Sens!$F$2518</f>
        <v>-35.116494188819</v>
      </c>
      <c r="G2519" s="47" t="n">
        <f aca="false">Sens!$G$2513-Sens!$G$2517-Sens!$G$2518</f>
        <v>-60.807494188819</v>
      </c>
      <c r="H2519" s="47" t="n">
        <f aca="false">Sens!$H$2513-Sens!$H$2517-Sens!$H$2518</f>
        <v>-38.814218783813</v>
      </c>
      <c r="I2519" s="47" t="n">
        <f aca="false">Sens!$I$2513-Sens!$I$2517-Sens!$I$2518</f>
        <v>12.4378674011632</v>
      </c>
      <c r="J2519" s="47" t="n">
        <f aca="false">Sens!$J$2513-Sens!$J$2517-Sens!$J$2518</f>
        <v>65.0939964064878</v>
      </c>
      <c r="K2519" s="47" t="n">
        <f aca="false">Sens!$K$2513-Sens!$K$2517-Sens!$K$2518</f>
        <v>116.751192655688</v>
      </c>
      <c r="L2519" s="47" t="n">
        <f aca="false">Sens!$L$2513-Sens!$L$2517-Sens!$L$2518</f>
        <v>138.239392929178</v>
      </c>
      <c r="M2519" s="47" t="n">
        <f aca="false">Sens!$M$2513-Sens!$M$2517-Sens!$M$2518</f>
        <v>138.34967245895</v>
      </c>
      <c r="N2519" s="13"/>
      <c r="O2519" s="13"/>
    </row>
    <row r="2520" customFormat="false" ht="17.15" hidden="false" customHeight="false" outlineLevel="0" collapsed="false">
      <c r="A2520" s="5" t="s">
        <v>741</v>
      </c>
      <c r="B2520" s="0" t="s">
        <v>73</v>
      </c>
      <c r="C2520" s="38" t="n">
        <f aca="false">dps*Sens!$C$2501</f>
        <v>0</v>
      </c>
      <c r="D2520" s="38" t="n">
        <f aca="false">dps*Sens!$D$2501</f>
        <v>0</v>
      </c>
      <c r="E2520" s="38" t="n">
        <f aca="false">dps*Sens!$E$2501</f>
        <v>0</v>
      </c>
      <c r="F2520" s="38" t="n">
        <f aca="false">0</f>
        <v>0</v>
      </c>
      <c r="G2520" s="38" t="n">
        <f aca="false">dps*Sens!$G$2501</f>
        <v>0</v>
      </c>
      <c r="H2520" s="38" t="n">
        <f aca="false">dps*Sens!$H$2501</f>
        <v>0</v>
      </c>
      <c r="I2520" s="38" t="n">
        <f aca="false">dps*Sens!$I$2501</f>
        <v>0</v>
      </c>
      <c r="J2520" s="38" t="n">
        <f aca="false">dps*Sens!$J$2501</f>
        <v>0</v>
      </c>
      <c r="K2520" s="38" t="n">
        <f aca="false">dps*Sens!$K$2501</f>
        <v>0</v>
      </c>
      <c r="L2520" s="38" t="n">
        <f aca="false">dps*Sens!$L$2501</f>
        <v>0</v>
      </c>
      <c r="M2520" s="38" t="n">
        <f aca="false">dps*Sens!$M$2501</f>
        <v>0</v>
      </c>
      <c r="P2520" s="8" t="s">
        <v>742</v>
      </c>
    </row>
    <row r="2521" customFormat="false" ht="17.15" hidden="false" customHeight="false" outlineLevel="0" collapsed="false">
      <c r="A2521" s="5" t="s">
        <v>743</v>
      </c>
      <c r="B2521" s="0" t="s">
        <v>73</v>
      </c>
      <c r="C2521" s="38" t="n">
        <f aca="false">0</f>
        <v>0</v>
      </c>
      <c r="D2521" s="38" t="n">
        <f aca="false">0</f>
        <v>0</v>
      </c>
      <c r="E2521" s="38" t="n">
        <f aca="false">0</f>
        <v>0</v>
      </c>
      <c r="F2521" s="38" t="n">
        <f aca="false">0</f>
        <v>0</v>
      </c>
      <c r="G2521" s="38" t="n">
        <f aca="false">0</f>
        <v>0</v>
      </c>
      <c r="H2521" s="38" t="n">
        <f aca="false">0</f>
        <v>0</v>
      </c>
      <c r="I2521" s="38" t="n">
        <f aca="false">0</f>
        <v>0</v>
      </c>
      <c r="J2521" s="38" t="n">
        <f aca="false">0</f>
        <v>0</v>
      </c>
      <c r="K2521" s="38" t="n">
        <f aca="false">0</f>
        <v>0</v>
      </c>
      <c r="L2521" s="38" t="n">
        <f aca="false">0</f>
        <v>0</v>
      </c>
      <c r="M2521" s="38" t="n">
        <f aca="false">0</f>
        <v>0</v>
      </c>
      <c r="P2521" s="8" t="s">
        <v>744</v>
      </c>
    </row>
    <row r="2522" customFormat="false" ht="15" hidden="false" customHeight="false" outlineLevel="0" collapsed="false">
      <c r="A2522" s="3" t="s">
        <v>745</v>
      </c>
      <c r="B2522" s="8" t="s">
        <v>73</v>
      </c>
      <c r="C2522" s="38" t="n">
        <f aca="false">Sens!$C$2519-Sens!$C$2520</f>
        <v>36.176</v>
      </c>
      <c r="D2522" s="38" t="n">
        <f aca="false">Sens!$D$2519-Sens!$D$2520</f>
        <v>9.63700000000002</v>
      </c>
      <c r="E2522" s="38" t="n">
        <f aca="false">Sens!$E$2519-Sens!$E$2520</f>
        <v>-25.691</v>
      </c>
      <c r="F2522" s="38" t="n">
        <f aca="false">Sens!$F$2519-Sens!$F$2520</f>
        <v>-35.116494188819</v>
      </c>
      <c r="G2522" s="38" t="n">
        <f aca="false">Sens!$G$2519-Sens!$G$2520</f>
        <v>-60.807494188819</v>
      </c>
      <c r="H2522" s="38" t="n">
        <f aca="false">Sens!$H$2519-Sens!$H$2520</f>
        <v>-38.814218783813</v>
      </c>
      <c r="I2522" s="38" t="n">
        <f aca="false">Sens!$I$2519-Sens!$I$2520</f>
        <v>12.4378674011632</v>
      </c>
      <c r="J2522" s="38" t="n">
        <f aca="false">Sens!$J$2519-Sens!$J$2520</f>
        <v>65.0939964064878</v>
      </c>
      <c r="K2522" s="38" t="n">
        <f aca="false">Sens!$K$2519-Sens!$K$2520</f>
        <v>116.751192655688</v>
      </c>
      <c r="L2522" s="38" t="n">
        <f aca="false">Sens!$L$2519-Sens!$L$2520</f>
        <v>138.239392929178</v>
      </c>
      <c r="M2522" s="38" t="n">
        <f aca="false">Sens!$M$2519-Sens!$M$2520</f>
        <v>138.34967245895</v>
      </c>
    </row>
    <row r="2523" customFormat="false" ht="17.15" hidden="false" customHeight="false" outlineLevel="0" collapsed="false">
      <c r="A2523" s="5" t="s">
        <v>746</v>
      </c>
      <c r="B2523" s="0" t="s">
        <v>73</v>
      </c>
      <c r="E2523" s="38" t="n">
        <f aca="false">Q!$P$53</f>
        <v>39.767</v>
      </c>
      <c r="F2523" s="38" t="n">
        <f aca="false">inv_2h26</f>
        <v>21.3</v>
      </c>
      <c r="G2523" s="38" t="n">
        <f aca="false">Sens!$E$2523+Sens!$F$2523</f>
        <v>61.067</v>
      </c>
      <c r="H2523" s="41" t="n">
        <v>0</v>
      </c>
      <c r="I2523" s="41" t="n">
        <v>0</v>
      </c>
      <c r="J2523" s="41" t="n">
        <v>0</v>
      </c>
      <c r="K2523" s="41" t="n">
        <v>0</v>
      </c>
      <c r="L2523" s="41" t="n">
        <v>0</v>
      </c>
      <c r="M2523" s="41" t="n">
        <v>0</v>
      </c>
    </row>
    <row r="2524" customFormat="false" ht="17.15" hidden="false" customHeight="false" outlineLevel="0" collapsed="false">
      <c r="A2524" s="5" t="s">
        <v>747</v>
      </c>
      <c r="B2524" s="0" t="s">
        <v>73</v>
      </c>
      <c r="F2524" s="38" t="n">
        <f aca="false">iss_2h26</f>
        <v>29.25</v>
      </c>
      <c r="G2524" s="38" t="n">
        <f aca="false">Sens!$F$2524</f>
        <v>29.25</v>
      </c>
      <c r="H2524" s="41" t="n">
        <v>0</v>
      </c>
      <c r="I2524" s="41" t="n">
        <v>0</v>
      </c>
      <c r="J2524" s="41" t="n">
        <v>0</v>
      </c>
      <c r="K2524" s="41" t="n">
        <v>0</v>
      </c>
      <c r="L2524" s="41" t="n">
        <v>0</v>
      </c>
      <c r="M2524" s="41" t="n">
        <v>0</v>
      </c>
    </row>
    <row r="2525" customFormat="false" ht="17.15" hidden="false" customHeight="false" outlineLevel="0" collapsed="false">
      <c r="A2525" s="5" t="s">
        <v>748</v>
      </c>
      <c r="B2525" s="0" t="s">
        <v>73</v>
      </c>
      <c r="F2525" s="38" t="n">
        <f aca="false">cash_q2</f>
        <v>122.988</v>
      </c>
      <c r="G2525" s="38" t="n">
        <f aca="false">cash_q2</f>
        <v>122.988</v>
      </c>
      <c r="H2525" s="38" t="n">
        <f aca="false">Sens!$G$2528</f>
        <v>95.821505811181</v>
      </c>
      <c r="I2525" s="38" t="n">
        <f aca="false">Sens!$H$2528</f>
        <v>57.007287027368</v>
      </c>
      <c r="J2525" s="38" t="n">
        <f aca="false">Sens!$I$2528</f>
        <v>69.4451544285312</v>
      </c>
      <c r="K2525" s="38" t="n">
        <f aca="false">Sens!$J$2528</f>
        <v>134.539150835019</v>
      </c>
      <c r="L2525" s="38" t="n">
        <f aca="false">Sens!$K$2528</f>
        <v>251.290343490706</v>
      </c>
      <c r="M2525" s="38" t="n">
        <f aca="false">Sens!$L$2528</f>
        <v>389.529736419885</v>
      </c>
    </row>
    <row r="2526" customFormat="false" ht="15" hidden="false" customHeight="false" outlineLevel="0" collapsed="false">
      <c r="A2526" s="5" t="s">
        <v>749</v>
      </c>
      <c r="B2526" s="0" t="s">
        <v>73</v>
      </c>
      <c r="F2526" s="38" t="n">
        <f aca="false">Sens!$F$2525+Sens!$F$2522-Sens!$F$2521-Sens!$F$2523+Sens!$F$2524</f>
        <v>95.821505811181</v>
      </c>
      <c r="H2526" s="38" t="n">
        <f aca="false">Sens!$H$2525+Sens!$H$2522-Sens!$H$2521-Sens!$H$2523+Sens!$H$2524</f>
        <v>57.007287027368</v>
      </c>
      <c r="I2526" s="38" t="n">
        <f aca="false">Sens!$I$2525+Sens!$I$2522-Sens!$I$2521-Sens!$I$2523+Sens!$I$2524</f>
        <v>69.4451544285312</v>
      </c>
      <c r="J2526" s="38" t="n">
        <f aca="false">Sens!$J$2525+Sens!$J$2522-Sens!$J$2521-Sens!$J$2523+Sens!$J$2524</f>
        <v>134.539150835019</v>
      </c>
      <c r="K2526" s="38" t="n">
        <f aca="false">Sens!$K$2525+Sens!$K$2522-Sens!$K$2521-Sens!$K$2523+Sens!$K$2524</f>
        <v>251.290343490706</v>
      </c>
      <c r="L2526" s="38" t="n">
        <f aca="false">Sens!$L$2525+Sens!$L$2522-Sens!$L$2521-Sens!$L$2523+Sens!$L$2524</f>
        <v>389.529736419885</v>
      </c>
      <c r="M2526" s="38" t="n">
        <f aca="false">Sens!$M$2525+Sens!$M$2522-Sens!$M$2521-Sens!$M$2523+Sens!$M$2524</f>
        <v>527.879408878834</v>
      </c>
    </row>
    <row r="2527" customFormat="false" ht="17.15" hidden="false" customHeight="false" outlineLevel="0" collapsed="false">
      <c r="A2527" s="5" t="s">
        <v>750</v>
      </c>
      <c r="B2527" s="0" t="s">
        <v>73</v>
      </c>
      <c r="F2527" s="38" t="n">
        <f aca="false">MAX(0,min_cash-Sens!$F$2526)</f>
        <v>0</v>
      </c>
      <c r="G2527" s="38" t="n">
        <f aca="false">Sens!$F$2527</f>
        <v>0</v>
      </c>
      <c r="H2527" s="38" t="n">
        <f aca="false">MAX(0,min_cash-Sens!$H$2526)</f>
        <v>0</v>
      </c>
      <c r="I2527" s="38" t="n">
        <f aca="false">MAX(0,min_cash-Sens!$I$2526)</f>
        <v>0</v>
      </c>
      <c r="J2527" s="38" t="n">
        <f aca="false">MAX(0,min_cash-Sens!$J$2526)</f>
        <v>0</v>
      </c>
      <c r="K2527" s="38" t="n">
        <f aca="false">MAX(0,min_cash-Sens!$K$2526)</f>
        <v>0</v>
      </c>
      <c r="L2527" s="38" t="n">
        <f aca="false">MAX(0,min_cash-Sens!$L$2526)</f>
        <v>0</v>
      </c>
      <c r="M2527" s="38" t="n">
        <f aca="false">MAX(0,min_cash-Sens!$M$2526)</f>
        <v>0</v>
      </c>
      <c r="P2527" s="5" t="s">
        <v>751</v>
      </c>
    </row>
    <row r="2528" customFormat="false" ht="15" hidden="false" customHeight="false" outlineLevel="0" collapsed="false">
      <c r="A2528" s="5" t="s">
        <v>752</v>
      </c>
      <c r="B2528" s="0" t="s">
        <v>73</v>
      </c>
      <c r="D2528" s="38" t="n">
        <f aca="false">Q!$E$61</f>
        <v>123.029</v>
      </c>
      <c r="E2528" s="38" t="n">
        <f aca="false">Q!$M$61</f>
        <v>122.988</v>
      </c>
      <c r="F2528" s="38" t="n">
        <f aca="false">Sens!$F$2526+Sens!$F$2527</f>
        <v>95.821505811181</v>
      </c>
      <c r="G2528" s="38" t="n">
        <f aca="false">Sens!$F$2528</f>
        <v>95.821505811181</v>
      </c>
      <c r="H2528" s="38" t="n">
        <f aca="false">Sens!$H$2526+Sens!$H$2527</f>
        <v>57.007287027368</v>
      </c>
      <c r="I2528" s="38" t="n">
        <f aca="false">Sens!$I$2526+Sens!$I$2527</f>
        <v>69.4451544285312</v>
      </c>
      <c r="J2528" s="38" t="n">
        <f aca="false">Sens!$J$2526+Sens!$J$2527</f>
        <v>134.539150835019</v>
      </c>
      <c r="K2528" s="38" t="n">
        <f aca="false">Sens!$K$2526+Sens!$K$2527</f>
        <v>251.290343490706</v>
      </c>
      <c r="L2528" s="38" t="n">
        <f aca="false">Sens!$L$2526+Sens!$L$2527</f>
        <v>389.529736419885</v>
      </c>
      <c r="M2528" s="38" t="n">
        <f aca="false">Sens!$M$2526+Sens!$M$2527</f>
        <v>527.879408878834</v>
      </c>
    </row>
    <row r="2529" customFormat="false" ht="15" hidden="false" customHeight="false" outlineLevel="0" collapsed="false">
      <c r="A2529" s="5" t="s">
        <v>753</v>
      </c>
      <c r="B2529" s="0" t="s">
        <v>73</v>
      </c>
      <c r="D2529" s="38" t="n">
        <f aca="false">Q!$E$62</f>
        <v>68.836</v>
      </c>
      <c r="E2529" s="38" t="n">
        <f aca="false">Q!$M$62</f>
        <v>132.995</v>
      </c>
      <c r="F2529" s="38" t="n">
        <f aca="false">debt_q2+Sens!$F$2524+Sens!$F$2527</f>
        <v>162.245</v>
      </c>
      <c r="G2529" s="38" t="n">
        <f aca="false">Sens!$F$2529</f>
        <v>162.245</v>
      </c>
      <c r="H2529" s="38" t="n">
        <f aca="false">Sens!$G$2529+Sens!$H$2527</f>
        <v>162.245</v>
      </c>
      <c r="I2529" s="38" t="n">
        <f aca="false">Sens!$H$2529+Sens!$I$2527</f>
        <v>162.245</v>
      </c>
      <c r="J2529" s="38" t="n">
        <f aca="false">Sens!$I$2529+Sens!$J$2527</f>
        <v>162.245</v>
      </c>
      <c r="K2529" s="38" t="n">
        <f aca="false">Sens!$J$2529+Sens!$K$2527</f>
        <v>162.245</v>
      </c>
      <c r="L2529" s="38" t="n">
        <f aca="false">Sens!$K$2529+Sens!$L$2527</f>
        <v>162.245</v>
      </c>
      <c r="M2529" s="38" t="n">
        <f aca="false">Sens!$L$2529+Sens!$M$2527</f>
        <v>162.245</v>
      </c>
    </row>
    <row r="2530" customFormat="false" ht="15" hidden="false" customHeight="false" outlineLevel="0" collapsed="false">
      <c r="A2530" s="5" t="s">
        <v>754</v>
      </c>
      <c r="B2530" s="0" t="s">
        <v>73</v>
      </c>
      <c r="D2530" s="38" t="n">
        <f aca="false">Sens!$D$2529-Sens!$D$2528</f>
        <v>-54.193</v>
      </c>
      <c r="E2530" s="38" t="n">
        <f aca="false">Sens!$E$2529-Sens!$E$2528</f>
        <v>10.007</v>
      </c>
      <c r="F2530" s="38" t="n">
        <f aca="false">Sens!$F$2529-Sens!$F$2528</f>
        <v>66.423494188819</v>
      </c>
      <c r="G2530" s="38" t="n">
        <f aca="false">Sens!$G$2529-Sens!$G$2528</f>
        <v>66.423494188819</v>
      </c>
      <c r="H2530" s="38" t="n">
        <f aca="false">Sens!$H$2529-Sens!$H$2528</f>
        <v>105.237712972632</v>
      </c>
      <c r="I2530" s="38" t="n">
        <f aca="false">Sens!$I$2529-Sens!$I$2528</f>
        <v>92.7998455714689</v>
      </c>
      <c r="J2530" s="38" t="n">
        <f aca="false">Sens!$J$2529-Sens!$J$2528</f>
        <v>27.7058491649811</v>
      </c>
      <c r="K2530" s="38" t="n">
        <f aca="false">Sens!$K$2529-Sens!$K$2528</f>
        <v>-89.0453434907065</v>
      </c>
      <c r="L2530" s="38" t="n">
        <f aca="false">Sens!$L$2529-Sens!$L$2528</f>
        <v>-227.284736419885</v>
      </c>
      <c r="M2530" s="38" t="n">
        <f aca="false">Sens!$M$2529-Sens!$M$2528</f>
        <v>-365.634408878834</v>
      </c>
    </row>
    <row r="2531" customFormat="false" ht="17.15" hidden="false" customHeight="false" outlineLevel="0" collapsed="false">
      <c r="A2531" s="5" t="s">
        <v>755</v>
      </c>
      <c r="B2531" s="0" t="s">
        <v>73</v>
      </c>
      <c r="F2531" s="38" t="n">
        <f aca="false">debt_q2*kd_book*0.5+iss_2h26*kd_new*0.25</f>
        <v>3.24888964316061</v>
      </c>
      <c r="H2531" s="38" t="n">
        <f aca="false">debt_q2*kd_book+(Sens!$G$2529-debt_q2)*kd_new</f>
        <v>7.42354178632123</v>
      </c>
      <c r="I2531" s="38" t="n">
        <f aca="false">debt_q2*kd_book+(Sens!$H$2529-debt_q2)*kd_new</f>
        <v>7.42354178632123</v>
      </c>
      <c r="J2531" s="38" t="n">
        <f aca="false">debt_q2*kd_book+(Sens!$I$2529-debt_q2)*kd_new</f>
        <v>7.42354178632123</v>
      </c>
      <c r="K2531" s="38" t="n">
        <f aca="false">debt_q2*kd_book+(Sens!$J$2529-debt_q2)*kd_new</f>
        <v>7.42354178632123</v>
      </c>
      <c r="L2531" s="38" t="n">
        <f aca="false">debt_q2*kd_book+(Sens!$K$2529-debt_q2)*kd_new</f>
        <v>7.42354178632123</v>
      </c>
      <c r="M2531" s="38" t="n">
        <f aca="false">debt_q2*kd_book+(Sens!$L$2529-debt_q2)*kd_new</f>
        <v>7.42354178632123</v>
      </c>
    </row>
    <row r="2532" customFormat="false" ht="17.15" hidden="false" customHeight="false" outlineLevel="0" collapsed="false">
      <c r="A2532" s="5" t="s">
        <v>756</v>
      </c>
      <c r="B2532" s="0" t="s">
        <v>73</v>
      </c>
      <c r="F2532" s="38" t="n">
        <f aca="false">cash_q2*y_cash*0.5</f>
        <v>2.59</v>
      </c>
      <c r="H2532" s="38" t="n">
        <f aca="false">Sens!$G$2528*y_cash</f>
        <v>4.03580349385239</v>
      </c>
      <c r="I2532" s="38" t="n">
        <f aca="false">Sens!$H$2528*y_cash</f>
        <v>2.40102893617073</v>
      </c>
      <c r="J2532" s="38" t="n">
        <f aca="false">Sens!$I$2528*y_cash</f>
        <v>2.92488616726666</v>
      </c>
      <c r="K2532" s="38" t="n">
        <f aca="false">Sens!$J$2528*y_cash</f>
        <v>5.66651056465182</v>
      </c>
      <c r="L2532" s="38" t="n">
        <f aca="false">Sens!$K$2528*y_cash</f>
        <v>10.5838291482247</v>
      </c>
      <c r="M2532" s="38" t="n">
        <f aca="false">Sens!$L$2528*y_cash</f>
        <v>16.4061862511383</v>
      </c>
    </row>
    <row r="2533" customFormat="false" ht="17.15" hidden="false" customHeight="false" outlineLevel="0" collapsed="false">
      <c r="A2533" s="46" t="s">
        <v>757</v>
      </c>
      <c r="B2533" s="13" t="s">
        <v>73</v>
      </c>
      <c r="C2533" s="13"/>
      <c r="D2533" s="13"/>
      <c r="E2533" s="13"/>
      <c r="F2533" s="13"/>
      <c r="G2533" s="47" t="n">
        <f aca="false">SUM(Sens!$G$2522:$K$2522)</f>
        <v>94.6613434907065</v>
      </c>
      <c r="H2533" s="13"/>
      <c r="I2533" s="13"/>
      <c r="J2533" s="13"/>
      <c r="K2533" s="13"/>
      <c r="L2533" s="13"/>
      <c r="M2533" s="13"/>
      <c r="N2533" s="13"/>
      <c r="O2533" s="13"/>
    </row>
    <row r="2534" customFormat="false" ht="17.15" hidden="false" customHeight="false" outlineLevel="0" collapsed="false">
      <c r="A2534" s="0" t="s">
        <v>724</v>
      </c>
      <c r="B2534" s="0" t="s">
        <v>73</v>
      </c>
      <c r="G2534" s="38" t="n">
        <f aca="false">SUM(Sens!$G$2527:$K$2527)</f>
        <v>0</v>
      </c>
    </row>
    <row r="2537" customFormat="false" ht="19.4" hidden="false" customHeight="false" outlineLevel="0" collapsed="false">
      <c r="A2537" s="31" t="s">
        <v>1099</v>
      </c>
    </row>
    <row r="2538" customFormat="false" ht="17.15" hidden="false" customHeight="false" outlineLevel="0" collapsed="false">
      <c r="A2538" s="6" t="s">
        <v>16</v>
      </c>
      <c r="B2538" s="6" t="s">
        <v>17</v>
      </c>
      <c r="C2538" s="20" t="s">
        <v>457</v>
      </c>
      <c r="D2538" s="20" t="s">
        <v>458</v>
      </c>
      <c r="E2538" s="20" t="s">
        <v>540</v>
      </c>
      <c r="F2538" s="20" t="s">
        <v>541</v>
      </c>
      <c r="G2538" s="20" t="s">
        <v>542</v>
      </c>
      <c r="H2538" s="20" t="s">
        <v>543</v>
      </c>
      <c r="I2538" s="20" t="s">
        <v>544</v>
      </c>
      <c r="J2538" s="20" t="s">
        <v>545</v>
      </c>
      <c r="K2538" s="20" t="s">
        <v>546</v>
      </c>
      <c r="L2538" s="20" t="s">
        <v>547</v>
      </c>
      <c r="M2538" s="20" t="s">
        <v>548</v>
      </c>
      <c r="N2538" s="20" t="s">
        <v>549</v>
      </c>
      <c r="O2538" s="20" t="s">
        <v>550</v>
      </c>
      <c r="P2538" s="6" t="s">
        <v>23</v>
      </c>
      <c r="R2538" s="20" t="n">
        <v>2023</v>
      </c>
      <c r="S2538" s="20" t="n">
        <v>2024</v>
      </c>
      <c r="T2538" s="20" t="n">
        <v>2025</v>
      </c>
      <c r="U2538" s="20" t="n">
        <v>2026</v>
      </c>
      <c r="V2538" s="20" t="n">
        <v>2027</v>
      </c>
      <c r="W2538" s="20" t="n">
        <v>2028</v>
      </c>
      <c r="X2538" s="20" t="n">
        <v>2029</v>
      </c>
      <c r="Y2538" s="20" t="n">
        <v>2030</v>
      </c>
      <c r="Z2538" s="20" t="n">
        <v>2031</v>
      </c>
      <c r="AA2538" s="20" t="n">
        <v>2032</v>
      </c>
    </row>
    <row r="2539" customFormat="false" ht="17.15" hidden="false" customHeight="false" outlineLevel="0" collapsed="false">
      <c r="A2539" s="1" t="s">
        <v>852</v>
      </c>
    </row>
    <row r="2540" customFormat="false" ht="17.15" hidden="false" customHeight="false" outlineLevel="0" collapsed="false">
      <c r="A2540" s="0" t="s">
        <v>853</v>
      </c>
      <c r="B2540" s="0" t="s">
        <v>73</v>
      </c>
      <c r="H2540" s="38" t="n">
        <f aca="false">Sens!$H$2476*(1-tax)</f>
        <v>119.956849056494</v>
      </c>
      <c r="I2540" s="38" t="n">
        <f aca="false">Sens!$I$2476*(1-tax)</f>
        <v>148.870465874147</v>
      </c>
      <c r="J2540" s="38" t="n">
        <f aca="false">Sens!$J$2476*(1-tax)</f>
        <v>175.56782290695</v>
      </c>
      <c r="K2540" s="38" t="n">
        <f aca="false">Sens!$K$2476*(1-tax)</f>
        <v>198.769127688433</v>
      </c>
      <c r="L2540" s="38" t="n">
        <f aca="false">Sens!$L$2476*(1-tax)</f>
        <v>223.414536908003</v>
      </c>
      <c r="M2540" s="38" t="n">
        <f aca="false">Sens!$M$2476*(1-tax)</f>
        <v>248.625897415112</v>
      </c>
    </row>
    <row r="2541" customFormat="false" ht="15" hidden="false" customHeight="false" outlineLevel="0" collapsed="false">
      <c r="A2541" s="5" t="s">
        <v>854</v>
      </c>
      <c r="B2541" s="0" t="s">
        <v>73</v>
      </c>
      <c r="H2541" s="38" t="n">
        <f aca="false">Sens!$H$2488</f>
        <v>87.6845218193838</v>
      </c>
      <c r="I2541" s="38" t="n">
        <f aca="false">Sens!$I$2488</f>
        <v>122.294769708638</v>
      </c>
      <c r="J2541" s="38" t="n">
        <f aca="false">Sens!$J$2488</f>
        <v>157.133962573221</v>
      </c>
      <c r="K2541" s="38" t="n">
        <f aca="false">Sens!$K$2488</f>
        <v>191.350633353599</v>
      </c>
      <c r="L2541" s="38" t="n">
        <f aca="false">Sens!$L$2488</f>
        <v>223.909238335354</v>
      </c>
      <c r="M2541" s="38" t="n">
        <f aca="false">Sens!$M$2488</f>
        <v>257.576319867276</v>
      </c>
    </row>
    <row r="2542" customFormat="false" ht="15" hidden="false" customHeight="false" outlineLevel="0" collapsed="false">
      <c r="A2542" s="5" t="s">
        <v>855</v>
      </c>
      <c r="B2542" s="0" t="s">
        <v>73</v>
      </c>
      <c r="H2542" s="38" t="n">
        <f aca="false">Sens!$H$2517</f>
        <v>277.870120501355</v>
      </c>
      <c r="I2542" s="38" t="n">
        <f aca="false">Sens!$I$2517</f>
        <v>293.934464585378</v>
      </c>
      <c r="J2542" s="38" t="n">
        <f aca="false">Sens!$J$2517</f>
        <v>308.06904811359</v>
      </c>
      <c r="K2542" s="38" t="n">
        <f aca="false">Sens!$K$2517</f>
        <v>320.385735318248</v>
      </c>
      <c r="L2542" s="38" t="n">
        <f aca="false">Sens!$L$2517</f>
        <v>364.65641921833</v>
      </c>
      <c r="M2542" s="38" t="n">
        <f aca="false">Sens!$M$2517</f>
        <v>432.943173024858</v>
      </c>
    </row>
    <row r="2543" customFormat="false" ht="15" hidden="false" customHeight="false" outlineLevel="0" collapsed="false">
      <c r="A2543" s="5" t="s">
        <v>856</v>
      </c>
      <c r="B2543" s="0" t="s">
        <v>73</v>
      </c>
      <c r="H2543" s="38" t="n">
        <f aca="false">Sens!$H$2518</f>
        <v>1.6</v>
      </c>
      <c r="I2543" s="38" t="n">
        <f aca="false">Sens!$I$2518</f>
        <v>1.6</v>
      </c>
      <c r="J2543" s="38" t="n">
        <f aca="false">Sens!$J$2518</f>
        <v>1.6</v>
      </c>
      <c r="K2543" s="38" t="n">
        <f aca="false">Sens!$K$2518</f>
        <v>1.6</v>
      </c>
      <c r="L2543" s="38" t="n">
        <f aca="false">Sens!$L$2518</f>
        <v>1.6</v>
      </c>
      <c r="M2543" s="38" t="n">
        <f aca="false">Sens!$M$2518</f>
        <v>1.6</v>
      </c>
    </row>
    <row r="2544" customFormat="false" ht="15" hidden="false" customHeight="false" outlineLevel="0" collapsed="false">
      <c r="A2544" s="5" t="s">
        <v>857</v>
      </c>
      <c r="B2544" s="0" t="s">
        <v>73</v>
      </c>
      <c r="H2544" s="38" t="n">
        <f aca="false">Sens!$H$2512</f>
        <v>11.6369707537667</v>
      </c>
      <c r="I2544" s="38" t="n">
        <f aca="false">Sens!$I$2512</f>
        <v>13.3082502961262</v>
      </c>
      <c r="J2544" s="38" t="n">
        <f aca="false">Sens!$J$2512</f>
        <v>14.8747965344332</v>
      </c>
      <c r="K2544" s="38" t="n">
        <f aca="false">Sens!$K$2512</f>
        <v>16.2687901804328</v>
      </c>
      <c r="L2544" s="38" t="n">
        <f aca="false">Sens!$L$2512</f>
        <v>17.7280727627002</v>
      </c>
      <c r="M2544" s="38" t="n">
        <f aca="false">Sens!$M$2512</f>
        <v>19.2574690270319</v>
      </c>
    </row>
    <row r="2545" customFormat="false" ht="17.15" hidden="false" customHeight="false" outlineLevel="0" collapsed="false">
      <c r="A2545" s="1" t="s">
        <v>858</v>
      </c>
      <c r="B2545" s="8" t="s">
        <v>73</v>
      </c>
      <c r="H2545" s="38" t="n">
        <f aca="false">Sens!$H$2540+Sens!$H$2541-Sens!$H$2542-Sens!$H$2543+Sens!$H$2544</f>
        <v>-60.1917788717111</v>
      </c>
      <c r="I2545" s="38" t="n">
        <f aca="false">Sens!$I$2540+Sens!$I$2541-Sens!$I$2542-Sens!$I$2543+Sens!$I$2544</f>
        <v>-11.0609787064674</v>
      </c>
      <c r="J2545" s="38" t="n">
        <f aca="false">Sens!$J$2540+Sens!$J$2541-Sens!$J$2542-Sens!$J$2543+Sens!$J$2544</f>
        <v>37.9075339010145</v>
      </c>
      <c r="K2545" s="38" t="n">
        <f aca="false">Sens!$K$2540+Sens!$K$2541-Sens!$K$2542-Sens!$K$2543+Sens!$K$2544</f>
        <v>84.4028159042172</v>
      </c>
      <c r="L2545" s="38" t="n">
        <f aca="false">Sens!$L$2540+Sens!$L$2541-Sens!$L$2542-Sens!$L$2543+Sens!$L$2544</f>
        <v>98.7954287877275</v>
      </c>
      <c r="M2545" s="38" t="n">
        <f aca="false">Sens!$M$2540+Sens!$M$2541-Sens!$M$2542-Sens!$M$2543+Sens!$M$2544</f>
        <v>90.9165132845615</v>
      </c>
    </row>
    <row r="2546" customFormat="false" ht="15" hidden="false" customHeight="false" outlineLevel="0" collapsed="false">
      <c r="A2546" s="5" t="s">
        <v>859</v>
      </c>
      <c r="B2546" s="0" t="s">
        <v>57</v>
      </c>
      <c r="H2546" s="51" t="n">
        <f aca="false">1/(1+wacc)^(2027-2026-0.5)</f>
        <v>0.942858177653364</v>
      </c>
      <c r="I2546" s="51" t="n">
        <f aca="false">1/(1+wacc)^(2028-2026-0.5)</f>
        <v>0.838183517758688</v>
      </c>
      <c r="J2546" s="51" t="n">
        <f aca="false">1/(1+wacc)^(2029-2026-0.5)</f>
        <v>0.745129677074952</v>
      </c>
      <c r="K2546" s="51" t="n">
        <f aca="false">1/(1+wacc)^(2030-2026-0.5)</f>
        <v>0.662406530186232</v>
      </c>
      <c r="L2546" s="51" t="n">
        <f aca="false">1/(1+wacc)^(2031-2026-0.5)</f>
        <v>0.588867179409399</v>
      </c>
      <c r="M2546" s="51" t="n">
        <f aca="false">1/(1+wacc)^(2032-2026-0.5)</f>
        <v>0.52349205387225</v>
      </c>
    </row>
    <row r="2547" customFormat="false" ht="15" hidden="false" customHeight="false" outlineLevel="0" collapsed="false">
      <c r="A2547" s="5" t="s">
        <v>860</v>
      </c>
      <c r="B2547" s="0" t="s">
        <v>73</v>
      </c>
      <c r="H2547" s="38" t="n">
        <f aca="false">Sens!$H$2545*Sens!$H$2546</f>
        <v>-56.7523109366957</v>
      </c>
      <c r="I2547" s="38" t="n">
        <f aca="false">Sens!$I$2545*Sens!$I$2546</f>
        <v>-9.2711300420408</v>
      </c>
      <c r="J2547" s="38" t="n">
        <f aca="false">Sens!$J$2545*Sens!$J$2546</f>
        <v>28.2460284943707</v>
      </c>
      <c r="K2547" s="38" t="n">
        <f aca="false">Sens!$K$2545*Sens!$K$2546</f>
        <v>55.9089764210598</v>
      </c>
      <c r="L2547" s="38" t="n">
        <f aca="false">Sens!$L$2545*Sens!$L$2546</f>
        <v>58.1773854887713</v>
      </c>
      <c r="M2547" s="38" t="n">
        <f aca="false">Sens!$M$2545*Sens!$M$2546</f>
        <v>47.5940722702389</v>
      </c>
    </row>
    <row r="2548" customFormat="false" ht="15" hidden="false" customHeight="false" outlineLevel="0" collapsed="false">
      <c r="A2548" s="5" t="s">
        <v>861</v>
      </c>
      <c r="B2548" s="0" t="s">
        <v>73</v>
      </c>
      <c r="C2548" s="38" t="n">
        <f aca="false">SUM(Sens!$H$2547:$M$2547)</f>
        <v>123.903021695704</v>
      </c>
    </row>
    <row r="2549" customFormat="false" ht="17.15" hidden="false" customHeight="false" outlineLevel="0" collapsed="false">
      <c r="A2549" s="5" t="s">
        <v>862</v>
      </c>
      <c r="B2549" s="0" t="s">
        <v>73</v>
      </c>
      <c r="C2549" s="38" t="n">
        <f aca="false">Sens!$M$2540*(1+tg)*(1-tg/ronic)/(wacc-tg)</f>
        <v>2050.60091330916</v>
      </c>
    </row>
    <row r="2550" customFormat="false" ht="15" hidden="false" customHeight="false" outlineLevel="0" collapsed="false">
      <c r="A2550" s="5" t="s">
        <v>863</v>
      </c>
      <c r="B2550" s="0" t="s">
        <v>73</v>
      </c>
      <c r="C2550" s="38" t="n">
        <f aca="false">Sens!$C$2549/(1+wacc)^6</f>
        <v>1012.13306410488</v>
      </c>
    </row>
    <row r="2551" customFormat="false" ht="17.15" hidden="false" customHeight="false" outlineLevel="0" collapsed="false">
      <c r="A2551" s="5" t="s">
        <v>864</v>
      </c>
      <c r="B2551" s="0" t="s">
        <v>73</v>
      </c>
      <c r="C2551" s="38" t="n">
        <f aca="false">Sens!$C$2548+Sens!$C$2550</f>
        <v>1136.03608580058</v>
      </c>
    </row>
    <row r="2552" customFormat="false" ht="17.15" hidden="false" customHeight="false" outlineLevel="0" collapsed="false">
      <c r="A2552" s="5" t="s">
        <v>865</v>
      </c>
      <c r="B2552" s="0" t="s">
        <v>52</v>
      </c>
      <c r="C2552" s="12" t="n">
        <f aca="false">Sens!$C$2550/Sens!$C$2551</f>
        <v>0.890933903205735</v>
      </c>
    </row>
    <row r="2553" customFormat="false" ht="17.15" hidden="false" customHeight="false" outlineLevel="0" collapsed="false">
      <c r="A2553" s="5" t="s">
        <v>866</v>
      </c>
      <c r="B2553" s="0" t="s">
        <v>73</v>
      </c>
      <c r="C2553" s="38" t="n">
        <f aca="false">Sens!$G$2530</f>
        <v>66.423494188819</v>
      </c>
    </row>
    <row r="2554" customFormat="false" ht="17.15" hidden="false" customHeight="false" outlineLevel="0" collapsed="false">
      <c r="A2554" s="5" t="s">
        <v>867</v>
      </c>
      <c r="B2554" s="0" t="s">
        <v>73</v>
      </c>
      <c r="C2554" s="38" t="n">
        <f aca="false">(ant_val*ant_sh+oai_val*oai_sh)*(1-liq_disc)</f>
        <v>178.944</v>
      </c>
    </row>
    <row r="2555" customFormat="false" ht="15" hidden="false" customHeight="false" outlineLevel="0" collapsed="false">
      <c r="A2555" s="5" t="s">
        <v>868</v>
      </c>
      <c r="B2555" s="0" t="s">
        <v>73</v>
      </c>
      <c r="C2555" s="38" t="n">
        <f aca="false">Sens!$C$2551-Sens!$C$2553+Sens!$C$2554</f>
        <v>1248.55659161176</v>
      </c>
    </row>
    <row r="2556" customFormat="false" ht="17.15" hidden="false" customHeight="false" outlineLevel="0" collapsed="false">
      <c r="A2556" s="5" t="s">
        <v>869</v>
      </c>
      <c r="B2556" s="0" t="s">
        <v>27</v>
      </c>
      <c r="C2556" s="30" t="n">
        <f aca="false">Sens!$C$2555/sh_val</f>
        <v>113.193204800132</v>
      </c>
    </row>
    <row r="2557" customFormat="false" ht="17.15" hidden="false" customHeight="false" outlineLevel="0" collapsed="false">
      <c r="A2557" s="1" t="s">
        <v>870</v>
      </c>
      <c r="B2557" s="8" t="s">
        <v>27</v>
      </c>
      <c r="C2557" s="30" t="n">
        <f aca="false">Sens!$C$2556*(1+ke)^tp_yf</f>
        <v>125.015660067822</v>
      </c>
    </row>
    <row r="2558" customFormat="false" ht="17.15" hidden="false" customHeight="false" outlineLevel="0" collapsed="false">
      <c r="A2558" s="3" t="s">
        <v>871</v>
      </c>
    </row>
    <row r="2559" customFormat="false" ht="17.15" hidden="false" customHeight="false" outlineLevel="0" collapsed="false">
      <c r="A2559" s="5" t="s">
        <v>872</v>
      </c>
      <c r="B2559" s="0" t="s">
        <v>73</v>
      </c>
      <c r="C2559" s="38" t="n">
        <f aca="false">0.25*Sens!$H$2489+0.75*Sens!$I$2489</f>
        <v>57.5541093268329</v>
      </c>
    </row>
    <row r="2560" customFormat="false" ht="15" hidden="false" customHeight="false" outlineLevel="0" collapsed="false">
      <c r="A2560" s="5" t="s">
        <v>873</v>
      </c>
      <c r="B2560" s="0" t="s">
        <v>57</v>
      </c>
      <c r="C2560" s="30" t="n">
        <f aca="false">m_ads*m_x</f>
        <v>9.11</v>
      </c>
    </row>
    <row r="2561" customFormat="false" ht="17.15" hidden="false" customHeight="false" outlineLevel="0" collapsed="false">
      <c r="A2561" s="5" t="s">
        <v>874</v>
      </c>
      <c r="B2561" s="0" t="s">
        <v>73</v>
      </c>
      <c r="C2561" s="38" t="n">
        <f aca="false">Sens!$C$2559*Sens!$C$2560</f>
        <v>524.317935967448</v>
      </c>
    </row>
    <row r="2562" customFormat="false" ht="17.15" hidden="false" customHeight="false" outlineLevel="0" collapsed="false">
      <c r="A2562" s="5" t="s">
        <v>875</v>
      </c>
      <c r="B2562" s="0" t="s">
        <v>73</v>
      </c>
      <c r="C2562" s="38" t="n">
        <f aca="false">0.25*Sens!$H$2490+0.75*Sens!$I$2490</f>
        <v>47.6112130256605</v>
      </c>
    </row>
    <row r="2563" customFormat="false" ht="15" hidden="false" customHeight="false" outlineLevel="0" collapsed="false">
      <c r="A2563" s="5" t="s">
        <v>876</v>
      </c>
      <c r="B2563" s="0" t="s">
        <v>57</v>
      </c>
      <c r="C2563" s="30" t="n">
        <f aca="false">m_retail*m_x</f>
        <v>17.72</v>
      </c>
    </row>
    <row r="2564" customFormat="false" ht="17.15" hidden="false" customHeight="false" outlineLevel="0" collapsed="false">
      <c r="A2564" s="5" t="s">
        <v>877</v>
      </c>
      <c r="B2564" s="0" t="s">
        <v>73</v>
      </c>
      <c r="C2564" s="38" t="n">
        <f aca="false">Sens!$C$2562*Sens!$C$2563</f>
        <v>843.670694814704</v>
      </c>
    </row>
    <row r="2565" customFormat="false" ht="17.15" hidden="false" customHeight="false" outlineLevel="0" collapsed="false">
      <c r="A2565" s="0" t="s">
        <v>878</v>
      </c>
      <c r="B2565" s="0" t="s">
        <v>73</v>
      </c>
      <c r="C2565" s="38" t="n">
        <f aca="false">0.25*Sens!$H$2491+0.75*Sens!$I$2491</f>
        <v>107.575398943098</v>
      </c>
    </row>
    <row r="2566" customFormat="false" ht="17.15" hidden="false" customHeight="false" outlineLevel="0" collapsed="false">
      <c r="A2566" s="0" t="s">
        <v>879</v>
      </c>
      <c r="B2566" s="0" t="s">
        <v>57</v>
      </c>
      <c r="C2566" s="30" t="n">
        <f aca="false">m_cloud*m_x</f>
        <v>13.82</v>
      </c>
    </row>
    <row r="2567" customFormat="false" ht="17.15" hidden="false" customHeight="false" outlineLevel="0" collapsed="false">
      <c r="A2567" s="0" t="s">
        <v>880</v>
      </c>
      <c r="B2567" s="0" t="s">
        <v>73</v>
      </c>
      <c r="C2567" s="38" t="n">
        <f aca="false">Sens!$C$2565*Sens!$C$2566</f>
        <v>1486.69201339361</v>
      </c>
    </row>
    <row r="2568" customFormat="false" ht="17.15" hidden="false" customHeight="false" outlineLevel="0" collapsed="false">
      <c r="A2568" s="0" t="s">
        <v>881</v>
      </c>
      <c r="B2568" s="0" t="s">
        <v>73</v>
      </c>
      <c r="C2568" s="38" t="n">
        <f aca="false">0.25*Sens!$H$2492+0.75*Sens!$I$2492</f>
        <v>72.2947701247864</v>
      </c>
    </row>
    <row r="2569" customFormat="false" ht="17.15" hidden="false" customHeight="false" outlineLevel="0" collapsed="false">
      <c r="A2569" s="0" t="s">
        <v>882</v>
      </c>
      <c r="B2569" s="0" t="s">
        <v>57</v>
      </c>
      <c r="C2569" s="30" t="n">
        <f aca="false">m_ai</f>
        <v>6</v>
      </c>
    </row>
    <row r="2570" customFormat="false" ht="17.15" hidden="false" customHeight="false" outlineLevel="0" collapsed="false">
      <c r="A2570" s="0" t="s">
        <v>883</v>
      </c>
      <c r="B2570" s="0" t="s">
        <v>73</v>
      </c>
      <c r="C2570" s="38" t="n">
        <f aca="false">Sens!$C$2568*Sens!$C$2569</f>
        <v>433.768620748718</v>
      </c>
    </row>
    <row r="2571" customFormat="false" ht="17.15" hidden="false" customHeight="false" outlineLevel="0" collapsed="false">
      <c r="A2571" s="5" t="s">
        <v>884</v>
      </c>
      <c r="B2571" s="0" t="s">
        <v>73</v>
      </c>
      <c r="C2571" s="38" t="n">
        <f aca="false">Sens!$C$2561+Sens!$C$2564+Sens!$C$2567+Sens!$C$2570</f>
        <v>3288.44926492448</v>
      </c>
    </row>
    <row r="2572" customFormat="false" ht="17.15" hidden="false" customHeight="false" outlineLevel="0" collapsed="false">
      <c r="A2572" s="5" t="s">
        <v>885</v>
      </c>
      <c r="B2572" s="0" t="s">
        <v>73</v>
      </c>
      <c r="C2572" s="38" t="n">
        <f aca="false">Sens!$H$2530</f>
        <v>105.237712972632</v>
      </c>
    </row>
    <row r="2573" customFormat="false" ht="15" hidden="false" customHeight="false" outlineLevel="0" collapsed="false">
      <c r="A2573" s="5" t="s">
        <v>886</v>
      </c>
      <c r="B2573" s="0" t="s">
        <v>73</v>
      </c>
      <c r="C2573" s="38" t="n">
        <f aca="false">Sens!$C$2571-Sens!$C$2572+Sens!$C$2554</f>
        <v>3362.15555195185</v>
      </c>
    </row>
    <row r="2574" customFormat="false" ht="15" hidden="false" customHeight="false" outlineLevel="0" collapsed="false">
      <c r="A2574" s="3" t="s">
        <v>887</v>
      </c>
      <c r="B2574" s="8" t="s">
        <v>27</v>
      </c>
      <c r="C2574" s="30" t="n">
        <f aca="false">Sens!$C$2573/sh_val</f>
        <v>304.810502398377</v>
      </c>
    </row>
    <row r="2575" customFormat="false" ht="17.15" hidden="false" customHeight="false" outlineLevel="0" collapsed="false">
      <c r="A2575" s="46" t="s">
        <v>888</v>
      </c>
      <c r="B2575" s="13" t="s">
        <v>27</v>
      </c>
      <c r="C2575" s="43" t="n">
        <f aca="false">w_dcf*Sens!$C$2557+(1-w_dcf)*Sens!$C$2574</f>
        <v>214.913081233099</v>
      </c>
      <c r="D2575" s="13"/>
      <c r="E2575" s="13"/>
      <c r="F2575" s="13"/>
      <c r="G2575" s="13"/>
      <c r="H2575" s="13"/>
      <c r="I2575" s="13"/>
      <c r="J2575" s="13"/>
      <c r="K2575" s="13"/>
      <c r="L2575" s="13"/>
      <c r="M2575" s="13"/>
      <c r="N2575" s="13"/>
      <c r="O2575" s="13"/>
    </row>
    <row r="2576" customFormat="false" ht="17.15" hidden="false" customHeight="false" outlineLevel="0" collapsed="false">
      <c r="A2576" s="5" t="s">
        <v>889</v>
      </c>
      <c r="B2576" s="0" t="s">
        <v>27</v>
      </c>
      <c r="C2576" s="30" t="n">
        <f aca="false">0.45*Sens!$C$2557+0.55*Sens!$C$2574</f>
        <v>223.902823349627</v>
      </c>
    </row>
    <row r="2579" customFormat="false" ht="19.4" hidden="false" customHeight="false" outlineLevel="0" collapsed="false">
      <c r="A2579" s="31" t="s">
        <v>1100</v>
      </c>
    </row>
    <row r="2580" customFormat="false" ht="17.15" hidden="false" customHeight="false" outlineLevel="0" collapsed="false">
      <c r="A2580" s="6" t="s">
        <v>16</v>
      </c>
      <c r="B2580" s="6" t="s">
        <v>17</v>
      </c>
      <c r="C2580" s="20" t="s">
        <v>457</v>
      </c>
      <c r="D2580" s="20" t="s">
        <v>458</v>
      </c>
      <c r="E2580" s="20" t="s">
        <v>540</v>
      </c>
      <c r="F2580" s="20" t="s">
        <v>541</v>
      </c>
      <c r="G2580" s="20" t="s">
        <v>542</v>
      </c>
      <c r="H2580" s="20" t="s">
        <v>543</v>
      </c>
      <c r="I2580" s="20" t="s">
        <v>544</v>
      </c>
      <c r="J2580" s="20" t="s">
        <v>545</v>
      </c>
      <c r="K2580" s="20" t="s">
        <v>546</v>
      </c>
      <c r="L2580" s="20" t="s">
        <v>547</v>
      </c>
      <c r="M2580" s="20" t="s">
        <v>548</v>
      </c>
      <c r="N2580" s="20" t="s">
        <v>549</v>
      </c>
      <c r="O2580" s="20" t="s">
        <v>550</v>
      </c>
      <c r="P2580" s="6" t="s">
        <v>23</v>
      </c>
      <c r="R2580" s="20" t="n">
        <v>2023</v>
      </c>
      <c r="S2580" s="20" t="n">
        <v>2024</v>
      </c>
      <c r="T2580" s="20" t="n">
        <v>2025</v>
      </c>
      <c r="U2580" s="20" t="n">
        <v>2026</v>
      </c>
      <c r="V2580" s="20" t="n">
        <v>2027</v>
      </c>
      <c r="W2580" s="20" t="n">
        <v>2028</v>
      </c>
      <c r="X2580" s="20" t="n">
        <v>2029</v>
      </c>
      <c r="Y2580" s="20" t="n">
        <v>2030</v>
      </c>
      <c r="Z2580" s="20" t="n">
        <v>2031</v>
      </c>
      <c r="AA2580" s="20" t="n">
        <v>2032</v>
      </c>
    </row>
    <row r="2581" customFormat="false" ht="17.15" hidden="false" customHeight="false" outlineLevel="0" collapsed="false">
      <c r="A2581" s="1" t="s">
        <v>621</v>
      </c>
    </row>
    <row r="2582" customFormat="false" ht="17.15" hidden="false" customHeight="false" outlineLevel="0" collapsed="false">
      <c r="A2582" s="0" t="s">
        <v>479</v>
      </c>
      <c r="B2582" s="0" t="s">
        <v>73</v>
      </c>
      <c r="C2582" s="38" t="n">
        <f aca="false">Q!$D$10</f>
        <v>247.029</v>
      </c>
      <c r="D2582" s="38" t="n">
        <f aca="false">Q!$E$10</f>
        <v>269.287</v>
      </c>
      <c r="E2582" s="38" t="n">
        <f aca="false">Q!$P$10</f>
        <v>134.686</v>
      </c>
      <c r="F2582" s="38" t="n">
        <f aca="false">Sens!$O$2582*(1+Sens!$F$2583)-pd_amt*Q!$O$10/(Q!$O$10+Q!$O$12)</f>
        <v>160.728085930082</v>
      </c>
      <c r="G2582" s="38" t="n">
        <f aca="false">Sens!$E$2582+Sens!$F$2582</f>
        <v>295.414085930082</v>
      </c>
      <c r="H2582" s="38" t="n">
        <f aca="false">Sens!$G$2582*(1+Sens!$H$2583)</f>
        <v>320.828163943375</v>
      </c>
      <c r="I2582" s="38" t="n">
        <f aca="false">Sens!$H$2582*(1+Sens!$I$2583)</f>
        <v>344.575578072228</v>
      </c>
      <c r="J2582" s="38" t="n">
        <f aca="false">Sens!$I$2582*(1+Sens!$J$2583)</f>
        <v>365.942555779681</v>
      </c>
      <c r="K2582" s="38" t="n">
        <f aca="false">Sens!$J$2582*(1+Sens!$K$2583)</f>
        <v>384.239683568665</v>
      </c>
      <c r="L2582" s="38" t="n">
        <f aca="false">Sens!$K$2582*(1+Sens!$L$2583)</f>
        <v>403.451667747098</v>
      </c>
      <c r="M2582" s="38" t="n">
        <f aca="false">Sens!$L$2582*(1+Sens!$M$2583)</f>
        <v>423.624251134453</v>
      </c>
      <c r="N2582" s="38" t="n">
        <f aca="false">Q!$N$10</f>
        <v>118.892</v>
      </c>
      <c r="O2582" s="38" t="n">
        <f aca="false">Q!$O$10</f>
        <v>150.395</v>
      </c>
      <c r="P2582" s="8" t="s">
        <v>622</v>
      </c>
    </row>
    <row r="2583" customFormat="false" ht="17.15" hidden="false" customHeight="false" outlineLevel="0" collapsed="false">
      <c r="A2583" s="0" t="s">
        <v>623</v>
      </c>
      <c r="B2583" s="0" t="s">
        <v>52</v>
      </c>
      <c r="E2583" s="12" t="n">
        <f aca="false">Sens!$E$2582/Sens!$N$2582-1</f>
        <v>0.132843252699929</v>
      </c>
      <c r="F2583" s="12" t="n">
        <f aca="false">Sens!$O$2582/(Q!$F$10+Q!$G$10)-1</f>
        <v>0.0980382135842941</v>
      </c>
      <c r="G2583" s="12" t="n">
        <f aca="false">Sens!$G$2582/Sens!$D$2582-1</f>
        <v>0.0970231980380869</v>
      </c>
      <c r="H2583" s="12" t="n">
        <f aca="false">Sens!$F$2583+(g_os-Sens!$F$2583)*1/4</f>
        <v>0.0860286601882206</v>
      </c>
      <c r="I2583" s="12" t="n">
        <f aca="false">Sens!$F$2583+(g_os-Sens!$F$2583)*2/4</f>
        <v>0.074019106792147</v>
      </c>
      <c r="J2583" s="12" t="n">
        <f aca="false">Sens!$F$2583+(g_os-Sens!$F$2583)*3/4</f>
        <v>0.0620095533960735</v>
      </c>
      <c r="K2583" s="12" t="n">
        <f aca="false">Sens!$F$2583+(g_os-Sens!$F$2583)*4/4</f>
        <v>0.05</v>
      </c>
      <c r="L2583" s="12" t="n">
        <f aca="false">g_os</f>
        <v>0.05</v>
      </c>
      <c r="M2583" s="12" t="n">
        <f aca="false">g_os</f>
        <v>0.05</v>
      </c>
      <c r="P2583" s="8" t="s">
        <v>624</v>
      </c>
    </row>
    <row r="2584" customFormat="false" ht="17.15" hidden="false" customHeight="false" outlineLevel="0" collapsed="false">
      <c r="A2584" s="0" t="s">
        <v>480</v>
      </c>
      <c r="B2584" s="0" t="s">
        <v>73</v>
      </c>
      <c r="C2584" s="38" t="n">
        <f aca="false">Q!$D$11</f>
        <v>21.215</v>
      </c>
      <c r="D2584" s="38" t="n">
        <f aca="false">Q!$E$11</f>
        <v>22.561</v>
      </c>
      <c r="E2584" s="38" t="n">
        <f aca="false">Q!$P$11</f>
        <v>11.579</v>
      </c>
      <c r="F2584" s="38" t="n">
        <f aca="false">Sens!$O$2584*(1+Sens!$F$2585)</f>
        <v>12.0952613121125</v>
      </c>
      <c r="G2584" s="38" t="n">
        <f aca="false">Sens!$E$2584+Sens!$F$2584</f>
        <v>23.6742613121125</v>
      </c>
      <c r="H2584" s="38" t="n">
        <f aca="false">Sens!$G$2584*(1+Sens!$H$2585)</f>
        <v>24.8803243963206</v>
      </c>
      <c r="I2584" s="38" t="n">
        <f aca="false">Sens!$H$2584*(1+Sens!$I$2585)</f>
        <v>25.9741308664154</v>
      </c>
      <c r="J2584" s="38" t="n">
        <f aca="false">Sens!$I$2584*(1+Sens!$J$2585)</f>
        <v>26.9346894124267</v>
      </c>
      <c r="K2584" s="38" t="n">
        <f aca="false">Sens!$J$2584*(1+Sens!$K$2585)</f>
        <v>27.7427300947995</v>
      </c>
      <c r="L2584" s="38" t="n">
        <f aca="false">Sens!$K$2584*(1+Sens!$L$2585)</f>
        <v>28.5750119976435</v>
      </c>
      <c r="M2584" s="38" t="n">
        <f aca="false">Sens!$L$2584*(1+Sens!$M$2585)</f>
        <v>29.4322623575728</v>
      </c>
      <c r="N2584" s="38" t="n">
        <f aca="false">Q!$N$11</f>
        <v>11.128</v>
      </c>
      <c r="O2584" s="38" t="n">
        <f aca="false">Q!$O$11</f>
        <v>11.433</v>
      </c>
      <c r="P2584" s="8" t="s">
        <v>622</v>
      </c>
    </row>
    <row r="2585" customFormat="false" ht="17.15" hidden="false" customHeight="false" outlineLevel="0" collapsed="false">
      <c r="A2585" s="0" t="s">
        <v>625</v>
      </c>
      <c r="B2585" s="0" t="s">
        <v>52</v>
      </c>
      <c r="E2585" s="12" t="n">
        <f aca="false">Sens!$E$2584/Sens!$N$2584-1</f>
        <v>0.0405283968368082</v>
      </c>
      <c r="F2585" s="12" t="n">
        <f aca="false">Sens!$O$2584/(Q!$F$11+Q!$G$11)-1</f>
        <v>0.0579254187100955</v>
      </c>
      <c r="G2585" s="12" t="n">
        <f aca="false">Sens!$G$2584/Sens!$D$2584-1</f>
        <v>0.0493445021103904</v>
      </c>
      <c r="H2585" s="12" t="n">
        <f aca="false">Sens!$F$2585+(g_ps-Sens!$F$2585)*1/4</f>
        <v>0.0509440640325716</v>
      </c>
      <c r="I2585" s="12" t="n">
        <f aca="false">Sens!$F$2585+(g_ps-Sens!$F$2585)*2/4</f>
        <v>0.0439627093550477</v>
      </c>
      <c r="J2585" s="12" t="n">
        <f aca="false">Sens!$F$2585+(g_ps-Sens!$F$2585)*3/4</f>
        <v>0.0369813546775239</v>
      </c>
      <c r="K2585" s="12" t="n">
        <f aca="false">Sens!$F$2585+(g_ps-Sens!$F$2585)*4/4</f>
        <v>0.03</v>
      </c>
      <c r="L2585" s="12" t="n">
        <f aca="false">g_ps</f>
        <v>0.03</v>
      </c>
      <c r="M2585" s="12" t="n">
        <f aca="false">g_ps</f>
        <v>0.03</v>
      </c>
      <c r="P2585" s="8" t="s">
        <v>626</v>
      </c>
    </row>
    <row r="2586" customFormat="false" ht="17.15" hidden="false" customHeight="false" outlineLevel="0" collapsed="false">
      <c r="A2586" s="0" t="s">
        <v>481</v>
      </c>
      <c r="B2586" s="0" t="s">
        <v>73</v>
      </c>
      <c r="C2586" s="38" t="n">
        <f aca="false">Q!$D$12</f>
        <v>156.146</v>
      </c>
      <c r="D2586" s="38" t="n">
        <f aca="false">Q!$E$12</f>
        <v>172.162</v>
      </c>
      <c r="E2586" s="38" t="n">
        <f aca="false">Q!$P$12</f>
        <v>88.358</v>
      </c>
      <c r="F2586" s="38" t="n">
        <f aca="false">Sens!$O$2586*(1+Sens!$F$2587)-pd_amt*Q!$O$12/(Q!$O$10+Q!$O$12)</f>
        <v>103.62028337149</v>
      </c>
      <c r="G2586" s="38" t="n">
        <f aca="false">Sens!$E$2586+Sens!$F$2586</f>
        <v>191.97828337149</v>
      </c>
      <c r="H2586" s="38" t="n">
        <f aca="false">Sens!$G$2586*(1+Sens!$H$2587)</f>
        <v>212.128608444755</v>
      </c>
      <c r="I2586" s="38" t="n">
        <f aca="false">Sens!$H$2586*(1+Sens!$I$2587)</f>
        <v>231.92183134134</v>
      </c>
      <c r="J2586" s="38" t="n">
        <f aca="false">Sens!$I$2586*(1+Sens!$J$2587)</f>
        <v>250.859136487863</v>
      </c>
      <c r="K2586" s="38" t="n">
        <f aca="false">Sens!$J$2586*(1+Sens!$K$2587)</f>
        <v>268.419276042014</v>
      </c>
      <c r="L2586" s="38" t="n">
        <f aca="false">Sens!$K$2586*(1+Sens!$L$2587)</f>
        <v>287.208625364954</v>
      </c>
      <c r="M2586" s="38" t="n">
        <f aca="false">Sens!$L$2586*(1+Sens!$M$2587)</f>
        <v>307.313229140501</v>
      </c>
      <c r="N2586" s="38" t="n">
        <f aca="false">Q!$N$12</f>
        <v>76.86</v>
      </c>
      <c r="O2586" s="38" t="n">
        <f aca="false">Q!$O$12</f>
        <v>95.302</v>
      </c>
      <c r="P2586" s="8" t="s">
        <v>622</v>
      </c>
    </row>
    <row r="2587" customFormat="false" ht="17.15" hidden="false" customHeight="false" outlineLevel="0" collapsed="false">
      <c r="A2587" s="0" t="s">
        <v>627</v>
      </c>
      <c r="B2587" s="0" t="s">
        <v>52</v>
      </c>
      <c r="E2587" s="12" t="n">
        <f aca="false">Sens!$E$2586/Sens!$N$2586-1</f>
        <v>0.1495966692688</v>
      </c>
      <c r="F2587" s="12" t="n">
        <f aca="false">Sens!$O$2586/(Q!$F$12+Q!$G$12)-1</f>
        <v>0.11661530890813</v>
      </c>
      <c r="G2587" s="12" t="n">
        <f aca="false">Sens!$G$2586/Sens!$D$2586-1</f>
        <v>0.115102539303041</v>
      </c>
      <c r="H2587" s="12" t="n">
        <f aca="false">Sens!$F$2587+(g_sp-Sens!$F$2587)*1/4</f>
        <v>0.104961481681098</v>
      </c>
      <c r="I2587" s="12" t="n">
        <f aca="false">Sens!$F$2587+(g_sp-Sens!$F$2587)*2/4</f>
        <v>0.0933076544540651</v>
      </c>
      <c r="J2587" s="12" t="n">
        <f aca="false">Sens!$F$2587+(g_sp-Sens!$F$2587)*3/4</f>
        <v>0.0816538272270325</v>
      </c>
      <c r="K2587" s="12" t="n">
        <f aca="false">Sens!$F$2587+(g_sp-Sens!$F$2587)*4/4</f>
        <v>0.07</v>
      </c>
      <c r="L2587" s="12" t="n">
        <f aca="false">g_sp</f>
        <v>0.07</v>
      </c>
      <c r="M2587" s="12" t="n">
        <f aca="false">g_sp</f>
        <v>0.07</v>
      </c>
      <c r="P2587" s="8" t="s">
        <v>628</v>
      </c>
    </row>
    <row r="2588" customFormat="false" ht="17.15" hidden="false" customHeight="false" outlineLevel="0" collapsed="false">
      <c r="A2588" s="0" t="s">
        <v>482</v>
      </c>
      <c r="B2588" s="0" t="s">
        <v>73</v>
      </c>
      <c r="C2588" s="38" t="n">
        <f aca="false">Q!$D$13</f>
        <v>56.214</v>
      </c>
      <c r="D2588" s="38" t="n">
        <f aca="false">Q!$E$13</f>
        <v>68.635</v>
      </c>
      <c r="E2588" s="38" t="n">
        <f aca="false">Q!$P$13</f>
        <v>37.052</v>
      </c>
      <c r="F2588" s="38" t="n">
        <f aca="false">Sens!$O$2588*(1+Sens!$F$2589)</f>
        <v>48.1533381827382</v>
      </c>
      <c r="G2588" s="38" t="n">
        <f aca="false">Sens!$E$2588+Sens!$F$2588</f>
        <v>85.2053381827382</v>
      </c>
      <c r="H2588" s="38" t="n">
        <f aca="false">Sens!$G$2588*(1+Sens!$H$2589)</f>
        <v>102.29336185894</v>
      </c>
      <c r="I2588" s="38" t="n">
        <f aca="false">Sens!$H$2588*(1+Sens!$I$2589)</f>
        <v>119.379837585241</v>
      </c>
      <c r="J2588" s="38" t="n">
        <f aca="false">Sens!$I$2588*(1+Sens!$J$2589)</f>
        <v>135.319079048844</v>
      </c>
      <c r="K2588" s="38" t="n">
        <f aca="false">Sens!$J$2588*(1+Sens!$K$2589)</f>
        <v>148.850986953729</v>
      </c>
      <c r="L2588" s="38" t="n">
        <f aca="false">Sens!$K$2588*(1+Sens!$L$2589)</f>
        <v>163.736085649102</v>
      </c>
      <c r="M2588" s="38" t="n">
        <f aca="false">Sens!$L$2588*(1+Sens!$M$2589)</f>
        <v>180.109694214012</v>
      </c>
      <c r="N2588" s="38" t="n">
        <f aca="false">Q!$N$13</f>
        <v>29.615</v>
      </c>
      <c r="O2588" s="38" t="n">
        <f aca="false">Q!$O$13</f>
        <v>39.02</v>
      </c>
      <c r="P2588" s="8" t="s">
        <v>622</v>
      </c>
    </row>
    <row r="2589" customFormat="false" ht="17.15" hidden="false" customHeight="false" outlineLevel="0" collapsed="false">
      <c r="A2589" s="0" t="s">
        <v>629</v>
      </c>
      <c r="B2589" s="0" t="s">
        <v>52</v>
      </c>
      <c r="E2589" s="12" t="n">
        <f aca="false">Sens!$E$2588/Sens!$N$2588-1</f>
        <v>0.25112274185379</v>
      </c>
      <c r="F2589" s="12" t="n">
        <f aca="false">Sens!$O$2588/(Q!$F$13+Q!$G$13)-1</f>
        <v>0.234068123596572</v>
      </c>
      <c r="G2589" s="12" t="n">
        <f aca="false">Sens!$G$2588/Sens!$D$2588-1</f>
        <v>0.241426942270536</v>
      </c>
      <c r="H2589" s="12" t="n">
        <f aca="false">Sens!$F$2589+(g_ad-Sens!$F$2589)*1/4</f>
        <v>0.200551092697429</v>
      </c>
      <c r="I2589" s="12" t="n">
        <f aca="false">Sens!$F$2589+(g_ad-Sens!$F$2589)*2/4</f>
        <v>0.167034061798286</v>
      </c>
      <c r="J2589" s="12" t="n">
        <f aca="false">Sens!$F$2589+(g_ad-Sens!$F$2589)*3/4</f>
        <v>0.133517030899143</v>
      </c>
      <c r="K2589" s="12" t="n">
        <f aca="false">Sens!$F$2589+(g_ad-Sens!$F$2589)*4/4</f>
        <v>0.1</v>
      </c>
      <c r="L2589" s="12" t="n">
        <f aca="false">g_ad</f>
        <v>0.1</v>
      </c>
      <c r="M2589" s="12" t="n">
        <f aca="false">g_ad</f>
        <v>0.1</v>
      </c>
      <c r="P2589" s="8" t="s">
        <v>630</v>
      </c>
    </row>
    <row r="2590" customFormat="false" ht="17.15" hidden="false" customHeight="false" outlineLevel="0" collapsed="false">
      <c r="A2590" s="0" t="s">
        <v>483</v>
      </c>
      <c r="B2590" s="0" t="s">
        <v>73</v>
      </c>
      <c r="C2590" s="38" t="n">
        <f aca="false">Q!$D$14</f>
        <v>44.374</v>
      </c>
      <c r="D2590" s="38" t="n">
        <f aca="false">Q!$E$14</f>
        <v>49.619</v>
      </c>
      <c r="E2590" s="38" t="n">
        <f aca="false">Q!$P$14</f>
        <v>27.157</v>
      </c>
      <c r="F2590" s="38" t="n">
        <f aca="false">Sens!$O$2590*(1+Sens!$F$2591)</f>
        <v>28.9776360923374</v>
      </c>
      <c r="G2590" s="38" t="n">
        <f aca="false">Sens!$E$2590+Sens!$F$2590</f>
        <v>56.1346360923374</v>
      </c>
      <c r="H2590" s="38" t="n">
        <f aca="false">Sens!$G$2590*(1+Sens!$H$2591)</f>
        <v>62.4937078946075</v>
      </c>
      <c r="I2590" s="38" t="n">
        <f aca="false">Sens!$H$2590*(1+Sens!$I$2591)</f>
        <v>68.6715233062498</v>
      </c>
      <c r="J2590" s="38" t="n">
        <f aca="false">Sens!$I$2590*(1+Sens!$J$2591)</f>
        <v>74.4692882949818</v>
      </c>
      <c r="K2590" s="38" t="n">
        <f aca="false">Sens!$J$2590*(1+Sens!$K$2591)</f>
        <v>79.6821384756306</v>
      </c>
      <c r="L2590" s="38" t="n">
        <f aca="false">Sens!$K$2590*(1+Sens!$L$2591)</f>
        <v>85.2598881689247</v>
      </c>
      <c r="M2590" s="38" t="n">
        <f aca="false">Sens!$L$2590*(1+Sens!$M$2591)</f>
        <v>91.2280803407494</v>
      </c>
      <c r="N2590" s="38" t="n">
        <f aca="false">Q!$N$14</f>
        <v>23.923</v>
      </c>
      <c r="O2590" s="38" t="n">
        <f aca="false">Q!$O$14</f>
        <v>25.696</v>
      </c>
      <c r="P2590" s="8" t="s">
        <v>622</v>
      </c>
    </row>
    <row r="2591" customFormat="false" ht="17.15" hidden="false" customHeight="false" outlineLevel="0" collapsed="false">
      <c r="A2591" s="0" t="s">
        <v>631</v>
      </c>
      <c r="B2591" s="0" t="s">
        <v>52</v>
      </c>
      <c r="E2591" s="12" t="n">
        <f aca="false">Sens!$E$2590/Sens!$N$2590-1</f>
        <v>0.135183714417088</v>
      </c>
      <c r="F2591" s="12" t="n">
        <f aca="false">Sens!$O$2590/(Q!$F$14+Q!$G$14)-1</f>
        <v>0.127709997366804</v>
      </c>
      <c r="G2591" s="12" t="n">
        <f aca="false">Sens!$G$2590/Sens!$D$2590-1</f>
        <v>0.131313329416905</v>
      </c>
      <c r="H2591" s="12" t="n">
        <f aca="false">Sens!$F$2591+(g_sub-Sens!$F$2591)*1/4</f>
        <v>0.113282498025103</v>
      </c>
      <c r="I2591" s="12" t="n">
        <f aca="false">Sens!$F$2591+(g_sub-Sens!$F$2591)*2/4</f>
        <v>0.0988549986834021</v>
      </c>
      <c r="J2591" s="12" t="n">
        <f aca="false">Sens!$F$2591+(g_sub-Sens!$F$2591)*3/4</f>
        <v>0.084427499341701</v>
      </c>
      <c r="K2591" s="12" t="n">
        <f aca="false">Sens!$F$2591+(g_sub-Sens!$F$2591)*4/4</f>
        <v>0.07</v>
      </c>
      <c r="L2591" s="12" t="n">
        <f aca="false">g_sub</f>
        <v>0.07</v>
      </c>
      <c r="M2591" s="12" t="n">
        <f aca="false">g_sub</f>
        <v>0.07</v>
      </c>
      <c r="P2591" s="8" t="s">
        <v>632</v>
      </c>
    </row>
    <row r="2592" customFormat="false" ht="17.15" hidden="false" customHeight="false" outlineLevel="0" collapsed="false">
      <c r="A2592" s="0" t="s">
        <v>484</v>
      </c>
      <c r="B2592" s="0" t="s">
        <v>73</v>
      </c>
      <c r="C2592" s="38" t="n">
        <f aca="false">Q!$D$15</f>
        <v>5.425</v>
      </c>
      <c r="D2592" s="38" t="n">
        <f aca="false">Q!$E$15</f>
        <v>5.935</v>
      </c>
      <c r="E2592" s="38" t="n">
        <f aca="false">Q!$P$15</f>
        <v>3.474</v>
      </c>
      <c r="F2592" s="38" t="n">
        <f aca="false">Sens!$O$2592*(1+Sens!$F$2593)</f>
        <v>3.36182431966931</v>
      </c>
      <c r="G2592" s="38" t="n">
        <f aca="false">Sens!$E$2592+Sens!$F$2592</f>
        <v>6.83582431966931</v>
      </c>
      <c r="H2592" s="38" t="n">
        <f aca="false">Sens!$G$2592*(1+Sens!$H$2593)</f>
        <v>7.31157108370141</v>
      </c>
      <c r="I2592" s="38" t="n">
        <f aca="false">Sens!$H$2592*(1+Sens!$I$2593)</f>
        <v>7.77266852639815</v>
      </c>
      <c r="J2592" s="38" t="n">
        <f aca="false">Sens!$I$2592*(1+Sens!$J$2593)</f>
        <v>8.2120733019884</v>
      </c>
      <c r="K2592" s="38" t="n">
        <f aca="false">Sens!$J$2592*(1+Sens!$K$2593)</f>
        <v>8.62267696708783</v>
      </c>
      <c r="L2592" s="38" t="n">
        <f aca="false">Sens!$K$2592*(1+Sens!$L$2593)</f>
        <v>9.05381081544222</v>
      </c>
      <c r="M2592" s="38" t="n">
        <f aca="false">Sens!$L$2592*(1+Sens!$M$2593)</f>
        <v>9.50650135621433</v>
      </c>
      <c r="N2592" s="38" t="n">
        <f aca="false">Q!$N$15</f>
        <v>2.811</v>
      </c>
      <c r="O2592" s="38" t="n">
        <f aca="false">Q!$O$15</f>
        <v>3.124</v>
      </c>
      <c r="P2592" s="8" t="s">
        <v>622</v>
      </c>
    </row>
    <row r="2593" customFormat="false" ht="17.15" hidden="false" customHeight="false" outlineLevel="0" collapsed="false">
      <c r="A2593" s="0" t="s">
        <v>633</v>
      </c>
      <c r="B2593" s="0" t="s">
        <v>52</v>
      </c>
      <c r="E2593" s="12" t="n">
        <f aca="false">Sens!$E$2592/Sens!$N$2592-1</f>
        <v>0.235859124866596</v>
      </c>
      <c r="F2593" s="12" t="n">
        <f aca="false">Sens!$O$2592/(Q!$F$15+Q!$G$15)-1</f>
        <v>0.0761281433000345</v>
      </c>
      <c r="G2593" s="12" t="n">
        <f aca="false">Sens!$G$2592/Sens!$D$2592-1</f>
        <v>0.151781688234087</v>
      </c>
      <c r="H2593" s="12" t="n">
        <f aca="false">Sens!$F$2593+(g_ot-Sens!$F$2593)*1/4</f>
        <v>0.0695961074750259</v>
      </c>
      <c r="I2593" s="12" t="n">
        <f aca="false">Sens!$F$2593+(g_ot-Sens!$F$2593)*2/4</f>
        <v>0.0630640716500172</v>
      </c>
      <c r="J2593" s="12" t="n">
        <f aca="false">Sens!$F$2593+(g_ot-Sens!$F$2593)*3/4</f>
        <v>0.0565320358250086</v>
      </c>
      <c r="K2593" s="12" t="n">
        <f aca="false">Sens!$F$2593+(g_ot-Sens!$F$2593)*4/4</f>
        <v>0.05</v>
      </c>
      <c r="L2593" s="12" t="n">
        <f aca="false">g_ot</f>
        <v>0.05</v>
      </c>
      <c r="M2593" s="12" t="n">
        <f aca="false">g_ot</f>
        <v>0.05</v>
      </c>
      <c r="P2593" s="8" t="s">
        <v>634</v>
      </c>
    </row>
    <row r="2594" customFormat="false" ht="17.15" hidden="false" customHeight="false" outlineLevel="0" collapsed="false">
      <c r="A2594" s="3" t="s">
        <v>635</v>
      </c>
      <c r="B2594" s="8" t="s">
        <v>73</v>
      </c>
      <c r="C2594" s="38" t="n">
        <f aca="false">Sens!$C$2582+Sens!$C$2584+Sens!$C$2586+Sens!$C$2588+Sens!$C$2590+Sens!$C$2592</f>
        <v>530.403</v>
      </c>
      <c r="D2594" s="38" t="n">
        <f aca="false">Sens!$D$2582+Sens!$D$2584+Sens!$D$2586+Sens!$D$2588+Sens!$D$2590+Sens!$D$2592</f>
        <v>588.199</v>
      </c>
      <c r="E2594" s="38" t="n">
        <f aca="false">Sens!$E$2582+Sens!$E$2584+Sens!$E$2586+Sens!$E$2588+Sens!$E$2590+Sens!$E$2592</f>
        <v>302.306</v>
      </c>
      <c r="F2594" s="38" t="n">
        <f aca="false">Sens!$F$2582+Sens!$F$2584+Sens!$F$2586+Sens!$F$2588+Sens!$F$2590+Sens!$F$2592</f>
        <v>356.93642920843</v>
      </c>
      <c r="G2594" s="38" t="n">
        <f aca="false">Sens!$G$2582+Sens!$G$2584+Sens!$G$2586+Sens!$G$2588+Sens!$G$2590+Sens!$G$2592</f>
        <v>659.24242920843</v>
      </c>
      <c r="H2594" s="38" t="n">
        <f aca="false">Sens!$H$2582+Sens!$H$2584+Sens!$H$2586+Sens!$H$2588+Sens!$H$2590+Sens!$H$2592</f>
        <v>729.935737621701</v>
      </c>
      <c r="I2594" s="38" t="n">
        <f aca="false">Sens!$I$2582+Sens!$I$2584+Sens!$I$2586+Sens!$I$2588+Sens!$I$2590+Sens!$I$2592</f>
        <v>798.295569697873</v>
      </c>
      <c r="J2594" s="38" t="n">
        <f aca="false">Sens!$J$2582+Sens!$J$2584+Sens!$J$2586+Sens!$J$2588+Sens!$J$2590+Sens!$J$2592</f>
        <v>861.736822325785</v>
      </c>
      <c r="K2594" s="38" t="n">
        <f aca="false">Sens!$K$2582+Sens!$K$2584+Sens!$K$2586+Sens!$K$2588+Sens!$K$2590+Sens!$K$2592</f>
        <v>917.557492101925</v>
      </c>
      <c r="L2594" s="38" t="n">
        <f aca="false">Sens!$L$2582+Sens!$L$2584+Sens!$L$2586+Sens!$L$2588+Sens!$L$2590+Sens!$L$2592</f>
        <v>977.285089743165</v>
      </c>
      <c r="M2594" s="38" t="n">
        <f aca="false">Sens!$M$2582+Sens!$M$2584+Sens!$M$2586+Sens!$M$2588+Sens!$M$2590+Sens!$M$2592</f>
        <v>1041.2140185435</v>
      </c>
      <c r="N2594" s="38" t="n">
        <f aca="false">Sens!$N$2582+Sens!$N$2584+Sens!$N$2586+Sens!$N$2588+Sens!$N$2590+Sens!$N$2592</f>
        <v>263.229</v>
      </c>
      <c r="O2594" s="38" t="n">
        <f aca="false">Sens!$O$2582+Sens!$O$2584+Sens!$O$2586+Sens!$O$2588+Sens!$O$2590+Sens!$O$2592</f>
        <v>324.97</v>
      </c>
    </row>
    <row r="2595" customFormat="false" ht="17.15" hidden="false" customHeight="false" outlineLevel="0" collapsed="false">
      <c r="A2595" s="5" t="s">
        <v>636</v>
      </c>
      <c r="B2595" s="0" t="s">
        <v>52</v>
      </c>
      <c r="C2595" s="12" t="n">
        <f aca="false">Q!$D$5/(Q!$D$5+Q!$D$6)</f>
        <v>0.730570905519011</v>
      </c>
      <c r="D2595" s="12" t="n">
        <f aca="false">Q!$E$5/(Q!$E$5+Q!$E$6)</f>
        <v>0.724763217890544</v>
      </c>
      <c r="E2595" s="12" t="n">
        <f aca="false">Q!$P$5/(Q!$P$5+Q!$P$6)</f>
        <v>0.728797972914861</v>
      </c>
      <c r="F2595" s="12" t="n">
        <f aca="false">Sens!$O$2595</f>
        <v>0.718066283041511</v>
      </c>
      <c r="G2595" s="12" t="n">
        <f aca="false">Sens!$G$2596/Sens!$G$2594</f>
        <v>0.722987468473627</v>
      </c>
      <c r="H2595" s="12" t="n">
        <f aca="false">Sens!$G$2595</f>
        <v>0.722987468473627</v>
      </c>
      <c r="I2595" s="12" t="n">
        <f aca="false">Sens!$G$2595</f>
        <v>0.722987468473627</v>
      </c>
      <c r="J2595" s="12" t="n">
        <f aca="false">Sens!$G$2595</f>
        <v>0.722987468473627</v>
      </c>
      <c r="K2595" s="12" t="n">
        <f aca="false">Sens!$G$2595</f>
        <v>0.722987468473627</v>
      </c>
      <c r="L2595" s="12" t="n">
        <f aca="false">Sens!$G$2595</f>
        <v>0.722987468473627</v>
      </c>
      <c r="M2595" s="12" t="n">
        <f aca="false">Sens!$G$2595</f>
        <v>0.722987468473627</v>
      </c>
      <c r="N2595" s="12" t="n">
        <f aca="false">Q!$N$5/(Q!$N$5+Q!$N$6)</f>
        <v>0.733030935041352</v>
      </c>
      <c r="O2595" s="12" t="n">
        <f aca="false">Q!$O$5/(Q!$O$5+Q!$O$6)</f>
        <v>0.718066283041511</v>
      </c>
      <c r="P2595" s="8" t="s">
        <v>637</v>
      </c>
    </row>
    <row r="2596" customFormat="false" ht="17.15" hidden="false" customHeight="false" outlineLevel="0" collapsed="false">
      <c r="A2596" s="1" t="s">
        <v>472</v>
      </c>
      <c r="B2596" s="8" t="s">
        <v>73</v>
      </c>
      <c r="C2596" s="38" t="n">
        <f aca="false">Q!$D$5</f>
        <v>387.497</v>
      </c>
      <c r="D2596" s="38" t="n">
        <f aca="false">Q!$E$5</f>
        <v>426.305</v>
      </c>
      <c r="E2596" s="38" t="n">
        <f aca="false">Q!$P$5</f>
        <v>220.32</v>
      </c>
      <c r="F2596" s="38" t="n">
        <f aca="false">Sens!$F$2594*Sens!$F$2595</f>
        <v>256.304015003807</v>
      </c>
      <c r="G2596" s="38" t="n">
        <f aca="false">Sens!$E$2596+Sens!$F$2596</f>
        <v>476.624015003807</v>
      </c>
      <c r="H2596" s="38" t="n">
        <f aca="false">Sens!$H$2594*Sens!$H$2595</f>
        <v>527.734391091543</v>
      </c>
      <c r="I2596" s="38" t="n">
        <f aca="false">Sens!$I$2594*Sens!$I$2595</f>
        <v>577.157693029577</v>
      </c>
      <c r="J2596" s="38" t="n">
        <f aca="false">Sens!$J$2594*Sens!$J$2595</f>
        <v>623.024923663827</v>
      </c>
      <c r="K2596" s="38" t="n">
        <f aca="false">Sens!$K$2594*Sens!$K$2595</f>
        <v>663.382568393781</v>
      </c>
      <c r="L2596" s="38" t="n">
        <f aca="false">Sens!$L$2594*Sens!$L$2595</f>
        <v>706.564873010432</v>
      </c>
      <c r="M2596" s="38" t="n">
        <f aca="false">Sens!$M$2594*Sens!$M$2595</f>
        <v>752.784687406019</v>
      </c>
      <c r="N2596" s="38" t="n">
        <f aca="false">Q!$N$5</f>
        <v>192.955</v>
      </c>
      <c r="O2596" s="38" t="n">
        <f aca="false">Q!$O$5</f>
        <v>233.35</v>
      </c>
      <c r="P2596" s="5" t="s">
        <v>638</v>
      </c>
    </row>
    <row r="2597" customFormat="false" ht="17.15" hidden="false" customHeight="false" outlineLevel="0" collapsed="false">
      <c r="A2597" s="1" t="s">
        <v>475</v>
      </c>
      <c r="B2597" s="8" t="s">
        <v>73</v>
      </c>
      <c r="C2597" s="38" t="n">
        <f aca="false">Q!$D$6</f>
        <v>142.906</v>
      </c>
      <c r="D2597" s="38" t="n">
        <f aca="false">Q!$E$6</f>
        <v>161.894</v>
      </c>
      <c r="E2597" s="38" t="n">
        <f aca="false">Q!$P$6</f>
        <v>81.986</v>
      </c>
      <c r="F2597" s="38" t="n">
        <f aca="false">Sens!$F$2594*(1-Sens!$F$2595)</f>
        <v>100.632414204623</v>
      </c>
      <c r="G2597" s="38" t="n">
        <f aca="false">Sens!$E$2597+Sens!$F$2597</f>
        <v>182.618414204623</v>
      </c>
      <c r="H2597" s="38" t="n">
        <f aca="false">Sens!$H$2594*(1-Sens!$H$2595)</f>
        <v>202.201346530158</v>
      </c>
      <c r="I2597" s="38" t="n">
        <f aca="false">Sens!$I$2594*(1-Sens!$I$2595)</f>
        <v>221.137876668296</v>
      </c>
      <c r="J2597" s="38" t="n">
        <f aca="false">Sens!$J$2594*(1-Sens!$J$2595)</f>
        <v>238.711898661958</v>
      </c>
      <c r="K2597" s="38" t="n">
        <f aca="false">Sens!$K$2594*(1-Sens!$K$2595)</f>
        <v>254.174923708144</v>
      </c>
      <c r="L2597" s="38" t="n">
        <f aca="false">Sens!$L$2594*(1-Sens!$L$2595)</f>
        <v>270.720216732733</v>
      </c>
      <c r="M2597" s="38" t="n">
        <f aca="false">Sens!$M$2594*(1-Sens!$M$2595)</f>
        <v>288.429331137484</v>
      </c>
      <c r="N2597" s="38" t="n">
        <f aca="false">Q!$N$6</f>
        <v>70.274</v>
      </c>
      <c r="O2597" s="38" t="n">
        <f aca="false">Q!$O$6</f>
        <v>91.62</v>
      </c>
      <c r="P2597" s="5" t="s">
        <v>639</v>
      </c>
    </row>
    <row r="2598" customFormat="false" ht="17.15" hidden="false" customHeight="false" outlineLevel="0" collapsed="false">
      <c r="A2598" s="5" t="s">
        <v>640</v>
      </c>
      <c r="B2598" s="0" t="s">
        <v>73</v>
      </c>
      <c r="C2598" s="38" t="n">
        <f aca="false">Sens!$C$2588*Sens!$C$2595</f>
        <v>41.0683128828457</v>
      </c>
      <c r="D2598" s="38" t="n">
        <f aca="false">Sens!$D$2588*Sens!$D$2595</f>
        <v>49.7441234599175</v>
      </c>
      <c r="E2598" s="38" t="n">
        <f aca="false">Sens!$E$2588*Sens!$E$2595</f>
        <v>27.0034224924414</v>
      </c>
      <c r="F2598" s="38" t="n">
        <f aca="false">Sens!$F$2588*Sens!$F$2595</f>
        <v>34.5772885649197</v>
      </c>
      <c r="G2598" s="38" t="n">
        <f aca="false">Sens!$G$2588*Sens!$G$2595</f>
        <v>61.6023917531772</v>
      </c>
      <c r="H2598" s="38" t="n">
        <f aca="false">Sens!$H$2588*Sens!$H$2595</f>
        <v>73.9568187320519</v>
      </c>
      <c r="I2598" s="38" t="n">
        <f aca="false">Sens!$I$2588*Sens!$I$2595</f>
        <v>86.3101265625461</v>
      </c>
      <c r="J2598" s="38" t="n">
        <f aca="false">Sens!$J$2588*Sens!$J$2595</f>
        <v>97.8339983977065</v>
      </c>
      <c r="K2598" s="38" t="n">
        <f aca="false">Sens!$K$2588*Sens!$K$2595</f>
        <v>107.617398237477</v>
      </c>
      <c r="L2598" s="38" t="n">
        <f aca="false">Sens!$L$2588*Sens!$L$2595</f>
        <v>118.379138061225</v>
      </c>
      <c r="M2598" s="38" t="n">
        <f aca="false">Sens!$M$2588*Sens!$M$2595</f>
        <v>130.217051867347</v>
      </c>
      <c r="N2598" s="38" t="n">
        <f aca="false">Sens!$N$2588*Sens!$N$2595</f>
        <v>21.7087111412496</v>
      </c>
      <c r="O2598" s="38" t="n">
        <f aca="false">Sens!$O$2588*Sens!$O$2595</f>
        <v>28.0189463642798</v>
      </c>
      <c r="P2598" s="5" t="s">
        <v>641</v>
      </c>
    </row>
    <row r="2599" customFormat="false" ht="15" hidden="false" customHeight="false" outlineLevel="0" collapsed="false">
      <c r="A2599" s="5" t="s">
        <v>642</v>
      </c>
      <c r="B2599" s="0" t="s">
        <v>73</v>
      </c>
      <c r="C2599" s="38" t="n">
        <f aca="false">Sens!$C$2588-Sens!$C$2598</f>
        <v>15.1456871171543</v>
      </c>
      <c r="D2599" s="38" t="n">
        <f aca="false">Sens!$D$2588-Sens!$D$2598</f>
        <v>18.8908765400825</v>
      </c>
      <c r="E2599" s="38" t="n">
        <f aca="false">Sens!$E$2588-Sens!$E$2598</f>
        <v>10.0485775075586</v>
      </c>
      <c r="F2599" s="38" t="n">
        <f aca="false">Sens!$F$2588-Sens!$F$2598</f>
        <v>13.5760496178185</v>
      </c>
      <c r="G2599" s="38" t="n">
        <f aca="false">Sens!$G$2588-Sens!$G$2598</f>
        <v>23.6029464295611</v>
      </c>
      <c r="H2599" s="38" t="n">
        <f aca="false">Sens!$H$2588-Sens!$H$2598</f>
        <v>28.3365431268884</v>
      </c>
      <c r="I2599" s="38" t="n">
        <f aca="false">Sens!$I$2588-Sens!$I$2598</f>
        <v>33.0697110226949</v>
      </c>
      <c r="J2599" s="38" t="n">
        <f aca="false">Sens!$J$2588-Sens!$J$2598</f>
        <v>37.4850806511378</v>
      </c>
      <c r="K2599" s="38" t="n">
        <f aca="false">Sens!$K$2588-Sens!$K$2598</f>
        <v>41.2335887162515</v>
      </c>
      <c r="L2599" s="38" t="n">
        <f aca="false">Sens!$L$2588-Sens!$L$2598</f>
        <v>45.3569475878767</v>
      </c>
      <c r="M2599" s="38" t="n">
        <f aca="false">Sens!$M$2588-Sens!$M$2598</f>
        <v>49.8926423466644</v>
      </c>
      <c r="N2599" s="38" t="n">
        <f aca="false">Sens!$N$2588-Sens!$N$2598</f>
        <v>7.90628885875037</v>
      </c>
      <c r="O2599" s="38" t="n">
        <f aca="false">Sens!$O$2588-Sens!$O$2598</f>
        <v>11.0010536357202</v>
      </c>
    </row>
    <row r="2600" customFormat="false" ht="19.4" hidden="false" customHeight="false" outlineLevel="0" collapsed="false">
      <c r="A2600" s="31" t="s">
        <v>1101</v>
      </c>
    </row>
    <row r="2601" customFormat="false" ht="17.15" hidden="false" customHeight="false" outlineLevel="0" collapsed="false">
      <c r="A2601" s="6" t="s">
        <v>16</v>
      </c>
      <c r="B2601" s="6" t="s">
        <v>17</v>
      </c>
      <c r="C2601" s="20" t="s">
        <v>457</v>
      </c>
      <c r="D2601" s="20" t="s">
        <v>458</v>
      </c>
      <c r="E2601" s="20" t="s">
        <v>540</v>
      </c>
      <c r="F2601" s="20" t="s">
        <v>541</v>
      </c>
      <c r="G2601" s="20" t="s">
        <v>542</v>
      </c>
      <c r="H2601" s="20" t="s">
        <v>543</v>
      </c>
      <c r="I2601" s="20" t="s">
        <v>544</v>
      </c>
      <c r="J2601" s="20" t="s">
        <v>545</v>
      </c>
      <c r="K2601" s="20" t="s">
        <v>546</v>
      </c>
      <c r="L2601" s="20" t="s">
        <v>547</v>
      </c>
      <c r="M2601" s="20" t="s">
        <v>548</v>
      </c>
      <c r="N2601" s="20" t="s">
        <v>549</v>
      </c>
      <c r="O2601" s="20" t="s">
        <v>550</v>
      </c>
      <c r="P2601" s="6" t="s">
        <v>23</v>
      </c>
      <c r="R2601" s="20" t="n">
        <v>2023</v>
      </c>
      <c r="S2601" s="20" t="n">
        <v>2024</v>
      </c>
      <c r="T2601" s="20" t="n">
        <v>2025</v>
      </c>
      <c r="U2601" s="20" t="n">
        <v>2026</v>
      </c>
      <c r="V2601" s="20" t="n">
        <v>2027</v>
      </c>
      <c r="W2601" s="20" t="n">
        <v>2028</v>
      </c>
      <c r="X2601" s="20" t="n">
        <v>2029</v>
      </c>
      <c r="Y2601" s="20" t="n">
        <v>2030</v>
      </c>
      <c r="Z2601" s="20" t="n">
        <v>2031</v>
      </c>
      <c r="AA2601" s="20" t="n">
        <v>2032</v>
      </c>
    </row>
    <row r="2602" customFormat="false" ht="17.15" hidden="false" customHeight="false" outlineLevel="0" collapsed="false">
      <c r="A2602" s="1" t="s">
        <v>551</v>
      </c>
    </row>
    <row r="2603" customFormat="false" ht="17.15" hidden="false" customHeight="false" outlineLevel="0" collapsed="false">
      <c r="A2603" s="14" t="s">
        <v>552</v>
      </c>
      <c r="B2603" s="13" t="s">
        <v>108</v>
      </c>
      <c r="C2603" s="32" t="n">
        <f aca="false">mw_ye24</f>
        <v>360</v>
      </c>
      <c r="D2603" s="32" t="n">
        <f aca="false">mw_ye25</f>
        <v>1440</v>
      </c>
      <c r="E2603" s="32" t="n">
        <f aca="false">mw_open</f>
        <v>2080</v>
      </c>
      <c r="F2603" s="32" t="n">
        <f aca="false">Sens!$E$2603+pace_B*0.5</f>
        <v>3897.15</v>
      </c>
      <c r="G2603" s="32" t="n">
        <f aca="false">Sens!$F$2603</f>
        <v>3897.15</v>
      </c>
      <c r="H2603" s="32" t="n">
        <f aca="false">Sens!$G$2603+pace_B</f>
        <v>7531.45</v>
      </c>
      <c r="I2603" s="32" t="n">
        <f aca="false">Sens!$H$2603+pace_B</f>
        <v>11165.75</v>
      </c>
      <c r="J2603" s="32" t="n">
        <f aca="false">Sens!$I$2603+pace_B</f>
        <v>14800.05</v>
      </c>
      <c r="K2603" s="32" t="n">
        <f aca="false">Sens!$J$2603+pace_B</f>
        <v>18434.35</v>
      </c>
      <c r="L2603" s="32" t="n">
        <f aca="false">Sens!$K$2603+pace_B</f>
        <v>22068.65</v>
      </c>
      <c r="M2603" s="32" t="n">
        <f aca="false">Sens!$L$2603+pace_B</f>
        <v>25702.95</v>
      </c>
      <c r="N2603" s="32" t="n">
        <f aca="false">(mw_ye24+mw_ye25)/2</f>
        <v>900</v>
      </c>
      <c r="O2603" s="32" t="n">
        <f aca="false">mw_ye25</f>
        <v>1440</v>
      </c>
      <c r="P2603" s="5" t="s">
        <v>553</v>
      </c>
    </row>
    <row r="2604" customFormat="false" ht="17.15" hidden="false" customHeight="false" outlineLevel="0" collapsed="false">
      <c r="A2604" s="5" t="s">
        <v>554</v>
      </c>
      <c r="B2604" s="0" t="s">
        <v>108</v>
      </c>
      <c r="C2604" s="33" t="n">
        <f aca="false">(mw_ye23+mw_ye24)/2</f>
        <v>240</v>
      </c>
      <c r="D2604" s="33" t="n">
        <f aca="false">(Sens!$C$2603+Sens!$D$2603)/2</f>
        <v>900</v>
      </c>
      <c r="E2604" s="33" t="n">
        <f aca="false">(Sens!$D$2603+Sens!$E$2603)/2</f>
        <v>1760</v>
      </c>
      <c r="F2604" s="33" t="n">
        <f aca="false">(Sens!$E$2603+Sens!$F$2603)/2</f>
        <v>2988.575</v>
      </c>
      <c r="G2604" s="33" t="n">
        <f aca="false">(Sens!$E$2604+Sens!$F$2604)/2</f>
        <v>2374.2875</v>
      </c>
      <c r="H2604" s="33" t="n">
        <f aca="false">(Sens!$G$2603+Sens!$H$2603)/2</f>
        <v>5714.3</v>
      </c>
      <c r="I2604" s="33" t="n">
        <f aca="false">(Sens!$H$2603+Sens!$I$2603)/2</f>
        <v>9348.6</v>
      </c>
      <c r="J2604" s="33" t="n">
        <f aca="false">(Sens!$I$2603+Sens!$J$2603)/2</f>
        <v>12982.9</v>
      </c>
      <c r="K2604" s="33" t="n">
        <f aca="false">(Sens!$J$2603+Sens!$K$2603)/2</f>
        <v>16617.2</v>
      </c>
      <c r="L2604" s="33" t="n">
        <f aca="false">(Sens!$K$2603+Sens!$L$2603)/2</f>
        <v>20251.5</v>
      </c>
      <c r="M2604" s="33" t="n">
        <f aca="false">(Sens!$L$2603+Sens!$M$2603)/2</f>
        <v>23885.8</v>
      </c>
      <c r="N2604" s="33" t="n">
        <f aca="false">(Sens!$C$2603+Sens!$N$2603)/2</f>
        <v>630</v>
      </c>
      <c r="O2604" s="33" t="n">
        <f aca="false">(Sens!$N$2603+Sens!$O$2603)/2</f>
        <v>1170</v>
      </c>
    </row>
    <row r="2605" customFormat="false" ht="15" hidden="false" customHeight="false" outlineLevel="0" collapsed="false">
      <c r="A2605" s="5" t="s">
        <v>555</v>
      </c>
      <c r="B2605" s="5" t="s">
        <v>102</v>
      </c>
      <c r="C2605" s="34" t="n">
        <v>1</v>
      </c>
      <c r="D2605" s="34" t="n">
        <v>1</v>
      </c>
      <c r="E2605" s="34" t="n">
        <v>0.5</v>
      </c>
      <c r="F2605" s="34" t="n">
        <v>0.5</v>
      </c>
      <c r="G2605" s="34" t="n">
        <v>1</v>
      </c>
      <c r="H2605" s="34" t="n">
        <v>1</v>
      </c>
      <c r="I2605" s="34" t="n">
        <v>1</v>
      </c>
      <c r="J2605" s="34" t="n">
        <v>1</v>
      </c>
      <c r="K2605" s="34" t="n">
        <v>1</v>
      </c>
      <c r="L2605" s="34" t="n">
        <v>1</v>
      </c>
      <c r="M2605" s="34" t="n">
        <v>1</v>
      </c>
      <c r="N2605" s="34" t="n">
        <v>0.5</v>
      </c>
      <c r="O2605" s="34" t="n">
        <v>0.5</v>
      </c>
    </row>
    <row r="2606" customFormat="false" ht="17.15" hidden="false" customHeight="false" outlineLevel="0" collapsed="false">
      <c r="A2606" s="5" t="s">
        <v>556</v>
      </c>
      <c r="B2606" s="0" t="s">
        <v>108</v>
      </c>
      <c r="C2606" s="33" t="n">
        <f aca="false">Sens!$C$2603-mw_ye23</f>
        <v>240</v>
      </c>
      <c r="D2606" s="33" t="n">
        <f aca="false">Sens!$D$2603-Sens!$C$2603</f>
        <v>1080</v>
      </c>
      <c r="E2606" s="33" t="n">
        <f aca="false">Sens!$E$2603-Sens!$D$2603</f>
        <v>640</v>
      </c>
      <c r="F2606" s="33" t="n">
        <f aca="false">Sens!$F$2603-Sens!$E$2603</f>
        <v>1817.15</v>
      </c>
      <c r="G2606" s="33" t="n">
        <f aca="false">Sens!$E$2606+Sens!$F$2606</f>
        <v>2457.15</v>
      </c>
      <c r="H2606" s="33" t="n">
        <f aca="false">Sens!$H$2603-Sens!$G$2603</f>
        <v>3634.3</v>
      </c>
      <c r="I2606" s="33" t="n">
        <f aca="false">Sens!$I$2603-Sens!$H$2603</f>
        <v>3634.3</v>
      </c>
      <c r="J2606" s="33" t="n">
        <f aca="false">Sens!$J$2603-Sens!$I$2603</f>
        <v>3634.3</v>
      </c>
      <c r="K2606" s="33" t="n">
        <f aca="false">Sens!$K$2603-Sens!$J$2603</f>
        <v>3634.3</v>
      </c>
      <c r="L2606" s="33" t="n">
        <f aca="false">Sens!$L$2603-Sens!$K$2603</f>
        <v>3634.3</v>
      </c>
      <c r="M2606" s="33" t="n">
        <f aca="false">Sens!$M$2603-Sens!$L$2603</f>
        <v>3634.3</v>
      </c>
      <c r="N2606" s="33" t="n">
        <f aca="false">Sens!$N$2603-Sens!$C$2603</f>
        <v>540</v>
      </c>
      <c r="O2606" s="33" t="n">
        <f aca="false">Sens!$O$2603-Sens!$N$2603</f>
        <v>540</v>
      </c>
    </row>
    <row r="2607" customFormat="false" ht="17.15" hidden="false" customHeight="false" outlineLevel="0" collapsed="false">
      <c r="A2607" s="5" t="s">
        <v>557</v>
      </c>
      <c r="B2607" s="0" t="s">
        <v>108</v>
      </c>
      <c r="C2607" s="33" t="n">
        <f aca="false">Sens!$C$2606/ext_sh</f>
        <v>300</v>
      </c>
      <c r="D2607" s="33" t="n">
        <f aca="false">Sens!$D$2606/ext_sh</f>
        <v>1350</v>
      </c>
      <c r="E2607" s="33" t="n">
        <f aca="false">Sens!$E$2606/ext_sh</f>
        <v>800</v>
      </c>
      <c r="F2607" s="33" t="n">
        <f aca="false">Sens!$F$2606/ext_sh</f>
        <v>2271.4375</v>
      </c>
      <c r="G2607" s="33" t="n">
        <f aca="false">Sens!$G$2606/ext_sh</f>
        <v>3071.4375</v>
      </c>
      <c r="H2607" s="33" t="n">
        <f aca="false">Sens!$H$2606/ext_sh</f>
        <v>4542.875</v>
      </c>
      <c r="I2607" s="33" t="n">
        <f aca="false">Sens!$I$2606/ext_sh</f>
        <v>4542.875</v>
      </c>
      <c r="J2607" s="33" t="n">
        <f aca="false">Sens!$J$2606/ext_sh</f>
        <v>4542.875</v>
      </c>
      <c r="K2607" s="33" t="n">
        <f aca="false">Sens!$K$2606/ext_sh</f>
        <v>4542.875</v>
      </c>
      <c r="L2607" s="33" t="n">
        <f aca="false">Sens!$L$2606/ext_sh</f>
        <v>4542.875</v>
      </c>
      <c r="M2607" s="33" t="n">
        <f aca="false">Sens!$M$2606/ext_sh</f>
        <v>4542.875</v>
      </c>
      <c r="N2607" s="33" t="n">
        <f aca="false">Sens!$N$2606/ext_sh</f>
        <v>675</v>
      </c>
      <c r="O2607" s="33" t="n">
        <f aca="false">Sens!$O$2606/ext_sh</f>
        <v>675</v>
      </c>
      <c r="P2607" s="8" t="s">
        <v>558</v>
      </c>
      <c r="R2607" s="33" t="n">
        <f aca="false">mw_ye23/ext_sh</f>
        <v>150</v>
      </c>
      <c r="S2607" s="33" t="n">
        <f aca="false">Sens!$C$2607</f>
        <v>300</v>
      </c>
      <c r="T2607" s="33" t="n">
        <f aca="false">Sens!$D$2607</f>
        <v>1350</v>
      </c>
      <c r="U2607" s="33" t="n">
        <f aca="false">Sens!$G$2607</f>
        <v>3071.4375</v>
      </c>
      <c r="V2607" s="33" t="n">
        <f aca="false">Sens!$H$2607</f>
        <v>4542.875</v>
      </c>
      <c r="W2607" s="33" t="n">
        <f aca="false">Sens!$I$2607</f>
        <v>4542.875</v>
      </c>
      <c r="X2607" s="33" t="n">
        <f aca="false">Sens!$J$2607</f>
        <v>4542.875</v>
      </c>
      <c r="Y2607" s="33" t="n">
        <f aca="false">Sens!$K$2607</f>
        <v>4542.875</v>
      </c>
      <c r="Z2607" s="33" t="n">
        <f aca="false">Sens!$L$2607</f>
        <v>4542.875</v>
      </c>
      <c r="AA2607" s="33" t="n">
        <f aca="false">Sens!$M$2607</f>
        <v>4542.875</v>
      </c>
    </row>
    <row r="2608" customFormat="false" ht="17.15" hidden="false" customHeight="false" outlineLevel="0" collapsed="false">
      <c r="A2608" s="1" t="s">
        <v>559</v>
      </c>
    </row>
    <row r="2609" customFormat="false" ht="17.15" hidden="false" customHeight="false" outlineLevel="0" collapsed="false">
      <c r="A2609" s="0" t="s">
        <v>560</v>
      </c>
      <c r="B2609" s="0" t="s">
        <v>52</v>
      </c>
      <c r="F2609" s="35" t="n">
        <f aca="false">na_vr26</f>
        <v>0</v>
      </c>
      <c r="G2609" s="35" t="n">
        <f aca="false">na_vr26</f>
        <v>0</v>
      </c>
      <c r="H2609" s="35" t="n">
        <f aca="false">na_vr27</f>
        <v>0.5</v>
      </c>
      <c r="I2609" s="35" t="n">
        <f aca="false">na_vr28</f>
        <v>1</v>
      </c>
      <c r="J2609" s="35" t="n">
        <f aca="false">na_vr28</f>
        <v>1</v>
      </c>
      <c r="K2609" s="35" t="n">
        <f aca="false">na_vr28</f>
        <v>1</v>
      </c>
      <c r="L2609" s="35" t="n">
        <f aca="false">na_vr28</f>
        <v>1</v>
      </c>
      <c r="M2609" s="35" t="n">
        <f aca="false">na_vr28</f>
        <v>1</v>
      </c>
    </row>
    <row r="2610" customFormat="false" ht="17.15" hidden="false" customHeight="false" outlineLevel="0" collapsed="false">
      <c r="A2610" s="5" t="s">
        <v>561</v>
      </c>
      <c r="B2610" s="0" t="s">
        <v>151</v>
      </c>
      <c r="F2610" s="36" t="n">
        <f aca="false">cust_sh*tk_he_gb300*cf_chip+(1-cust_sh)*((1-Sens!$F$2609)*tk_he_gb300+Sens!$F$2609*tk_he_vr200)</f>
        <v>10.8864110021101</v>
      </c>
      <c r="G2610" s="36" t="n">
        <f aca="false">cust_sh*tk_he_gb300*cf_chip+(1-cust_sh)*((1-Sens!$G$2609)*tk_he_gb300+Sens!$G$2609*tk_he_vr200)</f>
        <v>10.8864110021101</v>
      </c>
      <c r="H2610" s="36" t="n">
        <f aca="false">cust_sh*tk_he_gb300*cf_chip+(1-cust_sh)*((1-Sens!$H$2609)*tk_he_gb300+Sens!$H$2609*tk_he_vr200)</f>
        <v>11.2211760027286</v>
      </c>
      <c r="I2610" s="36" t="n">
        <f aca="false">cust_sh*tk_he_gb300*cf_chip+(1-cust_sh)*((1-Sens!$I$2609)*tk_he_gb300+Sens!$I$2609*tk_he_vr200)</f>
        <v>11.5559410033471</v>
      </c>
      <c r="J2610" s="36" t="n">
        <f aca="false">cust_sh*tk_he_gb300*cf_chip+(1-cust_sh)*((1-Sens!$J$2609)*tk_he_gb300+Sens!$J$2609*tk_he_vr200)</f>
        <v>11.5559410033471</v>
      </c>
      <c r="K2610" s="36" t="n">
        <f aca="false">cust_sh*tk_he_gb300*cf_chip+(1-cust_sh)*((1-Sens!$K$2609)*tk_he_gb300+Sens!$K$2609*tk_he_vr200)</f>
        <v>11.5559410033471</v>
      </c>
      <c r="L2610" s="36" t="n">
        <f aca="false">cust_sh*tk_he_gb300*cf_chip+(1-cust_sh)*((1-Sens!$L$2609)*tk_he_gb300+Sens!$L$2609*tk_he_vr200)</f>
        <v>11.5559410033471</v>
      </c>
      <c r="M2610" s="36" t="n">
        <f aca="false">cust_sh*tk_he_gb300*cf_chip+(1-cust_sh)*((1-Sens!$M$2609)*tk_he_gb300+Sens!$M$2609*tk_he_vr200)</f>
        <v>11.5559410033471</v>
      </c>
    </row>
    <row r="2611" customFormat="false" ht="17.15" hidden="false" customHeight="false" outlineLevel="0" collapsed="false">
      <c r="A2611" s="5" t="s">
        <v>562</v>
      </c>
      <c r="B2611" s="0" t="s">
        <v>151</v>
      </c>
      <c r="F2611" s="36" t="n">
        <f aca="false">cust_sh*tk_ox_gb300+(1-cust_sh)*((1-Sens!$F$2609)*tk_ox_gb300+Sens!$F$2609*tk_ox_vr200)</f>
        <v>1.98263481314457</v>
      </c>
      <c r="G2611" s="36" t="n">
        <f aca="false">cust_sh*tk_ox_gb300+(1-cust_sh)*((1-Sens!$G$2609)*tk_ox_gb300+Sens!$G$2609*tk_ox_vr200)</f>
        <v>1.98263481314457</v>
      </c>
      <c r="H2611" s="36" t="n">
        <f aca="false">cust_sh*tk_ox_gb300+(1-cust_sh)*((1-Sens!$H$2609)*tk_ox_gb300+Sens!$H$2609*tk_ox_vr200)</f>
        <v>2.01034999693694</v>
      </c>
      <c r="I2611" s="36" t="n">
        <f aca="false">cust_sh*tk_ox_gb300+(1-cust_sh)*((1-Sens!$I$2609)*tk_ox_gb300+Sens!$I$2609*tk_ox_vr200)</f>
        <v>2.0380651807293</v>
      </c>
      <c r="J2611" s="36" t="n">
        <f aca="false">cust_sh*tk_ox_gb300+(1-cust_sh)*((1-Sens!$J$2609)*tk_ox_gb300+Sens!$J$2609*tk_ox_vr200)</f>
        <v>2.0380651807293</v>
      </c>
      <c r="K2611" s="36" t="n">
        <f aca="false">cust_sh*tk_ox_gb300+(1-cust_sh)*((1-Sens!$K$2609)*tk_ox_gb300+Sens!$K$2609*tk_ox_vr200)</f>
        <v>2.0380651807293</v>
      </c>
      <c r="L2611" s="36" t="n">
        <f aca="false">cust_sh*tk_ox_gb300+(1-cust_sh)*((1-Sens!$L$2609)*tk_ox_gb300+Sens!$L$2609*tk_ox_vr200)</f>
        <v>2.0380651807293</v>
      </c>
      <c r="M2611" s="36" t="n">
        <f aca="false">cust_sh*tk_ox_gb300+(1-cust_sh)*((1-Sens!$M$2609)*tk_ox_gb300+Sens!$M$2609*tk_ox_vr200)</f>
        <v>2.0380651807293</v>
      </c>
    </row>
    <row r="2612" customFormat="false" ht="17.15" hidden="false" customHeight="false" outlineLevel="0" collapsed="false">
      <c r="A2612" s="5" t="s">
        <v>563</v>
      </c>
      <c r="B2612" s="0" t="s">
        <v>170</v>
      </c>
      <c r="F2612" s="36" t="n">
        <f aca="false">cust_sh*tk_cx_gb300*cf_cx+(1-cust_sh)*((1-Sens!$F$2609)*tk_cx_gb300+Sens!$F$2609*tk_cx_vr200)</f>
        <v>32.237224</v>
      </c>
      <c r="G2612" s="36" t="n">
        <f aca="false">cust_sh*tk_cx_gb300*cf_cx+(1-cust_sh)*((1-Sens!$G$2609)*tk_cx_gb300+Sens!$G$2609*tk_cx_vr200)</f>
        <v>32.237224</v>
      </c>
      <c r="H2612" s="36" t="n">
        <f aca="false">cust_sh*tk_cx_gb300*cf_cx+(1-cust_sh)*((1-Sens!$H$2609)*tk_cx_gb300+Sens!$H$2609*tk_cx_vr200)</f>
        <v>33.574506</v>
      </c>
      <c r="I2612" s="36" t="n">
        <f aca="false">cust_sh*tk_cx_gb300*cf_cx+(1-cust_sh)*((1-Sens!$I$2609)*tk_cx_gb300+Sens!$I$2609*tk_cx_vr200)</f>
        <v>34.911788</v>
      </c>
      <c r="J2612" s="36" t="n">
        <f aca="false">cust_sh*tk_cx_gb300*cf_cx+(1-cust_sh)*((1-Sens!$J$2609)*tk_cx_gb300+Sens!$J$2609*tk_cx_vr200)</f>
        <v>34.911788</v>
      </c>
      <c r="K2612" s="36" t="n">
        <f aca="false">cust_sh*tk_cx_gb300*cf_cx+(1-cust_sh)*((1-Sens!$K$2609)*tk_cx_gb300+Sens!$K$2609*tk_cx_vr200)</f>
        <v>34.911788</v>
      </c>
      <c r="L2612" s="36" t="n">
        <f aca="false">cust_sh*tk_cx_gb300*cf_cx+(1-cust_sh)*((1-Sens!$L$2609)*tk_cx_gb300+Sens!$L$2609*tk_cx_vr200)</f>
        <v>34.911788</v>
      </c>
      <c r="M2612" s="36" t="n">
        <f aca="false">cust_sh*tk_cx_gb300*cf_cx+(1-cust_sh)*((1-Sens!$M$2609)*tk_cx_gb300+Sens!$M$2609*tk_cx_vr200)</f>
        <v>34.911788</v>
      </c>
    </row>
    <row r="2613" customFormat="false" ht="17.15" hidden="false" customHeight="false" outlineLevel="0" collapsed="false">
      <c r="A2613" s="5" t="s">
        <v>564</v>
      </c>
      <c r="B2613" s="0" t="s">
        <v>108</v>
      </c>
      <c r="F2613" s="33" t="n">
        <f aca="false">Sens!$F$2603-mw_open</f>
        <v>1817.15</v>
      </c>
      <c r="G2613" s="33" t="n">
        <f aca="false">Sens!$F$2613</f>
        <v>1817.15</v>
      </c>
      <c r="H2613" s="33" t="n">
        <f aca="false">Sens!$H$2603-mw_open</f>
        <v>5451.45</v>
      </c>
      <c r="I2613" s="33" t="n">
        <f aca="false">Sens!$I$2603-mw_open</f>
        <v>9085.75</v>
      </c>
      <c r="J2613" s="33" t="n">
        <f aca="false">Sens!$J$2603-mw_open</f>
        <v>12720.05</v>
      </c>
      <c r="K2613" s="33" t="n">
        <f aca="false">Sens!$K$2603-mw_open</f>
        <v>16354.35</v>
      </c>
      <c r="L2613" s="33" t="n">
        <f aca="false">Sens!$L$2603-mw_open</f>
        <v>19988.65</v>
      </c>
      <c r="M2613" s="33" t="n">
        <f aca="false">Sens!$M$2603-mw_open</f>
        <v>23622.95</v>
      </c>
    </row>
    <row r="2614" customFormat="false" ht="17.15" hidden="false" customHeight="false" outlineLevel="0" collapsed="false">
      <c r="A2614" s="0" t="s">
        <v>565</v>
      </c>
      <c r="B2614" s="0" t="s">
        <v>566</v>
      </c>
      <c r="F2614" s="33" t="n">
        <f aca="false">Sens!$F$2606*Sens!$F$2610</f>
        <v>19782.2417524844</v>
      </c>
      <c r="G2614" s="33" t="n">
        <f aca="false">Sens!$F$2614</f>
        <v>19782.2417524844</v>
      </c>
      <c r="H2614" s="33" t="n">
        <f aca="false">Sens!$G$2614+Sens!$H$2606*Sens!$H$2610</f>
        <v>60563.3616992009</v>
      </c>
      <c r="I2614" s="33" t="n">
        <f aca="false">Sens!$H$2614+Sens!$I$2606*Sens!$I$2610</f>
        <v>102561.118087665</v>
      </c>
      <c r="J2614" s="33" t="n">
        <f aca="false">Sens!$I$2614+Sens!$J$2606*Sens!$J$2610</f>
        <v>144558.87447613</v>
      </c>
      <c r="K2614" s="33" t="n">
        <f aca="false">Sens!$J$2614+Sens!$K$2606*Sens!$K$2610</f>
        <v>186556.630864594</v>
      </c>
      <c r="L2614" s="33" t="n">
        <f aca="false">Sens!$K$2614+Sens!$L$2606*Sens!$L$2610</f>
        <v>228554.387253058</v>
      </c>
      <c r="M2614" s="33" t="n">
        <f aca="false">Sens!$L$2614+Sens!$M$2606*Sens!$M$2610</f>
        <v>270552.143641523</v>
      </c>
    </row>
    <row r="2615" customFormat="false" ht="17.15" hidden="false" customHeight="false" outlineLevel="0" collapsed="false">
      <c r="A2615" s="0" t="s">
        <v>567</v>
      </c>
      <c r="B2615" s="0" t="s">
        <v>566</v>
      </c>
      <c r="F2615" s="33" t="n">
        <f aca="false">Sens!$F$2606*Sens!$F$2611</f>
        <v>3602.74485070566</v>
      </c>
      <c r="G2615" s="33" t="n">
        <f aca="false">Sens!$F$2615</f>
        <v>3602.74485070566</v>
      </c>
      <c r="H2615" s="33" t="n">
        <f aca="false">Sens!$G$2615+Sens!$H$2606*Sens!$H$2611</f>
        <v>10908.9598445736</v>
      </c>
      <c r="I2615" s="33" t="n">
        <f aca="false">Sens!$H$2615+Sens!$I$2606*Sens!$I$2611</f>
        <v>18315.9001308981</v>
      </c>
      <c r="J2615" s="33" t="n">
        <f aca="false">Sens!$I$2615+Sens!$J$2606*Sens!$J$2611</f>
        <v>25722.8404172225</v>
      </c>
      <c r="K2615" s="33" t="n">
        <f aca="false">Sens!$J$2615+Sens!$K$2606*Sens!$K$2611</f>
        <v>33129.780703547</v>
      </c>
      <c r="L2615" s="33" t="n">
        <f aca="false">Sens!$K$2615+Sens!$L$2606*Sens!$L$2611</f>
        <v>40536.7209898715</v>
      </c>
      <c r="M2615" s="33" t="n">
        <f aca="false">Sens!$L$2615+Sens!$M$2606*Sens!$M$2611</f>
        <v>47943.661276196</v>
      </c>
    </row>
    <row r="2616" customFormat="false" ht="17.15" hidden="false" customHeight="false" outlineLevel="0" collapsed="false">
      <c r="A2616" s="5" t="s">
        <v>568</v>
      </c>
      <c r="B2616" s="0" t="s">
        <v>151</v>
      </c>
      <c r="F2616" s="36" t="n">
        <f aca="false">IF(Sens!$F$2613&gt;0,Sens!$F$2614/Sens!$F$2613,Sens!$F$2610)</f>
        <v>10.8864110021101</v>
      </c>
      <c r="G2616" s="36" t="n">
        <f aca="false">IF(Sens!$G$2613&gt;0,Sens!$G$2614/Sens!$G$2613,Sens!$G$2610)</f>
        <v>10.8864110021101</v>
      </c>
      <c r="H2616" s="36" t="n">
        <f aca="false">IF(Sens!$H$2613&gt;0,Sens!$H$2614/Sens!$H$2613,Sens!$H$2610)</f>
        <v>11.1095876691891</v>
      </c>
      <c r="I2616" s="36" t="n">
        <f aca="false">IF(Sens!$I$2613&gt;0,Sens!$I$2614/Sens!$I$2613,Sens!$I$2610)</f>
        <v>11.2881290028523</v>
      </c>
      <c r="J2616" s="36" t="n">
        <f aca="false">IF(Sens!$J$2613&gt;0,Sens!$J$2614/Sens!$J$2613,Sens!$J$2610)</f>
        <v>11.3646467172794</v>
      </c>
      <c r="K2616" s="36" t="n">
        <f aca="false">IF(Sens!$K$2613&gt;0,Sens!$K$2614/Sens!$K$2613,Sens!$K$2610)</f>
        <v>11.4071565586278</v>
      </c>
      <c r="L2616" s="36" t="n">
        <f aca="false">IF(Sens!$L$2613&gt;0,Sens!$L$2614/Sens!$L$2613,Sens!$L$2610)</f>
        <v>11.4342082758495</v>
      </c>
      <c r="M2616" s="36" t="n">
        <f aca="false">IF(Sens!$M$2613&gt;0,Sens!$M$2614/Sens!$M$2613,Sens!$M$2610)</f>
        <v>11.4529363877722</v>
      </c>
    </row>
    <row r="2617" customFormat="false" ht="17.15" hidden="false" customHeight="false" outlineLevel="0" collapsed="false">
      <c r="A2617" s="5" t="s">
        <v>569</v>
      </c>
      <c r="B2617" s="0" t="s">
        <v>151</v>
      </c>
      <c r="F2617" s="36" t="n">
        <f aca="false">IF(Sens!$F$2613&gt;0,Sens!$F$2615/Sens!$F$2613,Sens!$F$2611)</f>
        <v>1.98263481314457</v>
      </c>
      <c r="G2617" s="36" t="n">
        <f aca="false">IF(Sens!$G$2613&gt;0,Sens!$G$2615/Sens!$G$2613,Sens!$G$2611)</f>
        <v>1.98263481314457</v>
      </c>
      <c r="H2617" s="36" t="n">
        <f aca="false">IF(Sens!$H$2613&gt;0,Sens!$H$2615/Sens!$H$2613,Sens!$H$2611)</f>
        <v>2.00111160233948</v>
      </c>
      <c r="I2617" s="36" t="n">
        <f aca="false">IF(Sens!$I$2613&gt;0,Sens!$I$2615/Sens!$I$2613,Sens!$I$2611)</f>
        <v>2.01589303369541</v>
      </c>
      <c r="J2617" s="36" t="n">
        <f aca="false">IF(Sens!$J$2613&gt;0,Sens!$J$2615/Sens!$J$2613,Sens!$J$2611)</f>
        <v>2.02222793284795</v>
      </c>
      <c r="K2617" s="36" t="n">
        <f aca="false">IF(Sens!$K$2613&gt;0,Sens!$K$2615/Sens!$K$2613,Sens!$K$2611)</f>
        <v>2.02574732126603</v>
      </c>
      <c r="L2617" s="36" t="n">
        <f aca="false">IF(Sens!$L$2613&gt;0,Sens!$L$2615/Sens!$L$2613,Sens!$L$2611)</f>
        <v>2.02798693207753</v>
      </c>
      <c r="M2617" s="36" t="n">
        <f aca="false">IF(Sens!$M$2613&gt;0,Sens!$M$2615/Sens!$M$2613,Sens!$M$2611)</f>
        <v>2.02953743187011</v>
      </c>
    </row>
    <row r="2618" customFormat="false" ht="17.15" hidden="false" customHeight="false" outlineLevel="0" collapsed="false">
      <c r="A2618" s="14" t="s">
        <v>570</v>
      </c>
      <c r="B2618" s="13" t="s">
        <v>151</v>
      </c>
      <c r="C2618" s="13"/>
      <c r="D2618" s="13"/>
      <c r="E2618" s="13"/>
      <c r="F2618" s="37" t="n">
        <f aca="false">Sens!$F$2616*k_B</f>
        <v>10.7987645808025</v>
      </c>
      <c r="G2618" s="37" t="n">
        <f aca="false">Sens!$G$2616*k_B</f>
        <v>10.7987645808025</v>
      </c>
      <c r="H2618" s="37" t="n">
        <f aca="false">Sens!$H$2616*k_B</f>
        <v>11.0201444540452</v>
      </c>
      <c r="I2618" s="37" t="n">
        <f aca="false">Sens!$I$2616*k_B</f>
        <v>11.1972483526393</v>
      </c>
      <c r="J2618" s="37" t="n">
        <f aca="false">Sens!$J$2616*k_B</f>
        <v>11.2731500234653</v>
      </c>
      <c r="K2618" s="37" t="n">
        <f aca="false">Sens!$K$2616*k_B</f>
        <v>11.3153176183687</v>
      </c>
      <c r="L2618" s="37" t="n">
        <f aca="false">Sens!$L$2616*k_B</f>
        <v>11.3421515423981</v>
      </c>
      <c r="M2618" s="37" t="n">
        <f aca="false">Sens!$M$2616*k_B</f>
        <v>11.3607288744184</v>
      </c>
      <c r="N2618" s="13"/>
      <c r="O2618" s="13"/>
      <c r="P2618" s="5" t="s">
        <v>571</v>
      </c>
    </row>
    <row r="2619" customFormat="false" ht="17.15" hidden="false" customHeight="false" outlineLevel="0" collapsed="false">
      <c r="A2619" s="5" t="s">
        <v>572</v>
      </c>
      <c r="B2619" s="0" t="s">
        <v>108</v>
      </c>
      <c r="F2619" s="33" t="n">
        <f aca="false">Sens!$F$2613/2</f>
        <v>908.575</v>
      </c>
      <c r="H2619" s="33" t="n">
        <f aca="false">(Sens!$G$2613+Sens!$H$2613)/2</f>
        <v>3634.3</v>
      </c>
      <c r="I2619" s="33" t="n">
        <f aca="false">(Sens!$H$2613+Sens!$I$2613)/2</f>
        <v>7268.6</v>
      </c>
      <c r="J2619" s="33" t="n">
        <f aca="false">(Sens!$I$2613+Sens!$J$2613)/2</f>
        <v>10902.9</v>
      </c>
      <c r="K2619" s="33" t="n">
        <f aca="false">(Sens!$J$2613+Sens!$K$2613)/2</f>
        <v>14537.2</v>
      </c>
      <c r="L2619" s="33" t="n">
        <f aca="false">(Sens!$K$2613+Sens!$L$2613)/2</f>
        <v>18171.5</v>
      </c>
      <c r="M2619" s="33" t="n">
        <f aca="false">(Sens!$L$2613+Sens!$M$2613)/2</f>
        <v>21805.8</v>
      </c>
    </row>
    <row r="2620" customFormat="false" ht="17.15" hidden="false" customHeight="false" outlineLevel="0" collapsed="false">
      <c r="A2620" s="1" t="s">
        <v>573</v>
      </c>
    </row>
    <row r="2621" customFormat="false" ht="17.15" hidden="false" customHeight="false" outlineLevel="0" collapsed="false">
      <c r="A2621" s="1" t="s">
        <v>574</v>
      </c>
      <c r="B2621" s="8" t="s">
        <v>73</v>
      </c>
      <c r="C2621" s="38" t="n">
        <f aca="false">Sens!$C$2604*rpm_open*Sens!$C$2605/1000</f>
        <v>2.32100535697364</v>
      </c>
      <c r="D2621" s="38" t="n">
        <f aca="false">Sens!$D$2604*rpm_open*Sens!$D$2605/1000</f>
        <v>8.70377008865116</v>
      </c>
      <c r="E2621" s="38" t="n">
        <f aca="false">Sens!$E$2604*rpm_open*Sens!$E$2605/1000</f>
        <v>8.51035297557002</v>
      </c>
      <c r="F2621" s="38" t="n">
        <f aca="false">(mw_open*rpm_open+Sens!$F$2619*Sens!$F$2618)*Sens!$F$2605/1000</f>
        <v>14.9634336447205</v>
      </c>
      <c r="G2621" s="38" t="n">
        <f aca="false">Sens!$E$2621+Sens!$F$2621</f>
        <v>23.4737866202905</v>
      </c>
      <c r="H2621" s="38" t="n">
        <f aca="false">(mw_open*rpm_open+Sens!$H$2619*Sens!$H$2618)/1000</f>
        <v>60.1658907497746</v>
      </c>
      <c r="I2621" s="38" t="n">
        <f aca="false">(mw_open*rpm_open+Sens!$I$2619*Sens!$I$2618)/1000</f>
        <v>101.503699136432</v>
      </c>
      <c r="J2621" s="38" t="n">
        <f aca="false">(mw_open*rpm_open+Sens!$J$2619*Sens!$J$2618)/1000</f>
        <v>143.025407151278</v>
      </c>
      <c r="K2621" s="38" t="n">
        <f aca="false">(mw_open*rpm_open+Sens!$K$2619*Sens!$K$2618)/1000</f>
        <v>184.608415042187</v>
      </c>
      <c r="L2621" s="38" t="n">
        <f aca="false">(mw_open*rpm_open+Sens!$L$2619*Sens!$L$2618)/1000</f>
        <v>226.219286513125</v>
      </c>
      <c r="M2621" s="38" t="n">
        <f aca="false">(mw_open*rpm_open+Sens!$M$2619*Sens!$M$2618)/1000</f>
        <v>267.845161450232</v>
      </c>
      <c r="N2621" s="38" t="n">
        <f aca="false">Sens!$N$2604*rpm_open*Sens!$N$2605/1000</f>
        <v>3.04631953102791</v>
      </c>
      <c r="O2621" s="38" t="n">
        <f aca="false">Sens!$O$2604*rpm_open*Sens!$O$2605/1000</f>
        <v>5.65745055762326</v>
      </c>
      <c r="P2621" s="5" t="s">
        <v>575</v>
      </c>
    </row>
    <row r="2622" customFormat="false" ht="17.15" hidden="false" customHeight="false" outlineLevel="0" collapsed="false">
      <c r="A2622" s="5" t="s">
        <v>576</v>
      </c>
      <c r="B2622" s="0" t="s">
        <v>151</v>
      </c>
      <c r="C2622" s="36" t="n">
        <f aca="false">Sens!$C$2621*1000/(Sens!$C$2604*Sens!$C$2605)</f>
        <v>9.67085565405685</v>
      </c>
      <c r="D2622" s="36" t="n">
        <f aca="false">Sens!$D$2621*1000/(Sens!$D$2604*Sens!$D$2605)</f>
        <v>9.67085565405685</v>
      </c>
      <c r="E2622" s="36" t="n">
        <f aca="false">Sens!$E$2621*1000/(Sens!$E$2604*Sens!$E$2605)</f>
        <v>9.67085565405685</v>
      </c>
      <c r="F2622" s="36" t="n">
        <f aca="false">Sens!$F$2621*1000/(Sens!$F$2604*Sens!$F$2605)</f>
        <v>10.0137581588017</v>
      </c>
      <c r="G2622" s="36" t="n">
        <f aca="false">Sens!$G$2621*1000/(Sens!$G$2604*Sens!$G$2605)</f>
        <v>9.88666562928478</v>
      </c>
      <c r="H2622" s="36" t="n">
        <f aca="false">Sens!$H$2621*1000/(Sens!$H$2604*Sens!$H$2605)</f>
        <v>10.5290045586992</v>
      </c>
      <c r="I2622" s="36" t="n">
        <f aca="false">Sens!$I$2621*1000/(Sens!$I$2604*Sens!$I$2605)</f>
        <v>10.8576363451674</v>
      </c>
      <c r="J2622" s="36" t="n">
        <f aca="false">Sens!$J$2621*1000/(Sens!$J$2604*Sens!$J$2605)</f>
        <v>11.0164452588619</v>
      </c>
      <c r="K2622" s="36" t="n">
        <f aca="false">Sens!$K$2621*1000/(Sens!$K$2604*Sens!$K$2605)</f>
        <v>11.1094778327388</v>
      </c>
      <c r="L2622" s="36" t="n">
        <f aca="false">Sens!$L$2621*1000/(Sens!$L$2604*Sens!$L$2605)</f>
        <v>11.1704953466718</v>
      </c>
      <c r="M2622" s="36" t="n">
        <f aca="false">Sens!$M$2621*1000/(Sens!$M$2604*Sens!$M$2605)</f>
        <v>11.2135729785158</v>
      </c>
      <c r="N2622" s="36" t="n">
        <f aca="false">Sens!$N$2621*1000/(Sens!$N$2604*Sens!$N$2605)</f>
        <v>9.67085565405685</v>
      </c>
      <c r="O2622" s="36" t="n">
        <f aca="false">Sens!$O$2621*1000/(Sens!$O$2604*Sens!$O$2605)</f>
        <v>9.67085565405685</v>
      </c>
    </row>
    <row r="2623" customFormat="false" ht="17.15" hidden="false" customHeight="false" outlineLevel="0" collapsed="false">
      <c r="A2623" s="0" t="s">
        <v>577</v>
      </c>
      <c r="B2623" s="0" t="s">
        <v>73</v>
      </c>
      <c r="C2623" s="38" t="n">
        <f aca="false">Sens!$C$2604/ext_sh*(ox_open+rent_mw)*Sens!$C$2605/1000</f>
        <v>0.642569210675032</v>
      </c>
      <c r="D2623" s="38" t="n">
        <f aca="false">Sens!$D$2604/ext_sh*(ox_open+rent_mw)*Sens!$D$2605/1000</f>
        <v>2.40963454003137</v>
      </c>
      <c r="E2623" s="38" t="n">
        <f aca="false">Sens!$E$2604/ext_sh*(ox_open+rent_mw)*Sens!$E$2605/1000</f>
        <v>2.35608710580845</v>
      </c>
      <c r="F2623" s="38" t="n">
        <f aca="false">((mw_open*ox_open+Sens!$F$2619*Sens!$F$2617)/ext_sh+Sens!$F$2604/ext_sh*rent_mw)*Sens!$F$2605/1000</f>
        <v>4.05421991106232</v>
      </c>
      <c r="G2623" s="38" t="n">
        <f aca="false">Sens!$E$2623+Sens!$F$2623</f>
        <v>6.41030701687077</v>
      </c>
      <c r="H2623" s="38" t="n">
        <f aca="false">((mw_open*ox_open+Sens!$H$2619*Sens!$H$2617)/ext_sh+Sens!$H$2604/ext_sh*rent_mw)*Sens!$H$2605/1000</f>
        <v>15.8108975546616</v>
      </c>
      <c r="I2623" s="38" t="n">
        <f aca="false">((mw_open*ox_open+Sens!$I$2619*Sens!$I$2617)/ext_sh+Sens!$I$2604/ext_sh*rent_mw)*Sens!$I$2605/1000</f>
        <v>26.1871623400817</v>
      </c>
      <c r="J2623" s="38" t="n">
        <f aca="false">((mw_open*ox_open+Sens!$J$2619*Sens!$J$2617)/ext_sh+Sens!$J$2604/ext_sh*rent_mw)*Sens!$J$2605/1000</f>
        <v>36.5826128954935</v>
      </c>
      <c r="K2623" s="38" t="n">
        <f aca="false">((mw_open*ox_open+Sens!$K$2619*Sens!$K$2617)/ext_sh+Sens!$K$2604/ext_sh*rent_mw)*Sens!$K$2605/1000</f>
        <v>46.9844587075692</v>
      </c>
      <c r="L2623" s="38" t="n">
        <f aca="false">((mw_open*ox_open+Sens!$L$2619*Sens!$L$2617)/ext_sh+Sens!$L$2604/ext_sh*rent_mw)*Sens!$L$2605/1000</f>
        <v>57.3892114544922</v>
      </c>
      <c r="M2623" s="38" t="n">
        <f aca="false">((mw_open*ox_open+Sens!$M$2619*Sens!$M$2617)/ext_sh+Sens!$M$2604/ext_sh*rent_mw)*Sens!$M$2605/1000</f>
        <v>67.7955294740252</v>
      </c>
      <c r="N2623" s="38" t="n">
        <f aca="false">Sens!$N$2604/ext_sh*(ox_open+rent_mw)*Sens!$N$2605/1000</f>
        <v>0.84337208901098</v>
      </c>
      <c r="O2623" s="38" t="n">
        <f aca="false">Sens!$O$2604/ext_sh*(ox_open+rent_mw)*Sens!$O$2605/1000</f>
        <v>1.56626245102039</v>
      </c>
    </row>
    <row r="2624" customFormat="false" ht="17.15" hidden="false" customHeight="false" outlineLevel="0" collapsed="false">
      <c r="A2624" s="0" t="s">
        <v>578</v>
      </c>
      <c r="B2624" s="0" t="s">
        <v>73</v>
      </c>
      <c r="C2624" s="38" t="n">
        <f aca="false">Q!$D$7</f>
        <v>107.556</v>
      </c>
      <c r="D2624" s="38" t="n">
        <f aca="false">Q!$E$7</f>
        <v>128.725</v>
      </c>
      <c r="E2624" s="38" t="n">
        <f aca="false">Q!$P$7</f>
        <v>79.819</v>
      </c>
      <c r="N2624" s="38" t="n">
        <f aca="false">Q!$N$7</f>
        <v>60.14</v>
      </c>
      <c r="O2624" s="38" t="n">
        <f aca="false">Q!$O$7</f>
        <v>68.585</v>
      </c>
    </row>
    <row r="2625" customFormat="false" ht="17.15" hidden="false" customHeight="false" outlineLevel="0" collapsed="false">
      <c r="A2625" s="1" t="s">
        <v>579</v>
      </c>
      <c r="B2625" s="8" t="s">
        <v>73</v>
      </c>
      <c r="C2625" s="38" t="n">
        <f aca="false">Sens!$C$2624-Sens!$C$2621</f>
        <v>105.234994643026</v>
      </c>
      <c r="D2625" s="38" t="n">
        <f aca="false">Sens!$D$2624-Sens!$D$2621</f>
        <v>120.021229911349</v>
      </c>
      <c r="E2625" s="38" t="n">
        <f aca="false">Sens!$E$2624-Sens!$E$2621</f>
        <v>71.30864702443</v>
      </c>
      <c r="F2625" s="38" t="n">
        <f aca="false">Sens!$O$2625*(1+Sens!$F$2626)</f>
        <v>78.5950104186653</v>
      </c>
      <c r="G2625" s="38" t="n">
        <f aca="false">Sens!$E$2625+Sens!$F$2625</f>
        <v>149.903657443095</v>
      </c>
      <c r="H2625" s="38" t="n">
        <f aca="false">Sens!$G$2625*(1+Sens!$H$2626)</f>
        <v>179.769283337318</v>
      </c>
      <c r="I2625" s="38" t="n">
        <f aca="false">Sens!$H$2625*(1+Sens!$I$2626)</f>
        <v>206.642650286014</v>
      </c>
      <c r="J2625" s="38" t="n">
        <f aca="false">Sens!$I$2625*(1+Sens!$J$2626)</f>
        <v>227.254024176635</v>
      </c>
      <c r="K2625" s="38" t="n">
        <f aca="false">Sens!$J$2625*(1+Sens!$K$2626)</f>
        <v>238.616725385466</v>
      </c>
      <c r="L2625" s="38" t="n">
        <f aca="false">Sens!$K$2625*(1+Sens!$L$2626)</f>
        <v>250.54756165474</v>
      </c>
      <c r="M2625" s="38" t="n">
        <f aca="false">Sens!$L$2625*(1+Sens!$M$2626)</f>
        <v>263.074939737477</v>
      </c>
      <c r="N2625" s="38" t="n">
        <f aca="false">Sens!$N$2624-Sens!$N$2621</f>
        <v>57.0936804689721</v>
      </c>
      <c r="O2625" s="38" t="n">
        <f aca="false">Sens!$O$2624-Sens!$O$2621</f>
        <v>62.9275494423768</v>
      </c>
      <c r="P2625" s="5" t="s">
        <v>580</v>
      </c>
    </row>
    <row r="2626" customFormat="false" ht="17.15" hidden="false" customHeight="false" outlineLevel="0" collapsed="false">
      <c r="A2626" s="0" t="s">
        <v>581</v>
      </c>
      <c r="B2626" s="0" t="s">
        <v>52</v>
      </c>
      <c r="E2626" s="12" t="n">
        <f aca="false">Sens!$E$2625/Sens!$N$2625-1</f>
        <v>0.248976181579029</v>
      </c>
      <c r="F2626" s="12" t="n">
        <f aca="false">Sens!$E$2626</f>
        <v>0.248976181579029</v>
      </c>
      <c r="G2626" s="12" t="n">
        <f aca="false">Sens!$G$2625/Sens!$D$2625-1</f>
        <v>0.248976181579029</v>
      </c>
      <c r="H2626" s="12" t="n">
        <f aca="false">Sens!$E$2626+(g_awso_lt_lo-Sens!$E$2626)*1/4</f>
        <v>0.199232136184272</v>
      </c>
      <c r="I2626" s="12" t="n">
        <f aca="false">Sens!$E$2626+(g_awso_lt_lo-Sens!$E$2626)*2/4</f>
        <v>0.149488090789515</v>
      </c>
      <c r="J2626" s="12" t="n">
        <f aca="false">Sens!$E$2626+(g_awso_lt_lo-Sens!$E$2626)*3/4</f>
        <v>0.0997440453947573</v>
      </c>
      <c r="K2626" s="12" t="n">
        <f aca="false">Sens!$E$2626+(g_awso_lt_lo-Sens!$E$2626)*4/4</f>
        <v>0.05</v>
      </c>
      <c r="L2626" s="12" t="n">
        <f aca="false">g_awso_lt_lo</f>
        <v>0.05</v>
      </c>
      <c r="M2626" s="12" t="n">
        <f aca="false">g_awso_lt_lo</f>
        <v>0.05</v>
      </c>
      <c r="P2626" s="8" t="s">
        <v>582</v>
      </c>
    </row>
    <row r="2627" customFormat="false" ht="17.15" hidden="false" customHeight="false" outlineLevel="0" collapsed="false">
      <c r="A2627" s="1" t="s">
        <v>583</v>
      </c>
    </row>
    <row r="2628" customFormat="false" ht="17.15" hidden="false" customHeight="false" outlineLevel="0" collapsed="false">
      <c r="A2628" s="0" t="s">
        <v>584</v>
      </c>
      <c r="B2628" s="0" t="s">
        <v>73</v>
      </c>
      <c r="F2628" s="38" t="n">
        <f aca="false">cx_rt*Sens!$F$2594+cx_awso*Sens!$F$2625</f>
        <v>36.8045765066526</v>
      </c>
    </row>
    <row r="2629" customFormat="false" ht="17.15" hidden="false" customHeight="false" outlineLevel="0" collapsed="false">
      <c r="A2629" s="0" t="s">
        <v>585</v>
      </c>
      <c r="B2629" s="0" t="s">
        <v>52</v>
      </c>
      <c r="C2629" s="12" t="n">
        <f aca="false">tk_cx_h100/(tk_cx_h100+tk_fac*(1-colo_sh))</f>
        <v>0.730756458006641</v>
      </c>
      <c r="D2629" s="12" t="n">
        <f aca="false">tk_cx_h100/(tk_cx_h100+tk_fac*(1-colo_sh))</f>
        <v>0.730756458006641</v>
      </c>
      <c r="E2629" s="12" t="n">
        <f aca="false">Sens!$F$2629</f>
        <v>0.760792334328868</v>
      </c>
      <c r="F2629" s="12" t="n">
        <f aca="false">Sens!$F$2612/(Sens!$F$2612+tk_fac*(1-colo_sh))</f>
        <v>0.760792334328868</v>
      </c>
      <c r="G2629" s="12" t="n">
        <f aca="false">Sens!$G$2612/(Sens!$G$2612+tk_fac*(1-colo_sh))</f>
        <v>0.760792334328868</v>
      </c>
      <c r="H2629" s="12" t="n">
        <f aca="false">Sens!$H$2612/(Sens!$H$2612+tk_fac*(1-colo_sh))</f>
        <v>0.768110668862996</v>
      </c>
      <c r="I2629" s="12" t="n">
        <f aca="false">Sens!$I$2612/(Sens!$I$2612+tk_fac*(1-colo_sh))</f>
        <v>0.77499450139483</v>
      </c>
      <c r="J2629" s="12" t="n">
        <f aca="false">Sens!$J$2612/(Sens!$J$2612+tk_fac*(1-colo_sh))</f>
        <v>0.77499450139483</v>
      </c>
      <c r="K2629" s="12" t="n">
        <f aca="false">Sens!$K$2612/(Sens!$K$2612+tk_fac*(1-colo_sh))</f>
        <v>0.77499450139483</v>
      </c>
      <c r="L2629" s="12" t="n">
        <f aca="false">Sens!$L$2612/(Sens!$L$2612+tk_fac*(1-colo_sh))</f>
        <v>0.77499450139483</v>
      </c>
      <c r="M2629" s="12" t="n">
        <f aca="false">Sens!$M$2612/(Sens!$M$2612+tk_fac*(1-colo_sh))</f>
        <v>0.77499450139483</v>
      </c>
    </row>
    <row r="2630" customFormat="false" ht="17.15" hidden="false" customHeight="false" outlineLevel="0" collapsed="false">
      <c r="A2630" s="1" t="s">
        <v>586</v>
      </c>
      <c r="B2630" s="8" t="s">
        <v>73</v>
      </c>
      <c r="C2630" s="38" t="n">
        <f aca="false">Q!$D$46-cx_rt*Q!$D$16-cx_awso*Sens!$C$2625</f>
        <v>25.2781053077374</v>
      </c>
      <c r="D2630" s="38" t="n">
        <f aca="false">Q!$E$46-cx_rt*Q!$E$16-cx_awso*Sens!$D$2625</f>
        <v>69.5686316310026</v>
      </c>
      <c r="E2630" s="38" t="n">
        <f aca="false">Q!$P$46-cx_rt*Q!$P$16-cx_awso*Sens!$E$2625</f>
        <v>64.1899206485108</v>
      </c>
      <c r="F2630" s="38" t="n">
        <f aca="false">MAX(Sens!$F$2607*(Sens!$F$2612+tk_fac*(1-colo_sh))/1000,capex_g26-Q!$P$46-Sens!$F$2628)</f>
        <v>96.2481299895</v>
      </c>
      <c r="G2630" s="38" t="n">
        <f aca="false">Sens!$E$2630+Sens!$F$2630</f>
        <v>160.438050638011</v>
      </c>
      <c r="H2630" s="38" t="n">
        <f aca="false">Sens!$H$2607*(Sens!$H$2612+tk_fac*(1-colo_sh))/1000+Sens!$H$2631</f>
        <v>198.57136494475</v>
      </c>
      <c r="I2630" s="38" t="n">
        <f aca="false">Sens!$I$2607*(Sens!$I$2612+tk_fac*(1-colo_sh))/1000+Sens!$I$2631</f>
        <v>204.6464699105</v>
      </c>
      <c r="J2630" s="38" t="n">
        <f aca="false">Sens!$J$2607*(Sens!$J$2612+tk_fac*(1-colo_sh))/1000+Sens!$J$2631</f>
        <v>209.8832381105</v>
      </c>
      <c r="K2630" s="38" t="n">
        <f aca="false">Sens!$K$2607*(Sens!$K$2612+tk_fac*(1-colo_sh))/1000+Sens!$K$2631</f>
        <v>215.1200063105</v>
      </c>
      <c r="L2630" s="38" t="n">
        <f aca="false">Sens!$L$2607*(Sens!$L$2612+tk_fac*(1-colo_sh))/1000+Sens!$L$2631</f>
        <v>251.7773837105</v>
      </c>
      <c r="M2630" s="38" t="n">
        <f aca="false">Sens!$M$2607*(Sens!$M$2612+tk_fac*(1-colo_sh))/1000+Sens!$M$2631</f>
        <v>311.87584476575</v>
      </c>
      <c r="P2630" s="5" t="s">
        <v>587</v>
      </c>
      <c r="R2630" s="38" t="n">
        <f aca="false">Q!$C$46-cx_rt*Q!$C$16-cx_awso*(Q!$C$7-mw_ye23/2*rpm_open/1000)</f>
        <v>1.50429979529945</v>
      </c>
      <c r="S2630" s="38" t="n">
        <f aca="false">Sens!$C$2630</f>
        <v>25.2781053077374</v>
      </c>
      <c r="T2630" s="38" t="n">
        <f aca="false">Sens!$D$2630</f>
        <v>69.5686316310026</v>
      </c>
      <c r="U2630" s="38" t="n">
        <f aca="false">Sens!$G$2630</f>
        <v>160.438050638011</v>
      </c>
      <c r="V2630" s="38" t="n">
        <f aca="false">Sens!$H$2630</f>
        <v>198.57136494475</v>
      </c>
      <c r="W2630" s="38" t="n">
        <f aca="false">Sens!$I$2630</f>
        <v>204.6464699105</v>
      </c>
      <c r="X2630" s="38" t="n">
        <f aca="false">Sens!$J$2630</f>
        <v>209.8832381105</v>
      </c>
      <c r="Y2630" s="38" t="n">
        <f aca="false">Sens!$K$2630</f>
        <v>215.1200063105</v>
      </c>
      <c r="Z2630" s="38" t="n">
        <f aca="false">Sens!$L$2630</f>
        <v>251.7773837105</v>
      </c>
      <c r="AA2630" s="38" t="n">
        <f aca="false">Sens!$M$2630</f>
        <v>311.87584476575</v>
      </c>
    </row>
    <row r="2631" customFormat="false" ht="17.15" hidden="false" customHeight="false" outlineLevel="0" collapsed="false">
      <c r="A2631" s="0" t="s">
        <v>588</v>
      </c>
      <c r="B2631" s="0" t="s">
        <v>73</v>
      </c>
      <c r="H2631" s="38" t="n">
        <f aca="false">SUMPRODUCT(--(Sens!$R$2601:$AA$2601=2027-tk_life),Sens!$R$2607:$AA$2607)*Sens!$H$2612/1000</f>
        <v>0</v>
      </c>
      <c r="I2631" s="38" t="n">
        <f aca="false">SUMPRODUCT(--(Sens!$R$2601:$AA$2601=2028-tk_life),Sens!$R$2607:$AA$2607)*Sens!$I$2612/1000</f>
        <v>0</v>
      </c>
      <c r="J2631" s="38" t="n">
        <f aca="false">SUMPRODUCT(--(Sens!$R$2601:$AA$2601=2029-tk_life),Sens!$R$2607:$AA$2607)*Sens!$J$2612/1000</f>
        <v>5.2367682</v>
      </c>
      <c r="K2631" s="38" t="n">
        <f aca="false">SUMPRODUCT(--(Sens!$R$2601:$AA$2601=2030-tk_life),Sens!$R$2607:$AA$2607)*Sens!$K$2612/1000</f>
        <v>10.4735364</v>
      </c>
      <c r="L2631" s="38" t="n">
        <f aca="false">SUMPRODUCT(--(Sens!$R$2601:$AA$2601=2031-tk_life),Sens!$R$2607:$AA$2607)*Sens!$L$2612/1000</f>
        <v>47.1309138</v>
      </c>
      <c r="M2631" s="38" t="n">
        <f aca="false">SUMPRODUCT(--(Sens!$R$2601:$AA$2601=2032-tk_life),Sens!$R$2607:$AA$2607)*Sens!$M$2612/1000</f>
        <v>107.22937485525</v>
      </c>
    </row>
    <row r="2632" customFormat="false" ht="17.15" hidden="false" customHeight="false" outlineLevel="0" collapsed="false">
      <c r="A2632" s="5" t="s">
        <v>589</v>
      </c>
      <c r="B2632" s="0" t="s">
        <v>73</v>
      </c>
      <c r="C2632" s="38" t="n">
        <f aca="false">Sens!$C$2630*Sens!$C$2629</f>
        <v>18.472138699801</v>
      </c>
      <c r="D2632" s="38" t="n">
        <f aca="false">Sens!$D$2630*Sens!$D$2629</f>
        <v>50.8377268390402</v>
      </c>
      <c r="E2632" s="38" t="n">
        <f aca="false">Sens!$E$2630*Sens!$E$2629</f>
        <v>48.8351995705653</v>
      </c>
      <c r="F2632" s="38" t="n">
        <f aca="false">Sens!$F$2630*Sens!$F$2629</f>
        <v>73.2248394895</v>
      </c>
      <c r="G2632" s="38" t="n">
        <f aca="false">Sens!$E$2632+Sens!$F$2632</f>
        <v>122.060039060065</v>
      </c>
      <c r="H2632" s="38" t="n">
        <f aca="false">(Sens!$H$2630-Sens!$H$2631)*Sens!$H$2629+Sens!$H$2631</f>
        <v>152.52478394475</v>
      </c>
      <c r="I2632" s="38" t="n">
        <f aca="false">(Sens!$I$2630-Sens!$I$2631)*Sens!$I$2629+Sens!$I$2631</f>
        <v>158.5998889105</v>
      </c>
      <c r="J2632" s="38" t="n">
        <f aca="false">(Sens!$J$2630-Sens!$J$2631)*Sens!$J$2629+Sens!$J$2631</f>
        <v>163.8366571105</v>
      </c>
      <c r="K2632" s="38" t="n">
        <f aca="false">(Sens!$K$2630-Sens!$K$2631)*Sens!$K$2629+Sens!$K$2631</f>
        <v>169.0734253105</v>
      </c>
      <c r="L2632" s="38" t="n">
        <f aca="false">(Sens!$L$2630-Sens!$L$2631)*Sens!$L$2629+Sens!$L$2631</f>
        <v>205.7308027105</v>
      </c>
      <c r="M2632" s="38" t="n">
        <f aca="false">(Sens!$M$2630-Sens!$M$2631)*Sens!$M$2629+Sens!$M$2631</f>
        <v>265.82926376575</v>
      </c>
      <c r="R2632" s="38" t="n">
        <f aca="false">Sens!$R$2630*Sens!$C$2629</f>
        <v>1.09927679019314</v>
      </c>
      <c r="S2632" s="38" t="n">
        <f aca="false">Sens!$C$2632</f>
        <v>18.472138699801</v>
      </c>
      <c r="T2632" s="38" t="n">
        <f aca="false">Sens!$D$2632</f>
        <v>50.8377268390402</v>
      </c>
      <c r="U2632" s="38" t="n">
        <f aca="false">Sens!$G$2632</f>
        <v>122.060039060065</v>
      </c>
      <c r="V2632" s="38" t="n">
        <f aca="false">Sens!$H$2632</f>
        <v>152.52478394475</v>
      </c>
      <c r="W2632" s="38" t="n">
        <f aca="false">Sens!$I$2632</f>
        <v>158.5998889105</v>
      </c>
      <c r="X2632" s="38" t="n">
        <f aca="false">Sens!$J$2632</f>
        <v>163.8366571105</v>
      </c>
      <c r="Y2632" s="38" t="n">
        <f aca="false">Sens!$K$2632</f>
        <v>169.0734253105</v>
      </c>
      <c r="Z2632" s="38" t="n">
        <f aca="false">Sens!$L$2632</f>
        <v>205.7308027105</v>
      </c>
      <c r="AA2632" s="38" t="n">
        <f aca="false">Sens!$M$2632</f>
        <v>265.82926376575</v>
      </c>
    </row>
    <row r="2633" customFormat="false" ht="15" hidden="false" customHeight="false" outlineLevel="0" collapsed="false">
      <c r="A2633" s="5" t="s">
        <v>590</v>
      </c>
      <c r="B2633" s="0" t="s">
        <v>73</v>
      </c>
      <c r="C2633" s="38" t="n">
        <f aca="false">Sens!$C$2630-Sens!$C$2632</f>
        <v>6.80596660793636</v>
      </c>
      <c r="D2633" s="38" t="n">
        <f aca="false">Sens!$D$2630-Sens!$D$2632</f>
        <v>18.7309047919624</v>
      </c>
      <c r="E2633" s="38" t="n">
        <f aca="false">Sens!$E$2630-Sens!$E$2632</f>
        <v>15.3547210779455</v>
      </c>
      <c r="F2633" s="38" t="n">
        <f aca="false">Sens!$F$2630-Sens!$F$2632</f>
        <v>23.0232905</v>
      </c>
      <c r="G2633" s="38" t="n">
        <f aca="false">Sens!$G$2630-Sens!$G$2632</f>
        <v>38.3780115779455</v>
      </c>
      <c r="H2633" s="38" t="n">
        <f aca="false">Sens!$H$2630-Sens!$H$2632</f>
        <v>46.046581</v>
      </c>
      <c r="I2633" s="38" t="n">
        <f aca="false">Sens!$I$2630-Sens!$I$2632</f>
        <v>46.046581</v>
      </c>
      <c r="J2633" s="38" t="n">
        <f aca="false">Sens!$J$2630-Sens!$J$2632</f>
        <v>46.046581</v>
      </c>
      <c r="K2633" s="38" t="n">
        <f aca="false">Sens!$K$2630-Sens!$K$2632</f>
        <v>46.046581</v>
      </c>
      <c r="L2633" s="38" t="n">
        <f aca="false">Sens!$L$2630-Sens!$L$2632</f>
        <v>46.046581</v>
      </c>
      <c r="M2633" s="38" t="n">
        <f aca="false">Sens!$M$2630-Sens!$M$2632</f>
        <v>46.046581</v>
      </c>
      <c r="R2633" s="38" t="n">
        <f aca="false">Sens!$R$2630-Sens!$R$2632</f>
        <v>0.405023005106309</v>
      </c>
      <c r="S2633" s="38" t="n">
        <f aca="false">Sens!$S$2630-Sens!$S$2632</f>
        <v>6.80596660793636</v>
      </c>
      <c r="T2633" s="38" t="n">
        <f aca="false">Sens!$T$2630-Sens!$T$2632</f>
        <v>18.7309047919624</v>
      </c>
      <c r="U2633" s="38" t="n">
        <f aca="false">Sens!$U$2630-Sens!$U$2632</f>
        <v>38.3780115779455</v>
      </c>
      <c r="V2633" s="38" t="n">
        <f aca="false">Sens!$V$2630-Sens!$V$2632</f>
        <v>46.046581</v>
      </c>
      <c r="W2633" s="38" t="n">
        <f aca="false">Sens!$W$2630-Sens!$W$2632</f>
        <v>46.046581</v>
      </c>
      <c r="X2633" s="38" t="n">
        <f aca="false">Sens!$X$2630-Sens!$X$2632</f>
        <v>46.046581</v>
      </c>
      <c r="Y2633" s="38" t="n">
        <f aca="false">Sens!$Y$2630-Sens!$Y$2632</f>
        <v>46.046581</v>
      </c>
      <c r="Z2633" s="38" t="n">
        <f aca="false">Sens!$Z$2630-Sens!$Z$2632</f>
        <v>46.046581</v>
      </c>
      <c r="AA2633" s="38" t="n">
        <f aca="false">Sens!$AA$2630-Sens!$AA$2632</f>
        <v>46.046581</v>
      </c>
    </row>
    <row r="2634" customFormat="false" ht="17.15" hidden="false" customHeight="false" outlineLevel="0" collapsed="false">
      <c r="A2634" s="0" t="s">
        <v>591</v>
      </c>
      <c r="B2634" s="0" t="s">
        <v>52</v>
      </c>
      <c r="C2634" s="12" t="n">
        <f aca="false">Sens!$C$2630/Sens!$C$2746</f>
        <v>0.325505489553393</v>
      </c>
      <c r="D2634" s="12" t="n">
        <f aca="false">Sens!$D$2630/Sens!$D$2746</f>
        <v>0.54214956071542</v>
      </c>
      <c r="E2634" s="12" t="n">
        <f aca="false">Sens!$E$2630/Sens!$E$2746</f>
        <v>0.666492790452817</v>
      </c>
      <c r="F2634" s="12" t="n">
        <f aca="false">Sens!$F$2630/Sens!$F$2746</f>
        <v>0.723383481058938</v>
      </c>
      <c r="G2634" s="12" t="n">
        <f aca="false">Sens!$G$2630/Sens!$G$2746</f>
        <v>0.699494931364102</v>
      </c>
      <c r="H2634" s="12" t="n">
        <f aca="false">Sens!$H$2630/Sens!$H$2746</f>
        <v>0.715198096152967</v>
      </c>
      <c r="I2634" s="12" t="n">
        <f aca="false">Sens!$I$2630/Sens!$I$2746</f>
        <v>0.6981344640788</v>
      </c>
      <c r="J2634" s="12" t="n">
        <f aca="false">Sens!$J$2630/Sens!$J$2746</f>
        <v>0.685355242324381</v>
      </c>
      <c r="K2634" s="12" t="n">
        <f aca="false">Sens!$K$2630/Sens!$K$2746</f>
        <v>0.678511587670204</v>
      </c>
      <c r="L2634" s="12" t="n">
        <f aca="false">Sens!$L$2630/Sens!$L$2746</f>
        <v>0.700122985627347</v>
      </c>
      <c r="M2634" s="12" t="n">
        <f aca="false">Sens!$M$2630/Sens!$M$2746</f>
        <v>0.732104206829894</v>
      </c>
    </row>
    <row r="2635" customFormat="false" ht="17.15" hidden="false" customHeight="false" outlineLevel="0" collapsed="false">
      <c r="A2635" s="0" t="s">
        <v>592</v>
      </c>
      <c r="B2635" s="0" t="s">
        <v>73</v>
      </c>
      <c r="C2635" s="38" t="n">
        <f aca="false">Sens!$S$2635</f>
        <v>0.183212798365523</v>
      </c>
      <c r="D2635" s="38" t="n">
        <f aca="false">Sens!$T$2635</f>
        <v>3.2619025816657</v>
      </c>
      <c r="E2635" s="38" t="n">
        <f aca="false">Sens!$G$2635/2</f>
        <v>5.86742852741953</v>
      </c>
      <c r="F2635" s="38" t="n">
        <f aca="false">Sens!$G$2635/2</f>
        <v>5.86742852741953</v>
      </c>
      <c r="G2635" s="38" t="n">
        <f aca="false">Sens!$U$2635</f>
        <v>11.7348570548391</v>
      </c>
      <c r="H2635" s="38" t="n">
        <f aca="false">Sens!$V$2635</f>
        <v>32.0781968981833</v>
      </c>
      <c r="I2635" s="38" t="n">
        <f aca="false">Sens!$W$2635</f>
        <v>57.4989942223083</v>
      </c>
      <c r="J2635" s="38" t="n">
        <f aca="false">Sens!$X$2635</f>
        <v>83.932309040725</v>
      </c>
      <c r="K2635" s="38" t="n">
        <f aca="false">Sens!$Y$2635</f>
        <v>111.055205760776</v>
      </c>
      <c r="L2635" s="38" t="n">
        <f aca="false">Sens!$Z$2635</f>
        <v>136.155420195893</v>
      </c>
      <c r="M2635" s="38" t="n">
        <f aca="false">Sens!$AA$2635</f>
        <v>161.970932841136</v>
      </c>
      <c r="N2635" s="38" t="n">
        <f aca="false">Sens!$D$2635/2</f>
        <v>1.63095129083285</v>
      </c>
      <c r="O2635" s="38" t="n">
        <f aca="false">Sens!$D$2635/2</f>
        <v>1.63095129083285</v>
      </c>
      <c r="R2635" s="38" t="n">
        <f aca="false">SUMPRODUCT(--(Sens!$R$2601:$AA$2601&lt;Sens!R$2601),--(Sens!$R$2601:$AA$2601&gt;=Sens!R$2601-tk_life),Sens!$R$2632:$AA$2632)/tk_life</f>
        <v>0</v>
      </c>
      <c r="S2635" s="38" t="n">
        <f aca="false">SUMPRODUCT(--(Sens!$R$2601:$AA$2601&lt;Sens!S$2601),--(Sens!$R$2601:$AA$2601&gt;=Sens!S$2601-tk_life),Sens!$R$2632:$AA$2632)/tk_life</f>
        <v>0.183212798365523</v>
      </c>
      <c r="T2635" s="38" t="n">
        <f aca="false">SUMPRODUCT(--(Sens!$R$2601:$AA$2601&lt;Sens!T$2601),--(Sens!$R$2601:$AA$2601&gt;=Sens!T$2601-tk_life),Sens!$R$2632:$AA$2632)/tk_life</f>
        <v>3.2619025816657</v>
      </c>
      <c r="U2635" s="38" t="n">
        <f aca="false">SUMPRODUCT(--(Sens!$R$2601:$AA$2601&lt;Sens!U$2601),--(Sens!$R$2601:$AA$2601&gt;=Sens!U$2601-tk_life),Sens!$R$2632:$AA$2632)/tk_life</f>
        <v>11.7348570548391</v>
      </c>
      <c r="V2635" s="38" t="n">
        <f aca="false">SUMPRODUCT(--(Sens!$R$2601:$AA$2601&lt;Sens!V$2601),--(Sens!$R$2601:$AA$2601&gt;=Sens!V$2601-tk_life),Sens!$R$2632:$AA$2632)/tk_life</f>
        <v>32.0781968981833</v>
      </c>
      <c r="W2635" s="38" t="n">
        <f aca="false">SUMPRODUCT(--(Sens!$R$2601:$AA$2601&lt;Sens!W$2601),--(Sens!$R$2601:$AA$2601&gt;=Sens!W$2601-tk_life),Sens!$R$2632:$AA$2632)/tk_life</f>
        <v>57.4989942223083</v>
      </c>
      <c r="X2635" s="38" t="n">
        <f aca="false">SUMPRODUCT(--(Sens!$R$2601:$AA$2601&lt;Sens!X$2601),--(Sens!$R$2601:$AA$2601&gt;=Sens!X$2601-tk_life),Sens!$R$2632:$AA$2632)/tk_life</f>
        <v>83.932309040725</v>
      </c>
      <c r="Y2635" s="38" t="n">
        <f aca="false">SUMPRODUCT(--(Sens!$R$2601:$AA$2601&lt;Sens!Y$2601),--(Sens!$R$2601:$AA$2601&gt;=Sens!Y$2601-tk_life),Sens!$R$2632:$AA$2632)/tk_life</f>
        <v>111.055205760776</v>
      </c>
      <c r="Z2635" s="38" t="n">
        <f aca="false">SUMPRODUCT(--(Sens!$R$2601:$AA$2601&lt;Sens!Z$2601),--(Sens!$R$2601:$AA$2601&gt;=Sens!Z$2601-tk_life),Sens!$R$2632:$AA$2632)/tk_life</f>
        <v>136.155420195893</v>
      </c>
      <c r="AA2635" s="38" t="n">
        <f aca="false">SUMPRODUCT(--(Sens!$R$2601:$AA$2601&lt;Sens!AA$2601),--(Sens!$R$2601:$AA$2601&gt;=Sens!AA$2601-tk_life),Sens!$R$2632:$AA$2632)/tk_life</f>
        <v>161.970932841136</v>
      </c>
    </row>
    <row r="2636" customFormat="false" ht="17.15" hidden="false" customHeight="false" outlineLevel="0" collapsed="false">
      <c r="A2636" s="0" t="s">
        <v>593</v>
      </c>
      <c r="B2636" s="0" t="s">
        <v>73</v>
      </c>
      <c r="C2636" s="38" t="n">
        <f aca="false">Sens!$S$2636</f>
        <v>0.0202511502553155</v>
      </c>
      <c r="D2636" s="38" t="n">
        <f aca="false">Sens!$T$2636</f>
        <v>0.360549480652134</v>
      </c>
      <c r="E2636" s="38" t="n">
        <f aca="false">Sens!$G$2636/2</f>
        <v>0.648547360125127</v>
      </c>
      <c r="F2636" s="38" t="n">
        <f aca="false">Sens!$G$2636/2</f>
        <v>0.648547360125127</v>
      </c>
      <c r="G2636" s="38" t="n">
        <f aca="false">Sens!$U$2636</f>
        <v>1.29709472025025</v>
      </c>
      <c r="H2636" s="38" t="n">
        <f aca="false">Sens!$V$2636</f>
        <v>3.21599529914753</v>
      </c>
      <c r="I2636" s="38" t="n">
        <f aca="false">Sens!$W$2636</f>
        <v>5.51832434914753</v>
      </c>
      <c r="J2636" s="38" t="n">
        <f aca="false">Sens!$X$2636</f>
        <v>7.82065339914753</v>
      </c>
      <c r="K2636" s="38" t="n">
        <f aca="false">Sens!$Y$2636</f>
        <v>10.1229824491475</v>
      </c>
      <c r="L2636" s="38" t="n">
        <f aca="false">Sens!$Z$2636</f>
        <v>12.4253114991475</v>
      </c>
      <c r="M2636" s="38" t="n">
        <f aca="false">Sens!$AA$2636</f>
        <v>14.7276405491475</v>
      </c>
      <c r="N2636" s="38" t="n">
        <f aca="false">Sens!$D$2636/2</f>
        <v>0.180274740326067</v>
      </c>
      <c r="O2636" s="38" t="n">
        <f aca="false">Sens!$D$2636/2</f>
        <v>0.180274740326067</v>
      </c>
      <c r="R2636" s="38" t="n">
        <f aca="false">SUMPRODUCT(--(Sens!$R$2601:$AA$2601&lt;Sens!R$2601),Sens!$R$2633:$AA$2633)/fac_life</f>
        <v>0</v>
      </c>
      <c r="S2636" s="38" t="n">
        <f aca="false">SUMPRODUCT(--(Sens!$R$2601:$AA$2601&lt;Sens!S$2601),Sens!$R$2633:$AA$2633)/fac_life</f>
        <v>0.0202511502553155</v>
      </c>
      <c r="T2636" s="38" t="n">
        <f aca="false">SUMPRODUCT(--(Sens!$R$2601:$AA$2601&lt;Sens!T$2601),Sens!$R$2633:$AA$2633)/fac_life</f>
        <v>0.360549480652134</v>
      </c>
      <c r="U2636" s="38" t="n">
        <f aca="false">SUMPRODUCT(--(Sens!$R$2601:$AA$2601&lt;Sens!U$2601),Sens!$R$2633:$AA$2633)/fac_life</f>
        <v>1.29709472025025</v>
      </c>
      <c r="V2636" s="38" t="n">
        <f aca="false">SUMPRODUCT(--(Sens!$R$2601:$AA$2601&lt;Sens!V$2601),Sens!$R$2633:$AA$2633)/fac_life</f>
        <v>3.21599529914753</v>
      </c>
      <c r="W2636" s="38" t="n">
        <f aca="false">SUMPRODUCT(--(Sens!$R$2601:$AA$2601&lt;Sens!W$2601),Sens!$R$2633:$AA$2633)/fac_life</f>
        <v>5.51832434914753</v>
      </c>
      <c r="X2636" s="38" t="n">
        <f aca="false">SUMPRODUCT(--(Sens!$R$2601:$AA$2601&lt;Sens!X$2601),Sens!$R$2633:$AA$2633)/fac_life</f>
        <v>7.82065339914753</v>
      </c>
      <c r="Y2636" s="38" t="n">
        <f aca="false">SUMPRODUCT(--(Sens!$R$2601:$AA$2601&lt;Sens!Y$2601),Sens!$R$2633:$AA$2633)/fac_life</f>
        <v>10.1229824491475</v>
      </c>
      <c r="Z2636" s="38" t="n">
        <f aca="false">SUMPRODUCT(--(Sens!$R$2601:$AA$2601&lt;Sens!Z$2601),Sens!$R$2633:$AA$2633)/fac_life</f>
        <v>12.4253114991475</v>
      </c>
      <c r="AA2636" s="38" t="n">
        <f aca="false">SUMPRODUCT(--(Sens!$R$2601:$AA$2601&lt;Sens!AA$2601),Sens!$R$2633:$AA$2633)/fac_life</f>
        <v>14.7276405491475</v>
      </c>
    </row>
    <row r="2637" customFormat="false" ht="17.15" hidden="false" customHeight="false" outlineLevel="0" collapsed="false">
      <c r="A2637" s="1" t="s">
        <v>594</v>
      </c>
      <c r="B2637" s="8" t="s">
        <v>73</v>
      </c>
      <c r="C2637" s="38" t="n">
        <f aca="false">Sens!$C$2635+Sens!$C$2636</f>
        <v>0.203463948620839</v>
      </c>
      <c r="D2637" s="38" t="n">
        <f aca="false">Sens!$D$2635+Sens!$D$2636</f>
        <v>3.62245206231783</v>
      </c>
      <c r="E2637" s="38" t="n">
        <f aca="false">Sens!$E$2635+Sens!$E$2636</f>
        <v>6.51597588754466</v>
      </c>
      <c r="F2637" s="38" t="n">
        <f aca="false">Sens!$F$2635+Sens!$F$2636</f>
        <v>6.51597588754466</v>
      </c>
      <c r="G2637" s="38" t="n">
        <f aca="false">Sens!$G$2635+Sens!$G$2636</f>
        <v>13.0319517750893</v>
      </c>
      <c r="H2637" s="38" t="n">
        <f aca="false">Sens!$H$2635+Sens!$H$2636</f>
        <v>35.2941921973308</v>
      </c>
      <c r="I2637" s="38" t="n">
        <f aca="false">Sens!$I$2635+Sens!$I$2636</f>
        <v>63.0173185714558</v>
      </c>
      <c r="J2637" s="38" t="n">
        <f aca="false">Sens!$J$2635+Sens!$J$2636</f>
        <v>91.7529624398725</v>
      </c>
      <c r="K2637" s="38" t="n">
        <f aca="false">Sens!$K$2635+Sens!$K$2636</f>
        <v>121.178188209924</v>
      </c>
      <c r="L2637" s="38" t="n">
        <f aca="false">Sens!$L$2635+Sens!$L$2636</f>
        <v>148.58073169504</v>
      </c>
      <c r="M2637" s="38" t="n">
        <f aca="false">Sens!$M$2635+Sens!$M$2636</f>
        <v>176.698573390283</v>
      </c>
      <c r="N2637" s="38" t="n">
        <f aca="false">Sens!$N$2635+Sens!$N$2636</f>
        <v>1.81122603115892</v>
      </c>
      <c r="O2637" s="38" t="n">
        <f aca="false">Sens!$O$2635+Sens!$O$2636</f>
        <v>1.81122603115892</v>
      </c>
      <c r="R2637" s="38" t="n">
        <f aca="false">Sens!$R$2635+Sens!$R$2636</f>
        <v>0</v>
      </c>
      <c r="S2637" s="38" t="n">
        <f aca="false">Sens!$S$2635+Sens!$S$2636</f>
        <v>0.203463948620839</v>
      </c>
      <c r="T2637" s="38" t="n">
        <f aca="false">Sens!$T$2635+Sens!$T$2636</f>
        <v>3.62245206231783</v>
      </c>
      <c r="U2637" s="38" t="n">
        <f aca="false">Sens!$U$2635+Sens!$U$2636</f>
        <v>13.0319517750893</v>
      </c>
      <c r="V2637" s="38" t="n">
        <f aca="false">Sens!$V$2635+Sens!$V$2636</f>
        <v>35.2941921973308</v>
      </c>
      <c r="W2637" s="38" t="n">
        <f aca="false">Sens!$W$2635+Sens!$W$2636</f>
        <v>63.0173185714558</v>
      </c>
      <c r="X2637" s="38" t="n">
        <f aca="false">Sens!$X$2635+Sens!$X$2636</f>
        <v>91.7529624398725</v>
      </c>
      <c r="Y2637" s="38" t="n">
        <f aca="false">Sens!$Y$2635+Sens!$Y$2636</f>
        <v>121.178188209924</v>
      </c>
      <c r="Z2637" s="38" t="n">
        <f aca="false">Sens!$Z$2635+Sens!$Z$2636</f>
        <v>148.58073169504</v>
      </c>
      <c r="AA2637" s="38" t="n">
        <f aca="false">Sens!$AA$2635+Sens!$AA$2636</f>
        <v>176.698573390283</v>
      </c>
    </row>
    <row r="2638" customFormat="false" ht="17.15" hidden="false" customHeight="false" outlineLevel="0" collapsed="false">
      <c r="A2638" s="0" t="s">
        <v>595</v>
      </c>
      <c r="B2638" s="0" t="s">
        <v>73</v>
      </c>
      <c r="C2638" s="38" t="n">
        <f aca="false">Sens!$S$2638</f>
        <v>26.578941154416</v>
      </c>
      <c r="D2638" s="38" t="n">
        <f aca="false">Sens!$T$2638</f>
        <v>92.5251207231008</v>
      </c>
      <c r="G2638" s="38" t="n">
        <f aca="false">Sens!$U$2638</f>
        <v>239.931219586022</v>
      </c>
      <c r="H2638" s="38" t="n">
        <f aca="false">Sens!$V$2638</f>
        <v>403.208392333442</v>
      </c>
      <c r="I2638" s="38" t="n">
        <f aca="false">Sens!$W$2638</f>
        <v>544.837543672486</v>
      </c>
      <c r="J2638" s="38" t="n">
        <f aca="false">Sens!$X$2638</f>
        <v>662.967819343113</v>
      </c>
      <c r="K2638" s="38" t="n">
        <f aca="false">Sens!$Y$2638</f>
        <v>756.90963744369</v>
      </c>
      <c r="L2638" s="38" t="n">
        <f aca="false">Sens!$Z$2638</f>
        <v>860.10628945915</v>
      </c>
      <c r="M2638" s="38" t="n">
        <f aca="false">Sens!$AA$2638</f>
        <v>995.283560834616</v>
      </c>
      <c r="R2638" s="38" t="n">
        <f aca="false">SUM(Sens!$R$2630:$R$2630)-SUM(Sens!$R$2637:$R$2637)</f>
        <v>1.50429979529945</v>
      </c>
      <c r="S2638" s="38" t="n">
        <f aca="false">SUM(Sens!$R$2630:$S$2630)-SUM(Sens!$R$2637:$S$2637)</f>
        <v>26.578941154416</v>
      </c>
      <c r="T2638" s="38" t="n">
        <f aca="false">SUM(Sens!$R$2630:$T$2630)-SUM(Sens!$R$2637:$T$2637)</f>
        <v>92.5251207231008</v>
      </c>
      <c r="U2638" s="38" t="n">
        <f aca="false">SUM(Sens!$R$2630:$U$2630)-SUM(Sens!$R$2637:$U$2637)</f>
        <v>239.931219586022</v>
      </c>
      <c r="V2638" s="38" t="n">
        <f aca="false">SUM(Sens!$R$2630:$V$2630)-SUM(Sens!$R$2637:$V$2637)</f>
        <v>403.208392333442</v>
      </c>
      <c r="W2638" s="38" t="n">
        <f aca="false">SUM(Sens!$R$2630:$W$2630)-SUM(Sens!$R$2637:$W$2637)</f>
        <v>544.837543672486</v>
      </c>
      <c r="X2638" s="38" t="n">
        <f aca="false">SUM(Sens!$R$2630:$X$2630)-SUM(Sens!$R$2637:$X$2637)</f>
        <v>662.967819343113</v>
      </c>
      <c r="Y2638" s="38" t="n">
        <f aca="false">SUM(Sens!$R$2630:$Y$2630)-SUM(Sens!$R$2637:$Y$2637)</f>
        <v>756.90963744369</v>
      </c>
      <c r="Z2638" s="38" t="n">
        <f aca="false">SUM(Sens!$R$2630:$Z$2630)-SUM(Sens!$R$2637:$Z$2637)</f>
        <v>860.10628945915</v>
      </c>
      <c r="AA2638" s="38" t="n">
        <f aca="false">SUM(Sens!$R$2630:$AA$2630)-SUM(Sens!$R$2637:$AA$2637)</f>
        <v>995.283560834616</v>
      </c>
    </row>
    <row r="2639" customFormat="false" ht="17.15" hidden="false" customHeight="false" outlineLevel="0" collapsed="false">
      <c r="A2639" s="1" t="s">
        <v>596</v>
      </c>
    </row>
    <row r="2640" customFormat="false" ht="17.15" hidden="false" customHeight="false" outlineLevel="0" collapsed="false">
      <c r="A2640" s="0" t="s">
        <v>597</v>
      </c>
      <c r="B2640" s="0" t="s">
        <v>73</v>
      </c>
      <c r="C2640" s="38" t="n">
        <f aca="false">Sens!$C$2621-ext_sh*Sens!$C$2623</f>
        <v>1.80694998843362</v>
      </c>
      <c r="D2640" s="38" t="n">
        <f aca="false">Sens!$D$2621-ext_sh*Sens!$D$2623</f>
        <v>6.77606245662607</v>
      </c>
      <c r="E2640" s="38" t="n">
        <f aca="false">Sens!$E$2621-ext_sh*Sens!$E$2623</f>
        <v>6.62548329092326</v>
      </c>
      <c r="F2640" s="38" t="n">
        <f aca="false">Sens!$F$2621-ext_sh*Sens!$F$2623</f>
        <v>11.7200577158706</v>
      </c>
      <c r="G2640" s="38" t="n">
        <f aca="false">Sens!$G$2621-ext_sh*Sens!$G$2623</f>
        <v>18.3455410067939</v>
      </c>
      <c r="H2640" s="38" t="n">
        <f aca="false">Sens!$H$2621-ext_sh*Sens!$H$2623</f>
        <v>47.5171727060453</v>
      </c>
      <c r="I2640" s="38" t="n">
        <f aca="false">Sens!$I$2621-ext_sh*Sens!$I$2623</f>
        <v>80.5539692643667</v>
      </c>
      <c r="J2640" s="38" t="n">
        <f aca="false">Sens!$J$2621-ext_sh*Sens!$J$2623</f>
        <v>113.759316834883</v>
      </c>
      <c r="K2640" s="38" t="n">
        <f aca="false">Sens!$K$2621-ext_sh*Sens!$K$2623</f>
        <v>147.020848076132</v>
      </c>
      <c r="L2640" s="38" t="n">
        <f aca="false">Sens!$L$2621-ext_sh*Sens!$L$2623</f>
        <v>180.307917349531</v>
      </c>
      <c r="M2640" s="38" t="n">
        <f aca="false">Sens!$M$2621-ext_sh*Sens!$M$2623</f>
        <v>213.608737871012</v>
      </c>
      <c r="N2640" s="38" t="n">
        <f aca="false">Sens!$N$2621-ext_sh*Sens!$N$2623</f>
        <v>2.37162185981912</v>
      </c>
      <c r="O2640" s="38" t="n">
        <f aca="false">Sens!$O$2621-ext_sh*Sens!$O$2623</f>
        <v>4.40444059680694</v>
      </c>
    </row>
    <row r="2641" customFormat="false" ht="17.15" hidden="false" customHeight="false" outlineLevel="0" collapsed="false">
      <c r="A2641" s="1" t="s">
        <v>598</v>
      </c>
      <c r="B2641" s="8" t="s">
        <v>73</v>
      </c>
      <c r="C2641" s="38" t="n">
        <f aca="false">Sens!$C$2640-ext_sh*Sens!$C$2637</f>
        <v>1.64417882953695</v>
      </c>
      <c r="D2641" s="38" t="n">
        <f aca="false">Sens!$D$2640-ext_sh*Sens!$D$2637</f>
        <v>3.8781008067718</v>
      </c>
      <c r="E2641" s="38" t="n">
        <f aca="false">Sens!$E$2640-ext_sh*Sens!$E$2637</f>
        <v>1.41270258088753</v>
      </c>
      <c r="F2641" s="38" t="n">
        <f aca="false">Sens!$F$2640-ext_sh*Sens!$F$2637</f>
        <v>6.50727700583486</v>
      </c>
      <c r="G2641" s="38" t="n">
        <f aca="false">Sens!$G$2640-ext_sh*Sens!$G$2637</f>
        <v>7.9199795867224</v>
      </c>
      <c r="H2641" s="38" t="n">
        <f aca="false">Sens!$H$2640-ext_sh*Sens!$H$2637</f>
        <v>19.2818189481807</v>
      </c>
      <c r="I2641" s="38" t="n">
        <f aca="false">Sens!$I$2640-ext_sh*Sens!$I$2637</f>
        <v>30.140114407202</v>
      </c>
      <c r="J2641" s="38" t="n">
        <f aca="false">Sens!$J$2640-ext_sh*Sens!$J$2637</f>
        <v>40.3569468829854</v>
      </c>
      <c r="K2641" s="38" t="n">
        <f aca="false">Sens!$K$2640-ext_sh*Sens!$K$2637</f>
        <v>50.0782975081929</v>
      </c>
      <c r="L2641" s="38" t="n">
        <f aca="false">Sens!$L$2640-ext_sh*Sens!$L$2637</f>
        <v>61.443331993499</v>
      </c>
      <c r="M2641" s="38" t="n">
        <f aca="false">Sens!$M$2640-ext_sh*Sens!$M$2637</f>
        <v>72.2498791587849</v>
      </c>
      <c r="N2641" s="38" t="n">
        <f aca="false">Sens!$N$2640-ext_sh*Sens!$N$2637</f>
        <v>0.92264103489199</v>
      </c>
      <c r="O2641" s="38" t="n">
        <f aca="false">Sens!$O$2640-ext_sh*Sens!$O$2637</f>
        <v>2.95545977187981</v>
      </c>
    </row>
    <row r="2642" customFormat="false" ht="17.15" hidden="false" customHeight="false" outlineLevel="0" collapsed="false">
      <c r="A2642" s="0" t="s">
        <v>599</v>
      </c>
      <c r="B2642" s="0" t="s">
        <v>52</v>
      </c>
      <c r="C2642" s="12" t="n">
        <f aca="false">Sens!$C$2641/Sens!$C$2621</f>
        <v>0.708390794789371</v>
      </c>
      <c r="D2642" s="12" t="n">
        <f aca="false">Sens!$D$2641/Sens!$D$2621</f>
        <v>0.445565630441968</v>
      </c>
      <c r="E2642" s="12" t="n">
        <f aca="false">Sens!$E$2641/Sens!$E$2621</f>
        <v>0.165998118402711</v>
      </c>
      <c r="F2642" s="12" t="n">
        <f aca="false">Sens!$F$2641/Sens!$F$2621</f>
        <v>0.434878595403858</v>
      </c>
      <c r="G2642" s="12" t="n">
        <f aca="false">Sens!$G$2641/Sens!$G$2621</f>
        <v>0.3373967615381</v>
      </c>
      <c r="H2642" s="12" t="n">
        <f aca="false">Sens!$H$2641/Sens!$H$2621</f>
        <v>0.320477578041224</v>
      </c>
      <c r="I2642" s="12" t="n">
        <f aca="false">Sens!$I$2641/Sens!$I$2621</f>
        <v>0.296936118226494</v>
      </c>
      <c r="J2642" s="12" t="n">
        <f aca="false">Sens!$J$2641/Sens!$J$2621</f>
        <v>0.282166278613001</v>
      </c>
      <c r="K2642" s="12" t="n">
        <f aca="false">Sens!$K$2641/Sens!$K$2621</f>
        <v>0.271267685694333</v>
      </c>
      <c r="L2642" s="12" t="n">
        <f aca="false">Sens!$L$2641/Sens!$L$2621</f>
        <v>0.27160960915653</v>
      </c>
      <c r="M2642" s="12" t="n">
        <f aca="false">Sens!$M$2641/Sens!$M$2621</f>
        <v>0.26974494804234</v>
      </c>
      <c r="N2642" s="12" t="n">
        <f aca="false">Sens!$N$2641/Sens!$N$2621</f>
        <v>0.302870734830849</v>
      </c>
      <c r="O2642" s="12" t="n">
        <f aca="false">Sens!$O$2641/Sens!$O$2621</f>
        <v>0.52240134346334</v>
      </c>
    </row>
    <row r="2643" customFormat="false" ht="17.15" hidden="false" customHeight="false" outlineLevel="0" collapsed="false">
      <c r="A2643" s="5" t="s">
        <v>600</v>
      </c>
      <c r="B2643" s="0" t="s">
        <v>73</v>
      </c>
      <c r="C2643" s="38" t="n">
        <f aca="false">rd2*(1-ext_sh)/ext_sh*Sens!$C$2604*he_open*Sens!$C$2605/1000</f>
        <v>0</v>
      </c>
      <c r="D2643" s="38" t="n">
        <f aca="false">rd2*(1-ext_sh)/ext_sh*Sens!$D$2604*he_open*Sens!$D$2605/1000</f>
        <v>0</v>
      </c>
      <c r="E2643" s="38" t="n">
        <f aca="false">rd2*(1-ext_sh)/ext_sh*Sens!$E$2604*he_open*Sens!$E$2605/1000</f>
        <v>0</v>
      </c>
      <c r="F2643" s="38" t="n">
        <f aca="false">rd2*(1-ext_sh)/ext_sh*(mw_open*he_open+Sens!$F$2619*Sens!$F$2616)*Sens!$F$2605/1000</f>
        <v>0</v>
      </c>
      <c r="G2643" s="38" t="n">
        <f aca="false">Sens!$E$2643+Sens!$F$2643</f>
        <v>0</v>
      </c>
      <c r="H2643" s="38" t="n">
        <f aca="false">rd2*(1-ext_sh)/ext_sh*(mw_open*he_open+Sens!$H$2619*Sens!$H$2616)*Sens!$H$2605/1000</f>
        <v>0</v>
      </c>
      <c r="I2643" s="38" t="n">
        <f aca="false">rd2*(1-ext_sh)/ext_sh*(mw_open*he_open+Sens!$I$2619*Sens!$I$2616)*Sens!$I$2605/1000</f>
        <v>0</v>
      </c>
      <c r="J2643" s="38" t="n">
        <f aca="false">rd2*(1-ext_sh)/ext_sh*(mw_open*he_open+Sens!$J$2619*Sens!$J$2616)*Sens!$J$2605/1000</f>
        <v>0</v>
      </c>
      <c r="K2643" s="38" t="n">
        <f aca="false">rd2*(1-ext_sh)/ext_sh*(mw_open*he_open+Sens!$K$2619*Sens!$K$2616)*Sens!$K$2605/1000</f>
        <v>0</v>
      </c>
      <c r="L2643" s="38" t="n">
        <f aca="false">rd2*(1-ext_sh)/ext_sh*(mw_open*he_open+Sens!$L$2619*Sens!$L$2616)*Sens!$L$2605/1000</f>
        <v>0</v>
      </c>
      <c r="M2643" s="38" t="n">
        <f aca="false">rd2*(1-ext_sh)/ext_sh*(mw_open*he_open+Sens!$M$2619*Sens!$M$2616)*Sens!$M$2605/1000</f>
        <v>0</v>
      </c>
      <c r="N2643" s="38" t="n">
        <f aca="false">rd2*(1-ext_sh)/ext_sh*Sens!$N$2604*he_open*Sens!$N$2605/1000</f>
        <v>0</v>
      </c>
      <c r="O2643" s="38" t="n">
        <f aca="false">rd2*(1-ext_sh)/ext_sh*Sens!$O$2604*he_open*Sens!$O$2605/1000</f>
        <v>0</v>
      </c>
      <c r="P2643" s="8" t="s">
        <v>601</v>
      </c>
    </row>
    <row r="2644" customFormat="false" ht="17.15" hidden="false" customHeight="false" outlineLevel="0" collapsed="false">
      <c r="A2644" s="5" t="s">
        <v>602</v>
      </c>
      <c r="B2644" s="0" t="s">
        <v>73</v>
      </c>
      <c r="C2644" s="38" t="n">
        <f aca="false">(1-ext_sh)*(Sens!$C$2623+Sens!$C$2637)-Sens!$C$2643</f>
        <v>0.169206631859174</v>
      </c>
      <c r="D2644" s="38" t="n">
        <f aca="false">(1-ext_sh)*(Sens!$D$2623+Sens!$D$2637)-Sens!$D$2643</f>
        <v>1.20641732046984</v>
      </c>
      <c r="E2644" s="38" t="n">
        <f aca="false">(1-ext_sh)*(Sens!$E$2623+Sens!$E$2637)-Sens!$E$2643</f>
        <v>1.77441259867062</v>
      </c>
      <c r="F2644" s="38" t="n">
        <f aca="false">(1-ext_sh)*(Sens!$F$2623+Sens!$F$2637)-Sens!$F$2643</f>
        <v>2.1140391597214</v>
      </c>
      <c r="G2644" s="38" t="n">
        <f aca="false">(1-ext_sh)*(Sens!$G$2623+Sens!$G$2637)-Sens!$G$2643</f>
        <v>3.88845175839202</v>
      </c>
      <c r="H2644" s="38" t="n">
        <f aca="false">(1-ext_sh)*(Sens!$H$2623+Sens!$H$2637)-Sens!$H$2643</f>
        <v>10.2210179503985</v>
      </c>
      <c r="I2644" s="38" t="n">
        <f aca="false">(1-ext_sh)*(Sens!$I$2623+Sens!$I$2637)-Sens!$I$2643</f>
        <v>17.8408961823075</v>
      </c>
      <c r="J2644" s="38" t="n">
        <f aca="false">(1-ext_sh)*(Sens!$J$2623+Sens!$J$2637)-Sens!$J$2643</f>
        <v>25.6671150670732</v>
      </c>
      <c r="K2644" s="38" t="n">
        <f aca="false">(1-ext_sh)*(Sens!$K$2623+Sens!$K$2637)-Sens!$K$2643</f>
        <v>33.6325293834986</v>
      </c>
      <c r="L2644" s="38" t="n">
        <f aca="false">(1-ext_sh)*(Sens!$L$2623+Sens!$L$2637)-Sens!$L$2643</f>
        <v>41.1939886299065</v>
      </c>
      <c r="M2644" s="38" t="n">
        <f aca="false">(1-ext_sh)*(Sens!$M$2623+Sens!$M$2637)-Sens!$M$2643</f>
        <v>48.8988205728617</v>
      </c>
      <c r="N2644" s="38" t="n">
        <f aca="false">(1-ext_sh)*(Sens!$N$2623+Sens!$N$2637)-Sens!$N$2643</f>
        <v>0.530919624033979</v>
      </c>
      <c r="O2644" s="38" t="n">
        <f aca="false">(1-ext_sh)*(Sens!$O$2623+Sens!$O$2637)-Sens!$O$2643</f>
        <v>0.675497696435861</v>
      </c>
    </row>
    <row r="2645" customFormat="false" ht="17.15" hidden="false" customHeight="false" outlineLevel="0" collapsed="false">
      <c r="A2645" s="0" t="s">
        <v>603</v>
      </c>
      <c r="B2645" s="0" t="s">
        <v>73</v>
      </c>
      <c r="C2645" s="38" t="n">
        <f aca="false">Q!$D$24</f>
        <v>39.834</v>
      </c>
      <c r="D2645" s="38" t="n">
        <f aca="false">Q!$E$24</f>
        <v>45.606</v>
      </c>
      <c r="E2645" s="38" t="n">
        <f aca="false">Q!$P$24</f>
        <v>30.782</v>
      </c>
      <c r="N2645" s="38" t="n">
        <f aca="false">Q!$N$24</f>
        <v>21.707</v>
      </c>
      <c r="O2645" s="38" t="n">
        <f aca="false">Q!$O$24</f>
        <v>23.899</v>
      </c>
    </row>
    <row r="2646" customFormat="false" ht="17.15" hidden="false" customHeight="false" outlineLevel="0" collapsed="false">
      <c r="A2646" s="0" t="s">
        <v>604</v>
      </c>
      <c r="B2646" s="0" t="s">
        <v>73</v>
      </c>
      <c r="C2646" s="38" t="n">
        <f aca="false">Sens!$C$2645-Sens!$C$2641</f>
        <v>38.1898211704631</v>
      </c>
      <c r="D2646" s="38" t="n">
        <f aca="false">Sens!$D$2645-Sens!$D$2641</f>
        <v>41.7278991932282</v>
      </c>
      <c r="E2646" s="38" t="n">
        <f aca="false">Sens!$E$2645-Sens!$E$2641</f>
        <v>29.3692974191125</v>
      </c>
      <c r="F2646" s="38" t="n">
        <f aca="false">Sens!$F$2625*Sens!$F$2647</f>
        <v>29.458060516894</v>
      </c>
      <c r="G2646" s="38" t="n">
        <f aca="false">Sens!$E$2646+Sens!$F$2646</f>
        <v>58.8273579360065</v>
      </c>
      <c r="H2646" s="38" t="n">
        <f aca="false">Sens!$H$2625*Sens!$H$2647</f>
        <v>67.3790155306315</v>
      </c>
      <c r="I2646" s="38" t="n">
        <f aca="false">Sens!$I$2625*Sens!$I$2647</f>
        <v>77.4513759215826</v>
      </c>
      <c r="J2646" s="38" t="n">
        <f aca="false">Sens!$J$2625*Sens!$J$2647</f>
        <v>85.1766894773914</v>
      </c>
      <c r="K2646" s="38" t="n">
        <f aca="false">Sens!$K$2625*Sens!$K$2647</f>
        <v>89.435523951261</v>
      </c>
      <c r="L2646" s="38" t="n">
        <f aca="false">Sens!$L$2625*Sens!$L$2647</f>
        <v>93.907300148824</v>
      </c>
      <c r="M2646" s="38" t="n">
        <f aca="false">Sens!$M$2625*Sens!$M$2647</f>
        <v>98.6026651562652</v>
      </c>
      <c r="N2646" s="38" t="n">
        <f aca="false">Sens!$N$2645-Sens!$N$2641</f>
        <v>20.784358965108</v>
      </c>
      <c r="O2646" s="38" t="n">
        <f aca="false">Sens!$O$2645-Sens!$O$2641</f>
        <v>20.9435402281202</v>
      </c>
      <c r="P2646" s="5" t="s">
        <v>605</v>
      </c>
    </row>
    <row r="2647" customFormat="false" ht="17.15" hidden="false" customHeight="false" outlineLevel="0" collapsed="false">
      <c r="A2647" s="0" t="s">
        <v>606</v>
      </c>
      <c r="B2647" s="0" t="s">
        <v>52</v>
      </c>
      <c r="C2647" s="12" t="n">
        <f aca="false">Sens!$C$2646/Sens!$C$2625</f>
        <v>0.362900395443635</v>
      </c>
      <c r="D2647" s="12" t="n">
        <f aca="false">Sens!$D$2646/Sens!$D$2625</f>
        <v>0.34767098474203</v>
      </c>
      <c r="E2647" s="12" t="n">
        <f aca="false">Sens!$E$2646/Sens!$E$2625</f>
        <v>0.411861655558416</v>
      </c>
      <c r="F2647" s="12" t="n">
        <f aca="false">(Sens!$O$2646+Sens!$E$2646)/(Sens!$O$2625+Sens!$E$2625)</f>
        <v>0.37480827803158</v>
      </c>
      <c r="G2647" s="12" t="n">
        <f aca="false">Sens!$G$2646/Sens!$G$2625</f>
        <v>0.392434440489471</v>
      </c>
      <c r="H2647" s="12" t="n">
        <f aca="false">Sens!$F$2647</f>
        <v>0.37480827803158</v>
      </c>
      <c r="I2647" s="12" t="n">
        <f aca="false">Sens!$F$2647</f>
        <v>0.37480827803158</v>
      </c>
      <c r="J2647" s="12" t="n">
        <f aca="false">Sens!$F$2647</f>
        <v>0.37480827803158</v>
      </c>
      <c r="K2647" s="12" t="n">
        <f aca="false">Sens!$F$2647</f>
        <v>0.37480827803158</v>
      </c>
      <c r="L2647" s="12" t="n">
        <f aca="false">Sens!$F$2647</f>
        <v>0.37480827803158</v>
      </c>
      <c r="M2647" s="12" t="n">
        <f aca="false">Sens!$F$2647</f>
        <v>0.37480827803158</v>
      </c>
      <c r="N2647" s="12" t="n">
        <f aca="false">Sens!$N$2646/Sens!$N$2625</f>
        <v>0.364039571356823</v>
      </c>
      <c r="O2647" s="12" t="n">
        <f aca="false">Sens!$O$2646/Sens!$O$2625</f>
        <v>0.332819892300086</v>
      </c>
      <c r="P2647" s="8" t="s">
        <v>607</v>
      </c>
    </row>
    <row r="2648" customFormat="false" ht="17.15" hidden="false" customHeight="false" outlineLevel="0" collapsed="false">
      <c r="A2648" s="0" t="s">
        <v>608</v>
      </c>
      <c r="B2648" s="0" t="s">
        <v>52</v>
      </c>
      <c r="D2648" s="12" t="n">
        <f aca="false">(Q!$E$31-ext_sh*Sens!$D$2637)/Sens!$D$2625</f>
        <v>0.154572973163571</v>
      </c>
    </row>
    <row r="2649" customFormat="false" ht="17.15" hidden="false" customHeight="false" outlineLevel="0" collapsed="false">
      <c r="A2649" s="0" t="s">
        <v>609</v>
      </c>
      <c r="B2649" s="0" t="s">
        <v>73</v>
      </c>
      <c r="C2649" s="38" t="n">
        <f aca="false">Q!$D$31</f>
        <v>13.32</v>
      </c>
      <c r="D2649" s="38" t="n">
        <f aca="false">Q!$E$31</f>
        <v>21.45</v>
      </c>
      <c r="E2649" s="38" t="n">
        <f aca="false">Q!$P$31</f>
        <v>15.353</v>
      </c>
      <c r="F2649" s="38" t="n">
        <f aca="false">ext_sh*Sens!$F$2637+Sens!$D$2648*Sens!$F$2625</f>
        <v>17.3614451462707</v>
      </c>
      <c r="G2649" s="38" t="n">
        <f aca="false">Sens!$E$2649+Sens!$F$2649</f>
        <v>32.7144451462707</v>
      </c>
      <c r="H2649" s="38" t="n">
        <f aca="false">ext_sh*Sens!$H$2637+Sens!$D$2648*Sens!$H$2625</f>
        <v>56.0228263667984</v>
      </c>
      <c r="I2649" s="38" t="n">
        <f aca="false">ext_sh*Sens!$I$2637+Sens!$D$2648*Sens!$I$2625</f>
        <v>82.3552236942739</v>
      </c>
      <c r="J2649" s="38" t="n">
        <f aca="false">ext_sh*Sens!$J$2637+Sens!$D$2648*Sens!$J$2625</f>
        <v>108.529700132267</v>
      </c>
      <c r="K2649" s="38" t="n">
        <f aca="false">ext_sh*Sens!$K$2637+Sens!$D$2648*Sens!$K$2625</f>
        <v>133.826247257326</v>
      </c>
      <c r="L2649" s="38" t="n">
        <f aca="false">ext_sh*Sens!$L$2637+Sens!$D$2648*Sens!$L$2625</f>
        <v>157.592466879888</v>
      </c>
      <c r="M2649" s="38" t="n">
        <f aca="false">ext_sh*Sens!$M$2637+Sens!$D$2648*Sens!$M$2625</f>
        <v>182.023134312276</v>
      </c>
      <c r="N2649" s="38" t="n">
        <f aca="false">Q!$N$31</f>
        <v>9.234</v>
      </c>
      <c r="O2649" s="38" t="n">
        <f aca="false">Q!$O$31</f>
        <v>12.216</v>
      </c>
    </row>
    <row r="2650" customFormat="false" ht="17.15" hidden="false" customHeight="false" outlineLevel="0" collapsed="false">
      <c r="A2650" s="1" t="s">
        <v>610</v>
      </c>
    </row>
    <row r="2651" customFormat="false" ht="17.15" hidden="false" customHeight="false" outlineLevel="0" collapsed="false">
      <c r="A2651" s="14" t="s">
        <v>611</v>
      </c>
      <c r="B2651" s="13" t="s">
        <v>52</v>
      </c>
      <c r="C2651" s="13"/>
      <c r="D2651" s="13"/>
      <c r="E2651" s="13"/>
      <c r="F2651" s="13"/>
      <c r="G2651" s="16" t="n">
        <f aca="false">Sens!$G$2641*(1-tax)/(ext_sh*(Sens!$D$2638+Sens!$G$2638)/2)</f>
        <v>0.0492184452944045</v>
      </c>
      <c r="H2651" s="16" t="n">
        <f aca="false">Sens!$H$2641*(1-tax)/(ext_sh*(Sens!$G$2638+Sens!$H$2638)/2)</f>
        <v>0.0619414246858107</v>
      </c>
      <c r="I2651" s="16" t="n">
        <f aca="false">Sens!$I$2641*(1-tax)/(ext_sh*(Sens!$H$2638+Sens!$I$2638)/2)</f>
        <v>0.0656831488051666</v>
      </c>
      <c r="J2651" s="16" t="n">
        <f aca="false">Sens!$J$2641*(1-tax)/(ext_sh*(Sens!$I$2638+Sens!$J$2638)/2)</f>
        <v>0.0690334849962116</v>
      </c>
      <c r="K2651" s="16" t="n">
        <f aca="false">Sens!$K$2641*(1-tax)/(ext_sh*(Sens!$J$2638+Sens!$K$2638)/2)</f>
        <v>0.0728680488295485</v>
      </c>
      <c r="L2651" s="16" t="n">
        <f aca="false">Sens!$L$2641*(1-tax)/(ext_sh*(Sens!$K$2638+Sens!$L$2638)/2)</f>
        <v>0.0785052878122331</v>
      </c>
      <c r="M2651" s="16" t="n">
        <f aca="false">Sens!$M$2641*(1-tax)/(ext_sh*(Sens!$L$2638+Sens!$M$2638)/2)</f>
        <v>0.0804526580722741</v>
      </c>
      <c r="N2651" s="13"/>
      <c r="O2651" s="13"/>
      <c r="P2651" s="8" t="s">
        <v>612</v>
      </c>
    </row>
    <row r="2652" customFormat="false" ht="17.15" hidden="false" customHeight="false" outlineLevel="0" collapsed="false">
      <c r="A2652" s="5" t="s">
        <v>613</v>
      </c>
      <c r="B2652" s="0" t="s">
        <v>57</v>
      </c>
      <c r="H2652" s="36" t="n">
        <f aca="false">Sens!$H$2621*1000/(mw_open*he_open+Sens!$H$2619*Sens!$H$2616)</f>
        <v>0.991949006767191</v>
      </c>
      <c r="I2652" s="36" t="n">
        <f aca="false">Sens!$I$2621*1000/(mw_open*he_open+Sens!$I$2619*Sens!$I$2616)</f>
        <v>0.991949006767191</v>
      </c>
      <c r="J2652" s="36" t="n">
        <f aca="false">Sens!$J$2621*1000/(mw_open*he_open+Sens!$J$2619*Sens!$J$2616)</f>
        <v>0.991949006767191</v>
      </c>
      <c r="K2652" s="36" t="n">
        <f aca="false">Sens!$K$2621*1000/(mw_open*he_open+Sens!$K$2619*Sens!$K$2616)</f>
        <v>0.991949006767191</v>
      </c>
      <c r="L2652" s="36" t="n">
        <f aca="false">Sens!$L$2621*1000/(mw_open*he_open+Sens!$L$2619*Sens!$L$2616)</f>
        <v>0.991949006767191</v>
      </c>
      <c r="M2652" s="36" t="n">
        <f aca="false">Sens!$M$2621*1000/(mw_open*he_open+Sens!$M$2619*Sens!$M$2616)</f>
        <v>0.991949006767192</v>
      </c>
    </row>
    <row r="2653" customFormat="false" ht="17.15" hidden="false" customHeight="false" outlineLevel="0" collapsed="false">
      <c r="A2653" s="5" t="s">
        <v>614</v>
      </c>
      <c r="B2653" s="0" t="s">
        <v>57</v>
      </c>
      <c r="H2653" s="36" t="n">
        <f aca="false">Sens!$H$2652*(Sens!$H$2621+wacc*ext_sh*(Sens!$G$2638+Sens!$H$2638)/2/(1-tax)-Sens!$H$2641)/Sens!$H$2621</f>
        <v>1.3149781212103</v>
      </c>
      <c r="I2653" s="36" t="n">
        <f aca="false">Sens!$I$2652*(Sens!$I$2621+wacc*ext_sh*(Sens!$H$2638+Sens!$I$2638)/2/(1-tax)-Sens!$I$2641)/Sens!$I$2621</f>
        <v>1.25742005569107</v>
      </c>
      <c r="J2653" s="36" t="n">
        <f aca="false">Sens!$J$2652*(Sens!$J$2621+wacc*ext_sh*(Sens!$I$2638+Sens!$J$2638)/2/(1-tax)-Sens!$J$2641)/Sens!$J$2621</f>
        <v>1.21838845868559</v>
      </c>
      <c r="K2653" s="36" t="n">
        <f aca="false">Sens!$K$2652*(Sens!$K$2621+wacc*ext_sh*(Sens!$J$2638+Sens!$K$2638)/2/(1-tax)-Sens!$K$2641)/Sens!$K$2621</f>
        <v>1.18402644209548</v>
      </c>
      <c r="L2653" s="36" t="n">
        <f aca="false">Sens!$L$2652*(Sens!$L$2621+wacc*ext_sh*(Sens!$K$2638+Sens!$L$2638)/2/(1-tax)-Sens!$L$2641)/Sens!$L$2621</f>
        <v>1.15111215322059</v>
      </c>
      <c r="M2653" s="36" t="n">
        <f aca="false">Sens!$M$2652*(Sens!$M$2621+wacc*ext_sh*(Sens!$L$2638+Sens!$M$2638)/2/(1-tax)-Sens!$M$2641)/Sens!$M$2621</f>
        <v>1.1397166845677</v>
      </c>
    </row>
    <row r="2654" customFormat="false" ht="17.15" hidden="false" customHeight="false" outlineLevel="0" collapsed="false">
      <c r="A2654" s="5" t="s">
        <v>615</v>
      </c>
      <c r="B2654" s="0" t="s">
        <v>52</v>
      </c>
      <c r="C2654" s="12" t="n">
        <f aca="false">Sens!$C$2622/tk_pq</f>
        <v>0.195316432429398</v>
      </c>
      <c r="D2654" s="12" t="n">
        <f aca="false">Sens!$D$2622/tk_pq</f>
        <v>0.195316432429398</v>
      </c>
      <c r="E2654" s="12" t="n">
        <f aca="false">Sens!$E$2622/tk_pq</f>
        <v>0.195316432429398</v>
      </c>
      <c r="F2654" s="12" t="n">
        <f aca="false">Sens!$F$2622/tk_pq</f>
        <v>0.202241827274866</v>
      </c>
      <c r="G2654" s="12" t="n">
        <f aca="false">Sens!$G$2622/tk_pq</f>
        <v>0.199675016194063</v>
      </c>
      <c r="H2654" s="12" t="n">
        <f aca="false">Sens!$H$2622/tk_pq</f>
        <v>0.212647947710325</v>
      </c>
      <c r="I2654" s="12" t="n">
        <f aca="false">Sens!$I$2622/tk_pq</f>
        <v>0.219285125475351</v>
      </c>
      <c r="J2654" s="12" t="n">
        <f aca="false">Sens!$J$2622/tk_pq</f>
        <v>0.222492493217189</v>
      </c>
      <c r="K2654" s="12" t="n">
        <f aca="false">Sens!$K$2622/tk_pq</f>
        <v>0.224371415939166</v>
      </c>
      <c r="L2654" s="12" t="n">
        <f aca="false">Sens!$L$2622/tk_pq</f>
        <v>0.225603749825993</v>
      </c>
      <c r="M2654" s="12" t="n">
        <f aca="false">Sens!$M$2622/tk_pq</f>
        <v>0.22647376274628</v>
      </c>
      <c r="N2654" s="12" t="n">
        <f aca="false">Sens!$N$2622/tk_pq</f>
        <v>0.195316432429398</v>
      </c>
      <c r="O2654" s="12" t="n">
        <f aca="false">Sens!$O$2622/tk_pq</f>
        <v>0.195316432429398</v>
      </c>
      <c r="P2654" s="5" t="s">
        <v>616</v>
      </c>
    </row>
    <row r="2657" customFormat="false" ht="17.15" hidden="false" customHeight="false" outlineLevel="0" collapsed="false">
      <c r="A2657" s="1" t="s">
        <v>643</v>
      </c>
    </row>
    <row r="2658" customFormat="false" ht="17.15" hidden="false" customHeight="false" outlineLevel="0" collapsed="false">
      <c r="A2658" s="0" t="s">
        <v>644</v>
      </c>
      <c r="B2658" s="0" t="s">
        <v>73</v>
      </c>
      <c r="C2658" s="38" t="n">
        <f aca="false">Sens!$C$2621</f>
        <v>2.32100535697364</v>
      </c>
      <c r="D2658" s="38" t="n">
        <f aca="false">Sens!$D$2621</f>
        <v>8.70377008865116</v>
      </c>
      <c r="E2658" s="38" t="n">
        <f aca="false">Sens!$E$2621</f>
        <v>8.51035297557002</v>
      </c>
      <c r="F2658" s="38" t="n">
        <f aca="false">Sens!$F$2621</f>
        <v>14.9634336447205</v>
      </c>
      <c r="G2658" s="38" t="n">
        <f aca="false">Sens!$G$2621</f>
        <v>23.4737866202905</v>
      </c>
      <c r="H2658" s="38" t="n">
        <f aca="false">Sens!$H$2621</f>
        <v>60.1658907497746</v>
      </c>
      <c r="I2658" s="38" t="n">
        <f aca="false">Sens!$I$2621</f>
        <v>101.503699136432</v>
      </c>
      <c r="J2658" s="38" t="n">
        <f aca="false">Sens!$J$2621</f>
        <v>143.025407151278</v>
      </c>
      <c r="K2658" s="38" t="n">
        <f aca="false">Sens!$K$2621</f>
        <v>184.608415042187</v>
      </c>
      <c r="L2658" s="38" t="n">
        <f aca="false">Sens!$L$2621</f>
        <v>226.219286513125</v>
      </c>
      <c r="M2658" s="38" t="n">
        <f aca="false">Sens!$M$2621</f>
        <v>267.845161450232</v>
      </c>
      <c r="N2658" s="38" t="n">
        <f aca="false">Sens!$N$2621</f>
        <v>3.04631953102791</v>
      </c>
      <c r="O2658" s="38" t="n">
        <f aca="false">Sens!$O$2621</f>
        <v>5.65745055762326</v>
      </c>
      <c r="P2658" s="8" t="s">
        <v>645</v>
      </c>
    </row>
    <row r="2659" customFormat="false" ht="17.15" hidden="false" customHeight="false" outlineLevel="0" collapsed="false">
      <c r="A2659" s="0" t="s">
        <v>646</v>
      </c>
      <c r="B2659" s="0" t="s">
        <v>73</v>
      </c>
      <c r="C2659" s="38" t="n">
        <f aca="false">Sens!$C$2625</f>
        <v>105.234994643026</v>
      </c>
      <c r="D2659" s="38" t="n">
        <f aca="false">Sens!$D$2625</f>
        <v>120.021229911349</v>
      </c>
      <c r="E2659" s="38" t="n">
        <f aca="false">Sens!$E$2625</f>
        <v>71.30864702443</v>
      </c>
      <c r="F2659" s="38" t="n">
        <f aca="false">Sens!$F$2625</f>
        <v>78.5950104186653</v>
      </c>
      <c r="G2659" s="38" t="n">
        <f aca="false">Sens!$G$2625</f>
        <v>149.903657443095</v>
      </c>
      <c r="H2659" s="38" t="n">
        <f aca="false">Sens!$H$2625</f>
        <v>179.769283337318</v>
      </c>
      <c r="I2659" s="38" t="n">
        <f aca="false">Sens!$I$2625</f>
        <v>206.642650286014</v>
      </c>
      <c r="J2659" s="38" t="n">
        <f aca="false">Sens!$J$2625</f>
        <v>227.254024176635</v>
      </c>
      <c r="K2659" s="38" t="n">
        <f aca="false">Sens!$K$2625</f>
        <v>238.616725385466</v>
      </c>
      <c r="L2659" s="38" t="n">
        <f aca="false">Sens!$L$2625</f>
        <v>250.54756165474</v>
      </c>
      <c r="M2659" s="38" t="n">
        <f aca="false">Sens!$M$2625</f>
        <v>263.074939737477</v>
      </c>
      <c r="N2659" s="38" t="n">
        <f aca="false">Sens!$N$2625</f>
        <v>57.0936804689721</v>
      </c>
      <c r="O2659" s="38" t="n">
        <f aca="false">Sens!$O$2625</f>
        <v>62.9275494423768</v>
      </c>
      <c r="P2659" s="8" t="s">
        <v>645</v>
      </c>
    </row>
    <row r="2660" customFormat="false" ht="17.15" hidden="false" customHeight="false" outlineLevel="0" collapsed="false">
      <c r="A2660" s="1" t="s">
        <v>476</v>
      </c>
      <c r="B2660" s="8" t="s">
        <v>73</v>
      </c>
      <c r="C2660" s="38" t="n">
        <f aca="false">Q!$D$7</f>
        <v>107.556</v>
      </c>
      <c r="D2660" s="38" t="n">
        <f aca="false">Q!$E$7</f>
        <v>128.725</v>
      </c>
      <c r="E2660" s="38" t="n">
        <f aca="false">Q!$P$7</f>
        <v>79.819</v>
      </c>
      <c r="F2660" s="38" t="n">
        <f aca="false">Sens!$F$2658+Sens!$F$2659</f>
        <v>93.5584440633857</v>
      </c>
      <c r="G2660" s="38" t="n">
        <f aca="false">Sens!$G$2658+Sens!$G$2659</f>
        <v>173.377444063386</v>
      </c>
      <c r="H2660" s="38" t="n">
        <f aca="false">Sens!$H$2658+Sens!$H$2659</f>
        <v>239.935174087093</v>
      </c>
      <c r="I2660" s="38" t="n">
        <f aca="false">Sens!$I$2658+Sens!$I$2659</f>
        <v>308.146349422446</v>
      </c>
      <c r="J2660" s="38" t="n">
        <f aca="false">Sens!$J$2658+Sens!$J$2659</f>
        <v>370.279431327913</v>
      </c>
      <c r="K2660" s="38" t="n">
        <f aca="false">Sens!$K$2658+Sens!$K$2659</f>
        <v>423.225140427654</v>
      </c>
      <c r="L2660" s="38" t="n">
        <f aca="false">Sens!$L$2658+Sens!$L$2659</f>
        <v>476.766848167865</v>
      </c>
      <c r="M2660" s="38" t="n">
        <f aca="false">Sens!$M$2658+Sens!$M$2659</f>
        <v>530.920101187709</v>
      </c>
      <c r="N2660" s="38" t="n">
        <f aca="false">Q!$N$7</f>
        <v>60.14</v>
      </c>
      <c r="O2660" s="38" t="n">
        <f aca="false">Q!$O$7</f>
        <v>68.585</v>
      </c>
      <c r="P2660" s="5" t="s">
        <v>647</v>
      </c>
    </row>
    <row r="2661" customFormat="false" ht="15" hidden="false" customHeight="false" outlineLevel="0" collapsed="false">
      <c r="A2661" s="3" t="s">
        <v>648</v>
      </c>
      <c r="B2661" s="8" t="s">
        <v>73</v>
      </c>
      <c r="C2661" s="38" t="n">
        <f aca="false">Q!$D$8</f>
        <v>637.959</v>
      </c>
      <c r="D2661" s="38" t="n">
        <f aca="false">Q!$E$8</f>
        <v>716.924</v>
      </c>
      <c r="E2661" s="38" t="n">
        <f aca="false">Q!$P$8</f>
        <v>382.125</v>
      </c>
      <c r="F2661" s="38" t="n">
        <f aca="false">Sens!$F$2594+Sens!$F$2660</f>
        <v>450.494873271816</v>
      </c>
      <c r="G2661" s="38" t="n">
        <f aca="false">Sens!$G$2594+Sens!$G$2660</f>
        <v>832.619873271816</v>
      </c>
      <c r="H2661" s="38" t="n">
        <f aca="false">Sens!$H$2594+Sens!$H$2660</f>
        <v>969.870911708794</v>
      </c>
      <c r="I2661" s="38" t="n">
        <f aca="false">Sens!$I$2594+Sens!$I$2660</f>
        <v>1106.44191912032</v>
      </c>
      <c r="J2661" s="38" t="n">
        <f aca="false">Sens!$J$2594+Sens!$J$2660</f>
        <v>1232.0162536537</v>
      </c>
      <c r="K2661" s="38" t="n">
        <f aca="false">Sens!$K$2594+Sens!$K$2660</f>
        <v>1340.78263252958</v>
      </c>
      <c r="L2661" s="38" t="n">
        <f aca="false">Sens!$L$2594+Sens!$L$2660</f>
        <v>1454.05193791103</v>
      </c>
      <c r="M2661" s="38" t="n">
        <f aca="false">Sens!$M$2594+Sens!$M$2660</f>
        <v>1572.13411973121</v>
      </c>
      <c r="N2661" s="38" t="n">
        <f aca="false">Q!$N$8</f>
        <v>323.369</v>
      </c>
      <c r="O2661" s="38" t="n">
        <f aca="false">Q!$O$8</f>
        <v>393.555</v>
      </c>
    </row>
    <row r="2662" customFormat="false" ht="17.15" hidden="false" customHeight="false" outlineLevel="0" collapsed="false">
      <c r="A2662" s="24" t="s">
        <v>656</v>
      </c>
      <c r="B2662" s="25" t="s">
        <v>73</v>
      </c>
      <c r="C2662" s="39" t="n">
        <f aca="false">Sens!$C$2594-(Sens!$C$2596+Sens!$C$2597)</f>
        <v>0</v>
      </c>
      <c r="D2662" s="39" t="n">
        <f aca="false">Sens!$D$2594-(Sens!$D$2596+Sens!$D$2597)</f>
        <v>0</v>
      </c>
      <c r="E2662" s="39" t="n">
        <f aca="false">Sens!$E$2594-(Sens!$E$2596+Sens!$E$2597)</f>
        <v>0</v>
      </c>
      <c r="F2662" s="39" t="n">
        <f aca="false">Sens!$F$2594-(Sens!$F$2596+Sens!$F$2597)</f>
        <v>0</v>
      </c>
      <c r="G2662" s="39" t="n">
        <f aca="false">Sens!$G$2594-(Sens!$G$2596+Sens!$G$2597)</f>
        <v>0</v>
      </c>
      <c r="H2662" s="39" t="n">
        <f aca="false">Sens!$H$2594-(Sens!$H$2596+Sens!$H$2597)</f>
        <v>0</v>
      </c>
      <c r="I2662" s="39" t="n">
        <f aca="false">Sens!$I$2594-(Sens!$I$2596+Sens!$I$2597)</f>
        <v>0</v>
      </c>
      <c r="J2662" s="39" t="n">
        <f aca="false">Sens!$J$2594-(Sens!$J$2596+Sens!$J$2597)</f>
        <v>0</v>
      </c>
      <c r="K2662" s="39" t="n">
        <f aca="false">Sens!$K$2594-(Sens!$K$2596+Sens!$K$2597)</f>
        <v>0</v>
      </c>
      <c r="L2662" s="39" t="n">
        <f aca="false">Sens!$L$2594-(Sens!$L$2596+Sens!$L$2597)</f>
        <v>0</v>
      </c>
      <c r="M2662" s="39" t="n">
        <f aca="false">Sens!$M$2594-(Sens!$M$2596+Sens!$M$2597)</f>
        <v>0</v>
      </c>
      <c r="N2662" s="39" t="n">
        <f aca="false">Sens!$N$2594-(Sens!$N$2596+Sens!$N$2597)</f>
        <v>0</v>
      </c>
      <c r="O2662" s="39" t="n">
        <f aca="false">Sens!$O$2594-(Sens!$O$2596+Sens!$O$2597)</f>
        <v>0</v>
      </c>
    </row>
    <row r="2663" customFormat="false" ht="17.15" hidden="false" customHeight="false" outlineLevel="0" collapsed="false">
      <c r="A2663" s="24" t="s">
        <v>657</v>
      </c>
      <c r="B2663" s="25" t="s">
        <v>73</v>
      </c>
      <c r="C2663" s="39" t="n">
        <f aca="false">Sens!$C$2658+Sens!$C$2659-Sens!$C$2660</f>
        <v>0</v>
      </c>
      <c r="D2663" s="39" t="n">
        <f aca="false">Sens!$D$2658+Sens!$D$2659-Sens!$D$2660</f>
        <v>0</v>
      </c>
      <c r="E2663" s="39" t="n">
        <f aca="false">Sens!$E$2658+Sens!$E$2659-Sens!$E$2660</f>
        <v>0</v>
      </c>
      <c r="F2663" s="39" t="n">
        <f aca="false">Sens!$F$2658+Sens!$F$2659-Sens!$F$2660</f>
        <v>0</v>
      </c>
      <c r="G2663" s="39" t="n">
        <f aca="false">Sens!$G$2658+Sens!$G$2659-Sens!$G$2660</f>
        <v>0</v>
      </c>
      <c r="H2663" s="39" t="n">
        <f aca="false">Sens!$H$2658+Sens!$H$2659-Sens!$H$2660</f>
        <v>0</v>
      </c>
      <c r="I2663" s="39" t="n">
        <f aca="false">Sens!$I$2658+Sens!$I$2659-Sens!$I$2660</f>
        <v>0</v>
      </c>
      <c r="J2663" s="39" t="n">
        <f aca="false">Sens!$J$2658+Sens!$J$2659-Sens!$J$2660</f>
        <v>0</v>
      </c>
      <c r="K2663" s="39" t="n">
        <f aca="false">Sens!$K$2658+Sens!$K$2659-Sens!$K$2660</f>
        <v>0</v>
      </c>
      <c r="L2663" s="39" t="n">
        <f aca="false">Sens!$L$2658+Sens!$L$2659-Sens!$L$2660</f>
        <v>0</v>
      </c>
      <c r="M2663" s="39" t="n">
        <f aca="false">Sens!$M$2658+Sens!$M$2659-Sens!$M$2660</f>
        <v>0</v>
      </c>
      <c r="N2663" s="39" t="n">
        <f aca="false">Sens!$N$2658+Sens!$N$2659-Sens!$N$2660</f>
        <v>0</v>
      </c>
      <c r="O2663" s="39" t="n">
        <f aca="false">Sens!$O$2658+Sens!$O$2659-Sens!$O$2660</f>
        <v>0</v>
      </c>
    </row>
    <row r="2664" customFormat="false" ht="17.15" hidden="false" customHeight="false" outlineLevel="0" collapsed="false">
      <c r="A2664" s="24" t="s">
        <v>658</v>
      </c>
      <c r="B2664" s="25" t="s">
        <v>73</v>
      </c>
      <c r="C2664" s="39" t="n">
        <f aca="false">Sens!$C$2596+Sens!$C$2597+Sens!$C$2660-Sens!$C$2661</f>
        <v>0</v>
      </c>
      <c r="D2664" s="39" t="n">
        <f aca="false">Sens!$D$2596+Sens!$D$2597+Sens!$D$2660-Sens!$D$2661</f>
        <v>0</v>
      </c>
      <c r="E2664" s="39" t="n">
        <f aca="false">Sens!$E$2596+Sens!$E$2597+Sens!$E$2660-Sens!$E$2661</f>
        <v>0</v>
      </c>
      <c r="F2664" s="39" t="n">
        <f aca="false">Sens!$F$2596+Sens!$F$2597+Sens!$F$2660-Sens!$F$2661</f>
        <v>0</v>
      </c>
      <c r="G2664" s="39" t="n">
        <f aca="false">Sens!$G$2596+Sens!$G$2597+Sens!$G$2660-Sens!$G$2661</f>
        <v>0</v>
      </c>
      <c r="H2664" s="39" t="n">
        <f aca="false">Sens!$H$2596+Sens!$H$2597+Sens!$H$2660-Sens!$H$2661</f>
        <v>0</v>
      </c>
      <c r="I2664" s="39" t="n">
        <f aca="false">Sens!$I$2596+Sens!$I$2597+Sens!$I$2660-Sens!$I$2661</f>
        <v>0</v>
      </c>
      <c r="J2664" s="39" t="n">
        <f aca="false">Sens!$J$2596+Sens!$J$2597+Sens!$J$2660-Sens!$J$2661</f>
        <v>0</v>
      </c>
      <c r="K2664" s="39" t="n">
        <f aca="false">Sens!$K$2596+Sens!$K$2597+Sens!$K$2660-Sens!$K$2661</f>
        <v>0</v>
      </c>
      <c r="L2664" s="39" t="n">
        <f aca="false">Sens!$L$2596+Sens!$L$2597+Sens!$L$2660-Sens!$L$2661</f>
        <v>0</v>
      </c>
      <c r="M2664" s="39" t="n">
        <f aca="false">Sens!$M$2596+Sens!$M$2597+Sens!$M$2660-Sens!$M$2661</f>
        <v>0</v>
      </c>
      <c r="N2664" s="39" t="n">
        <f aca="false">Sens!$N$2596+Sens!$N$2597+Sens!$N$2660-Sens!$N$2661</f>
        <v>0</v>
      </c>
      <c r="O2664" s="39" t="n">
        <f aca="false">Sens!$O$2596+Sens!$O$2597+Sens!$O$2660-Sens!$O$2661</f>
        <v>0</v>
      </c>
    </row>
    <row r="2665" customFormat="false" ht="15" hidden="false" customHeight="false" outlineLevel="0" collapsed="false">
      <c r="A2665" s="5" t="s">
        <v>652</v>
      </c>
      <c r="B2665" s="0" t="s">
        <v>52</v>
      </c>
      <c r="G2665" s="12" t="n">
        <f aca="false">Sens!$G$2661/Sens!$D$2661-1</f>
        <v>0.161378156222718</v>
      </c>
      <c r="H2665" s="12" t="n">
        <f aca="false">Sens!$H$2661/Sens!$G$2661-1</f>
        <v>0.164842376266668</v>
      </c>
      <c r="I2665" s="12" t="n">
        <f aca="false">Sens!$I$2661/Sens!$H$2661-1</f>
        <v>0.140813592574813</v>
      </c>
      <c r="J2665" s="12" t="n">
        <f aca="false">Sens!$J$2661/Sens!$I$2661-1</f>
        <v>0.113493833127019</v>
      </c>
      <c r="K2665" s="12" t="n">
        <f aca="false">Sens!$K$2661/Sens!$J$2661-1</f>
        <v>0.088283233726276</v>
      </c>
      <c r="L2665" s="12" t="n">
        <f aca="false">Sens!$L$2661/Sens!$K$2661-1</f>
        <v>0.0844799914865781</v>
      </c>
      <c r="M2665" s="12" t="n">
        <f aca="false">Sens!$M$2661/Sens!$L$2661-1</f>
        <v>0.0812090536393255</v>
      </c>
    </row>
    <row r="2666" customFormat="false" ht="17.15" hidden="false" customHeight="false" outlineLevel="0" collapsed="false">
      <c r="A2666" s="0" t="s">
        <v>653</v>
      </c>
      <c r="B2666" s="0" t="s">
        <v>52</v>
      </c>
      <c r="C2666" s="12" t="n">
        <f aca="false">Sens!$C$2660/Sens!$C$2661</f>
        <v>0.168593906504964</v>
      </c>
      <c r="D2666" s="12" t="n">
        <f aca="false">Sens!$D$2660/Sens!$D$2661</f>
        <v>0.179551807444025</v>
      </c>
      <c r="E2666" s="12" t="n">
        <f aca="false">Sens!$E$2660/Sens!$E$2661</f>
        <v>0.208881910369643</v>
      </c>
      <c r="F2666" s="12" t="n">
        <f aca="false">Sens!$F$2660/Sens!$F$2661</f>
        <v>0.207679264769203</v>
      </c>
      <c r="G2666" s="12" t="n">
        <f aca="false">Sens!$G$2660/Sens!$G$2661</f>
        <v>0.208231210458731</v>
      </c>
      <c r="H2666" s="12" t="n">
        <f aca="false">Sens!$H$2660/Sens!$H$2661</f>
        <v>0.247388772248419</v>
      </c>
      <c r="I2666" s="12" t="n">
        <f aca="false">Sens!$I$2660/Sens!$I$2661</f>
        <v>0.278502056092957</v>
      </c>
      <c r="J2666" s="12" t="n">
        <f aca="false">Sens!$J$2660/Sens!$J$2661</f>
        <v>0.300547521373848</v>
      </c>
      <c r="K2666" s="12" t="n">
        <f aca="false">Sens!$K$2660/Sens!$K$2661</f>
        <v>0.315655297256632</v>
      </c>
      <c r="L2666" s="12" t="n">
        <f aca="false">Sens!$L$2660/Sens!$L$2661</f>
        <v>0.327888458271177</v>
      </c>
      <c r="M2666" s="12" t="n">
        <f aca="false">Sens!$M$2660/Sens!$M$2661</f>
        <v>0.337706620907433</v>
      </c>
      <c r="N2666" s="12" t="n">
        <f aca="false">Sens!$N$2660/Sens!$N$2661</f>
        <v>0.185979484737251</v>
      </c>
      <c r="O2666" s="12" t="n">
        <f aca="false">Sens!$O$2660/Sens!$O$2661</f>
        <v>0.174270432341096</v>
      </c>
    </row>
    <row r="2667" customFormat="false" ht="17.15" hidden="false" customHeight="false" outlineLevel="0" collapsed="false">
      <c r="A2667" s="0" t="s">
        <v>654</v>
      </c>
      <c r="B2667" s="0" t="s">
        <v>52</v>
      </c>
      <c r="C2667" s="12" t="n">
        <f aca="false">Sens!$C$2658/Sens!$C$2660</f>
        <v>0.0215795060896058</v>
      </c>
      <c r="D2667" s="12" t="n">
        <f aca="false">Sens!$D$2658/Sens!$D$2660</f>
        <v>0.0676152269462122</v>
      </c>
      <c r="E2667" s="12" t="n">
        <f aca="false">Sens!$E$2658/Sens!$E$2660</f>
        <v>0.106620641395783</v>
      </c>
      <c r="F2667" s="12" t="n">
        <f aca="false">Sens!$F$2658/Sens!$F$2660</f>
        <v>0.159936751776064</v>
      </c>
      <c r="G2667" s="12" t="n">
        <f aca="false">Sens!$G$2658/Sens!$G$2660</f>
        <v>0.135391237003751</v>
      </c>
      <c r="H2667" s="12" t="n">
        <f aca="false">Sens!$H$2658/Sens!$H$2660</f>
        <v>0.25075894344668</v>
      </c>
      <c r="I2667" s="12" t="n">
        <f aca="false">Sens!$I$2658/Sens!$I$2660</f>
        <v>0.32940094642263</v>
      </c>
      <c r="J2667" s="12" t="n">
        <f aca="false">Sens!$J$2658/Sens!$J$2660</f>
        <v>0.386263440662513</v>
      </c>
      <c r="K2667" s="12" t="n">
        <f aca="false">Sens!$K$2658/Sens!$K$2660</f>
        <v>0.436194350022891</v>
      </c>
      <c r="L2667" s="12" t="n">
        <f aca="false">Sens!$L$2658/Sens!$L$2660</f>
        <v>0.474486192532991</v>
      </c>
      <c r="M2667" s="12" t="n">
        <f aca="false">Sens!$M$2658/Sens!$M$2660</f>
        <v>0.504492410159348</v>
      </c>
      <c r="N2667" s="12" t="n">
        <f aca="false">Sens!$N$2658/Sens!$N$2660</f>
        <v>0.0506537999838362</v>
      </c>
      <c r="O2667" s="12" t="n">
        <f aca="false">Sens!$O$2658/Sens!$O$2660</f>
        <v>0.0824881615167056</v>
      </c>
    </row>
    <row r="2670" customFormat="false" ht="19.4" hidden="false" customHeight="false" outlineLevel="0" collapsed="false">
      <c r="A2670" s="31" t="s">
        <v>1102</v>
      </c>
    </row>
    <row r="2671" customFormat="false" ht="17.15" hidden="false" customHeight="false" outlineLevel="0" collapsed="false">
      <c r="A2671" s="6" t="s">
        <v>16</v>
      </c>
      <c r="B2671" s="6" t="s">
        <v>17</v>
      </c>
      <c r="C2671" s="20" t="s">
        <v>457</v>
      </c>
      <c r="D2671" s="20" t="s">
        <v>458</v>
      </c>
      <c r="E2671" s="20" t="s">
        <v>540</v>
      </c>
      <c r="F2671" s="20" t="s">
        <v>541</v>
      </c>
      <c r="G2671" s="20" t="s">
        <v>542</v>
      </c>
      <c r="H2671" s="20" t="s">
        <v>543</v>
      </c>
      <c r="I2671" s="20" t="s">
        <v>544</v>
      </c>
      <c r="J2671" s="20" t="s">
        <v>545</v>
      </c>
      <c r="K2671" s="20" t="s">
        <v>546</v>
      </c>
      <c r="L2671" s="20" t="s">
        <v>547</v>
      </c>
      <c r="M2671" s="20" t="s">
        <v>548</v>
      </c>
      <c r="N2671" s="20" t="s">
        <v>549</v>
      </c>
      <c r="O2671" s="20" t="s">
        <v>550</v>
      </c>
      <c r="P2671" s="6" t="s">
        <v>23</v>
      </c>
      <c r="R2671" s="20" t="n">
        <v>2023</v>
      </c>
      <c r="S2671" s="20" t="n">
        <v>2024</v>
      </c>
      <c r="T2671" s="20" t="n">
        <v>2025</v>
      </c>
      <c r="U2671" s="20" t="n">
        <v>2026</v>
      </c>
      <c r="V2671" s="20" t="n">
        <v>2027</v>
      </c>
      <c r="W2671" s="20" t="n">
        <v>2028</v>
      </c>
      <c r="X2671" s="20" t="n">
        <v>2029</v>
      </c>
      <c r="Y2671" s="20" t="n">
        <v>2030</v>
      </c>
      <c r="Z2671" s="20" t="n">
        <v>2031</v>
      </c>
      <c r="AA2671" s="20" t="n">
        <v>2032</v>
      </c>
    </row>
    <row r="2672" customFormat="false" ht="17.15" hidden="false" customHeight="false" outlineLevel="0" collapsed="false">
      <c r="A2672" s="1" t="s">
        <v>669</v>
      </c>
    </row>
    <row r="2673" customFormat="false" ht="15" hidden="false" customHeight="false" outlineLevel="0" collapsed="false">
      <c r="A2673" s="0" t="s">
        <v>479</v>
      </c>
      <c r="B2673" s="0" t="s">
        <v>73</v>
      </c>
      <c r="C2673" s="38" t="n">
        <f aca="false">Sens!$C$2582</f>
        <v>247.029</v>
      </c>
      <c r="D2673" s="38" t="n">
        <f aca="false">Sens!$D$2582</f>
        <v>269.287</v>
      </c>
      <c r="E2673" s="38" t="n">
        <f aca="false">Sens!$E$2582</f>
        <v>134.686</v>
      </c>
      <c r="F2673" s="38" t="n">
        <f aca="false">Sens!$F$2582</f>
        <v>160.728085930082</v>
      </c>
      <c r="G2673" s="38" t="n">
        <f aca="false">Sens!$G$2582</f>
        <v>295.414085930082</v>
      </c>
      <c r="H2673" s="38" t="n">
        <f aca="false">Sens!$H$2582</f>
        <v>320.828163943375</v>
      </c>
      <c r="I2673" s="38" t="n">
        <f aca="false">Sens!$I$2582</f>
        <v>344.575578072228</v>
      </c>
      <c r="J2673" s="38" t="n">
        <f aca="false">Sens!$J$2582</f>
        <v>365.942555779681</v>
      </c>
      <c r="K2673" s="38" t="n">
        <f aca="false">Sens!$K$2582</f>
        <v>384.239683568665</v>
      </c>
      <c r="L2673" s="38" t="n">
        <f aca="false">Sens!$L$2582</f>
        <v>403.451667747098</v>
      </c>
      <c r="M2673" s="38" t="n">
        <f aca="false">Sens!$M$2582</f>
        <v>423.624251134453</v>
      </c>
      <c r="N2673" s="38" t="n">
        <f aca="false">Sens!$N$2582</f>
        <v>118.892</v>
      </c>
      <c r="O2673" s="38" t="n">
        <f aca="false">Sens!$O$2582</f>
        <v>150.395</v>
      </c>
    </row>
    <row r="2674" customFormat="false" ht="15" hidden="false" customHeight="false" outlineLevel="0" collapsed="false">
      <c r="A2674" s="0" t="s">
        <v>480</v>
      </c>
      <c r="B2674" s="0" t="s">
        <v>73</v>
      </c>
      <c r="C2674" s="38" t="n">
        <f aca="false">Sens!$C$2584</f>
        <v>21.215</v>
      </c>
      <c r="D2674" s="38" t="n">
        <f aca="false">Sens!$D$2584</f>
        <v>22.561</v>
      </c>
      <c r="E2674" s="38" t="n">
        <f aca="false">Sens!$E$2584</f>
        <v>11.579</v>
      </c>
      <c r="F2674" s="38" t="n">
        <f aca="false">Sens!$F$2584</f>
        <v>12.0952613121125</v>
      </c>
      <c r="G2674" s="38" t="n">
        <f aca="false">Sens!$G$2584</f>
        <v>23.6742613121125</v>
      </c>
      <c r="H2674" s="38" t="n">
        <f aca="false">Sens!$H$2584</f>
        <v>24.8803243963206</v>
      </c>
      <c r="I2674" s="38" t="n">
        <f aca="false">Sens!$I$2584</f>
        <v>25.9741308664154</v>
      </c>
      <c r="J2674" s="38" t="n">
        <f aca="false">Sens!$J$2584</f>
        <v>26.9346894124267</v>
      </c>
      <c r="K2674" s="38" t="n">
        <f aca="false">Sens!$K$2584</f>
        <v>27.7427300947995</v>
      </c>
      <c r="L2674" s="38" t="n">
        <f aca="false">Sens!$L$2584</f>
        <v>28.5750119976435</v>
      </c>
      <c r="M2674" s="38" t="n">
        <f aca="false">Sens!$M$2584</f>
        <v>29.4322623575728</v>
      </c>
      <c r="N2674" s="38" t="n">
        <f aca="false">Sens!$N$2584</f>
        <v>11.128</v>
      </c>
      <c r="O2674" s="38" t="n">
        <f aca="false">Sens!$O$2584</f>
        <v>11.433</v>
      </c>
    </row>
    <row r="2675" customFormat="false" ht="15" hidden="false" customHeight="false" outlineLevel="0" collapsed="false">
      <c r="A2675" s="0" t="s">
        <v>481</v>
      </c>
      <c r="B2675" s="0" t="s">
        <v>73</v>
      </c>
      <c r="C2675" s="38" t="n">
        <f aca="false">Sens!$C$2586</f>
        <v>156.146</v>
      </c>
      <c r="D2675" s="38" t="n">
        <f aca="false">Sens!$D$2586</f>
        <v>172.162</v>
      </c>
      <c r="E2675" s="38" t="n">
        <f aca="false">Sens!$E$2586</f>
        <v>88.358</v>
      </c>
      <c r="F2675" s="38" t="n">
        <f aca="false">Sens!$F$2586</f>
        <v>103.62028337149</v>
      </c>
      <c r="G2675" s="38" t="n">
        <f aca="false">Sens!$G$2586</f>
        <v>191.97828337149</v>
      </c>
      <c r="H2675" s="38" t="n">
        <f aca="false">Sens!$H$2586</f>
        <v>212.128608444755</v>
      </c>
      <c r="I2675" s="38" t="n">
        <f aca="false">Sens!$I$2586</f>
        <v>231.92183134134</v>
      </c>
      <c r="J2675" s="38" t="n">
        <f aca="false">Sens!$J$2586</f>
        <v>250.859136487863</v>
      </c>
      <c r="K2675" s="38" t="n">
        <f aca="false">Sens!$K$2586</f>
        <v>268.419276042014</v>
      </c>
      <c r="L2675" s="38" t="n">
        <f aca="false">Sens!$L$2586</f>
        <v>287.208625364954</v>
      </c>
      <c r="M2675" s="38" t="n">
        <f aca="false">Sens!$M$2586</f>
        <v>307.313229140501</v>
      </c>
      <c r="N2675" s="38" t="n">
        <f aca="false">Sens!$N$2586</f>
        <v>76.86</v>
      </c>
      <c r="O2675" s="38" t="n">
        <f aca="false">Sens!$O$2586</f>
        <v>95.302</v>
      </c>
    </row>
    <row r="2676" customFormat="false" ht="15" hidden="false" customHeight="false" outlineLevel="0" collapsed="false">
      <c r="A2676" s="0" t="s">
        <v>482</v>
      </c>
      <c r="B2676" s="0" t="s">
        <v>73</v>
      </c>
      <c r="C2676" s="38" t="n">
        <f aca="false">Sens!$C$2588</f>
        <v>56.214</v>
      </c>
      <c r="D2676" s="38" t="n">
        <f aca="false">Sens!$D$2588</f>
        <v>68.635</v>
      </c>
      <c r="E2676" s="38" t="n">
        <f aca="false">Sens!$E$2588</f>
        <v>37.052</v>
      </c>
      <c r="F2676" s="38" t="n">
        <f aca="false">Sens!$F$2588</f>
        <v>48.1533381827382</v>
      </c>
      <c r="G2676" s="38" t="n">
        <f aca="false">Sens!$G$2588</f>
        <v>85.2053381827382</v>
      </c>
      <c r="H2676" s="38" t="n">
        <f aca="false">Sens!$H$2588</f>
        <v>102.29336185894</v>
      </c>
      <c r="I2676" s="38" t="n">
        <f aca="false">Sens!$I$2588</f>
        <v>119.379837585241</v>
      </c>
      <c r="J2676" s="38" t="n">
        <f aca="false">Sens!$J$2588</f>
        <v>135.319079048844</v>
      </c>
      <c r="K2676" s="38" t="n">
        <f aca="false">Sens!$K$2588</f>
        <v>148.850986953729</v>
      </c>
      <c r="L2676" s="38" t="n">
        <f aca="false">Sens!$L$2588</f>
        <v>163.736085649102</v>
      </c>
      <c r="M2676" s="38" t="n">
        <f aca="false">Sens!$M$2588</f>
        <v>180.109694214012</v>
      </c>
      <c r="N2676" s="38" t="n">
        <f aca="false">Sens!$N$2588</f>
        <v>29.615</v>
      </c>
      <c r="O2676" s="38" t="n">
        <f aca="false">Sens!$O$2588</f>
        <v>39.02</v>
      </c>
    </row>
    <row r="2677" customFormat="false" ht="15" hidden="false" customHeight="false" outlineLevel="0" collapsed="false">
      <c r="A2677" s="0" t="s">
        <v>483</v>
      </c>
      <c r="B2677" s="0" t="s">
        <v>73</v>
      </c>
      <c r="C2677" s="38" t="n">
        <f aca="false">Sens!$C$2590</f>
        <v>44.374</v>
      </c>
      <c r="D2677" s="38" t="n">
        <f aca="false">Sens!$D$2590</f>
        <v>49.619</v>
      </c>
      <c r="E2677" s="38" t="n">
        <f aca="false">Sens!$E$2590</f>
        <v>27.157</v>
      </c>
      <c r="F2677" s="38" t="n">
        <f aca="false">Sens!$F$2590</f>
        <v>28.9776360923374</v>
      </c>
      <c r="G2677" s="38" t="n">
        <f aca="false">Sens!$G$2590</f>
        <v>56.1346360923374</v>
      </c>
      <c r="H2677" s="38" t="n">
        <f aca="false">Sens!$H$2590</f>
        <v>62.4937078946075</v>
      </c>
      <c r="I2677" s="38" t="n">
        <f aca="false">Sens!$I$2590</f>
        <v>68.6715233062498</v>
      </c>
      <c r="J2677" s="38" t="n">
        <f aca="false">Sens!$J$2590</f>
        <v>74.4692882949818</v>
      </c>
      <c r="K2677" s="38" t="n">
        <f aca="false">Sens!$K$2590</f>
        <v>79.6821384756306</v>
      </c>
      <c r="L2677" s="38" t="n">
        <f aca="false">Sens!$L$2590</f>
        <v>85.2598881689247</v>
      </c>
      <c r="M2677" s="38" t="n">
        <f aca="false">Sens!$M$2590</f>
        <v>91.2280803407494</v>
      </c>
      <c r="N2677" s="38" t="n">
        <f aca="false">Sens!$N$2590</f>
        <v>23.923</v>
      </c>
      <c r="O2677" s="38" t="n">
        <f aca="false">Sens!$O$2590</f>
        <v>25.696</v>
      </c>
    </row>
    <row r="2678" customFormat="false" ht="15" hidden="false" customHeight="false" outlineLevel="0" collapsed="false">
      <c r="A2678" s="0" t="s">
        <v>484</v>
      </c>
      <c r="B2678" s="0" t="s">
        <v>73</v>
      </c>
      <c r="C2678" s="38" t="n">
        <f aca="false">Sens!$C$2592</f>
        <v>5.425</v>
      </c>
      <c r="D2678" s="38" t="n">
        <f aca="false">Sens!$D$2592</f>
        <v>5.935</v>
      </c>
      <c r="E2678" s="38" t="n">
        <f aca="false">Sens!$E$2592</f>
        <v>3.474</v>
      </c>
      <c r="F2678" s="38" t="n">
        <f aca="false">Sens!$F$2592</f>
        <v>3.36182431966931</v>
      </c>
      <c r="G2678" s="38" t="n">
        <f aca="false">Sens!$G$2592</f>
        <v>6.83582431966931</v>
      </c>
      <c r="H2678" s="38" t="n">
        <f aca="false">Sens!$H$2592</f>
        <v>7.31157108370141</v>
      </c>
      <c r="I2678" s="38" t="n">
        <f aca="false">Sens!$I$2592</f>
        <v>7.77266852639815</v>
      </c>
      <c r="J2678" s="38" t="n">
        <f aca="false">Sens!$J$2592</f>
        <v>8.2120733019884</v>
      </c>
      <c r="K2678" s="38" t="n">
        <f aca="false">Sens!$K$2592</f>
        <v>8.62267696708783</v>
      </c>
      <c r="L2678" s="38" t="n">
        <f aca="false">Sens!$L$2592</f>
        <v>9.05381081544222</v>
      </c>
      <c r="M2678" s="38" t="n">
        <f aca="false">Sens!$M$2592</f>
        <v>9.50650135621433</v>
      </c>
      <c r="N2678" s="38" t="n">
        <f aca="false">Sens!$N$2592</f>
        <v>2.811</v>
      </c>
      <c r="O2678" s="38" t="n">
        <f aca="false">Sens!$O$2592</f>
        <v>3.124</v>
      </c>
    </row>
    <row r="2679" customFormat="false" ht="17.15" hidden="false" customHeight="false" outlineLevel="0" collapsed="false">
      <c r="A2679" s="0" t="s">
        <v>670</v>
      </c>
      <c r="B2679" s="0" t="s">
        <v>73</v>
      </c>
      <c r="C2679" s="38" t="n">
        <f aca="false">Sens!$C$2660</f>
        <v>107.556</v>
      </c>
      <c r="D2679" s="38" t="n">
        <f aca="false">Sens!$D$2660</f>
        <v>128.725</v>
      </c>
      <c r="E2679" s="38" t="n">
        <f aca="false">Sens!$E$2660</f>
        <v>79.819</v>
      </c>
      <c r="F2679" s="38" t="n">
        <f aca="false">Sens!$F$2660</f>
        <v>93.5584440633857</v>
      </c>
      <c r="G2679" s="38" t="n">
        <f aca="false">Sens!$G$2660</f>
        <v>173.377444063386</v>
      </c>
      <c r="H2679" s="38" t="n">
        <f aca="false">Sens!$H$2660</f>
        <v>239.935174087093</v>
      </c>
      <c r="I2679" s="38" t="n">
        <f aca="false">Sens!$I$2660</f>
        <v>308.146349422446</v>
      </c>
      <c r="J2679" s="38" t="n">
        <f aca="false">Sens!$J$2660</f>
        <v>370.279431327913</v>
      </c>
      <c r="K2679" s="38" t="n">
        <f aca="false">Sens!$K$2660</f>
        <v>423.225140427654</v>
      </c>
      <c r="L2679" s="38" t="n">
        <f aca="false">Sens!$L$2660</f>
        <v>476.766848167865</v>
      </c>
      <c r="M2679" s="38" t="n">
        <f aca="false">Sens!$M$2660</f>
        <v>530.920101187709</v>
      </c>
      <c r="N2679" s="38" t="n">
        <f aca="false">Sens!$N$2660</f>
        <v>60.14</v>
      </c>
      <c r="O2679" s="38" t="n">
        <f aca="false">Sens!$O$2660</f>
        <v>68.585</v>
      </c>
    </row>
    <row r="2680" customFormat="false" ht="15" hidden="false" customHeight="false" outlineLevel="0" collapsed="false">
      <c r="A2680" s="1" t="s">
        <v>472</v>
      </c>
      <c r="B2680" s="8" t="s">
        <v>73</v>
      </c>
      <c r="C2680" s="38" t="n">
        <f aca="false">Sens!$C$2596</f>
        <v>387.497</v>
      </c>
      <c r="D2680" s="38" t="n">
        <f aca="false">Sens!$D$2596</f>
        <v>426.305</v>
      </c>
      <c r="E2680" s="38" t="n">
        <f aca="false">Sens!$E$2596</f>
        <v>220.32</v>
      </c>
      <c r="F2680" s="38" t="n">
        <f aca="false">Sens!$F$2596</f>
        <v>256.304015003807</v>
      </c>
      <c r="G2680" s="38" t="n">
        <f aca="false">Sens!$G$2596</f>
        <v>476.624015003807</v>
      </c>
      <c r="H2680" s="38" t="n">
        <f aca="false">Sens!$H$2596</f>
        <v>527.734391091543</v>
      </c>
      <c r="I2680" s="38" t="n">
        <f aca="false">Sens!$I$2596</f>
        <v>577.157693029577</v>
      </c>
      <c r="J2680" s="38" t="n">
        <f aca="false">Sens!$J$2596</f>
        <v>623.024923663827</v>
      </c>
      <c r="K2680" s="38" t="n">
        <f aca="false">Sens!$K$2596</f>
        <v>663.382568393781</v>
      </c>
      <c r="L2680" s="38" t="n">
        <f aca="false">Sens!$L$2596</f>
        <v>706.564873010432</v>
      </c>
      <c r="M2680" s="38" t="n">
        <f aca="false">Sens!$M$2596</f>
        <v>752.784687406019</v>
      </c>
      <c r="N2680" s="38" t="n">
        <f aca="false">Sens!$N$2596</f>
        <v>192.955</v>
      </c>
      <c r="O2680" s="38" t="n">
        <f aca="false">Sens!$O$2596</f>
        <v>233.35</v>
      </c>
    </row>
    <row r="2681" customFormat="false" ht="15" hidden="false" customHeight="false" outlineLevel="0" collapsed="false">
      <c r="A2681" s="1" t="s">
        <v>475</v>
      </c>
      <c r="B2681" s="8" t="s">
        <v>73</v>
      </c>
      <c r="C2681" s="38" t="n">
        <f aca="false">Sens!$C$2597</f>
        <v>142.906</v>
      </c>
      <c r="D2681" s="38" t="n">
        <f aca="false">Sens!$D$2597</f>
        <v>161.894</v>
      </c>
      <c r="E2681" s="38" t="n">
        <f aca="false">Sens!$E$2597</f>
        <v>81.986</v>
      </c>
      <c r="F2681" s="38" t="n">
        <f aca="false">Sens!$F$2597</f>
        <v>100.632414204623</v>
      </c>
      <c r="G2681" s="38" t="n">
        <f aca="false">Sens!$G$2597</f>
        <v>182.618414204623</v>
      </c>
      <c r="H2681" s="38" t="n">
        <f aca="false">Sens!$H$2597</f>
        <v>202.201346530158</v>
      </c>
      <c r="I2681" s="38" t="n">
        <f aca="false">Sens!$I$2597</f>
        <v>221.137876668296</v>
      </c>
      <c r="J2681" s="38" t="n">
        <f aca="false">Sens!$J$2597</f>
        <v>238.711898661958</v>
      </c>
      <c r="K2681" s="38" t="n">
        <f aca="false">Sens!$K$2597</f>
        <v>254.174923708144</v>
      </c>
      <c r="L2681" s="38" t="n">
        <f aca="false">Sens!$L$2597</f>
        <v>270.720216732733</v>
      </c>
      <c r="M2681" s="38" t="n">
        <f aca="false">Sens!$M$2597</f>
        <v>288.429331137484</v>
      </c>
      <c r="N2681" s="38" t="n">
        <f aca="false">Sens!$N$2597</f>
        <v>70.274</v>
      </c>
      <c r="O2681" s="38" t="n">
        <f aca="false">Sens!$O$2597</f>
        <v>91.62</v>
      </c>
    </row>
    <row r="2682" customFormat="false" ht="15" hidden="false" customHeight="false" outlineLevel="0" collapsed="false">
      <c r="A2682" s="1" t="s">
        <v>476</v>
      </c>
      <c r="B2682" s="8" t="s">
        <v>73</v>
      </c>
      <c r="C2682" s="38" t="n">
        <f aca="false">Sens!$C$2660</f>
        <v>107.556</v>
      </c>
      <c r="D2682" s="38" t="n">
        <f aca="false">Sens!$D$2660</f>
        <v>128.725</v>
      </c>
      <c r="E2682" s="38" t="n">
        <f aca="false">Sens!$E$2660</f>
        <v>79.819</v>
      </c>
      <c r="F2682" s="38" t="n">
        <f aca="false">Sens!$F$2660</f>
        <v>93.5584440633857</v>
      </c>
      <c r="G2682" s="38" t="n">
        <f aca="false">Sens!$G$2660</f>
        <v>173.377444063386</v>
      </c>
      <c r="H2682" s="38" t="n">
        <f aca="false">Sens!$H$2660</f>
        <v>239.935174087093</v>
      </c>
      <c r="I2682" s="38" t="n">
        <f aca="false">Sens!$I$2660</f>
        <v>308.146349422446</v>
      </c>
      <c r="J2682" s="38" t="n">
        <f aca="false">Sens!$J$2660</f>
        <v>370.279431327913</v>
      </c>
      <c r="K2682" s="38" t="n">
        <f aca="false">Sens!$K$2660</f>
        <v>423.225140427654</v>
      </c>
      <c r="L2682" s="38" t="n">
        <f aca="false">Sens!$L$2660</f>
        <v>476.766848167865</v>
      </c>
      <c r="M2682" s="38" t="n">
        <f aca="false">Sens!$M$2660</f>
        <v>530.920101187709</v>
      </c>
      <c r="N2682" s="38" t="n">
        <f aca="false">Sens!$N$2660</f>
        <v>60.14</v>
      </c>
      <c r="O2682" s="38" t="n">
        <f aca="false">Sens!$O$2660</f>
        <v>68.585</v>
      </c>
    </row>
    <row r="2683" customFormat="false" ht="17.15" hidden="false" customHeight="false" outlineLevel="0" collapsed="false">
      <c r="A2683" s="0" t="s">
        <v>644</v>
      </c>
      <c r="B2683" s="0" t="s">
        <v>73</v>
      </c>
      <c r="C2683" s="38" t="n">
        <f aca="false">Sens!$C$2658</f>
        <v>2.32100535697364</v>
      </c>
      <c r="D2683" s="38" t="n">
        <f aca="false">Sens!$D$2658</f>
        <v>8.70377008865116</v>
      </c>
      <c r="E2683" s="38" t="n">
        <f aca="false">Sens!$E$2658</f>
        <v>8.51035297557002</v>
      </c>
      <c r="F2683" s="38" t="n">
        <f aca="false">Sens!$F$2658</f>
        <v>14.9634336447205</v>
      </c>
      <c r="G2683" s="38" t="n">
        <f aca="false">Sens!$G$2658</f>
        <v>23.4737866202905</v>
      </c>
      <c r="H2683" s="38" t="n">
        <f aca="false">Sens!$H$2658</f>
        <v>60.1658907497746</v>
      </c>
      <c r="I2683" s="38" t="n">
        <f aca="false">Sens!$I$2658</f>
        <v>101.503699136432</v>
      </c>
      <c r="J2683" s="38" t="n">
        <f aca="false">Sens!$J$2658</f>
        <v>143.025407151278</v>
      </c>
      <c r="K2683" s="38" t="n">
        <f aca="false">Sens!$K$2658</f>
        <v>184.608415042187</v>
      </c>
      <c r="L2683" s="38" t="n">
        <f aca="false">Sens!$L$2658</f>
        <v>226.219286513125</v>
      </c>
      <c r="M2683" s="38" t="n">
        <f aca="false">Sens!$M$2658</f>
        <v>267.845161450232</v>
      </c>
      <c r="N2683" s="38" t="n">
        <f aca="false">Sens!$N$2658</f>
        <v>3.04631953102791</v>
      </c>
      <c r="O2683" s="38" t="n">
        <f aca="false">Sens!$O$2658</f>
        <v>5.65745055762326</v>
      </c>
    </row>
    <row r="2684" customFormat="false" ht="17.15" hidden="false" customHeight="false" outlineLevel="0" collapsed="false">
      <c r="A2684" s="0" t="s">
        <v>646</v>
      </c>
      <c r="B2684" s="0" t="s">
        <v>73</v>
      </c>
      <c r="C2684" s="38" t="n">
        <f aca="false">Sens!$C$2659</f>
        <v>105.234994643026</v>
      </c>
      <c r="D2684" s="38" t="n">
        <f aca="false">Sens!$D$2659</f>
        <v>120.021229911349</v>
      </c>
      <c r="E2684" s="38" t="n">
        <f aca="false">Sens!$E$2659</f>
        <v>71.30864702443</v>
      </c>
      <c r="F2684" s="38" t="n">
        <f aca="false">Sens!$F$2659</f>
        <v>78.5950104186653</v>
      </c>
      <c r="G2684" s="38" t="n">
        <f aca="false">Sens!$G$2659</f>
        <v>149.903657443095</v>
      </c>
      <c r="H2684" s="38" t="n">
        <f aca="false">Sens!$H$2659</f>
        <v>179.769283337318</v>
      </c>
      <c r="I2684" s="38" t="n">
        <f aca="false">Sens!$I$2659</f>
        <v>206.642650286014</v>
      </c>
      <c r="J2684" s="38" t="n">
        <f aca="false">Sens!$J$2659</f>
        <v>227.254024176635</v>
      </c>
      <c r="K2684" s="38" t="n">
        <f aca="false">Sens!$K$2659</f>
        <v>238.616725385466</v>
      </c>
      <c r="L2684" s="38" t="n">
        <f aca="false">Sens!$L$2659</f>
        <v>250.54756165474</v>
      </c>
      <c r="M2684" s="38" t="n">
        <f aca="false">Sens!$M$2659</f>
        <v>263.074939737477</v>
      </c>
      <c r="N2684" s="38" t="n">
        <f aca="false">Sens!$N$2659</f>
        <v>57.0936804689721</v>
      </c>
      <c r="O2684" s="38" t="n">
        <f aca="false">Sens!$O$2659</f>
        <v>62.9275494423768</v>
      </c>
    </row>
    <row r="2685" customFormat="false" ht="15" hidden="false" customHeight="false" outlineLevel="0" collapsed="false">
      <c r="A2685" s="3" t="s">
        <v>477</v>
      </c>
      <c r="B2685" s="8" t="s">
        <v>73</v>
      </c>
      <c r="C2685" s="38" t="n">
        <f aca="false">Sens!$C$2661</f>
        <v>637.959</v>
      </c>
      <c r="D2685" s="38" t="n">
        <f aca="false">Sens!$D$2661</f>
        <v>716.924</v>
      </c>
      <c r="E2685" s="38" t="n">
        <f aca="false">Sens!$E$2661</f>
        <v>382.125</v>
      </c>
      <c r="F2685" s="38" t="n">
        <f aca="false">Sens!$F$2661</f>
        <v>450.494873271816</v>
      </c>
      <c r="G2685" s="38" t="n">
        <f aca="false">Sens!$G$2661</f>
        <v>832.619873271816</v>
      </c>
      <c r="H2685" s="38" t="n">
        <f aca="false">Sens!$H$2661</f>
        <v>969.870911708794</v>
      </c>
      <c r="I2685" s="38" t="n">
        <f aca="false">Sens!$I$2661</f>
        <v>1106.44191912032</v>
      </c>
      <c r="J2685" s="38" t="n">
        <f aca="false">Sens!$J$2661</f>
        <v>1232.0162536537</v>
      </c>
      <c r="K2685" s="38" t="n">
        <f aca="false">Sens!$K$2661</f>
        <v>1340.78263252958</v>
      </c>
      <c r="L2685" s="38" t="n">
        <f aca="false">Sens!$L$2661</f>
        <v>1454.05193791103</v>
      </c>
      <c r="M2685" s="38" t="n">
        <f aca="false">Sens!$M$2661</f>
        <v>1572.13411973121</v>
      </c>
      <c r="N2685" s="38" t="n">
        <f aca="false">Sens!$N$2661</f>
        <v>323.369</v>
      </c>
      <c r="O2685" s="38" t="n">
        <f aca="false">Sens!$O$2661</f>
        <v>393.555</v>
      </c>
    </row>
    <row r="2686" customFormat="false" ht="17.15" hidden="false" customHeight="false" outlineLevel="0" collapsed="false">
      <c r="A2686" s="24" t="s">
        <v>656</v>
      </c>
      <c r="B2686" s="25" t="s">
        <v>73</v>
      </c>
      <c r="C2686" s="39" t="n">
        <f aca="false">Sens!$C$2673+Sens!$C$2674+Sens!$C$2675+Sens!$C$2676+Sens!$C$2677+Sens!$C$2678-(Sens!$C$2680+Sens!$C$2681)</f>
        <v>0</v>
      </c>
      <c r="D2686" s="39" t="n">
        <f aca="false">Sens!$D$2673+Sens!$D$2674+Sens!$D$2675+Sens!$D$2676+Sens!$D$2677+Sens!$D$2678-(Sens!$D$2680+Sens!$D$2681)</f>
        <v>0</v>
      </c>
      <c r="E2686" s="39" t="n">
        <f aca="false">Sens!$E$2673+Sens!$E$2674+Sens!$E$2675+Sens!$E$2676+Sens!$E$2677+Sens!$E$2678-(Sens!$E$2680+Sens!$E$2681)</f>
        <v>0</v>
      </c>
      <c r="F2686" s="39" t="n">
        <f aca="false">Sens!$F$2673+Sens!$F$2674+Sens!$F$2675+Sens!$F$2676+Sens!$F$2677+Sens!$F$2678-(Sens!$F$2680+Sens!$F$2681)</f>
        <v>0</v>
      </c>
      <c r="G2686" s="39" t="n">
        <f aca="false">Sens!$G$2673+Sens!$G$2674+Sens!$G$2675+Sens!$G$2676+Sens!$G$2677+Sens!$G$2678-(Sens!$G$2680+Sens!$G$2681)</f>
        <v>0</v>
      </c>
      <c r="H2686" s="39" t="n">
        <f aca="false">Sens!$H$2673+Sens!$H$2674+Sens!$H$2675+Sens!$H$2676+Sens!$H$2677+Sens!$H$2678-(Sens!$H$2680+Sens!$H$2681)</f>
        <v>0</v>
      </c>
      <c r="I2686" s="39" t="n">
        <f aca="false">Sens!$I$2673+Sens!$I$2674+Sens!$I$2675+Sens!$I$2676+Sens!$I$2677+Sens!$I$2678-(Sens!$I$2680+Sens!$I$2681)</f>
        <v>0</v>
      </c>
      <c r="J2686" s="39" t="n">
        <f aca="false">Sens!$J$2673+Sens!$J$2674+Sens!$J$2675+Sens!$J$2676+Sens!$J$2677+Sens!$J$2678-(Sens!$J$2680+Sens!$J$2681)</f>
        <v>0</v>
      </c>
      <c r="K2686" s="39" t="n">
        <f aca="false">Sens!$K$2673+Sens!$K$2674+Sens!$K$2675+Sens!$K$2676+Sens!$K$2677+Sens!$K$2678-(Sens!$K$2680+Sens!$K$2681)</f>
        <v>0</v>
      </c>
      <c r="L2686" s="39" t="n">
        <f aca="false">Sens!$L$2673+Sens!$L$2674+Sens!$L$2675+Sens!$L$2676+Sens!$L$2677+Sens!$L$2678-(Sens!$L$2680+Sens!$L$2681)</f>
        <v>0</v>
      </c>
      <c r="M2686" s="39" t="n">
        <f aca="false">Sens!$M$2673+Sens!$M$2674+Sens!$M$2675+Sens!$M$2676+Sens!$M$2677+Sens!$M$2678-(Sens!$M$2680+Sens!$M$2681)</f>
        <v>0</v>
      </c>
      <c r="N2686" s="39" t="n">
        <f aca="false">Sens!$N$2673+Sens!$N$2674+Sens!$N$2675+Sens!$N$2676+Sens!$N$2677+Sens!$N$2678-(Sens!$N$2680+Sens!$N$2681)</f>
        <v>0</v>
      </c>
      <c r="O2686" s="39" t="n">
        <f aca="false">Sens!$O$2673+Sens!$O$2674+Sens!$O$2675+Sens!$O$2676+Sens!$O$2677+Sens!$O$2678-(Sens!$O$2680+Sens!$O$2681)</f>
        <v>0</v>
      </c>
    </row>
    <row r="2687" customFormat="false" ht="17.15" hidden="false" customHeight="false" outlineLevel="0" collapsed="false">
      <c r="A2687" s="24" t="s">
        <v>657</v>
      </c>
      <c r="B2687" s="25" t="s">
        <v>73</v>
      </c>
      <c r="C2687" s="39" t="n">
        <f aca="false">Sens!$C$2683+Sens!$C$2684-Sens!$C$2682</f>
        <v>0</v>
      </c>
      <c r="D2687" s="39" t="n">
        <f aca="false">Sens!$D$2683+Sens!$D$2684-Sens!$D$2682</f>
        <v>0</v>
      </c>
      <c r="E2687" s="39" t="n">
        <f aca="false">Sens!$E$2683+Sens!$E$2684-Sens!$E$2682</f>
        <v>0</v>
      </c>
      <c r="F2687" s="39" t="n">
        <f aca="false">Sens!$F$2683+Sens!$F$2684-Sens!$F$2682</f>
        <v>0</v>
      </c>
      <c r="G2687" s="39" t="n">
        <f aca="false">Sens!$G$2683+Sens!$G$2684-Sens!$G$2682</f>
        <v>0</v>
      </c>
      <c r="H2687" s="39" t="n">
        <f aca="false">Sens!$H$2683+Sens!$H$2684-Sens!$H$2682</f>
        <v>0</v>
      </c>
      <c r="I2687" s="39" t="n">
        <f aca="false">Sens!$I$2683+Sens!$I$2684-Sens!$I$2682</f>
        <v>0</v>
      </c>
      <c r="J2687" s="39" t="n">
        <f aca="false">Sens!$J$2683+Sens!$J$2684-Sens!$J$2682</f>
        <v>0</v>
      </c>
      <c r="K2687" s="39" t="n">
        <f aca="false">Sens!$K$2683+Sens!$K$2684-Sens!$K$2682</f>
        <v>0</v>
      </c>
      <c r="L2687" s="39" t="n">
        <f aca="false">Sens!$L$2683+Sens!$L$2684-Sens!$L$2682</f>
        <v>0</v>
      </c>
      <c r="M2687" s="39" t="n">
        <f aca="false">Sens!$M$2683+Sens!$M$2684-Sens!$M$2682</f>
        <v>0</v>
      </c>
      <c r="N2687" s="39" t="n">
        <f aca="false">Sens!$N$2683+Sens!$N$2684-Sens!$N$2682</f>
        <v>0</v>
      </c>
      <c r="O2687" s="39" t="n">
        <f aca="false">Sens!$O$2683+Sens!$O$2684-Sens!$O$2682</f>
        <v>0</v>
      </c>
    </row>
    <row r="2688" customFormat="false" ht="17.15" hidden="false" customHeight="false" outlineLevel="0" collapsed="false">
      <c r="A2688" s="24" t="s">
        <v>711</v>
      </c>
      <c r="B2688" s="25" t="s">
        <v>73</v>
      </c>
      <c r="C2688" s="39" t="n">
        <f aca="false">Sens!$C$2673+Sens!$C$2674+Sens!$C$2675+Sens!$C$2676+Sens!$C$2677+Sens!$C$2678+Sens!$C$2679-Sens!$C$2685</f>
        <v>0</v>
      </c>
      <c r="D2688" s="39" t="n">
        <f aca="false">Sens!$D$2673+Sens!$D$2674+Sens!$D$2675+Sens!$D$2676+Sens!$D$2677+Sens!$D$2678+Sens!$D$2679-Sens!$D$2685</f>
        <v>0</v>
      </c>
      <c r="E2688" s="39" t="n">
        <f aca="false">Sens!$E$2673+Sens!$E$2674+Sens!$E$2675+Sens!$E$2676+Sens!$E$2677+Sens!$E$2678+Sens!$E$2679-Sens!$E$2685</f>
        <v>0</v>
      </c>
      <c r="F2688" s="39" t="n">
        <f aca="false">Sens!$F$2673+Sens!$F$2674+Sens!$F$2675+Sens!$F$2676+Sens!$F$2677+Sens!$F$2678+Sens!$F$2679-Sens!$F$2685</f>
        <v>0</v>
      </c>
      <c r="G2688" s="39" t="n">
        <f aca="false">Sens!$G$2673+Sens!$G$2674+Sens!$G$2675+Sens!$G$2676+Sens!$G$2677+Sens!$G$2678+Sens!$G$2679-Sens!$G$2685</f>
        <v>0</v>
      </c>
      <c r="H2688" s="39" t="n">
        <f aca="false">Sens!$H$2673+Sens!$H$2674+Sens!$H$2675+Sens!$H$2676+Sens!$H$2677+Sens!$H$2678+Sens!$H$2679-Sens!$H$2685</f>
        <v>0</v>
      </c>
      <c r="I2688" s="39" t="n">
        <f aca="false">Sens!$I$2673+Sens!$I$2674+Sens!$I$2675+Sens!$I$2676+Sens!$I$2677+Sens!$I$2678+Sens!$I$2679-Sens!$I$2685</f>
        <v>0</v>
      </c>
      <c r="J2688" s="39" t="n">
        <f aca="false">Sens!$J$2673+Sens!$J$2674+Sens!$J$2675+Sens!$J$2676+Sens!$J$2677+Sens!$J$2678+Sens!$J$2679-Sens!$J$2685</f>
        <v>0</v>
      </c>
      <c r="K2688" s="39" t="n">
        <f aca="false">Sens!$K$2673+Sens!$K$2674+Sens!$K$2675+Sens!$K$2676+Sens!$K$2677+Sens!$K$2678+Sens!$K$2679-Sens!$K$2685</f>
        <v>0</v>
      </c>
      <c r="L2688" s="39" t="n">
        <f aca="false">Sens!$L$2673+Sens!$L$2674+Sens!$L$2675+Sens!$L$2676+Sens!$L$2677+Sens!$L$2678+Sens!$L$2679-Sens!$L$2685</f>
        <v>0</v>
      </c>
      <c r="M2688" s="39" t="n">
        <f aca="false">Sens!$M$2673+Sens!$M$2674+Sens!$M$2675+Sens!$M$2676+Sens!$M$2677+Sens!$M$2678+Sens!$M$2679-Sens!$M$2685</f>
        <v>0</v>
      </c>
      <c r="N2688" s="39" t="n">
        <f aca="false">Sens!$N$2673+Sens!$N$2674+Sens!$N$2675+Sens!$N$2676+Sens!$N$2677+Sens!$N$2678+Sens!$N$2679-Sens!$N$2685</f>
        <v>0</v>
      </c>
      <c r="O2688" s="39" t="n">
        <f aca="false">Sens!$O$2673+Sens!$O$2674+Sens!$O$2675+Sens!$O$2676+Sens!$O$2677+Sens!$O$2678+Sens!$O$2679-Sens!$O$2685</f>
        <v>0</v>
      </c>
    </row>
    <row r="2689" customFormat="false" ht="17.15" hidden="false" customHeight="false" outlineLevel="0" collapsed="false">
      <c r="A2689" s="24" t="s">
        <v>658</v>
      </c>
      <c r="B2689" s="25" t="s">
        <v>73</v>
      </c>
      <c r="C2689" s="39" t="n">
        <f aca="false">Sens!$C$2680+Sens!$C$2681+Sens!$C$2682-Sens!$C$2685</f>
        <v>0</v>
      </c>
      <c r="D2689" s="39" t="n">
        <f aca="false">Sens!$D$2680+Sens!$D$2681+Sens!$D$2682-Sens!$D$2685</f>
        <v>0</v>
      </c>
      <c r="E2689" s="39" t="n">
        <f aca="false">Sens!$E$2680+Sens!$E$2681+Sens!$E$2682-Sens!$E$2685</f>
        <v>0</v>
      </c>
      <c r="F2689" s="39" t="n">
        <f aca="false">Sens!$F$2680+Sens!$F$2681+Sens!$F$2682-Sens!$F$2685</f>
        <v>0</v>
      </c>
      <c r="G2689" s="39" t="n">
        <f aca="false">Sens!$G$2680+Sens!$G$2681+Sens!$G$2682-Sens!$G$2685</f>
        <v>0</v>
      </c>
      <c r="H2689" s="39" t="n">
        <f aca="false">Sens!$H$2680+Sens!$H$2681+Sens!$H$2682-Sens!$H$2685</f>
        <v>0</v>
      </c>
      <c r="I2689" s="39" t="n">
        <f aca="false">Sens!$I$2680+Sens!$I$2681+Sens!$I$2682-Sens!$I$2685</f>
        <v>0</v>
      </c>
      <c r="J2689" s="39" t="n">
        <f aca="false">Sens!$J$2680+Sens!$J$2681+Sens!$J$2682-Sens!$J$2685</f>
        <v>0</v>
      </c>
      <c r="K2689" s="39" t="n">
        <f aca="false">Sens!$K$2680+Sens!$K$2681+Sens!$K$2682-Sens!$K$2685</f>
        <v>0</v>
      </c>
      <c r="L2689" s="39" t="n">
        <f aca="false">Sens!$L$2680+Sens!$L$2681+Sens!$L$2682-Sens!$L$2685</f>
        <v>0</v>
      </c>
      <c r="M2689" s="39" t="n">
        <f aca="false">Sens!$M$2680+Sens!$M$2681+Sens!$M$2682-Sens!$M$2685</f>
        <v>0</v>
      </c>
      <c r="N2689" s="39" t="n">
        <f aca="false">Sens!$N$2680+Sens!$N$2681+Sens!$N$2682-Sens!$N$2685</f>
        <v>0</v>
      </c>
      <c r="O2689" s="39" t="n">
        <f aca="false">Sens!$O$2680+Sens!$O$2681+Sens!$O$2682-Sens!$O$2685</f>
        <v>0</v>
      </c>
    </row>
    <row r="2690" customFormat="false" ht="17.15" hidden="false" customHeight="false" outlineLevel="0" collapsed="false">
      <c r="A2690" s="1" t="s">
        <v>672</v>
      </c>
    </row>
    <row r="2691" customFormat="false" ht="17.15" hidden="false" customHeight="false" outlineLevel="0" collapsed="false">
      <c r="A2691" s="0" t="s">
        <v>673</v>
      </c>
      <c r="B2691" s="0" t="s">
        <v>73</v>
      </c>
      <c r="C2691" s="38" t="n">
        <f aca="false">Sens!$C$2598*m_ad</f>
        <v>20.5341564414228</v>
      </c>
      <c r="D2691" s="38" t="n">
        <f aca="false">Sens!$D$2598*m_ad</f>
        <v>24.8720617299587</v>
      </c>
      <c r="E2691" s="38" t="n">
        <f aca="false">Sens!$E$2598*m_ad</f>
        <v>13.5017112462207</v>
      </c>
      <c r="F2691" s="38" t="n">
        <f aca="false">Sens!$F$2598*m_ad</f>
        <v>17.2886442824599</v>
      </c>
      <c r="G2691" s="38" t="n">
        <f aca="false">Sens!$G$2598*m_ad</f>
        <v>30.8011958765886</v>
      </c>
      <c r="H2691" s="38" t="n">
        <f aca="false">Sens!$H$2598*m_ad</f>
        <v>36.978409366026</v>
      </c>
      <c r="I2691" s="38" t="n">
        <f aca="false">Sens!$I$2598*m_ad</f>
        <v>43.155063281273</v>
      </c>
      <c r="J2691" s="38" t="n">
        <f aca="false">Sens!$J$2598*m_ad</f>
        <v>48.9169991988532</v>
      </c>
      <c r="K2691" s="38" t="n">
        <f aca="false">Sens!$K$2598*m_ad</f>
        <v>53.8086991187386</v>
      </c>
      <c r="L2691" s="38" t="n">
        <f aca="false">Sens!$L$2598*m_ad</f>
        <v>59.1895690306124</v>
      </c>
      <c r="M2691" s="38" t="n">
        <f aca="false">Sens!$M$2598*m_ad</f>
        <v>65.1085259336737</v>
      </c>
      <c r="N2691" s="38" t="n">
        <f aca="false">Sens!$N$2598*m_ad</f>
        <v>10.8543555706248</v>
      </c>
      <c r="O2691" s="38" t="n">
        <f aca="false">Sens!$O$2598*m_ad</f>
        <v>14.0094731821399</v>
      </c>
    </row>
    <row r="2692" customFormat="false" ht="17.15" hidden="false" customHeight="false" outlineLevel="0" collapsed="false">
      <c r="A2692" s="0" t="s">
        <v>674</v>
      </c>
      <c r="B2692" s="0" t="s">
        <v>73</v>
      </c>
      <c r="C2692" s="38" t="n">
        <f aca="false">Sens!$C$2596-Sens!$C$2598</f>
        <v>346.428687117154</v>
      </c>
      <c r="D2692" s="38" t="n">
        <f aca="false">Sens!$D$2596-Sens!$D$2598</f>
        <v>376.560876540083</v>
      </c>
      <c r="E2692" s="38" t="n">
        <f aca="false">Sens!$E$2596-Sens!$E$2598</f>
        <v>193.316577507559</v>
      </c>
      <c r="F2692" s="38" t="n">
        <f aca="false">Sens!$F$2596-Sens!$F$2598</f>
        <v>221.726726438887</v>
      </c>
      <c r="G2692" s="38" t="n">
        <f aca="false">Sens!$G$2596-Sens!$G$2598</f>
        <v>415.02162325063</v>
      </c>
      <c r="H2692" s="38" t="n">
        <f aca="false">Sens!$H$2596-Sens!$H$2598</f>
        <v>453.777572359491</v>
      </c>
      <c r="I2692" s="38" t="n">
        <f aca="false">Sens!$I$2596-Sens!$I$2598</f>
        <v>490.847566467031</v>
      </c>
      <c r="J2692" s="38" t="n">
        <f aca="false">Sens!$J$2596-Sens!$J$2598</f>
        <v>525.190925266121</v>
      </c>
      <c r="K2692" s="38" t="n">
        <f aca="false">Sens!$K$2596-Sens!$K$2598</f>
        <v>555.765170156304</v>
      </c>
      <c r="L2692" s="38" t="n">
        <f aca="false">Sens!$L$2596-Sens!$L$2598</f>
        <v>588.185734949207</v>
      </c>
      <c r="M2692" s="38" t="n">
        <f aca="false">Sens!$M$2596-Sens!$M$2598</f>
        <v>622.567635538672</v>
      </c>
      <c r="N2692" s="38" t="n">
        <f aca="false">Sens!$N$2596-Sens!$N$2598</f>
        <v>171.24628885875</v>
      </c>
      <c r="O2692" s="38" t="n">
        <f aca="false">Sens!$O$2596-Sens!$O$2598</f>
        <v>205.33105363572</v>
      </c>
    </row>
    <row r="2693" customFormat="false" ht="17.15" hidden="false" customHeight="false" outlineLevel="0" collapsed="false">
      <c r="A2693" s="0" t="s">
        <v>675</v>
      </c>
      <c r="B2693" s="0" t="s">
        <v>73</v>
      </c>
      <c r="C2693" s="38" t="n">
        <f aca="false">Sens!$C$2644*Sens!$C$2595</f>
        <v>0.123617442257179</v>
      </c>
      <c r="D2693" s="38" t="n">
        <f aca="false">Sens!$D$2644*Sens!$D$2595</f>
        <v>0.874366899302609</v>
      </c>
      <c r="E2693" s="38" t="n">
        <f aca="false">Sens!$E$2644*Sens!$E$2595</f>
        <v>1.29318830502574</v>
      </c>
      <c r="F2693" s="38" t="n">
        <f aca="false">Sens!$F$2644*Sens!$F$2595</f>
        <v>1.51802024162534</v>
      </c>
      <c r="G2693" s="38" t="n">
        <f aca="false">Sens!$G$2644*Sens!$G$2595</f>
        <v>2.81130189308167</v>
      </c>
      <c r="H2693" s="38" t="n">
        <f aca="false">Sens!$H$2644*Sens!$H$2595</f>
        <v>7.38966789318209</v>
      </c>
      <c r="I2693" s="38" t="n">
        <f aca="false">Sens!$I$2644*Sens!$I$2595</f>
        <v>12.8987443661473</v>
      </c>
      <c r="J2693" s="38" t="n">
        <f aca="false">Sens!$J$2644*Sens!$J$2595</f>
        <v>18.5570025453645</v>
      </c>
      <c r="K2693" s="38" t="n">
        <f aca="false">Sens!$K$2644*Sens!$K$2595</f>
        <v>24.3158972773405</v>
      </c>
      <c r="L2693" s="38" t="n">
        <f aca="false">Sens!$L$2644*Sens!$L$2595</f>
        <v>29.7827375558674</v>
      </c>
      <c r="M2693" s="38" t="n">
        <f aca="false">Sens!$M$2644*Sens!$M$2595</f>
        <v>35.3532344973194</v>
      </c>
      <c r="N2693" s="38" t="n">
        <f aca="false">Sens!$N$2644*Sens!$N$2595</f>
        <v>0.389180508437431</v>
      </c>
      <c r="O2693" s="38" t="n">
        <f aca="false">Sens!$O$2644*Sens!$O$2595</f>
        <v>0.485052120082802</v>
      </c>
    </row>
    <row r="2694" customFormat="false" ht="17.15" hidden="false" customHeight="false" outlineLevel="0" collapsed="false">
      <c r="A2694" s="0" t="s">
        <v>676</v>
      </c>
      <c r="B2694" s="0" t="s">
        <v>52</v>
      </c>
      <c r="C2694" s="28" t="n">
        <f aca="false">(Sens!$C$2695-Sens!$C$2691+Sens!$C$2693)/Sens!$C$2692</f>
        <v>0.0131526665379575</v>
      </c>
      <c r="D2694" s="28" t="n">
        <f aca="false">(Sens!$D$2695-Sens!$D$2691+Sens!$D$2693)/Sens!$D$2692</f>
        <v>0.0149280116962589</v>
      </c>
      <c r="E2694" s="28" t="n">
        <f aca="false">(Sens!$E$2695-Sens!$E$2691+Sens!$E$2693)/Sens!$E$2692</f>
        <v>0.0268030663774938</v>
      </c>
      <c r="F2694" s="28" t="n">
        <f aca="false">Sens!$O$2694+(Sens!$E$2694-Sens!$N$2694)</f>
        <v>0.0232379346966962</v>
      </c>
      <c r="G2694" s="28" t="n">
        <f aca="false">(Sens!$G$2695-Sens!$G$2691+Sens!$G$2693)/Sens!$G$2692</f>
        <v>0.0248738876928168</v>
      </c>
      <c r="H2694" s="28" t="n">
        <f aca="false">Sens!$G$2694+step_na</f>
        <v>0.0278738876928168</v>
      </c>
      <c r="I2694" s="28" t="n">
        <f aca="false">Sens!$H$2694+step_na</f>
        <v>0.0308738876928168</v>
      </c>
      <c r="J2694" s="28" t="n">
        <f aca="false">Sens!$I$2694+step_na</f>
        <v>0.0338738876928168</v>
      </c>
      <c r="K2694" s="28" t="n">
        <f aca="false">Sens!$J$2694+step_na</f>
        <v>0.0368738876928168</v>
      </c>
      <c r="L2694" s="28" t="n">
        <f aca="false">Sens!$K$2694</f>
        <v>0.0368738876928168</v>
      </c>
      <c r="M2694" s="28" t="n">
        <f aca="false">Sens!$L$2694</f>
        <v>0.0368738876928168</v>
      </c>
      <c r="N2694" s="28" t="n">
        <f aca="false">(Sens!$N$2695-Sens!$N$2691+Sens!$N$2693)/Sens!$N$2692</f>
        <v>0.0168927744775755</v>
      </c>
      <c r="O2694" s="28" t="n">
        <f aca="false">(Sens!$O$2695-Sens!$O$2691+Sens!$O$2693)/Sens!$O$2692</f>
        <v>0.0133276427967779</v>
      </c>
      <c r="P2694" s="8" t="s">
        <v>677</v>
      </c>
    </row>
    <row r="2695" customFormat="false" ht="17.15" hidden="false" customHeight="false" outlineLevel="0" collapsed="false">
      <c r="A2695" s="1" t="s">
        <v>678</v>
      </c>
      <c r="B2695" s="8" t="s">
        <v>73</v>
      </c>
      <c r="C2695" s="38" t="n">
        <f aca="false">Q!$D$22</f>
        <v>24.967</v>
      </c>
      <c r="D2695" s="38" t="n">
        <f aca="false">Q!$E$22</f>
        <v>29.619</v>
      </c>
      <c r="E2695" s="38" t="n">
        <f aca="false">Q!$P$22</f>
        <v>17.39</v>
      </c>
      <c r="F2695" s="38" t="n">
        <f aca="false">Sens!$F$2691+Sens!$F$2692*Sens!$F$2694-Sens!$F$2693</f>
        <v>20.9230952303336</v>
      </c>
      <c r="G2695" s="38" t="n">
        <f aca="false">Sens!$E$2695+Sens!$F$2695</f>
        <v>38.3130952303336</v>
      </c>
      <c r="H2695" s="38" t="n">
        <f aca="false">Sens!$H$2691+Sens!$H$2692*Sens!$H$2694-Sens!$H$2693</f>
        <v>42.2372865623114</v>
      </c>
      <c r="I2695" s="38" t="n">
        <f aca="false">Sens!$I$2691+Sens!$I$2692*Sens!$I$2694-Sens!$I$2693</f>
        <v>45.4106915565213</v>
      </c>
      <c r="J2695" s="38" t="n">
        <f aca="false">Sens!$J$2691+Sens!$J$2692*Sens!$J$2694-Sens!$J$2693</f>
        <v>48.1502550732398</v>
      </c>
      <c r="K2695" s="38" t="n">
        <f aca="false">Sens!$K$2691+Sens!$K$2692*Sens!$K$2694-Sens!$K$2693</f>
        <v>49.9860243093208</v>
      </c>
      <c r="L2695" s="38" t="n">
        <f aca="false">Sens!$L$2691+Sens!$L$2692*Sens!$L$2694-Sens!$L$2693</f>
        <v>51.095526207779</v>
      </c>
      <c r="M2695" s="38" t="n">
        <f aca="false">Sens!$M$2691+Sens!$M$2692*Sens!$M$2694-Sens!$M$2693</f>
        <v>52.7117805103898</v>
      </c>
      <c r="N2695" s="38" t="n">
        <f aca="false">Q!$N$22</f>
        <v>13.358</v>
      </c>
      <c r="O2695" s="38" t="n">
        <f aca="false">Q!$O$22</f>
        <v>16.261</v>
      </c>
    </row>
    <row r="2696" customFormat="false" ht="17.15" hidden="false" customHeight="false" outlineLevel="0" collapsed="false">
      <c r="A2696" s="0" t="s">
        <v>679</v>
      </c>
      <c r="B2696" s="0" t="s">
        <v>73</v>
      </c>
      <c r="C2696" s="38" t="n">
        <f aca="false">Sens!$C$2599*m_ad</f>
        <v>7.57284355857716</v>
      </c>
      <c r="D2696" s="38" t="n">
        <f aca="false">Sens!$D$2599*m_ad</f>
        <v>9.44543827004127</v>
      </c>
      <c r="E2696" s="38" t="n">
        <f aca="false">Sens!$E$2599*m_ad</f>
        <v>5.02428875377928</v>
      </c>
      <c r="F2696" s="38" t="n">
        <f aca="false">Sens!$F$2599*m_ad</f>
        <v>6.78802480890925</v>
      </c>
      <c r="G2696" s="38" t="n">
        <f aca="false">Sens!$G$2599*m_ad</f>
        <v>11.8014732147805</v>
      </c>
      <c r="H2696" s="38" t="n">
        <f aca="false">Sens!$H$2599*m_ad</f>
        <v>14.1682715634442</v>
      </c>
      <c r="I2696" s="38" t="n">
        <f aca="false">Sens!$I$2599*m_ad</f>
        <v>16.5348555113474</v>
      </c>
      <c r="J2696" s="38" t="n">
        <f aca="false">Sens!$J$2599*m_ad</f>
        <v>18.7425403255689</v>
      </c>
      <c r="K2696" s="38" t="n">
        <f aca="false">Sens!$K$2599*m_ad</f>
        <v>20.6167943581258</v>
      </c>
      <c r="L2696" s="38" t="n">
        <f aca="false">Sens!$L$2599*m_ad</f>
        <v>22.6784737939383</v>
      </c>
      <c r="M2696" s="38" t="n">
        <f aca="false">Sens!$M$2599*m_ad</f>
        <v>24.9463211733322</v>
      </c>
      <c r="N2696" s="38" t="n">
        <f aca="false">Sens!$N$2599*m_ad</f>
        <v>3.95314442937518</v>
      </c>
      <c r="O2696" s="38" t="n">
        <f aca="false">Sens!$O$2599*m_ad</f>
        <v>5.50052681786011</v>
      </c>
    </row>
    <row r="2697" customFormat="false" ht="17.15" hidden="false" customHeight="false" outlineLevel="0" collapsed="false">
      <c r="A2697" s="0" t="s">
        <v>680</v>
      </c>
      <c r="B2697" s="0" t="s">
        <v>73</v>
      </c>
      <c r="C2697" s="38" t="n">
        <f aca="false">Sens!$C$2597-Sens!$C$2599</f>
        <v>127.760312882846</v>
      </c>
      <c r="D2697" s="38" t="n">
        <f aca="false">Sens!$D$2597-Sens!$D$2599</f>
        <v>143.003123459917</v>
      </c>
      <c r="E2697" s="38" t="n">
        <f aca="false">Sens!$E$2597-Sens!$E$2599</f>
        <v>71.9374224924414</v>
      </c>
      <c r="F2697" s="38" t="n">
        <f aca="false">Sens!$F$2597-Sens!$F$2599</f>
        <v>87.0563645868046</v>
      </c>
      <c r="G2697" s="38" t="n">
        <f aca="false">Sens!$G$2597-Sens!$G$2599</f>
        <v>159.015467775062</v>
      </c>
      <c r="H2697" s="38" t="n">
        <f aca="false">Sens!$H$2597-Sens!$H$2599</f>
        <v>173.864803403269</v>
      </c>
      <c r="I2697" s="38" t="n">
        <f aca="false">Sens!$I$2597-Sens!$I$2599</f>
        <v>188.068165645601</v>
      </c>
      <c r="J2697" s="38" t="n">
        <f aca="false">Sens!$J$2597-Sens!$J$2599</f>
        <v>201.22681801082</v>
      </c>
      <c r="K2697" s="38" t="n">
        <f aca="false">Sens!$K$2597-Sens!$K$2599</f>
        <v>212.941334991893</v>
      </c>
      <c r="L2697" s="38" t="n">
        <f aca="false">Sens!$L$2597-Sens!$L$2599</f>
        <v>225.363269144856</v>
      </c>
      <c r="M2697" s="38" t="n">
        <f aca="false">Sens!$M$2597-Sens!$M$2599</f>
        <v>238.536688790819</v>
      </c>
      <c r="N2697" s="38" t="n">
        <f aca="false">Sens!$N$2597-Sens!$N$2599</f>
        <v>62.3677111412496</v>
      </c>
      <c r="O2697" s="38" t="n">
        <f aca="false">Sens!$O$2597-Sens!$O$2599</f>
        <v>80.6189463642798</v>
      </c>
    </row>
    <row r="2698" customFormat="false" ht="17.15" hidden="false" customHeight="false" outlineLevel="0" collapsed="false">
      <c r="A2698" s="0" t="s">
        <v>681</v>
      </c>
      <c r="B2698" s="0" t="s">
        <v>73</v>
      </c>
      <c r="C2698" s="38" t="n">
        <f aca="false">Sens!$C$2644*(1-Sens!$C$2595)</f>
        <v>0.0455891896019953</v>
      </c>
      <c r="D2698" s="38" t="n">
        <f aca="false">Sens!$D$2644*(1-Sens!$D$2595)</f>
        <v>0.332050421167231</v>
      </c>
      <c r="E2698" s="38" t="n">
        <f aca="false">Sens!$E$2644*(1-Sens!$E$2595)</f>
        <v>0.481224293644882</v>
      </c>
      <c r="F2698" s="38" t="n">
        <f aca="false">Sens!$F$2644*(1-Sens!$F$2595)</f>
        <v>0.596018918096053</v>
      </c>
      <c r="G2698" s="38" t="n">
        <f aca="false">Sens!$G$2644*(1-Sens!$G$2595)</f>
        <v>1.07714986531035</v>
      </c>
      <c r="H2698" s="38" t="n">
        <f aca="false">Sens!$H$2644*(1-Sens!$H$2595)</f>
        <v>2.83135005721638</v>
      </c>
      <c r="I2698" s="38" t="n">
        <f aca="false">Sens!$I$2644*(1-Sens!$I$2595)</f>
        <v>4.9421518161602</v>
      </c>
      <c r="J2698" s="38" t="n">
        <f aca="false">Sens!$J$2644*(1-Sens!$J$2595)</f>
        <v>7.11011252170866</v>
      </c>
      <c r="K2698" s="38" t="n">
        <f aca="false">Sens!$K$2644*(1-Sens!$K$2595)</f>
        <v>9.31663210615807</v>
      </c>
      <c r="L2698" s="38" t="n">
        <f aca="false">Sens!$L$2644*(1-Sens!$L$2595)</f>
        <v>11.411251074039</v>
      </c>
      <c r="M2698" s="38" t="n">
        <f aca="false">Sens!$M$2644*(1-Sens!$M$2595)</f>
        <v>13.5455860755423</v>
      </c>
      <c r="N2698" s="38" t="n">
        <f aca="false">Sens!$N$2644*(1-Sens!$N$2595)</f>
        <v>0.141739115596548</v>
      </c>
      <c r="O2698" s="38" t="n">
        <f aca="false">Sens!$O$2644*(1-Sens!$O$2595)</f>
        <v>0.190445576353059</v>
      </c>
    </row>
    <row r="2699" customFormat="false" ht="17.15" hidden="false" customHeight="false" outlineLevel="0" collapsed="false">
      <c r="A2699" s="0" t="s">
        <v>682</v>
      </c>
      <c r="B2699" s="0" t="s">
        <v>52</v>
      </c>
      <c r="C2699" s="28" t="n">
        <f aca="false">(Sens!$C$2700-Sens!$C$2696+Sens!$C$2698)/Sens!$C$2697</f>
        <v>-0.0292364215826579</v>
      </c>
      <c r="D2699" s="28" t="n">
        <f aca="false">(Sens!$D$2700-Sens!$D$2696+Sens!$D$2698)/Sens!$D$2697</f>
        <v>-0.0305125352740778</v>
      </c>
      <c r="E2699" s="28" t="n">
        <f aca="false">(Sens!$E$2700-Sens!$E$2696+Sens!$E$2698)/Sens!$E$2697</f>
        <v>-0.019490056934994</v>
      </c>
      <c r="F2699" s="28" t="n">
        <f aca="false">Sens!$O$2699+(Sens!$E$2699-Sens!$N$2699)</f>
        <v>-0.0367332293992226</v>
      </c>
      <c r="G2699" s="28" t="n">
        <f aca="false">(Sens!$G$2700-Sens!$G$2696+Sens!$G$2698)/Sens!$G$2697</f>
        <v>-0.0288599526442178</v>
      </c>
      <c r="H2699" s="28" t="n">
        <f aca="false">Sens!$G$2699+step_in</f>
        <v>-0.0288599526442178</v>
      </c>
      <c r="I2699" s="28" t="n">
        <f aca="false">Sens!$H$2699+step_in</f>
        <v>-0.0288599526442178</v>
      </c>
      <c r="J2699" s="28" t="n">
        <f aca="false">Sens!$I$2699+step_in</f>
        <v>-0.0288599526442178</v>
      </c>
      <c r="K2699" s="28" t="n">
        <f aca="false">Sens!$J$2699+step_in</f>
        <v>-0.0288599526442178</v>
      </c>
      <c r="L2699" s="28" t="n">
        <f aca="false">Sens!$K$2699</f>
        <v>-0.0288599526442178</v>
      </c>
      <c r="M2699" s="28" t="n">
        <f aca="false">Sens!$L$2699</f>
        <v>-0.0288599526442178</v>
      </c>
      <c r="N2699" s="28" t="n">
        <f aca="false">(Sens!$N$2700-Sens!$N$2696+Sens!$N$2698)/Sens!$N$2697</f>
        <v>-0.02085061789158</v>
      </c>
      <c r="O2699" s="28" t="n">
        <f aca="false">(Sens!$O$2700-Sens!$O$2696+Sens!$O$2698)/Sens!$O$2697</f>
        <v>-0.0380937903558086</v>
      </c>
      <c r="P2699" s="8" t="s">
        <v>677</v>
      </c>
    </row>
    <row r="2700" customFormat="false" ht="17.15" hidden="false" customHeight="false" outlineLevel="0" collapsed="false">
      <c r="A2700" s="1" t="s">
        <v>683</v>
      </c>
      <c r="B2700" s="8" t="s">
        <v>73</v>
      </c>
      <c r="C2700" s="38" t="n">
        <f aca="false">Q!$D$23</f>
        <v>3.792</v>
      </c>
      <c r="D2700" s="38" t="n">
        <f aca="false">Q!$E$23</f>
        <v>4.75</v>
      </c>
      <c r="E2700" s="38" t="n">
        <f aca="false">Q!$P$23</f>
        <v>3.141</v>
      </c>
      <c r="F2700" s="38" t="n">
        <f aca="false">Sens!$F$2696+Sens!$F$2697*Sens!$F$2699-Sens!$F$2698</f>
        <v>2.99414447978375</v>
      </c>
      <c r="G2700" s="38" t="n">
        <f aca="false">Sens!$E$2700+Sens!$F$2700</f>
        <v>6.13514447978375</v>
      </c>
      <c r="H2700" s="38" t="n">
        <f aca="false">Sens!$H$2696+Sens!$H$2697*Sens!$H$2699-Sens!$H$2698</f>
        <v>6.31919151351322</v>
      </c>
      <c r="I2700" s="38" t="n">
        <f aca="false">Sens!$I$2696+Sens!$I$2697*Sens!$I$2699-Sens!$I$2698</f>
        <v>6.16506534077027</v>
      </c>
      <c r="J2700" s="38" t="n">
        <f aca="false">Sens!$J$2696+Sens!$J$2697*Sens!$J$2699-Sens!$J$2698</f>
        <v>5.8250313653213</v>
      </c>
      <c r="K2700" s="38" t="n">
        <f aca="false">Sens!$K$2696+Sens!$K$2697*Sens!$K$2699-Sens!$K$2698</f>
        <v>5.15468540810514</v>
      </c>
      <c r="L2700" s="38" t="n">
        <f aca="false">Sens!$L$2696+Sens!$L$2697*Sens!$L$2699-Sens!$L$2698</f>
        <v>4.76324944463266</v>
      </c>
      <c r="M2700" s="38" t="n">
        <f aca="false">Sens!$M$2696+Sens!$M$2697*Sens!$M$2699-Sens!$M$2698</f>
        <v>4.51657755537829</v>
      </c>
      <c r="N2700" s="38" t="n">
        <f aca="false">Q!$N$23</f>
        <v>2.511</v>
      </c>
      <c r="O2700" s="38" t="n">
        <f aca="false">Q!$O$23</f>
        <v>2.239</v>
      </c>
    </row>
    <row r="2701" customFormat="false" ht="17.15" hidden="false" customHeight="false" outlineLevel="0" collapsed="false">
      <c r="A2701" s="0" t="s">
        <v>684</v>
      </c>
      <c r="B2701" s="0" t="s">
        <v>73</v>
      </c>
      <c r="C2701" s="38" t="n">
        <f aca="false">Sens!$C$2641</f>
        <v>1.64417882953695</v>
      </c>
      <c r="D2701" s="38" t="n">
        <f aca="false">Sens!$D$2641</f>
        <v>3.8781008067718</v>
      </c>
      <c r="E2701" s="38" t="n">
        <f aca="false">Sens!$E$2641</f>
        <v>1.41270258088753</v>
      </c>
      <c r="F2701" s="38" t="n">
        <f aca="false">Sens!$F$2641</f>
        <v>6.50727700583486</v>
      </c>
      <c r="G2701" s="38" t="n">
        <f aca="false">Sens!$G$2641</f>
        <v>7.9199795867224</v>
      </c>
      <c r="H2701" s="38" t="n">
        <f aca="false">Sens!$H$2641</f>
        <v>19.2818189481807</v>
      </c>
      <c r="I2701" s="38" t="n">
        <f aca="false">Sens!$I$2641</f>
        <v>30.140114407202</v>
      </c>
      <c r="J2701" s="38" t="n">
        <f aca="false">Sens!$J$2641</f>
        <v>40.3569468829854</v>
      </c>
      <c r="K2701" s="38" t="n">
        <f aca="false">Sens!$K$2641</f>
        <v>50.0782975081929</v>
      </c>
      <c r="L2701" s="38" t="n">
        <f aca="false">Sens!$L$2641</f>
        <v>61.443331993499</v>
      </c>
      <c r="M2701" s="38" t="n">
        <f aca="false">Sens!$M$2641</f>
        <v>72.2498791587849</v>
      </c>
      <c r="N2701" s="38" t="n">
        <f aca="false">Sens!$N$2641</f>
        <v>0.92264103489199</v>
      </c>
      <c r="O2701" s="38" t="n">
        <f aca="false">Sens!$O$2641</f>
        <v>2.95545977187981</v>
      </c>
    </row>
    <row r="2702" customFormat="false" ht="17.15" hidden="false" customHeight="false" outlineLevel="0" collapsed="false">
      <c r="A2702" s="0" t="s">
        <v>604</v>
      </c>
      <c r="B2702" s="0" t="s">
        <v>73</v>
      </c>
      <c r="C2702" s="38" t="n">
        <f aca="false">Sens!$C$2646</f>
        <v>38.1898211704631</v>
      </c>
      <c r="D2702" s="38" t="n">
        <f aca="false">Sens!$D$2646</f>
        <v>41.7278991932282</v>
      </c>
      <c r="E2702" s="38" t="n">
        <f aca="false">Sens!$E$2646</f>
        <v>29.3692974191125</v>
      </c>
      <c r="F2702" s="38" t="n">
        <f aca="false">Sens!$F$2646</f>
        <v>29.458060516894</v>
      </c>
      <c r="G2702" s="38" t="n">
        <f aca="false">Sens!$G$2646</f>
        <v>58.8273579360065</v>
      </c>
      <c r="H2702" s="38" t="n">
        <f aca="false">Sens!$H$2646</f>
        <v>67.3790155306315</v>
      </c>
      <c r="I2702" s="38" t="n">
        <f aca="false">Sens!$I$2646</f>
        <v>77.4513759215826</v>
      </c>
      <c r="J2702" s="38" t="n">
        <f aca="false">Sens!$J$2646</f>
        <v>85.1766894773914</v>
      </c>
      <c r="K2702" s="38" t="n">
        <f aca="false">Sens!$K$2646</f>
        <v>89.435523951261</v>
      </c>
      <c r="L2702" s="38" t="n">
        <f aca="false">Sens!$L$2646</f>
        <v>93.907300148824</v>
      </c>
      <c r="M2702" s="38" t="n">
        <f aca="false">Sens!$M$2646</f>
        <v>98.6026651562652</v>
      </c>
      <c r="N2702" s="38" t="n">
        <f aca="false">Sens!$N$2646</f>
        <v>20.784358965108</v>
      </c>
      <c r="O2702" s="38" t="n">
        <f aca="false">Sens!$O$2646</f>
        <v>20.9435402281202</v>
      </c>
    </row>
    <row r="2703" customFormat="false" ht="17.15" hidden="false" customHeight="false" outlineLevel="0" collapsed="false">
      <c r="A2703" s="1" t="s">
        <v>685</v>
      </c>
      <c r="B2703" s="8" t="s">
        <v>73</v>
      </c>
      <c r="C2703" s="38" t="n">
        <f aca="false">Q!$D$24</f>
        <v>39.834</v>
      </c>
      <c r="D2703" s="38" t="n">
        <f aca="false">Q!$E$24</f>
        <v>45.606</v>
      </c>
      <c r="E2703" s="38" t="n">
        <f aca="false">Q!$P$24</f>
        <v>30.782</v>
      </c>
      <c r="F2703" s="38" t="n">
        <f aca="false">Sens!$F$2701+Sens!$F$2702</f>
        <v>35.9653375227289</v>
      </c>
      <c r="G2703" s="38" t="n">
        <f aca="false">Sens!$G$2701+Sens!$G$2702</f>
        <v>66.7473375227289</v>
      </c>
      <c r="H2703" s="38" t="n">
        <f aca="false">Sens!$H$2701+Sens!$H$2702</f>
        <v>86.6608344788122</v>
      </c>
      <c r="I2703" s="38" t="n">
        <f aca="false">Sens!$I$2701+Sens!$I$2702</f>
        <v>107.591490328785</v>
      </c>
      <c r="J2703" s="38" t="n">
        <f aca="false">Sens!$J$2701+Sens!$J$2702</f>
        <v>125.533636360377</v>
      </c>
      <c r="K2703" s="38" t="n">
        <f aca="false">Sens!$K$2701+Sens!$K$2702</f>
        <v>139.513821459454</v>
      </c>
      <c r="L2703" s="38" t="n">
        <f aca="false">Sens!$L$2701+Sens!$L$2702</f>
        <v>155.350632142323</v>
      </c>
      <c r="M2703" s="38" t="n">
        <f aca="false">Sens!$M$2701+Sens!$M$2702</f>
        <v>170.85254431505</v>
      </c>
      <c r="N2703" s="38" t="n">
        <f aca="false">Q!$N$24</f>
        <v>21.707</v>
      </c>
      <c r="O2703" s="38" t="n">
        <f aca="false">Q!$O$24</f>
        <v>23.899</v>
      </c>
    </row>
    <row r="2704" customFormat="false" ht="17.15" hidden="false" customHeight="false" outlineLevel="0" collapsed="false">
      <c r="A2704" s="5" t="s">
        <v>686</v>
      </c>
      <c r="B2704" s="0" t="s">
        <v>73</v>
      </c>
      <c r="C2704" s="38" t="n">
        <f aca="false">Q!$D$26</f>
        <v>0</v>
      </c>
      <c r="D2704" s="38" t="n">
        <f aca="false">Q!$E$26</f>
        <v>0</v>
      </c>
      <c r="E2704" s="38" t="n">
        <f aca="false">Q!$P$26</f>
        <v>0</v>
      </c>
      <c r="F2704" s="41" t="n">
        <v>0</v>
      </c>
      <c r="G2704" s="38" t="n">
        <f aca="false">Sens!$E$2704+Sens!$F$2704</f>
        <v>0</v>
      </c>
      <c r="H2704" s="41" t="n">
        <v>0</v>
      </c>
      <c r="I2704" s="41" t="n">
        <v>0</v>
      </c>
      <c r="J2704" s="41" t="n">
        <v>0</v>
      </c>
      <c r="K2704" s="41" t="n">
        <v>0</v>
      </c>
      <c r="L2704" s="41" t="n">
        <v>0</v>
      </c>
      <c r="M2704" s="41" t="n">
        <v>0</v>
      </c>
      <c r="N2704" s="38" t="n">
        <f aca="false">Q!$N$26</f>
        <v>0</v>
      </c>
      <c r="O2704" s="38" t="n">
        <f aca="false">Q!$O$26</f>
        <v>0</v>
      </c>
    </row>
    <row r="2705" customFormat="false" ht="15" hidden="false" customHeight="false" outlineLevel="0" collapsed="false">
      <c r="A2705" s="3" t="s">
        <v>494</v>
      </c>
      <c r="B2705" s="8" t="s">
        <v>73</v>
      </c>
      <c r="C2705" s="38" t="n">
        <f aca="false">Q!$D$25</f>
        <v>68.593</v>
      </c>
      <c r="D2705" s="38" t="n">
        <f aca="false">Q!$E$25</f>
        <v>79.975</v>
      </c>
      <c r="E2705" s="38" t="n">
        <f aca="false">Q!$P$25</f>
        <v>51.313</v>
      </c>
      <c r="F2705" s="38" t="n">
        <f aca="false">Sens!$F$2695+Sens!$F$2700+Sens!$F$2703+Sens!$F$2704</f>
        <v>59.8825772328462</v>
      </c>
      <c r="G2705" s="38" t="n">
        <f aca="false">Sens!$G$2695+Sens!$G$2700+Sens!$G$2703+Sens!$G$2704</f>
        <v>111.195577232846</v>
      </c>
      <c r="H2705" s="38" t="n">
        <f aca="false">Sens!$H$2695+Sens!$H$2700+Sens!$H$2703+Sens!$H$2704</f>
        <v>135.217312554637</v>
      </c>
      <c r="I2705" s="38" t="n">
        <f aca="false">Sens!$I$2695+Sens!$I$2700+Sens!$I$2703+Sens!$I$2704</f>
        <v>159.167247226076</v>
      </c>
      <c r="J2705" s="38" t="n">
        <f aca="false">Sens!$J$2695+Sens!$J$2700+Sens!$J$2703+Sens!$J$2704</f>
        <v>179.508922798938</v>
      </c>
      <c r="K2705" s="38" t="n">
        <f aca="false">Sens!$K$2695+Sens!$K$2700+Sens!$K$2703+Sens!$K$2704</f>
        <v>194.65453117688</v>
      </c>
      <c r="L2705" s="38" t="n">
        <f aca="false">Sens!$L$2695+Sens!$L$2700+Sens!$L$2703+Sens!$L$2704</f>
        <v>211.209407794735</v>
      </c>
      <c r="M2705" s="38" t="n">
        <f aca="false">Sens!$M$2695+Sens!$M$2700+Sens!$M$2703+Sens!$M$2704</f>
        <v>228.080902380818</v>
      </c>
      <c r="N2705" s="38" t="n">
        <f aca="false">Q!$N$25</f>
        <v>37.576</v>
      </c>
      <c r="O2705" s="38" t="n">
        <f aca="false">Q!$O$25</f>
        <v>42.399</v>
      </c>
    </row>
    <row r="2706" customFormat="false" ht="17.15" hidden="false" customHeight="false" outlineLevel="0" collapsed="false">
      <c r="A2706" s="24" t="s">
        <v>712</v>
      </c>
      <c r="B2706" s="25" t="s">
        <v>73</v>
      </c>
      <c r="C2706" s="39" t="n">
        <f aca="false">Sens!$C$2695+Sens!$C$2700+Sens!$C$2703+Sens!$C$2704-Sens!$C$2705</f>
        <v>0</v>
      </c>
      <c r="D2706" s="39" t="n">
        <f aca="false">Sens!$D$2695+Sens!$D$2700+Sens!$D$2703+Sens!$D$2704-Sens!$D$2705</f>
        <v>0</v>
      </c>
      <c r="E2706" s="39" t="n">
        <f aca="false">Sens!$E$2695+Sens!$E$2700+Sens!$E$2703+Sens!$E$2704-Sens!$E$2705</f>
        <v>0</v>
      </c>
      <c r="F2706" s="39" t="n">
        <f aca="false">Sens!$F$2695+Sens!$F$2700+Sens!$F$2703+Sens!$F$2704-Sens!$F$2705</f>
        <v>0</v>
      </c>
      <c r="G2706" s="39" t="n">
        <f aca="false">Sens!$G$2695+Sens!$G$2700+Sens!$G$2703+Sens!$G$2704-Sens!$G$2705</f>
        <v>0</v>
      </c>
      <c r="H2706" s="39" t="n">
        <f aca="false">Sens!$H$2695+Sens!$H$2700+Sens!$H$2703+Sens!$H$2704-Sens!$H$2705</f>
        <v>0</v>
      </c>
      <c r="I2706" s="39" t="n">
        <f aca="false">Sens!$I$2695+Sens!$I$2700+Sens!$I$2703+Sens!$I$2704-Sens!$I$2705</f>
        <v>0</v>
      </c>
      <c r="J2706" s="39" t="n">
        <f aca="false">Sens!$J$2695+Sens!$J$2700+Sens!$J$2703+Sens!$J$2704-Sens!$J$2705</f>
        <v>0</v>
      </c>
      <c r="K2706" s="39" t="n">
        <f aca="false">Sens!$K$2695+Sens!$K$2700+Sens!$K$2703+Sens!$K$2704-Sens!$K$2705</f>
        <v>0</v>
      </c>
      <c r="L2706" s="39" t="n">
        <f aca="false">Sens!$L$2695+Sens!$L$2700+Sens!$L$2703+Sens!$L$2704-Sens!$L$2705</f>
        <v>0</v>
      </c>
      <c r="M2706" s="39" t="n">
        <f aca="false">Sens!$M$2695+Sens!$M$2700+Sens!$M$2703+Sens!$M$2704-Sens!$M$2705</f>
        <v>0</v>
      </c>
      <c r="N2706" s="39" t="n">
        <f aca="false">Sens!$N$2695+Sens!$N$2700+Sens!$N$2703+Sens!$N$2704-Sens!$N$2705</f>
        <v>0</v>
      </c>
      <c r="O2706" s="39" t="n">
        <f aca="false">Sens!$O$2695+Sens!$O$2700+Sens!$O$2703+Sens!$O$2704-Sens!$O$2705</f>
        <v>0</v>
      </c>
    </row>
    <row r="2707" customFormat="false" ht="17.15" hidden="false" customHeight="false" outlineLevel="0" collapsed="false">
      <c r="A2707" s="0" t="s">
        <v>688</v>
      </c>
      <c r="B2707" s="0" t="s">
        <v>52</v>
      </c>
      <c r="C2707" s="12" t="n">
        <f aca="false">Sens!$C$2695/Sens!$C$2680</f>
        <v>0.0644314665661928</v>
      </c>
      <c r="D2707" s="12" t="n">
        <f aca="false">Sens!$D$2695/Sens!$D$2680</f>
        <v>0.0694784250712518</v>
      </c>
      <c r="E2707" s="12" t="n">
        <f aca="false">Sens!$E$2695/Sens!$E$2680</f>
        <v>0.0789306463326071</v>
      </c>
      <c r="F2707" s="12" t="n">
        <f aca="false">Sens!$F$2695/Sens!$F$2680</f>
        <v>0.0816338957078875</v>
      </c>
      <c r="G2707" s="12" t="n">
        <f aca="false">Sens!$G$2695/Sens!$G$2680</f>
        <v>0.080384315570057</v>
      </c>
      <c r="H2707" s="12" t="n">
        <f aca="false">Sens!$H$2695/Sens!$H$2680</f>
        <v>0.080035122355679</v>
      </c>
      <c r="I2707" s="12" t="n">
        <f aca="false">Sens!$I$2695/Sens!$I$2680</f>
        <v>0.0786798687862144</v>
      </c>
      <c r="J2707" s="12" t="n">
        <f aca="false">Sens!$J$2695/Sens!$J$2680</f>
        <v>0.0772846370095153</v>
      </c>
      <c r="K2707" s="12" t="n">
        <f aca="false">Sens!$K$2695/Sens!$K$2680</f>
        <v>0.0753502227686655</v>
      </c>
      <c r="L2707" s="12" t="n">
        <f aca="false">Sens!$L$2695/Sens!$L$2680</f>
        <v>0.0723154067793922</v>
      </c>
      <c r="M2707" s="12" t="n">
        <f aca="false">Sens!$M$2695/Sens!$M$2680</f>
        <v>0.070022386735876</v>
      </c>
      <c r="N2707" s="12" t="n">
        <f aca="false">Sens!$N$2695/Sens!$N$2680</f>
        <v>0.069228576611127</v>
      </c>
      <c r="O2707" s="12" t="n">
        <f aca="false">Sens!$O$2695/Sens!$O$2680</f>
        <v>0.069685022498393</v>
      </c>
    </row>
    <row r="2708" customFormat="false" ht="17.15" hidden="false" customHeight="false" outlineLevel="0" collapsed="false">
      <c r="A2708" s="0" t="s">
        <v>689</v>
      </c>
      <c r="B2708" s="0" t="s">
        <v>52</v>
      </c>
      <c r="C2708" s="12" t="n">
        <f aca="false">Sens!$C$2700/Sens!$C$2681</f>
        <v>0.026534925055631</v>
      </c>
      <c r="D2708" s="12" t="n">
        <f aca="false">Sens!$D$2700/Sens!$D$2681</f>
        <v>0.0293401855535103</v>
      </c>
      <c r="E2708" s="12" t="n">
        <f aca="false">Sens!$E$2700/Sens!$E$2681</f>
        <v>0.03831141902276</v>
      </c>
      <c r="F2708" s="12" t="n">
        <f aca="false">Sens!$F$2700/Sens!$F$2681</f>
        <v>0.0297532808235678</v>
      </c>
      <c r="G2708" s="12" t="n">
        <f aca="false">Sens!$G$2700/Sens!$G$2681</f>
        <v>0.0335954317997163</v>
      </c>
      <c r="H2708" s="12" t="n">
        <f aca="false">Sens!$H$2700/Sens!$H$2681</f>
        <v>0.0312519754292078</v>
      </c>
      <c r="I2708" s="12" t="n">
        <f aca="false">Sens!$I$2700/Sens!$I$2681</f>
        <v>0.0278788303191397</v>
      </c>
      <c r="J2708" s="12" t="n">
        <f aca="false">Sens!$J$2700/Sens!$J$2681</f>
        <v>0.0244019313573061</v>
      </c>
      <c r="K2708" s="12" t="n">
        <f aca="false">Sens!$K$2700/Sens!$K$2681</f>
        <v>0.020280070641524</v>
      </c>
      <c r="L2708" s="12" t="n">
        <f aca="false">Sens!$L$2700/Sens!$L$2681</f>
        <v>0.0175947312030086</v>
      </c>
      <c r="M2708" s="12" t="n">
        <f aca="false">Sens!$M$2700/Sens!$M$2681</f>
        <v>0.0156592172424565</v>
      </c>
      <c r="N2708" s="12" t="n">
        <f aca="false">Sens!$N$2700/Sens!$N$2681</f>
        <v>0.0357315650169337</v>
      </c>
      <c r="O2708" s="12" t="n">
        <f aca="false">Sens!$O$2700/Sens!$O$2681</f>
        <v>0.0244378956559703</v>
      </c>
    </row>
    <row r="2709" customFormat="false" ht="17.15" hidden="false" customHeight="false" outlineLevel="0" collapsed="false">
      <c r="A2709" s="13" t="s">
        <v>690</v>
      </c>
      <c r="B2709" s="13" t="s">
        <v>52</v>
      </c>
      <c r="C2709" s="16" t="n">
        <f aca="false">Sens!$C$2703/Sens!$C$2682</f>
        <v>0.370355907620217</v>
      </c>
      <c r="D2709" s="16" t="n">
        <f aca="false">Sens!$D$2703/Sens!$D$2682</f>
        <v>0.35429015342785</v>
      </c>
      <c r="E2709" s="16" t="n">
        <f aca="false">Sens!$E$2703/Sens!$E$2682</f>
        <v>0.385647527531039</v>
      </c>
      <c r="F2709" s="16" t="n">
        <f aca="false">Sens!$F$2703/Sens!$F$2682</f>
        <v>0.384415729470259</v>
      </c>
      <c r="G2709" s="16" t="n">
        <f aca="false">Sens!$G$2703/Sens!$G$2682</f>
        <v>0.38498282105443</v>
      </c>
      <c r="H2709" s="16" t="n">
        <f aca="false">Sens!$H$2703/Sens!$H$2682</f>
        <v>0.36118436910528</v>
      </c>
      <c r="I2709" s="16" t="n">
        <f aca="false">Sens!$I$2703/Sens!$I$2682</f>
        <v>0.34915711489181</v>
      </c>
      <c r="J2709" s="16" t="n">
        <f aca="false">Sens!$J$2703/Sens!$J$2682</f>
        <v>0.339024060586305</v>
      </c>
      <c r="K2709" s="16" t="n">
        <f aca="false">Sens!$K$2703/Sens!$K$2682</f>
        <v>0.329644456656049</v>
      </c>
      <c r="L2709" s="16" t="n">
        <f aca="false">Sens!$L$2703/Sens!$L$2682</f>
        <v>0.325841934562585</v>
      </c>
      <c r="M2709" s="16" t="n">
        <f aca="false">Sens!$M$2703/Sens!$M$2682</f>
        <v>0.321804625465941</v>
      </c>
      <c r="N2709" s="16" t="n">
        <f aca="false">Sens!$N$2703/Sens!$N$2682</f>
        <v>0.360941137346192</v>
      </c>
      <c r="O2709" s="16" t="n">
        <f aca="false">Sens!$O$2703/Sens!$O$2682</f>
        <v>0.348458117664212</v>
      </c>
    </row>
    <row r="2710" customFormat="false" ht="17.15" hidden="false" customHeight="false" outlineLevel="0" collapsed="false">
      <c r="A2710" s="0" t="s">
        <v>691</v>
      </c>
      <c r="B2710" s="0" t="s">
        <v>52</v>
      </c>
      <c r="C2710" s="12" t="n">
        <f aca="false">Sens!$C$2701/Sens!$C$2683</f>
        <v>0.708390794789371</v>
      </c>
      <c r="D2710" s="12" t="n">
        <f aca="false">Sens!$D$2701/Sens!$D$2683</f>
        <v>0.445565630441968</v>
      </c>
      <c r="E2710" s="12" t="n">
        <f aca="false">Sens!$E$2701/Sens!$E$2683</f>
        <v>0.165998118402711</v>
      </c>
      <c r="F2710" s="12" t="n">
        <f aca="false">Sens!$F$2701/Sens!$F$2683</f>
        <v>0.434878595403858</v>
      </c>
      <c r="G2710" s="12" t="n">
        <f aca="false">Sens!$G$2701/Sens!$G$2683</f>
        <v>0.3373967615381</v>
      </c>
      <c r="H2710" s="12" t="n">
        <f aca="false">Sens!$H$2701/Sens!$H$2683</f>
        <v>0.320477578041224</v>
      </c>
      <c r="I2710" s="12" t="n">
        <f aca="false">Sens!$I$2701/Sens!$I$2683</f>
        <v>0.296936118226494</v>
      </c>
      <c r="J2710" s="12" t="n">
        <f aca="false">Sens!$J$2701/Sens!$J$2683</f>
        <v>0.282166278613001</v>
      </c>
      <c r="K2710" s="12" t="n">
        <f aca="false">Sens!$K$2701/Sens!$K$2683</f>
        <v>0.271267685694333</v>
      </c>
      <c r="L2710" s="12" t="n">
        <f aca="false">Sens!$L$2701/Sens!$L$2683</f>
        <v>0.27160960915653</v>
      </c>
      <c r="M2710" s="12" t="n">
        <f aca="false">Sens!$M$2701/Sens!$M$2683</f>
        <v>0.26974494804234</v>
      </c>
      <c r="N2710" s="12" t="n">
        <f aca="false">Sens!$N$2701/Sens!$N$2683</f>
        <v>0.302870734830849</v>
      </c>
      <c r="O2710" s="12" t="n">
        <f aca="false">Sens!$O$2701/Sens!$O$2683</f>
        <v>0.52240134346334</v>
      </c>
    </row>
    <row r="2711" customFormat="false" ht="15" hidden="false" customHeight="false" outlineLevel="0" collapsed="false">
      <c r="A2711" s="5" t="s">
        <v>692</v>
      </c>
      <c r="B2711" s="0" t="s">
        <v>52</v>
      </c>
      <c r="C2711" s="12" t="n">
        <f aca="false">Sens!$C$2705/Sens!$C$2685</f>
        <v>0.107519448742004</v>
      </c>
      <c r="D2711" s="12" t="n">
        <f aca="false">Sens!$D$2705/Sens!$D$2685</f>
        <v>0.111552967957552</v>
      </c>
      <c r="E2711" s="12" t="n">
        <f aca="false">Sens!$E$2705/Sens!$E$2685</f>
        <v>0.13428328426562</v>
      </c>
      <c r="F2711" s="12" t="n">
        <f aca="false">Sens!$F$2705/Sens!$F$2685</f>
        <v>0.132926212451512</v>
      </c>
      <c r="G2711" s="12" t="n">
        <f aca="false">Sens!$G$2705/Sens!$G$2685</f>
        <v>0.133549030959228</v>
      </c>
      <c r="H2711" s="12" t="n">
        <f aca="false">Sens!$H$2705/Sens!$H$2685</f>
        <v>0.139417845119615</v>
      </c>
      <c r="I2711" s="12" t="n">
        <f aca="false">Sens!$I$2705/Sens!$I$2685</f>
        <v>0.143855040626645</v>
      </c>
      <c r="J2711" s="12" t="n">
        <f aca="false">Sens!$J$2705/Sens!$J$2685</f>
        <v>0.145703372229532</v>
      </c>
      <c r="K2711" s="12" t="n">
        <f aca="false">Sens!$K$2705/Sens!$K$2685</f>
        <v>0.145179782653983</v>
      </c>
      <c r="L2711" s="12" t="n">
        <f aca="false">Sens!$L$2705/Sens!$L$2685</f>
        <v>0.145255752073182</v>
      </c>
      <c r="M2711" s="12" t="n">
        <f aca="false">Sens!$M$2705/Sens!$M$2685</f>
        <v>0.145077254871749</v>
      </c>
      <c r="N2711" s="12" t="n">
        <f aca="false">Sens!$N$2705/Sens!$N$2685</f>
        <v>0.116201614873411</v>
      </c>
      <c r="O2711" s="12" t="n">
        <f aca="false">Sens!$O$2705/Sens!$O$2685</f>
        <v>0.107733353660861</v>
      </c>
    </row>
    <row r="2712" customFormat="false" ht="17.15" hidden="false" customHeight="false" outlineLevel="0" collapsed="false">
      <c r="A2712" s="1" t="s">
        <v>693</v>
      </c>
    </row>
    <row r="2713" customFormat="false" ht="17.15" hidden="false" customHeight="false" outlineLevel="0" collapsed="false">
      <c r="A2713" s="5" t="s">
        <v>694</v>
      </c>
      <c r="B2713" s="0" t="s">
        <v>52</v>
      </c>
      <c r="D2713" s="28" t="n">
        <f aca="false">(Q!$E$29+Q!$E$30-(1-ext_sh)*Sens!$D$2637)/Sens!$D$2594</f>
        <v>0.0334674312393194</v>
      </c>
    </row>
    <row r="2714" customFormat="false" ht="17.15" hidden="false" customHeight="false" outlineLevel="0" collapsed="false">
      <c r="A2714" s="0" t="s">
        <v>498</v>
      </c>
      <c r="B2714" s="0" t="s">
        <v>73</v>
      </c>
      <c r="C2714" s="38" t="n">
        <f aca="false">Q!$D$29</f>
        <v>14.285</v>
      </c>
      <c r="D2714" s="38" t="n">
        <f aca="false">Q!$E$29</f>
        <v>15.503</v>
      </c>
      <c r="E2714" s="38" t="n">
        <f aca="false">Q!$P$29</f>
        <v>8.78</v>
      </c>
      <c r="F2714" s="38" t="n">
        <f aca="false">(Sens!$D$2713*Sens!$F$2594+(1-ext_sh)*Sens!$F$2637)*Sens!$F$2595</f>
        <v>9.51361751569285</v>
      </c>
      <c r="G2714" s="38" t="n">
        <f aca="false">Sens!$E$2714+Sens!$F$2714</f>
        <v>18.2936175156929</v>
      </c>
      <c r="H2714" s="38" t="n">
        <f aca="false">(Sens!$D$2713*Sens!$H$2594+(1-ext_sh)*Sens!$H$2637)*Sens!$H$2595</f>
        <v>22.7653661801943</v>
      </c>
      <c r="I2714" s="38" t="n">
        <f aca="false">(Sens!$D$2713*Sens!$I$2594+(1-ext_sh)*Sens!$I$2637)*Sens!$I$2595</f>
        <v>28.4281317305062</v>
      </c>
      <c r="J2714" s="38" t="n">
        <f aca="false">(Sens!$D$2713*Sens!$J$2594+(1-ext_sh)*Sens!$J$2637)*Sens!$J$2595</f>
        <v>34.1182922009732</v>
      </c>
      <c r="K2714" s="38" t="n">
        <f aca="false">(Sens!$D$2713*Sens!$K$2594+(1-ext_sh)*Sens!$K$2637)*Sens!$K$2595</f>
        <v>39.7237727987046</v>
      </c>
      <c r="L2714" s="38" t="n">
        <f aca="false">(Sens!$D$2713*Sens!$L$2594+(1-ext_sh)*Sens!$L$2637)*Sens!$L$2595</f>
        <v>45.1313127180263</v>
      </c>
      <c r="M2714" s="38" t="n">
        <f aca="false">(Sens!$D$2713*Sens!$M$2594+(1-ext_sh)*Sens!$M$2637)*Sens!$M$2595</f>
        <v>50.743940615442</v>
      </c>
      <c r="N2714" s="38" t="n">
        <f aca="false">Q!$N$29</f>
        <v>7.272</v>
      </c>
      <c r="O2714" s="38" t="n">
        <f aca="false">Q!$O$29</f>
        <v>8.231</v>
      </c>
    </row>
    <row r="2715" customFormat="false" ht="17.15" hidden="false" customHeight="false" outlineLevel="0" collapsed="false">
      <c r="A2715" s="0" t="s">
        <v>500</v>
      </c>
      <c r="B2715" s="0" t="s">
        <v>73</v>
      </c>
      <c r="C2715" s="38" t="n">
        <f aca="false">Q!$D$30</f>
        <v>4.462</v>
      </c>
      <c r="D2715" s="38" t="n">
        <f aca="false">Q!$E$30</f>
        <v>4.907</v>
      </c>
      <c r="E2715" s="38" t="n">
        <f aca="false">Q!$P$30</f>
        <v>2.57</v>
      </c>
      <c r="F2715" s="38" t="n">
        <f aca="false">(Sens!$D$2713*Sens!$F$2594+(1-ext_sh)*Sens!$F$2637)*(1-Sens!$F$2595)</f>
        <v>3.7353230631574</v>
      </c>
      <c r="G2715" s="38" t="n">
        <f aca="false">Sens!$E$2715+Sens!$F$2715</f>
        <v>6.3053230631574</v>
      </c>
      <c r="H2715" s="38" t="n">
        <f aca="false">(Sens!$D$2713*Sens!$H$2594+(1-ext_sh)*Sens!$H$2637)*(1-Sens!$H$2595)</f>
        <v>8.72254636724805</v>
      </c>
      <c r="I2715" s="38" t="n">
        <f aca="false">(Sens!$D$2713*Sens!$I$2594+(1-ext_sh)*Sens!$I$2637)*(1-Sens!$I$2595)</f>
        <v>10.8922340713019</v>
      </c>
      <c r="J2715" s="38" t="n">
        <f aca="false">(Sens!$D$2713*Sens!$J$2594+(1-ext_sh)*Sens!$J$2637)*(1-Sens!$J$2595)</f>
        <v>13.0724181345791</v>
      </c>
      <c r="K2715" s="38" t="n">
        <f aca="false">(Sens!$D$2713*Sens!$K$2594+(1-ext_sh)*Sens!$K$2637)*(1-Sens!$K$2595)</f>
        <v>15.2201571183236</v>
      </c>
      <c r="L2715" s="38" t="n">
        <f aca="false">(Sens!$D$2713*Sens!$L$2594+(1-ext_sh)*Sens!$L$2637)*(1-Sens!$L$2595)</f>
        <v>17.2920551631732</v>
      </c>
      <c r="M2715" s="38" t="n">
        <f aca="false">(Sens!$D$2713*Sens!$M$2594+(1-ext_sh)*Sens!$M$2637)*(1-Sens!$M$2595)</f>
        <v>19.4425326336348</v>
      </c>
      <c r="N2715" s="38" t="n">
        <f aca="false">Q!$N$30</f>
        <v>2.316</v>
      </c>
      <c r="O2715" s="38" t="n">
        <f aca="false">Q!$O$30</f>
        <v>2.591</v>
      </c>
    </row>
    <row r="2716" customFormat="false" ht="17.15" hidden="false" customHeight="false" outlineLevel="0" collapsed="false">
      <c r="A2716" s="0" t="s">
        <v>501</v>
      </c>
      <c r="B2716" s="0" t="s">
        <v>73</v>
      </c>
      <c r="C2716" s="38" t="n">
        <f aca="false">Sens!$C$2649</f>
        <v>13.32</v>
      </c>
      <c r="D2716" s="38" t="n">
        <f aca="false">Sens!$D$2649</f>
        <v>21.45</v>
      </c>
      <c r="E2716" s="38" t="n">
        <f aca="false">Sens!$E$2649</f>
        <v>15.353</v>
      </c>
      <c r="F2716" s="38" t="n">
        <f aca="false">Sens!$F$2649</f>
        <v>17.3614451462707</v>
      </c>
      <c r="G2716" s="38" t="n">
        <f aca="false">Sens!$G$2649</f>
        <v>32.7144451462707</v>
      </c>
      <c r="H2716" s="38" t="n">
        <f aca="false">Sens!$H$2649</f>
        <v>56.0228263667984</v>
      </c>
      <c r="I2716" s="38" t="n">
        <f aca="false">Sens!$I$2649</f>
        <v>82.3552236942739</v>
      </c>
      <c r="J2716" s="38" t="n">
        <f aca="false">Sens!$J$2649</f>
        <v>108.529700132267</v>
      </c>
      <c r="K2716" s="38" t="n">
        <f aca="false">Sens!$K$2649</f>
        <v>133.826247257326</v>
      </c>
      <c r="L2716" s="38" t="n">
        <f aca="false">Sens!$L$2649</f>
        <v>157.592466879888</v>
      </c>
      <c r="M2716" s="38" t="n">
        <f aca="false">Sens!$M$2649</f>
        <v>182.023134312276</v>
      </c>
      <c r="N2716" s="38" t="n">
        <f aca="false">Sens!$N$2649</f>
        <v>9.234</v>
      </c>
      <c r="O2716" s="38" t="n">
        <f aca="false">Sens!$O$2649</f>
        <v>12.216</v>
      </c>
    </row>
    <row r="2717" customFormat="false" ht="17.15" hidden="false" customHeight="false" outlineLevel="0" collapsed="false">
      <c r="A2717" s="5" t="s">
        <v>695</v>
      </c>
      <c r="B2717" s="0" t="s">
        <v>73</v>
      </c>
      <c r="C2717" s="38" t="n">
        <f aca="false">Sens!$C$2714+Sens!$C$2715+Sens!$C$2716</f>
        <v>32.067</v>
      </c>
      <c r="D2717" s="38" t="n">
        <f aca="false">Sens!$D$2714+Sens!$D$2715+Sens!$D$2716</f>
        <v>41.86</v>
      </c>
      <c r="E2717" s="38" t="n">
        <f aca="false">Sens!$E$2714+Sens!$E$2715+Sens!$E$2716</f>
        <v>26.703</v>
      </c>
      <c r="F2717" s="38" t="n">
        <f aca="false">Sens!$F$2714+Sens!$F$2715+Sens!$F$2716</f>
        <v>30.6103857251209</v>
      </c>
      <c r="G2717" s="38" t="n">
        <f aca="false">Sens!$G$2714+Sens!$G$2715+Sens!$G$2716</f>
        <v>57.3133857251209</v>
      </c>
      <c r="H2717" s="38" t="n">
        <f aca="false">Sens!$H$2714+Sens!$H$2715+Sens!$H$2716</f>
        <v>87.5107389142407</v>
      </c>
      <c r="I2717" s="38" t="n">
        <f aca="false">Sens!$I$2714+Sens!$I$2715+Sens!$I$2716</f>
        <v>121.675589496082</v>
      </c>
      <c r="J2717" s="38" t="n">
        <f aca="false">Sens!$J$2714+Sens!$J$2715+Sens!$J$2716</f>
        <v>155.720410467819</v>
      </c>
      <c r="K2717" s="38" t="n">
        <f aca="false">Sens!$K$2714+Sens!$K$2715+Sens!$K$2716</f>
        <v>188.770177174354</v>
      </c>
      <c r="L2717" s="38" t="n">
        <f aca="false">Sens!$L$2714+Sens!$L$2715+Sens!$L$2716</f>
        <v>220.015834761088</v>
      </c>
      <c r="M2717" s="38" t="n">
        <f aca="false">Sens!$M$2714+Sens!$M$2715+Sens!$M$2716</f>
        <v>252.209607561353</v>
      </c>
      <c r="N2717" s="38" t="n">
        <f aca="false">Sens!$N$2714+Sens!$N$2715+Sens!$N$2716</f>
        <v>18.822</v>
      </c>
      <c r="O2717" s="38" t="n">
        <f aca="false">Sens!$O$2714+Sens!$O$2715+Sens!$O$2716</f>
        <v>23.038</v>
      </c>
    </row>
    <row r="2718" customFormat="false" ht="17.15" hidden="false" customHeight="false" outlineLevel="0" collapsed="false">
      <c r="A2718" s="0" t="s">
        <v>696</v>
      </c>
      <c r="B2718" s="0" t="s">
        <v>73</v>
      </c>
      <c r="C2718" s="38" t="n">
        <f aca="false">Sens!$C$2691+Sens!$C$2696</f>
        <v>28.107</v>
      </c>
      <c r="D2718" s="38" t="n">
        <f aca="false">Sens!$D$2691+Sens!$D$2696</f>
        <v>34.3175</v>
      </c>
      <c r="E2718" s="38" t="n">
        <f aca="false">Sens!$E$2691+Sens!$E$2696</f>
        <v>18.526</v>
      </c>
      <c r="F2718" s="38" t="n">
        <f aca="false">Sens!$F$2691+Sens!$F$2696</f>
        <v>24.0766690913691</v>
      </c>
      <c r="G2718" s="38" t="n">
        <f aca="false">Sens!$G$2691+Sens!$G$2696</f>
        <v>42.6026690913691</v>
      </c>
      <c r="H2718" s="38" t="n">
        <f aca="false">Sens!$H$2691+Sens!$H$2696</f>
        <v>51.1466809294702</v>
      </c>
      <c r="I2718" s="38" t="n">
        <f aca="false">Sens!$I$2691+Sens!$I$2696</f>
        <v>59.6899187926205</v>
      </c>
      <c r="J2718" s="38" t="n">
        <f aca="false">Sens!$J$2691+Sens!$J$2696</f>
        <v>67.6595395244221</v>
      </c>
      <c r="K2718" s="38" t="n">
        <f aca="false">Sens!$K$2691+Sens!$K$2696</f>
        <v>74.4254934768643</v>
      </c>
      <c r="L2718" s="38" t="n">
        <f aca="false">Sens!$L$2691+Sens!$L$2696</f>
        <v>81.8680428245508</v>
      </c>
      <c r="M2718" s="38" t="n">
        <f aca="false">Sens!$M$2691+Sens!$M$2696</f>
        <v>90.0548471070059</v>
      </c>
      <c r="N2718" s="38" t="n">
        <f aca="false">Sens!$N$2691+Sens!$N$2696</f>
        <v>14.8075</v>
      </c>
      <c r="O2718" s="38" t="n">
        <f aca="false">Sens!$O$2691+Sens!$O$2696</f>
        <v>19.51</v>
      </c>
    </row>
    <row r="2719" customFormat="false" ht="17.15" hidden="false" customHeight="false" outlineLevel="0" collapsed="false">
      <c r="A2719" s="0" t="s">
        <v>697</v>
      </c>
      <c r="B2719" s="0" t="s">
        <v>73</v>
      </c>
      <c r="C2719" s="38" t="n">
        <f aca="false">Sens!$C$2695+Sens!$C$2700+Sens!$C$2714+Sens!$C$2715-Sens!$C$2718</f>
        <v>19.399</v>
      </c>
      <c r="D2719" s="38" t="n">
        <f aca="false">Sens!$D$2695+Sens!$D$2700+Sens!$D$2714+Sens!$D$2715-Sens!$D$2718</f>
        <v>20.4615</v>
      </c>
      <c r="E2719" s="38" t="n">
        <f aca="false">Sens!$E$2695+Sens!$E$2700+Sens!$E$2714+Sens!$E$2715-Sens!$E$2718</f>
        <v>13.355</v>
      </c>
      <c r="F2719" s="38" t="n">
        <f aca="false">Sens!$F$2695+Sens!$F$2700+Sens!$F$2714+Sens!$F$2715-Sens!$F$2718</f>
        <v>13.0895111975985</v>
      </c>
      <c r="G2719" s="38" t="n">
        <f aca="false">Sens!$G$2695+Sens!$G$2700+Sens!$G$2714+Sens!$G$2715-Sens!$G$2718</f>
        <v>26.4445111975985</v>
      </c>
      <c r="H2719" s="38" t="n">
        <f aca="false">Sens!$H$2695+Sens!$H$2700+Sens!$H$2714+Sens!$H$2715-Sens!$H$2718</f>
        <v>28.8977096937968</v>
      </c>
      <c r="I2719" s="38" t="n">
        <f aca="false">Sens!$I$2695+Sens!$I$2700+Sens!$I$2714+Sens!$I$2715-Sens!$I$2718</f>
        <v>31.2062039064791</v>
      </c>
      <c r="J2719" s="38" t="n">
        <f aca="false">Sens!$J$2695+Sens!$J$2700+Sens!$J$2714+Sens!$J$2715-Sens!$J$2718</f>
        <v>33.5064572496913</v>
      </c>
      <c r="K2719" s="38" t="n">
        <f aca="false">Sens!$K$2695+Sens!$K$2700+Sens!$K$2714+Sens!$K$2715-Sens!$K$2718</f>
        <v>35.6591461575899</v>
      </c>
      <c r="L2719" s="38" t="n">
        <f aca="false">Sens!$L$2695+Sens!$L$2700+Sens!$L$2714+Sens!$L$2715-Sens!$L$2718</f>
        <v>36.4141007090604</v>
      </c>
      <c r="M2719" s="38" t="n">
        <f aca="false">Sens!$M$2695+Sens!$M$2700+Sens!$M$2714+Sens!$M$2715-Sens!$M$2718</f>
        <v>37.359984207839</v>
      </c>
      <c r="N2719" s="38" t="n">
        <f aca="false">Sens!$N$2695+Sens!$N$2700+Sens!$N$2714+Sens!$N$2715-Sens!$N$2718</f>
        <v>10.6495</v>
      </c>
      <c r="O2719" s="38" t="n">
        <f aca="false">Sens!$O$2695+Sens!$O$2700+Sens!$O$2714+Sens!$O$2715-Sens!$O$2718</f>
        <v>9.81200000000001</v>
      </c>
    </row>
    <row r="2720" customFormat="false" ht="17.15" hidden="false" customHeight="false" outlineLevel="0" collapsed="false">
      <c r="A2720" s="0" t="s">
        <v>698</v>
      </c>
      <c r="B2720" s="0" t="s">
        <v>73</v>
      </c>
      <c r="C2720" s="38" t="n">
        <f aca="false">Sens!$C$2702+Sens!$C$2716-ext_sh*Sens!$C$2637</f>
        <v>51.3470500115664</v>
      </c>
      <c r="D2720" s="38" t="n">
        <f aca="false">Sens!$D$2702+Sens!$D$2716-ext_sh*Sens!$D$2637</f>
        <v>60.2799375433739</v>
      </c>
      <c r="E2720" s="38" t="n">
        <f aca="false">Sens!$E$2702+Sens!$E$2716-ext_sh*Sens!$E$2637</f>
        <v>39.5095167090767</v>
      </c>
      <c r="F2720" s="38" t="n">
        <f aca="false">Sens!$F$2702+Sens!$F$2716-ext_sh*Sens!$F$2637</f>
        <v>41.606724953129</v>
      </c>
      <c r="G2720" s="38" t="n">
        <f aca="false">Sens!$G$2702+Sens!$G$2716-ext_sh*Sens!$G$2637</f>
        <v>81.1162416622057</v>
      </c>
      <c r="H2720" s="38" t="n">
        <f aca="false">Sens!$H$2702+Sens!$H$2716-ext_sh*Sens!$H$2637</f>
        <v>95.1664881395653</v>
      </c>
      <c r="I2720" s="38" t="n">
        <f aca="false">Sens!$I$2702+Sens!$I$2716-ext_sh*Sens!$I$2637</f>
        <v>109.392744758692</v>
      </c>
      <c r="J2720" s="38" t="n">
        <f aca="false">Sens!$J$2702+Sens!$J$2716-ext_sh*Sens!$J$2637</f>
        <v>120.30401965776</v>
      </c>
      <c r="K2720" s="38" t="n">
        <f aca="false">Sens!$K$2702+Sens!$K$2716-ext_sh*Sens!$K$2637</f>
        <v>126.319220640648</v>
      </c>
      <c r="L2720" s="38" t="n">
        <f aca="false">Sens!$L$2702+Sens!$L$2716-ext_sh*Sens!$L$2637</f>
        <v>132.63518167268</v>
      </c>
      <c r="M2720" s="38" t="n">
        <f aca="false">Sens!$M$2702+Sens!$M$2716-ext_sh*Sens!$M$2637</f>
        <v>139.266940756314</v>
      </c>
      <c r="N2720" s="38" t="n">
        <f aca="false">Sens!$N$2702+Sens!$N$2716-ext_sh*Sens!$N$2637</f>
        <v>28.5693781401809</v>
      </c>
      <c r="O2720" s="38" t="n">
        <f aca="false">Sens!$O$2702+Sens!$O$2716-ext_sh*Sens!$O$2637</f>
        <v>31.7105594031931</v>
      </c>
    </row>
    <row r="2721" customFormat="false" ht="17.15" hidden="false" customHeight="false" outlineLevel="0" collapsed="false">
      <c r="A2721" s="0" t="s">
        <v>699</v>
      </c>
      <c r="B2721" s="0" t="s">
        <v>73</v>
      </c>
      <c r="C2721" s="38" t="n">
        <f aca="false">Sens!$C$2640</f>
        <v>1.80694998843362</v>
      </c>
      <c r="D2721" s="38" t="n">
        <f aca="false">Sens!$D$2640</f>
        <v>6.77606245662607</v>
      </c>
      <c r="E2721" s="38" t="n">
        <f aca="false">Sens!$E$2640</f>
        <v>6.62548329092326</v>
      </c>
      <c r="F2721" s="38" t="n">
        <f aca="false">Sens!$F$2640</f>
        <v>11.7200577158706</v>
      </c>
      <c r="G2721" s="38" t="n">
        <f aca="false">Sens!$G$2640</f>
        <v>18.3455410067939</v>
      </c>
      <c r="H2721" s="38" t="n">
        <f aca="false">Sens!$H$2640</f>
        <v>47.5171727060453</v>
      </c>
      <c r="I2721" s="38" t="n">
        <f aca="false">Sens!$I$2640</f>
        <v>80.5539692643667</v>
      </c>
      <c r="J2721" s="38" t="n">
        <f aca="false">Sens!$J$2640</f>
        <v>113.759316834883</v>
      </c>
      <c r="K2721" s="38" t="n">
        <f aca="false">Sens!$K$2640</f>
        <v>147.020848076132</v>
      </c>
      <c r="L2721" s="38" t="n">
        <f aca="false">Sens!$L$2640</f>
        <v>180.307917349531</v>
      </c>
      <c r="M2721" s="38" t="n">
        <f aca="false">Sens!$M$2640</f>
        <v>213.608737871012</v>
      </c>
      <c r="N2721" s="38" t="n">
        <f aca="false">Sens!$N$2640</f>
        <v>2.37162185981912</v>
      </c>
      <c r="O2721" s="38" t="n">
        <f aca="false">Sens!$O$2640</f>
        <v>4.40444059680694</v>
      </c>
    </row>
    <row r="2722" customFormat="false" ht="17.15" hidden="false" customHeight="false" outlineLevel="0" collapsed="false">
      <c r="A2722" s="0" t="s">
        <v>700</v>
      </c>
      <c r="B2722" s="0" t="s">
        <v>73</v>
      </c>
      <c r="C2722" s="38" t="n">
        <f aca="false">Sens!$C$2705+Sens!$C$2717</f>
        <v>100.66</v>
      </c>
      <c r="D2722" s="38" t="n">
        <f aca="false">Sens!$D$2705+Sens!$D$2717</f>
        <v>121.835</v>
      </c>
      <c r="E2722" s="38" t="n">
        <f aca="false">Sens!$E$2705+Sens!$E$2717</f>
        <v>78.016</v>
      </c>
      <c r="F2722" s="38" t="n">
        <f aca="false">Sens!$F$2705+Sens!$F$2717</f>
        <v>90.4929629579672</v>
      </c>
      <c r="G2722" s="38" t="n">
        <f aca="false">Sens!$G$2705+Sens!$G$2717</f>
        <v>168.508962957967</v>
      </c>
      <c r="H2722" s="38" t="n">
        <f aca="false">Sens!$H$2705+Sens!$H$2717</f>
        <v>222.728051468877</v>
      </c>
      <c r="I2722" s="38" t="n">
        <f aca="false">Sens!$I$2705+Sens!$I$2717</f>
        <v>280.842836722158</v>
      </c>
      <c r="J2722" s="38" t="n">
        <f aca="false">Sens!$J$2705+Sens!$J$2717</f>
        <v>335.229333266757</v>
      </c>
      <c r="K2722" s="38" t="n">
        <f aca="false">Sens!$K$2705+Sens!$K$2717</f>
        <v>383.424708351234</v>
      </c>
      <c r="L2722" s="38" t="n">
        <f aca="false">Sens!$L$2705+Sens!$L$2717</f>
        <v>431.225242555823</v>
      </c>
      <c r="M2722" s="38" t="n">
        <f aca="false">Sens!$M$2705+Sens!$M$2717</f>
        <v>480.290509942171</v>
      </c>
      <c r="N2722" s="38" t="n">
        <f aca="false">Sens!$N$2705+Sens!$N$2717</f>
        <v>56.398</v>
      </c>
      <c r="O2722" s="38" t="n">
        <f aca="false">Sens!$O$2705+Sens!$O$2717</f>
        <v>65.437</v>
      </c>
    </row>
    <row r="2723" customFormat="false" ht="17.15" hidden="false" customHeight="false" outlineLevel="0" collapsed="false">
      <c r="A2723" s="1" t="s">
        <v>701</v>
      </c>
    </row>
    <row r="2724" customFormat="false" ht="15" hidden="false" customHeight="false" outlineLevel="0" collapsed="false">
      <c r="A2724" s="5" t="s">
        <v>504</v>
      </c>
      <c r="B2724" s="0" t="s">
        <v>73</v>
      </c>
      <c r="C2724" s="38" t="n">
        <f aca="false">Q!$D$34</f>
        <v>2.406</v>
      </c>
      <c r="D2724" s="38" t="n">
        <f aca="false">Q!$E$34</f>
        <v>2.274</v>
      </c>
      <c r="E2724" s="38" t="n">
        <f aca="false">Q!$P$34</f>
        <v>2.114</v>
      </c>
      <c r="F2724" s="38" t="n">
        <f aca="false">Sens!$F$2760</f>
        <v>3.24888964316061</v>
      </c>
      <c r="G2724" s="38" t="n">
        <f aca="false">Sens!$E$2724+Sens!$F$2724</f>
        <v>5.36288964316061</v>
      </c>
      <c r="H2724" s="38" t="n">
        <f aca="false">Sens!$H$2760</f>
        <v>7.42354178632123</v>
      </c>
      <c r="I2724" s="38" t="n">
        <f aca="false">Sens!$I$2760</f>
        <v>7.53971171502999</v>
      </c>
      <c r="J2724" s="38" t="n">
        <f aca="false">Sens!$J$2760</f>
        <v>7.86887222360167</v>
      </c>
      <c r="K2724" s="38" t="n">
        <f aca="false">Sens!$K$2760</f>
        <v>7.86887222360167</v>
      </c>
      <c r="L2724" s="38" t="n">
        <f aca="false">Sens!$L$2760</f>
        <v>7.86887222360167</v>
      </c>
      <c r="M2724" s="38" t="n">
        <f aca="false">Sens!$M$2760</f>
        <v>7.86887222360167</v>
      </c>
      <c r="N2724" s="38" t="n">
        <f aca="false">Q!$N$34</f>
        <v>1.057</v>
      </c>
      <c r="O2724" s="38" t="n">
        <f aca="false">Q!$O$34</f>
        <v>1.217</v>
      </c>
    </row>
    <row r="2725" customFormat="false" ht="15" hidden="false" customHeight="false" outlineLevel="0" collapsed="false">
      <c r="A2725" s="5" t="s">
        <v>702</v>
      </c>
      <c r="B2725" s="0" t="s">
        <v>73</v>
      </c>
      <c r="F2725" s="38" t="n">
        <f aca="false">Sens!$F$2761</f>
        <v>2.59</v>
      </c>
      <c r="H2725" s="38" t="n">
        <f aca="false">Sens!$H$2761</f>
        <v>4.00971603121774</v>
      </c>
      <c r="I2725" s="38" t="n">
        <f aca="false">Sens!$I$2761</f>
        <v>2.10589651022864</v>
      </c>
      <c r="J2725" s="38" t="n">
        <f aca="false">Sens!$J$2761</f>
        <v>2.10589651022864</v>
      </c>
      <c r="K2725" s="38" t="n">
        <f aca="false">Sens!$K$2761</f>
        <v>3.66040175686249</v>
      </c>
      <c r="L2725" s="38" t="n">
        <f aca="false">Sens!$L$2761</f>
        <v>6.90197843058588</v>
      </c>
      <c r="M2725" s="38" t="n">
        <f aca="false">Sens!$M$2761</f>
        <v>10.5315329566375</v>
      </c>
    </row>
    <row r="2726" customFormat="false" ht="17.15" hidden="false" customHeight="false" outlineLevel="0" collapsed="false">
      <c r="A2726" s="5" t="s">
        <v>703</v>
      </c>
      <c r="B2726" s="0" t="s">
        <v>73</v>
      </c>
      <c r="C2726" s="38" t="n">
        <f aca="false">Q!$D$39</f>
        <v>2.427</v>
      </c>
      <c r="D2726" s="38" t="n">
        <f aca="false">Q!$E$39</f>
        <v>19.61</v>
      </c>
      <c r="E2726" s="38" t="n">
        <f aca="false">Q!$P$39</f>
        <v>71.492</v>
      </c>
      <c r="F2726" s="41" t="n">
        <v>0</v>
      </c>
      <c r="G2726" s="38" t="n">
        <f aca="false">Sens!$E$2726+Sens!$F$2726</f>
        <v>71.492</v>
      </c>
      <c r="H2726" s="41" t="n">
        <v>0</v>
      </c>
      <c r="I2726" s="41" t="n">
        <v>0</v>
      </c>
      <c r="J2726" s="41" t="n">
        <v>0</v>
      </c>
      <c r="K2726" s="41" t="n">
        <v>0</v>
      </c>
      <c r="L2726" s="41" t="n">
        <v>0</v>
      </c>
      <c r="M2726" s="41" t="n">
        <v>0</v>
      </c>
      <c r="N2726" s="38" t="n">
        <f aca="false">Q!$N$39</f>
        <v>6.017</v>
      </c>
      <c r="O2726" s="38" t="n">
        <f aca="false">Q!$O$39</f>
        <v>13.593</v>
      </c>
      <c r="P2726" s="5" t="s">
        <v>704</v>
      </c>
    </row>
    <row r="2727" customFormat="false" ht="15" hidden="false" customHeight="false" outlineLevel="0" collapsed="false">
      <c r="A2727" s="5" t="s">
        <v>507</v>
      </c>
      <c r="B2727" s="0" t="s">
        <v>73</v>
      </c>
      <c r="C2727" s="38" t="n">
        <f aca="false">Q!$D$36</f>
        <v>68.614</v>
      </c>
      <c r="D2727" s="38" t="n">
        <f aca="false">Q!$E$36</f>
        <v>97.311</v>
      </c>
      <c r="E2727" s="38" t="n">
        <f aca="false">Q!$P$36</f>
        <v>120.691</v>
      </c>
      <c r="F2727" s="38" t="n">
        <f aca="false">Sens!$F$2705-Sens!$F$2724+Sens!$F$2725+Sens!$F$2726</f>
        <v>59.2236875896856</v>
      </c>
      <c r="G2727" s="38" t="n">
        <f aca="false">Sens!$E$2727+Sens!$F$2727</f>
        <v>179.914687589686</v>
      </c>
      <c r="H2727" s="38" t="n">
        <f aca="false">Sens!$H$2705-Sens!$H$2724+Sens!$H$2725+Sens!$H$2726</f>
        <v>131.803486799533</v>
      </c>
      <c r="I2727" s="38" t="n">
        <f aca="false">Sens!$I$2705-Sens!$I$2724+Sens!$I$2725+Sens!$I$2726</f>
        <v>153.733432021275</v>
      </c>
      <c r="J2727" s="38" t="n">
        <f aca="false">Sens!$J$2705-Sens!$J$2724+Sens!$J$2725+Sens!$J$2726</f>
        <v>173.745947085565</v>
      </c>
      <c r="K2727" s="38" t="n">
        <f aca="false">Sens!$K$2705-Sens!$K$2724+Sens!$K$2725+Sens!$K$2726</f>
        <v>190.446060710141</v>
      </c>
      <c r="L2727" s="38" t="n">
        <f aca="false">Sens!$L$2705-Sens!$L$2724+Sens!$L$2725+Sens!$L$2726</f>
        <v>210.242514001719</v>
      </c>
      <c r="M2727" s="38" t="n">
        <f aca="false">Sens!$M$2705-Sens!$M$2724+Sens!$M$2725+Sens!$M$2726</f>
        <v>230.743563113854</v>
      </c>
      <c r="N2727" s="38" t="n">
        <f aca="false">Q!$N$36</f>
        <v>42.536</v>
      </c>
      <c r="O2727" s="38" t="n">
        <f aca="false">Q!$O$36</f>
        <v>54.775</v>
      </c>
    </row>
    <row r="2728" customFormat="false" ht="15" hidden="false" customHeight="false" outlineLevel="0" collapsed="false">
      <c r="A2728" s="5" t="s">
        <v>508</v>
      </c>
      <c r="B2728" s="0" t="s">
        <v>73</v>
      </c>
      <c r="C2728" s="38" t="n">
        <f aca="false">Q!$D$37</f>
        <v>9.265</v>
      </c>
      <c r="D2728" s="38" t="n">
        <f aca="false">Q!$E$37</f>
        <v>19.087</v>
      </c>
      <c r="E2728" s="38" t="n">
        <f aca="false">Q!$P$37</f>
        <v>27.759</v>
      </c>
      <c r="F2728" s="38" t="n">
        <f aca="false">Sens!$F$2727*tax</f>
        <v>10.2803157750071</v>
      </c>
      <c r="G2728" s="38" t="n">
        <f aca="false">Sens!$E$2728+Sens!$F$2728</f>
        <v>38.0393157750071</v>
      </c>
      <c r="H2728" s="38" t="n">
        <f aca="false">Sens!$H$2727*tax</f>
        <v>22.8790458630976</v>
      </c>
      <c r="I2728" s="38" t="n">
        <f aca="false">Sens!$I$2727*tax</f>
        <v>26.6857450232387</v>
      </c>
      <c r="J2728" s="38" t="n">
        <f aca="false">Sens!$J$2727*tax</f>
        <v>30.1596079771696</v>
      </c>
      <c r="K2728" s="38" t="n">
        <f aca="false">Sens!$K$2727*tax</f>
        <v>33.0584892952089</v>
      </c>
      <c r="L2728" s="38" t="n">
        <f aca="false">Sens!$L$2727*tax</f>
        <v>36.4948472686028</v>
      </c>
      <c r="M2728" s="38" t="n">
        <f aca="false">Sens!$M$2727*tax</f>
        <v>40.0535121739672</v>
      </c>
      <c r="N2728" s="38" t="n">
        <f aca="false">Q!$N$37</f>
        <v>7.231</v>
      </c>
      <c r="O2728" s="38" t="n">
        <f aca="false">Q!$O$37</f>
        <v>11.856</v>
      </c>
    </row>
    <row r="2729" customFormat="false" ht="15" hidden="false" customHeight="false" outlineLevel="0" collapsed="false">
      <c r="A2729" s="3" t="s">
        <v>509</v>
      </c>
      <c r="B2729" s="8" t="s">
        <v>73</v>
      </c>
      <c r="C2729" s="38" t="n">
        <f aca="false">Q!$D$38</f>
        <v>59.248</v>
      </c>
      <c r="D2729" s="38" t="n">
        <f aca="false">Q!$E$38</f>
        <v>77.67</v>
      </c>
      <c r="E2729" s="38" t="n">
        <f aca="false">Q!$P$38</f>
        <v>92.902</v>
      </c>
      <c r="F2729" s="38" t="n">
        <f aca="false">Sens!$F$2727-Sens!$F$2728</f>
        <v>48.9433718146785</v>
      </c>
      <c r="G2729" s="38" t="n">
        <f aca="false">Sens!$E$2729+Sens!$F$2729</f>
        <v>141.845371814679</v>
      </c>
      <c r="H2729" s="38" t="n">
        <f aca="false">Sens!$H$2727-Sens!$H$2728</f>
        <v>108.924440936436</v>
      </c>
      <c r="I2729" s="38" t="n">
        <f aca="false">Sens!$I$2727-Sens!$I$2728</f>
        <v>127.047686998036</v>
      </c>
      <c r="J2729" s="38" t="n">
        <f aca="false">Sens!$J$2727-Sens!$J$2728</f>
        <v>143.586339108395</v>
      </c>
      <c r="K2729" s="38" t="n">
        <f aca="false">Sens!$K$2727-Sens!$K$2728</f>
        <v>157.387571414932</v>
      </c>
      <c r="L2729" s="38" t="n">
        <f aca="false">Sens!$L$2727-Sens!$L$2728</f>
        <v>173.747666733116</v>
      </c>
      <c r="M2729" s="38" t="n">
        <f aca="false">Sens!$M$2727-Sens!$M$2728</f>
        <v>190.690050939887</v>
      </c>
      <c r="N2729" s="38" t="n">
        <f aca="false">Q!$N$38</f>
        <v>35.291</v>
      </c>
      <c r="O2729" s="38" t="n">
        <f aca="false">Q!$O$38</f>
        <v>42.379</v>
      </c>
    </row>
    <row r="2730" customFormat="false" ht="17.15" hidden="false" customHeight="false" outlineLevel="0" collapsed="false">
      <c r="A2730" s="5" t="s">
        <v>512</v>
      </c>
      <c r="B2730" s="5" t="s">
        <v>33</v>
      </c>
      <c r="C2730" s="22" t="n">
        <f aca="false">Q!$D$41</f>
        <v>10.721</v>
      </c>
      <c r="D2730" s="22" t="n">
        <f aca="false">Q!$E$41</f>
        <v>10.827</v>
      </c>
      <c r="E2730" s="22" t="n">
        <f aca="false">(Q!$L$41+Q!$M$41)/2</f>
        <v>10.8885</v>
      </c>
      <c r="F2730" s="22" t="n">
        <f aca="false">Sens!$G$2730</f>
        <v>10.924806</v>
      </c>
      <c r="G2730" s="22" t="n">
        <f aca="false">Q!$M$41*(1+sh_g*0.25)</f>
        <v>10.924806</v>
      </c>
      <c r="H2730" s="22" t="n">
        <f aca="false">Sens!$G$2730*(1+sh_g)</f>
        <v>11.012204448</v>
      </c>
      <c r="I2730" s="22" t="n">
        <f aca="false">Sens!$H$2730*(1+sh_g)</f>
        <v>11.100302083584</v>
      </c>
      <c r="J2730" s="22" t="n">
        <f aca="false">Sens!$I$2730*(1+sh_g)</f>
        <v>11.1891045002527</v>
      </c>
      <c r="K2730" s="22" t="n">
        <f aca="false">Sens!$J$2730*(1+sh_g)</f>
        <v>11.2786173362547</v>
      </c>
      <c r="L2730" s="22" t="n">
        <f aca="false">Sens!$K$2730*(1+sh_g)</f>
        <v>11.3688462749447</v>
      </c>
      <c r="M2730" s="22" t="n">
        <f aca="false">Sens!$L$2730*(1+sh_g)</f>
        <v>11.4597970451443</v>
      </c>
      <c r="P2730" s="5" t="s">
        <v>705</v>
      </c>
    </row>
    <row r="2731" customFormat="false" ht="17.15" hidden="false" customHeight="false" outlineLevel="0" collapsed="false">
      <c r="A2731" s="42" t="s">
        <v>706</v>
      </c>
      <c r="B2731" s="13" t="s">
        <v>27</v>
      </c>
      <c r="C2731" s="43" t="n">
        <f aca="false">Sens!$C$2729/Sens!$C$2730</f>
        <v>5.52635015390355</v>
      </c>
      <c r="D2731" s="43" t="n">
        <f aca="false">Sens!$D$2729/Sens!$D$2730</f>
        <v>7.1737323358271</v>
      </c>
      <c r="E2731" s="43" t="n">
        <f aca="false">Sens!$E$2729/Sens!$E$2730</f>
        <v>8.53212104513937</v>
      </c>
      <c r="F2731" s="13"/>
      <c r="G2731" s="43" t="n">
        <f aca="false">Sens!$G$2729/Sens!$G$2730</f>
        <v>12.9837886196495</v>
      </c>
      <c r="H2731" s="43" t="n">
        <f aca="false">Sens!$H$2729/Sens!$H$2730</f>
        <v>9.89124761084672</v>
      </c>
      <c r="I2731" s="43" t="n">
        <f aca="false">Sens!$I$2729/Sens!$I$2730</f>
        <v>11.4454260831265</v>
      </c>
      <c r="J2731" s="43" t="n">
        <f aca="false">Sens!$J$2729/Sens!$J$2730</f>
        <v>12.8326926524954</v>
      </c>
      <c r="K2731" s="43" t="n">
        <f aca="false">Sens!$K$2729/Sens!$K$2730</f>
        <v>13.9545093802425</v>
      </c>
      <c r="L2731" s="43" t="n">
        <f aca="false">Sens!$L$2729/Sens!$L$2730</f>
        <v>15.2827879391799</v>
      </c>
      <c r="M2731" s="43" t="n">
        <f aca="false">Sens!$M$2729/Sens!$M$2730</f>
        <v>16.6399151912281</v>
      </c>
      <c r="N2731" s="13"/>
      <c r="O2731" s="13"/>
    </row>
    <row r="2732" customFormat="false" ht="17.15" hidden="false" customHeight="false" outlineLevel="0" collapsed="false">
      <c r="A2732" s="0" t="s">
        <v>707</v>
      </c>
      <c r="B2732" s="0" t="s">
        <v>27</v>
      </c>
      <c r="C2732" s="30" t="n">
        <f aca="false">(Sens!$C$2729-Sens!$C$2726*(1-tax))/Sens!$C$2730</f>
        <v>5.33926775917445</v>
      </c>
      <c r="D2732" s="30" t="n">
        <f aca="false">(Sens!$D$2729-Sens!$D$2726*(1-tax))/Sens!$D$2730</f>
        <v>5.67691812755503</v>
      </c>
      <c r="E2732" s="30" t="n">
        <f aca="false">(Sens!$E$2729-Sens!$E$2726*(1-tax))/Sens!$E$2730</f>
        <v>3.10602057006846</v>
      </c>
      <c r="G2732" s="30" t="n">
        <f aca="false">(Sens!$G$2729-Sens!$G$2726*(1-tax))/Sens!$G$2730</f>
        <v>7.57572050175252</v>
      </c>
      <c r="H2732" s="30" t="n">
        <f aca="false">(Sens!$H$2729-Sens!$H$2726*(1-tax))/Sens!$H$2730</f>
        <v>9.89124761084672</v>
      </c>
      <c r="I2732" s="30" t="n">
        <f aca="false">(Sens!$I$2729-Sens!$I$2726*(1-tax))/Sens!$I$2730</f>
        <v>11.4454260831265</v>
      </c>
      <c r="J2732" s="30" t="n">
        <f aca="false">(Sens!$J$2729-Sens!$J$2726*(1-tax))/Sens!$J$2730</f>
        <v>12.8326926524954</v>
      </c>
      <c r="K2732" s="30" t="n">
        <f aca="false">(Sens!$K$2729-Sens!$K$2726*(1-tax))/Sens!$K$2730</f>
        <v>13.9545093802425</v>
      </c>
      <c r="L2732" s="30" t="n">
        <f aca="false">(Sens!$L$2729-Sens!$L$2726*(1-tax))/Sens!$L$2730</f>
        <v>15.2827879391799</v>
      </c>
      <c r="M2732" s="30" t="n">
        <f aca="false">(Sens!$M$2729-Sens!$M$2726*(1-tax))/Sens!$M$2730</f>
        <v>16.6399151912281</v>
      </c>
      <c r="P2732" s="5" t="s">
        <v>708</v>
      </c>
    </row>
    <row r="2733" customFormat="false" ht="17.15" hidden="false" customHeight="false" outlineLevel="0" collapsed="false">
      <c r="A2733" s="0" t="s">
        <v>709</v>
      </c>
      <c r="B2733" s="0" t="s">
        <v>52</v>
      </c>
      <c r="H2733" s="12" t="n">
        <f aca="false">Sens!$H$2731/Sens!$G$2731-1</f>
        <v>-0.238184793313915</v>
      </c>
      <c r="I2733" s="12" t="n">
        <f aca="false">Sens!$I$2731/Sens!$H$2731-1</f>
        <v>0.157126636944718</v>
      </c>
      <c r="J2733" s="12" t="n">
        <f aca="false">Sens!$J$2731/Sens!$I$2731-1</f>
        <v>0.121207070780353</v>
      </c>
      <c r="K2733" s="12" t="n">
        <f aca="false">Sens!$K$2731/Sens!$J$2731-1</f>
        <v>0.0874186546912263</v>
      </c>
      <c r="L2733" s="12" t="n">
        <f aca="false">Sens!$L$2731/Sens!$K$2731-1</f>
        <v>0.0951863317257207</v>
      </c>
      <c r="M2733" s="12" t="n">
        <f aca="false">Sens!$M$2731/Sens!$L$2731-1</f>
        <v>0.0888010261903132</v>
      </c>
    </row>
    <row r="2736" customFormat="false" ht="19.4" hidden="false" customHeight="false" outlineLevel="0" collapsed="false">
      <c r="A2736" s="31" t="s">
        <v>1103</v>
      </c>
    </row>
    <row r="2737" customFormat="false" ht="17.15" hidden="false" customHeight="false" outlineLevel="0" collapsed="false">
      <c r="A2737" s="6" t="s">
        <v>16</v>
      </c>
      <c r="B2737" s="6" t="s">
        <v>17</v>
      </c>
      <c r="C2737" s="20" t="s">
        <v>457</v>
      </c>
      <c r="D2737" s="20" t="s">
        <v>458</v>
      </c>
      <c r="E2737" s="20" t="s">
        <v>540</v>
      </c>
      <c r="F2737" s="20" t="s">
        <v>541</v>
      </c>
      <c r="G2737" s="20" t="s">
        <v>542</v>
      </c>
      <c r="H2737" s="20" t="s">
        <v>543</v>
      </c>
      <c r="I2737" s="20" t="s">
        <v>544</v>
      </c>
      <c r="J2737" s="20" t="s">
        <v>545</v>
      </c>
      <c r="K2737" s="20" t="s">
        <v>546</v>
      </c>
      <c r="L2737" s="20" t="s">
        <v>547</v>
      </c>
      <c r="M2737" s="20" t="s">
        <v>548</v>
      </c>
      <c r="N2737" s="20" t="s">
        <v>549</v>
      </c>
      <c r="O2737" s="20" t="s">
        <v>550</v>
      </c>
      <c r="P2737" s="6" t="s">
        <v>23</v>
      </c>
      <c r="R2737" s="20" t="n">
        <v>2023</v>
      </c>
      <c r="S2737" s="20" t="n">
        <v>2024</v>
      </c>
      <c r="T2737" s="20" t="n">
        <v>2025</v>
      </c>
      <c r="U2737" s="20" t="n">
        <v>2026</v>
      </c>
      <c r="V2737" s="20" t="n">
        <v>2027</v>
      </c>
      <c r="W2737" s="20" t="n">
        <v>2028</v>
      </c>
      <c r="X2737" s="20" t="n">
        <v>2029</v>
      </c>
      <c r="Y2737" s="20" t="n">
        <v>2030</v>
      </c>
      <c r="Z2737" s="20" t="n">
        <v>2031</v>
      </c>
      <c r="AA2737" s="20" t="n">
        <v>2032</v>
      </c>
    </row>
    <row r="2738" customFormat="false" ht="15" hidden="false" customHeight="false" outlineLevel="0" collapsed="false">
      <c r="A2738" s="5" t="s">
        <v>509</v>
      </c>
      <c r="B2738" s="0" t="s">
        <v>73</v>
      </c>
      <c r="C2738" s="38" t="n">
        <f aca="false">Sens!$C$2729</f>
        <v>59.248</v>
      </c>
      <c r="D2738" s="38" t="n">
        <f aca="false">Sens!$D$2729</f>
        <v>77.67</v>
      </c>
      <c r="E2738" s="38" t="n">
        <f aca="false">Sens!$E$2729</f>
        <v>92.902</v>
      </c>
      <c r="F2738" s="38" t="n">
        <f aca="false">Sens!$F$2729</f>
        <v>48.9433718146785</v>
      </c>
      <c r="G2738" s="38" t="n">
        <f aca="false">Sens!$G$2729</f>
        <v>141.845371814679</v>
      </c>
      <c r="H2738" s="38" t="n">
        <f aca="false">Sens!$H$2729</f>
        <v>108.924440936436</v>
      </c>
      <c r="I2738" s="38" t="n">
        <f aca="false">Sens!$I$2729</f>
        <v>127.047686998036</v>
      </c>
      <c r="J2738" s="38" t="n">
        <f aca="false">Sens!$J$2729</f>
        <v>143.586339108395</v>
      </c>
      <c r="K2738" s="38" t="n">
        <f aca="false">Sens!$K$2729</f>
        <v>157.387571414932</v>
      </c>
      <c r="L2738" s="38" t="n">
        <f aca="false">Sens!$L$2729</f>
        <v>173.747666733116</v>
      </c>
      <c r="M2738" s="38" t="n">
        <f aca="false">Sens!$M$2729</f>
        <v>190.690050939887</v>
      </c>
    </row>
    <row r="2739" customFormat="false" ht="17.15" hidden="false" customHeight="false" outlineLevel="0" collapsed="false">
      <c r="A2739" s="5" t="s">
        <v>731</v>
      </c>
      <c r="B2739" s="0" t="s">
        <v>73</v>
      </c>
      <c r="C2739" s="38" t="n">
        <f aca="false">Sens!$C$2717</f>
        <v>32.067</v>
      </c>
      <c r="D2739" s="38" t="n">
        <f aca="false">Sens!$D$2717</f>
        <v>41.86</v>
      </c>
      <c r="E2739" s="38" t="n">
        <f aca="false">Sens!$E$2717</f>
        <v>26.703</v>
      </c>
      <c r="F2739" s="38" t="n">
        <f aca="false">Sens!$F$2717</f>
        <v>30.6103857251209</v>
      </c>
      <c r="G2739" s="38" t="n">
        <f aca="false">Sens!$G$2717</f>
        <v>57.3133857251209</v>
      </c>
      <c r="H2739" s="38" t="n">
        <f aca="false">Sens!$H$2717</f>
        <v>87.5107389142407</v>
      </c>
      <c r="I2739" s="38" t="n">
        <f aca="false">Sens!$I$2717</f>
        <v>121.675589496082</v>
      </c>
      <c r="J2739" s="38" t="n">
        <f aca="false">Sens!$J$2717</f>
        <v>155.720410467819</v>
      </c>
      <c r="K2739" s="38" t="n">
        <f aca="false">Sens!$K$2717</f>
        <v>188.770177174354</v>
      </c>
      <c r="L2739" s="38" t="n">
        <f aca="false">Sens!$L$2717</f>
        <v>220.015834761088</v>
      </c>
      <c r="M2739" s="38" t="n">
        <f aca="false">Sens!$M$2717</f>
        <v>252.209607561353</v>
      </c>
    </row>
    <row r="2740" customFormat="false" ht="15" hidden="false" customHeight="false" outlineLevel="0" collapsed="false">
      <c r="A2740" s="5" t="s">
        <v>732</v>
      </c>
      <c r="B2740" s="0" t="s">
        <v>73</v>
      </c>
      <c r="C2740" s="38" t="n">
        <f aca="false">Q!$D$48</f>
        <v>22.011</v>
      </c>
      <c r="D2740" s="38" t="n">
        <f aca="false">Q!$E$48</f>
        <v>19.467</v>
      </c>
      <c r="E2740" s="38" t="n">
        <f aca="false">Q!$P$48</f>
        <v>10.07</v>
      </c>
      <c r="F2740" s="38" t="n">
        <f aca="false">sbc_r*Sens!$F$2661</f>
        <v>11.2170714500462</v>
      </c>
      <c r="G2740" s="38" t="n">
        <f aca="false">Sens!$E$2740+Sens!$F$2740</f>
        <v>21.2870714500462</v>
      </c>
      <c r="H2740" s="38" t="n">
        <f aca="false">sbc_r*Sens!$H$2661</f>
        <v>24.1492455506699</v>
      </c>
      <c r="I2740" s="38" t="n">
        <f aca="false">sbc_r*Sens!$I$2661</f>
        <v>27.5497875746311</v>
      </c>
      <c r="J2740" s="38" t="n">
        <f aca="false">sbc_r*Sens!$J$2661</f>
        <v>30.6765185683111</v>
      </c>
      <c r="K2740" s="38" t="n">
        <f aca="false">sbc_r*Sens!$K$2661</f>
        <v>33.3847408269857</v>
      </c>
      <c r="L2740" s="38" t="n">
        <f aca="false">sbc_r*Sens!$L$2661</f>
        <v>36.2050834478311</v>
      </c>
      <c r="M2740" s="38" t="n">
        <f aca="false">sbc_r*Sens!$M$2661</f>
        <v>39.1452640115623</v>
      </c>
    </row>
    <row r="2741" customFormat="false" ht="17.15" hidden="false" customHeight="false" outlineLevel="0" collapsed="false">
      <c r="A2741" s="5" t="s">
        <v>733</v>
      </c>
      <c r="B2741" s="0" t="s">
        <v>73</v>
      </c>
      <c r="C2741" s="38" t="n">
        <f aca="false">Q!$D$44-Sens!$C$2738-Sens!$C$2739-Sens!$C$2740</f>
        <v>2.551</v>
      </c>
      <c r="D2741" s="38" t="n">
        <f aca="false">Q!$E$44-Sens!$D$2738-Sens!$D$2739-Sens!$D$2740</f>
        <v>0.51700000000001</v>
      </c>
      <c r="E2741" s="38" t="n">
        <f aca="false">Q!$P$44-Sens!$E$2738-Sens!$E$2739-Sens!$E$2740</f>
        <v>-58.256</v>
      </c>
      <c r="F2741" s="38" t="n">
        <f aca="false">wc_2h26+oth_r*Sens!$F$2661</f>
        <v>7.34599241893378</v>
      </c>
      <c r="G2741" s="38" t="n">
        <f aca="false">Sens!$E$2741+Sens!$F$2741</f>
        <v>-50.9100075810662</v>
      </c>
      <c r="H2741" s="38" t="n">
        <f aca="false">oth_r*Sens!$H$2661</f>
        <v>11.6234967595308</v>
      </c>
      <c r="I2741" s="38" t="n">
        <f aca="false">oth_r*Sens!$I$2661</f>
        <v>13.260243096522</v>
      </c>
      <c r="J2741" s="38" t="n">
        <f aca="false">oth_r*Sens!$J$2661</f>
        <v>14.7651989137424</v>
      </c>
      <c r="K2741" s="38" t="n">
        <f aca="false">oth_r*Sens!$K$2661</f>
        <v>16.0687184204592</v>
      </c>
      <c r="L2741" s="38" t="n">
        <f aca="false">oth_r*Sens!$L$2661</f>
        <v>17.4262036158199</v>
      </c>
      <c r="M2741" s="38" t="n">
        <f aca="false">oth_r*Sens!$M$2661</f>
        <v>18.8413691199868</v>
      </c>
      <c r="P2741" s="8" t="s">
        <v>734</v>
      </c>
    </row>
    <row r="2742" customFormat="false" ht="15" hidden="false" customHeight="false" outlineLevel="0" collapsed="false">
      <c r="A2742" s="3" t="s">
        <v>515</v>
      </c>
      <c r="B2742" s="8" t="s">
        <v>73</v>
      </c>
      <c r="C2742" s="38" t="n">
        <f aca="false">Q!$D$44</f>
        <v>115.877</v>
      </c>
      <c r="D2742" s="38" t="n">
        <f aca="false">Q!$E$44</f>
        <v>139.514</v>
      </c>
      <c r="E2742" s="38" t="n">
        <f aca="false">Q!$P$44</f>
        <v>71.419</v>
      </c>
      <c r="F2742" s="38" t="n">
        <f aca="false">Sens!$F$2738+Sens!$F$2739+Sens!$F$2740+Sens!$F$2741</f>
        <v>98.1168214087795</v>
      </c>
      <c r="G2742" s="38" t="n">
        <f aca="false">Sens!$E$2742+Sens!$F$2742</f>
        <v>169.535821408779</v>
      </c>
      <c r="H2742" s="38" t="n">
        <f aca="false">Sens!$H$2738+Sens!$H$2739+Sens!$H$2740+Sens!$H$2741</f>
        <v>232.207922160877</v>
      </c>
      <c r="I2742" s="38" t="n">
        <f aca="false">Sens!$I$2738+Sens!$I$2739+Sens!$I$2740+Sens!$I$2741</f>
        <v>289.533307165271</v>
      </c>
      <c r="J2742" s="38" t="n">
        <f aca="false">Sens!$J$2738+Sens!$J$2739+Sens!$J$2740+Sens!$J$2741</f>
        <v>344.748467058268</v>
      </c>
      <c r="K2742" s="38" t="n">
        <f aca="false">Sens!$K$2738+Sens!$K$2739+Sens!$K$2740+Sens!$K$2741</f>
        <v>395.611207836731</v>
      </c>
      <c r="L2742" s="38" t="n">
        <f aca="false">Sens!$L$2738+Sens!$L$2739+Sens!$L$2740+Sens!$L$2741</f>
        <v>447.394788557855</v>
      </c>
      <c r="M2742" s="38" t="n">
        <f aca="false">Sens!$M$2738+Sens!$M$2739+Sens!$M$2740+Sens!$M$2741</f>
        <v>500.886291632789</v>
      </c>
    </row>
    <row r="2743" customFormat="false" ht="17.15" hidden="false" customHeight="false" outlineLevel="0" collapsed="false">
      <c r="A2743" s="5" t="s">
        <v>735</v>
      </c>
      <c r="B2743" s="0" t="s">
        <v>73</v>
      </c>
      <c r="C2743" s="38" t="n">
        <f aca="false">Sens!$C$2630</f>
        <v>25.2781053077374</v>
      </c>
      <c r="D2743" s="38" t="n">
        <f aca="false">Sens!$D$2630</f>
        <v>69.5686316310026</v>
      </c>
      <c r="E2743" s="38" t="n">
        <f aca="false">Sens!$E$2630</f>
        <v>64.1899206485108</v>
      </c>
      <c r="F2743" s="38" t="n">
        <f aca="false">Sens!$F$2630</f>
        <v>96.2481299895</v>
      </c>
      <c r="G2743" s="38" t="n">
        <f aca="false">Sens!$G$2630</f>
        <v>160.438050638011</v>
      </c>
      <c r="H2743" s="38" t="n">
        <f aca="false">Sens!$H$2630</f>
        <v>198.57136494475</v>
      </c>
      <c r="I2743" s="38" t="n">
        <f aca="false">Sens!$I$2630</f>
        <v>204.6464699105</v>
      </c>
      <c r="J2743" s="38" t="n">
        <f aca="false">Sens!$J$2630</f>
        <v>209.8832381105</v>
      </c>
      <c r="K2743" s="38" t="n">
        <f aca="false">Sens!$K$2630</f>
        <v>215.1200063105</v>
      </c>
      <c r="L2743" s="38" t="n">
        <f aca="false">Sens!$L$2630</f>
        <v>251.7773837105</v>
      </c>
      <c r="M2743" s="38" t="n">
        <f aca="false">Sens!$M$2630</f>
        <v>311.87584476575</v>
      </c>
    </row>
    <row r="2744" customFormat="false" ht="17.15" hidden="false" customHeight="false" outlineLevel="0" collapsed="false">
      <c r="A2744" s="5" t="s">
        <v>736</v>
      </c>
      <c r="B2744" s="0" t="s">
        <v>73</v>
      </c>
      <c r="C2744" s="38" t="n">
        <f aca="false">cx_awso*Sens!$C$2659</f>
        <v>21.0469989286053</v>
      </c>
      <c r="D2744" s="38" t="n">
        <f aca="false">cx_awso*Sens!$D$2659</f>
        <v>24.0042459822698</v>
      </c>
      <c r="E2744" s="38" t="n">
        <f aca="false">cx_awso*Sens!$E$2659</f>
        <v>14.261729404886</v>
      </c>
      <c r="F2744" s="38" t="n">
        <f aca="false">cx_awso*Sens!$F$2659</f>
        <v>15.7190020837331</v>
      </c>
      <c r="G2744" s="38" t="n">
        <f aca="false">Sens!$E$2744+Sens!$F$2744</f>
        <v>29.9807314886191</v>
      </c>
      <c r="H2744" s="38" t="n">
        <f aca="false">cx_awso*Sens!$H$2659</f>
        <v>35.9538566674637</v>
      </c>
      <c r="I2744" s="38" t="n">
        <f aca="false">cx_awso*Sens!$I$2659</f>
        <v>41.3285300572027</v>
      </c>
      <c r="J2744" s="38" t="n">
        <f aca="false">cx_awso*Sens!$J$2659</f>
        <v>45.4508048353269</v>
      </c>
      <c r="K2744" s="38" t="n">
        <f aca="false">cx_awso*Sens!$K$2659</f>
        <v>47.7233450770933</v>
      </c>
      <c r="L2744" s="38" t="n">
        <f aca="false">cx_awso*Sens!$L$2659</f>
        <v>50.1095123309479</v>
      </c>
      <c r="M2744" s="38" t="n">
        <f aca="false">cx_awso*Sens!$M$2659</f>
        <v>52.6149879474953</v>
      </c>
    </row>
    <row r="2745" customFormat="false" ht="17.15" hidden="false" customHeight="false" outlineLevel="0" collapsed="false">
      <c r="A2745" s="5" t="s">
        <v>737</v>
      </c>
      <c r="B2745" s="0" t="s">
        <v>73</v>
      </c>
      <c r="C2745" s="38" t="n">
        <f aca="false">Q!$D$46-Sens!$C$2743-Sens!$C$2744</f>
        <v>31.3328957636573</v>
      </c>
      <c r="D2745" s="38" t="n">
        <f aca="false">Q!$E$46-Sens!$D$2743-Sens!$D$2744</f>
        <v>34.7471223867276</v>
      </c>
      <c r="E2745" s="38" t="n">
        <f aca="false">Q!$P$46-Sens!$E$2743-Sens!$E$2744</f>
        <v>17.8583499466032</v>
      </c>
      <c r="F2745" s="38" t="n">
        <f aca="false">cx_rt*Sens!$F$2594</f>
        <v>21.0855744229195</v>
      </c>
      <c r="G2745" s="38" t="n">
        <f aca="false">Sens!$E$2745+Sens!$F$2745</f>
        <v>38.9439243695228</v>
      </c>
      <c r="H2745" s="38" t="n">
        <f aca="false">cx_rt*Sens!$H$2594</f>
        <v>43.1200434029767</v>
      </c>
      <c r="I2745" s="38" t="n">
        <f aca="false">cx_rt*Sens!$I$2594</f>
        <v>47.1583152318763</v>
      </c>
      <c r="J2745" s="38" t="n">
        <f aca="false">cx_rt*Sens!$J$2594</f>
        <v>50.9060281137911</v>
      </c>
      <c r="K2745" s="38" t="n">
        <f aca="false">cx_rt*Sens!$K$2594</f>
        <v>54.2035645673053</v>
      </c>
      <c r="L2745" s="38" t="n">
        <f aca="false">cx_rt*Sens!$L$2594</f>
        <v>57.7318979121519</v>
      </c>
      <c r="M2745" s="38" t="n">
        <f aca="false">cx_rt*Sens!$M$2594</f>
        <v>61.5084196557756</v>
      </c>
    </row>
    <row r="2746" customFormat="false" ht="15" hidden="false" customHeight="false" outlineLevel="0" collapsed="false">
      <c r="A2746" s="3" t="s">
        <v>738</v>
      </c>
      <c r="B2746" s="8" t="s">
        <v>73</v>
      </c>
      <c r="C2746" s="38" t="n">
        <f aca="false">Q!$D$46</f>
        <v>77.658</v>
      </c>
      <c r="D2746" s="38" t="n">
        <f aca="false">Q!$E$46</f>
        <v>128.32</v>
      </c>
      <c r="E2746" s="38" t="n">
        <f aca="false">Q!$P$46</f>
        <v>96.31</v>
      </c>
      <c r="F2746" s="38" t="n">
        <f aca="false">Sens!$F$2743+Sens!$F$2744+Sens!$F$2745</f>
        <v>133.052706496153</v>
      </c>
      <c r="G2746" s="38" t="n">
        <f aca="false">Sens!$E$2746+Sens!$F$2746</f>
        <v>229.362706496153</v>
      </c>
      <c r="H2746" s="38" t="n">
        <f aca="false">Sens!$H$2743+Sens!$H$2744+Sens!$H$2745</f>
        <v>277.645265015191</v>
      </c>
      <c r="I2746" s="38" t="n">
        <f aca="false">Sens!$I$2743+Sens!$I$2744+Sens!$I$2745</f>
        <v>293.133315199579</v>
      </c>
      <c r="J2746" s="38" t="n">
        <f aca="false">Sens!$J$2743+Sens!$J$2744+Sens!$J$2745</f>
        <v>306.240071059618</v>
      </c>
      <c r="K2746" s="38" t="n">
        <f aca="false">Sens!$K$2743+Sens!$K$2744+Sens!$K$2745</f>
        <v>317.046915954899</v>
      </c>
      <c r="L2746" s="38" t="n">
        <f aca="false">Sens!$L$2743+Sens!$L$2744+Sens!$L$2745</f>
        <v>359.6187939536</v>
      </c>
      <c r="M2746" s="38" t="n">
        <f aca="false">Sens!$M$2743+Sens!$M$2744+Sens!$M$2745</f>
        <v>425.999252369021</v>
      </c>
    </row>
    <row r="2747" customFormat="false" ht="17.15" hidden="false" customHeight="false" outlineLevel="0" collapsed="false">
      <c r="A2747" s="5" t="s">
        <v>523</v>
      </c>
      <c r="B2747" s="0" t="s">
        <v>73</v>
      </c>
      <c r="C2747" s="38" t="n">
        <f aca="false">Q!$D$50</f>
        <v>2.043</v>
      </c>
      <c r="D2747" s="38" t="n">
        <f aca="false">Q!$E$50</f>
        <v>1.557</v>
      </c>
      <c r="E2747" s="38" t="n">
        <f aca="false">lease_pr/2</f>
        <v>0.8</v>
      </c>
      <c r="F2747" s="38" t="n">
        <f aca="false">lease_pr/2</f>
        <v>0.8</v>
      </c>
      <c r="G2747" s="38" t="n">
        <f aca="false">Sens!$E$2747+Sens!$F$2747</f>
        <v>1.6</v>
      </c>
      <c r="H2747" s="38" t="n">
        <f aca="false">lease_pr</f>
        <v>1.6</v>
      </c>
      <c r="I2747" s="38" t="n">
        <f aca="false">lease_pr</f>
        <v>1.6</v>
      </c>
      <c r="J2747" s="38" t="n">
        <f aca="false">lease_pr</f>
        <v>1.6</v>
      </c>
      <c r="K2747" s="38" t="n">
        <f aca="false">lease_pr</f>
        <v>1.6</v>
      </c>
      <c r="L2747" s="38" t="n">
        <f aca="false">lease_pr</f>
        <v>1.6</v>
      </c>
      <c r="M2747" s="38" t="n">
        <f aca="false">lease_pr</f>
        <v>1.6</v>
      </c>
      <c r="P2747" s="8" t="s">
        <v>739</v>
      </c>
    </row>
    <row r="2748" customFormat="false" ht="15" hidden="false" customHeight="false" outlineLevel="0" collapsed="false">
      <c r="A2748" s="46" t="s">
        <v>740</v>
      </c>
      <c r="B2748" s="13" t="s">
        <v>73</v>
      </c>
      <c r="C2748" s="47" t="n">
        <f aca="false">Sens!$C$2742-Sens!$C$2746-Sens!$C$2747</f>
        <v>36.176</v>
      </c>
      <c r="D2748" s="47" t="n">
        <f aca="false">Sens!$D$2742-Sens!$D$2746-Sens!$D$2747</f>
        <v>9.63700000000002</v>
      </c>
      <c r="E2748" s="47" t="n">
        <f aca="false">Sens!$E$2742-Sens!$E$2746-Sens!$E$2747</f>
        <v>-25.691</v>
      </c>
      <c r="F2748" s="47" t="n">
        <f aca="false">Sens!$F$2742-Sens!$F$2746-Sens!$F$2747</f>
        <v>-35.7358850873731</v>
      </c>
      <c r="G2748" s="47" t="n">
        <f aca="false">Sens!$G$2742-Sens!$G$2746-Sens!$G$2747</f>
        <v>-61.4268850873731</v>
      </c>
      <c r="H2748" s="47" t="n">
        <f aca="false">Sens!$H$2742-Sens!$H$2746-Sens!$H$2747</f>
        <v>-47.0373428543134</v>
      </c>
      <c r="I2748" s="47" t="n">
        <f aca="false">Sens!$I$2742-Sens!$I$2746-Sens!$I$2747</f>
        <v>-5.20000803430779</v>
      </c>
      <c r="J2748" s="47" t="n">
        <f aca="false">Sens!$J$2742-Sens!$J$2746-Sens!$J$2747</f>
        <v>36.9083959986495</v>
      </c>
      <c r="K2748" s="47" t="n">
        <f aca="false">Sens!$K$2742-Sens!$K$2746-Sens!$K$2747</f>
        <v>76.9642918818323</v>
      </c>
      <c r="L2748" s="47" t="n">
        <f aca="false">Sens!$L$2742-Sens!$L$2746-Sens!$L$2747</f>
        <v>86.1759946042552</v>
      </c>
      <c r="M2748" s="47" t="n">
        <f aca="false">Sens!$M$2742-Sens!$M$2746-Sens!$M$2747</f>
        <v>73.2870392637676</v>
      </c>
      <c r="N2748" s="13"/>
      <c r="O2748" s="13"/>
    </row>
    <row r="2749" customFormat="false" ht="17.15" hidden="false" customHeight="false" outlineLevel="0" collapsed="false">
      <c r="A2749" s="5" t="s">
        <v>741</v>
      </c>
      <c r="B2749" s="0" t="s">
        <v>73</v>
      </c>
      <c r="C2749" s="38" t="n">
        <f aca="false">dps*Sens!$C$2730</f>
        <v>0</v>
      </c>
      <c r="D2749" s="38" t="n">
        <f aca="false">dps*Sens!$D$2730</f>
        <v>0</v>
      </c>
      <c r="E2749" s="38" t="n">
        <f aca="false">dps*Sens!$E$2730</f>
        <v>0</v>
      </c>
      <c r="F2749" s="38" t="n">
        <f aca="false">0</f>
        <v>0</v>
      </c>
      <c r="G2749" s="38" t="n">
        <f aca="false">dps*Sens!$G$2730</f>
        <v>0</v>
      </c>
      <c r="H2749" s="38" t="n">
        <f aca="false">dps*Sens!$H$2730</f>
        <v>0</v>
      </c>
      <c r="I2749" s="38" t="n">
        <f aca="false">dps*Sens!$I$2730</f>
        <v>0</v>
      </c>
      <c r="J2749" s="38" t="n">
        <f aca="false">dps*Sens!$J$2730</f>
        <v>0</v>
      </c>
      <c r="K2749" s="38" t="n">
        <f aca="false">dps*Sens!$K$2730</f>
        <v>0</v>
      </c>
      <c r="L2749" s="38" t="n">
        <f aca="false">dps*Sens!$L$2730</f>
        <v>0</v>
      </c>
      <c r="M2749" s="38" t="n">
        <f aca="false">dps*Sens!$M$2730</f>
        <v>0</v>
      </c>
      <c r="P2749" s="8" t="s">
        <v>742</v>
      </c>
    </row>
    <row r="2750" customFormat="false" ht="17.15" hidden="false" customHeight="false" outlineLevel="0" collapsed="false">
      <c r="A2750" s="5" t="s">
        <v>743</v>
      </c>
      <c r="B2750" s="0" t="s">
        <v>73</v>
      </c>
      <c r="C2750" s="38" t="n">
        <f aca="false">0</f>
        <v>0</v>
      </c>
      <c r="D2750" s="38" t="n">
        <f aca="false">0</f>
        <v>0</v>
      </c>
      <c r="E2750" s="38" t="n">
        <f aca="false">0</f>
        <v>0</v>
      </c>
      <c r="F2750" s="38" t="n">
        <f aca="false">0</f>
        <v>0</v>
      </c>
      <c r="G2750" s="38" t="n">
        <f aca="false">0</f>
        <v>0</v>
      </c>
      <c r="H2750" s="38" t="n">
        <f aca="false">0</f>
        <v>0</v>
      </c>
      <c r="I2750" s="38" t="n">
        <f aca="false">0</f>
        <v>0</v>
      </c>
      <c r="J2750" s="38" t="n">
        <f aca="false">0</f>
        <v>0</v>
      </c>
      <c r="K2750" s="38" t="n">
        <f aca="false">0</f>
        <v>0</v>
      </c>
      <c r="L2750" s="38" t="n">
        <f aca="false">0</f>
        <v>0</v>
      </c>
      <c r="M2750" s="38" t="n">
        <f aca="false">0</f>
        <v>0</v>
      </c>
      <c r="P2750" s="8" t="s">
        <v>744</v>
      </c>
    </row>
    <row r="2751" customFormat="false" ht="15" hidden="false" customHeight="false" outlineLevel="0" collapsed="false">
      <c r="A2751" s="3" t="s">
        <v>745</v>
      </c>
      <c r="B2751" s="8" t="s">
        <v>73</v>
      </c>
      <c r="C2751" s="38" t="n">
        <f aca="false">Sens!$C$2748-Sens!$C$2749</f>
        <v>36.176</v>
      </c>
      <c r="D2751" s="38" t="n">
        <f aca="false">Sens!$D$2748-Sens!$D$2749</f>
        <v>9.63700000000002</v>
      </c>
      <c r="E2751" s="38" t="n">
        <f aca="false">Sens!$E$2748-Sens!$E$2749</f>
        <v>-25.691</v>
      </c>
      <c r="F2751" s="38" t="n">
        <f aca="false">Sens!$F$2748-Sens!$F$2749</f>
        <v>-35.7358850873731</v>
      </c>
      <c r="G2751" s="38" t="n">
        <f aca="false">Sens!$G$2748-Sens!$G$2749</f>
        <v>-61.4268850873731</v>
      </c>
      <c r="H2751" s="38" t="n">
        <f aca="false">Sens!$H$2748-Sens!$H$2749</f>
        <v>-47.0373428543134</v>
      </c>
      <c r="I2751" s="38" t="n">
        <f aca="false">Sens!$I$2748-Sens!$I$2749</f>
        <v>-5.20000803430779</v>
      </c>
      <c r="J2751" s="38" t="n">
        <f aca="false">Sens!$J$2748-Sens!$J$2749</f>
        <v>36.9083959986495</v>
      </c>
      <c r="K2751" s="38" t="n">
        <f aca="false">Sens!$K$2748-Sens!$K$2749</f>
        <v>76.9642918818323</v>
      </c>
      <c r="L2751" s="38" t="n">
        <f aca="false">Sens!$L$2748-Sens!$L$2749</f>
        <v>86.1759946042552</v>
      </c>
      <c r="M2751" s="38" t="n">
        <f aca="false">Sens!$M$2748-Sens!$M$2749</f>
        <v>73.2870392637676</v>
      </c>
    </row>
    <row r="2752" customFormat="false" ht="17.15" hidden="false" customHeight="false" outlineLevel="0" collapsed="false">
      <c r="A2752" s="5" t="s">
        <v>746</v>
      </c>
      <c r="B2752" s="0" t="s">
        <v>73</v>
      </c>
      <c r="E2752" s="38" t="n">
        <f aca="false">Q!$P$53</f>
        <v>39.767</v>
      </c>
      <c r="F2752" s="38" t="n">
        <f aca="false">inv_2h26</f>
        <v>21.3</v>
      </c>
      <c r="G2752" s="38" t="n">
        <f aca="false">Sens!$E$2752+Sens!$F$2752</f>
        <v>61.067</v>
      </c>
      <c r="H2752" s="41" t="n">
        <v>0</v>
      </c>
      <c r="I2752" s="41" t="n">
        <v>0</v>
      </c>
      <c r="J2752" s="41" t="n">
        <v>0</v>
      </c>
      <c r="K2752" s="41" t="n">
        <v>0</v>
      </c>
      <c r="L2752" s="41" t="n">
        <v>0</v>
      </c>
      <c r="M2752" s="41" t="n">
        <v>0</v>
      </c>
    </row>
    <row r="2753" customFormat="false" ht="17.15" hidden="false" customHeight="false" outlineLevel="0" collapsed="false">
      <c r="A2753" s="5" t="s">
        <v>747</v>
      </c>
      <c r="B2753" s="0" t="s">
        <v>73</v>
      </c>
      <c r="F2753" s="38" t="n">
        <f aca="false">iss_2h26</f>
        <v>29.25</v>
      </c>
      <c r="G2753" s="38" t="n">
        <f aca="false">Sens!$F$2753</f>
        <v>29.25</v>
      </c>
      <c r="H2753" s="41" t="n">
        <v>0</v>
      </c>
      <c r="I2753" s="41" t="n">
        <v>0</v>
      </c>
      <c r="J2753" s="41" t="n">
        <v>0</v>
      </c>
      <c r="K2753" s="41" t="n">
        <v>0</v>
      </c>
      <c r="L2753" s="41" t="n">
        <v>0</v>
      </c>
      <c r="M2753" s="41" t="n">
        <v>0</v>
      </c>
    </row>
    <row r="2754" customFormat="false" ht="17.15" hidden="false" customHeight="false" outlineLevel="0" collapsed="false">
      <c r="A2754" s="5" t="s">
        <v>748</v>
      </c>
      <c r="B2754" s="0" t="s">
        <v>73</v>
      </c>
      <c r="F2754" s="38" t="n">
        <f aca="false">cash_q2</f>
        <v>122.988</v>
      </c>
      <c r="G2754" s="38" t="n">
        <f aca="false">cash_q2</f>
        <v>122.988</v>
      </c>
      <c r="H2754" s="38" t="n">
        <f aca="false">Sens!$G$2757</f>
        <v>95.2021149126269</v>
      </c>
      <c r="I2754" s="38" t="n">
        <f aca="false">Sens!$H$2757</f>
        <v>50</v>
      </c>
      <c r="J2754" s="38" t="n">
        <f aca="false">Sens!$I$2757</f>
        <v>50</v>
      </c>
      <c r="K2754" s="38" t="n">
        <f aca="false">Sens!$J$2757</f>
        <v>86.9083959986495</v>
      </c>
      <c r="L2754" s="38" t="n">
        <f aca="false">Sens!$K$2757</f>
        <v>163.872687880482</v>
      </c>
      <c r="M2754" s="38" t="n">
        <f aca="false">Sens!$L$2757</f>
        <v>250.048682484737</v>
      </c>
    </row>
    <row r="2755" customFormat="false" ht="15" hidden="false" customHeight="false" outlineLevel="0" collapsed="false">
      <c r="A2755" s="5" t="s">
        <v>749</v>
      </c>
      <c r="B2755" s="0" t="s">
        <v>73</v>
      </c>
      <c r="F2755" s="38" t="n">
        <f aca="false">Sens!$F$2754+Sens!$F$2751-Sens!$F$2750-Sens!$F$2752+Sens!$F$2753</f>
        <v>95.2021149126269</v>
      </c>
      <c r="H2755" s="38" t="n">
        <f aca="false">Sens!$H$2754+Sens!$H$2751-Sens!$H$2750-Sens!$H$2752+Sens!$H$2753</f>
        <v>48.1647720583135</v>
      </c>
      <c r="I2755" s="38" t="n">
        <f aca="false">Sens!$I$2754+Sens!$I$2751-Sens!$I$2750-Sens!$I$2752+Sens!$I$2753</f>
        <v>44.7999919656922</v>
      </c>
      <c r="J2755" s="38" t="n">
        <f aca="false">Sens!$J$2754+Sens!$J$2751-Sens!$J$2750-Sens!$J$2752+Sens!$J$2753</f>
        <v>86.9083959986495</v>
      </c>
      <c r="K2755" s="38" t="n">
        <f aca="false">Sens!$K$2754+Sens!$K$2751-Sens!$K$2750-Sens!$K$2752+Sens!$K$2753</f>
        <v>163.872687880482</v>
      </c>
      <c r="L2755" s="38" t="n">
        <f aca="false">Sens!$L$2754+Sens!$L$2751-Sens!$L$2750-Sens!$L$2752+Sens!$L$2753</f>
        <v>250.048682484737</v>
      </c>
      <c r="M2755" s="38" t="n">
        <f aca="false">Sens!$M$2754+Sens!$M$2751-Sens!$M$2750-Sens!$M$2752+Sens!$M$2753</f>
        <v>323.335721748505</v>
      </c>
    </row>
    <row r="2756" customFormat="false" ht="17.15" hidden="false" customHeight="false" outlineLevel="0" collapsed="false">
      <c r="A2756" s="5" t="s">
        <v>750</v>
      </c>
      <c r="B2756" s="0" t="s">
        <v>73</v>
      </c>
      <c r="F2756" s="38" t="n">
        <f aca="false">MAX(0,min_cash-Sens!$F$2755)</f>
        <v>0</v>
      </c>
      <c r="G2756" s="38" t="n">
        <f aca="false">Sens!$F$2756</f>
        <v>0</v>
      </c>
      <c r="H2756" s="38" t="n">
        <f aca="false">MAX(0,min_cash-Sens!$H$2755)</f>
        <v>1.83522794168653</v>
      </c>
      <c r="I2756" s="38" t="n">
        <f aca="false">MAX(0,min_cash-Sens!$I$2755)</f>
        <v>5.20000803430779</v>
      </c>
      <c r="J2756" s="38" t="n">
        <f aca="false">MAX(0,min_cash-Sens!$J$2755)</f>
        <v>0</v>
      </c>
      <c r="K2756" s="38" t="n">
        <f aca="false">MAX(0,min_cash-Sens!$K$2755)</f>
        <v>0</v>
      </c>
      <c r="L2756" s="38" t="n">
        <f aca="false">MAX(0,min_cash-Sens!$L$2755)</f>
        <v>0</v>
      </c>
      <c r="M2756" s="38" t="n">
        <f aca="false">MAX(0,min_cash-Sens!$M$2755)</f>
        <v>0</v>
      </c>
      <c r="P2756" s="5" t="s">
        <v>751</v>
      </c>
    </row>
    <row r="2757" customFormat="false" ht="15" hidden="false" customHeight="false" outlineLevel="0" collapsed="false">
      <c r="A2757" s="5" t="s">
        <v>752</v>
      </c>
      <c r="B2757" s="0" t="s">
        <v>73</v>
      </c>
      <c r="D2757" s="38" t="n">
        <f aca="false">Q!$E$61</f>
        <v>123.029</v>
      </c>
      <c r="E2757" s="38" t="n">
        <f aca="false">Q!$M$61</f>
        <v>122.988</v>
      </c>
      <c r="F2757" s="38" t="n">
        <f aca="false">Sens!$F$2755+Sens!$F$2756</f>
        <v>95.2021149126269</v>
      </c>
      <c r="G2757" s="38" t="n">
        <f aca="false">Sens!$F$2757</f>
        <v>95.2021149126269</v>
      </c>
      <c r="H2757" s="38" t="n">
        <f aca="false">Sens!$H$2755+Sens!$H$2756</f>
        <v>50</v>
      </c>
      <c r="I2757" s="38" t="n">
        <f aca="false">Sens!$I$2755+Sens!$I$2756</f>
        <v>50</v>
      </c>
      <c r="J2757" s="38" t="n">
        <f aca="false">Sens!$J$2755+Sens!$J$2756</f>
        <v>86.9083959986495</v>
      </c>
      <c r="K2757" s="38" t="n">
        <f aca="false">Sens!$K$2755+Sens!$K$2756</f>
        <v>163.872687880482</v>
      </c>
      <c r="L2757" s="38" t="n">
        <f aca="false">Sens!$L$2755+Sens!$L$2756</f>
        <v>250.048682484737</v>
      </c>
      <c r="M2757" s="38" t="n">
        <f aca="false">Sens!$M$2755+Sens!$M$2756</f>
        <v>323.335721748505</v>
      </c>
    </row>
    <row r="2758" customFormat="false" ht="15" hidden="false" customHeight="false" outlineLevel="0" collapsed="false">
      <c r="A2758" s="5" t="s">
        <v>753</v>
      </c>
      <c r="B2758" s="0" t="s">
        <v>73</v>
      </c>
      <c r="D2758" s="38" t="n">
        <f aca="false">Q!$E$62</f>
        <v>68.836</v>
      </c>
      <c r="E2758" s="38" t="n">
        <f aca="false">Q!$M$62</f>
        <v>132.995</v>
      </c>
      <c r="F2758" s="38" t="n">
        <f aca="false">debt_q2+Sens!$F$2753+Sens!$F$2756</f>
        <v>162.245</v>
      </c>
      <c r="G2758" s="38" t="n">
        <f aca="false">Sens!$F$2758</f>
        <v>162.245</v>
      </c>
      <c r="H2758" s="38" t="n">
        <f aca="false">Sens!$G$2758+Sens!$H$2756</f>
        <v>164.080227941687</v>
      </c>
      <c r="I2758" s="38" t="n">
        <f aca="false">Sens!$H$2758+Sens!$I$2756</f>
        <v>169.280235975994</v>
      </c>
      <c r="J2758" s="38" t="n">
        <f aca="false">Sens!$I$2758+Sens!$J$2756</f>
        <v>169.280235975994</v>
      </c>
      <c r="K2758" s="38" t="n">
        <f aca="false">Sens!$J$2758+Sens!$K$2756</f>
        <v>169.280235975994</v>
      </c>
      <c r="L2758" s="38" t="n">
        <f aca="false">Sens!$K$2758+Sens!$L$2756</f>
        <v>169.280235975994</v>
      </c>
      <c r="M2758" s="38" t="n">
        <f aca="false">Sens!$L$2758+Sens!$M$2756</f>
        <v>169.280235975994</v>
      </c>
    </row>
    <row r="2759" customFormat="false" ht="15" hidden="false" customHeight="false" outlineLevel="0" collapsed="false">
      <c r="A2759" s="5" t="s">
        <v>754</v>
      </c>
      <c r="B2759" s="0" t="s">
        <v>73</v>
      </c>
      <c r="D2759" s="38" t="n">
        <f aca="false">Sens!$D$2758-Sens!$D$2757</f>
        <v>-54.193</v>
      </c>
      <c r="E2759" s="38" t="n">
        <f aca="false">Sens!$E$2758-Sens!$E$2757</f>
        <v>10.007</v>
      </c>
      <c r="F2759" s="38" t="n">
        <f aca="false">Sens!$F$2758-Sens!$F$2757</f>
        <v>67.0428850873731</v>
      </c>
      <c r="G2759" s="38" t="n">
        <f aca="false">Sens!$G$2758-Sens!$G$2757</f>
        <v>67.0428850873731</v>
      </c>
      <c r="H2759" s="38" t="n">
        <f aca="false">Sens!$H$2758-Sens!$H$2757</f>
        <v>114.080227941687</v>
      </c>
      <c r="I2759" s="38" t="n">
        <f aca="false">Sens!$I$2758-Sens!$I$2757</f>
        <v>119.280235975994</v>
      </c>
      <c r="J2759" s="38" t="n">
        <f aca="false">Sens!$J$2758-Sens!$J$2757</f>
        <v>82.3718399773448</v>
      </c>
      <c r="K2759" s="38" t="n">
        <f aca="false">Sens!$K$2758-Sens!$K$2757</f>
        <v>5.40754809551251</v>
      </c>
      <c r="L2759" s="38" t="n">
        <f aca="false">Sens!$L$2758-Sens!$L$2757</f>
        <v>-80.7684465087427</v>
      </c>
      <c r="M2759" s="38" t="n">
        <f aca="false">Sens!$M$2758-Sens!$M$2757</f>
        <v>-154.05548577251</v>
      </c>
    </row>
    <row r="2760" customFormat="false" ht="17.15" hidden="false" customHeight="false" outlineLevel="0" collapsed="false">
      <c r="A2760" s="5" t="s">
        <v>755</v>
      </c>
      <c r="B2760" s="0" t="s">
        <v>73</v>
      </c>
      <c r="F2760" s="38" t="n">
        <f aca="false">debt_q2*kd_book*0.5+iss_2h26*kd_new*0.25</f>
        <v>3.24888964316061</v>
      </c>
      <c r="H2760" s="38" t="n">
        <f aca="false">debt_q2*kd_book+(Sens!$G$2758-debt_q2)*kd_new</f>
        <v>7.42354178632123</v>
      </c>
      <c r="I2760" s="38" t="n">
        <f aca="false">debt_q2*kd_book+(Sens!$H$2758-debt_q2)*kd_new</f>
        <v>7.53971171502999</v>
      </c>
      <c r="J2760" s="38" t="n">
        <f aca="false">debt_q2*kd_book+(Sens!$I$2758-debt_q2)*kd_new</f>
        <v>7.86887222360167</v>
      </c>
      <c r="K2760" s="38" t="n">
        <f aca="false">debt_q2*kd_book+(Sens!$J$2758-debt_q2)*kd_new</f>
        <v>7.86887222360167</v>
      </c>
      <c r="L2760" s="38" t="n">
        <f aca="false">debt_q2*kd_book+(Sens!$K$2758-debt_q2)*kd_new</f>
        <v>7.86887222360167</v>
      </c>
      <c r="M2760" s="38" t="n">
        <f aca="false">debt_q2*kd_book+(Sens!$L$2758-debt_q2)*kd_new</f>
        <v>7.86887222360167</v>
      </c>
    </row>
    <row r="2761" customFormat="false" ht="17.15" hidden="false" customHeight="false" outlineLevel="0" collapsed="false">
      <c r="A2761" s="5" t="s">
        <v>756</v>
      </c>
      <c r="B2761" s="0" t="s">
        <v>73</v>
      </c>
      <c r="F2761" s="38" t="n">
        <f aca="false">cash_q2*y_cash*0.5</f>
        <v>2.59</v>
      </c>
      <c r="H2761" s="38" t="n">
        <f aca="false">Sens!$G$2757*y_cash</f>
        <v>4.00971603121774</v>
      </c>
      <c r="I2761" s="38" t="n">
        <f aca="false">Sens!$H$2757*y_cash</f>
        <v>2.10589651022864</v>
      </c>
      <c r="J2761" s="38" t="n">
        <f aca="false">Sens!$I$2757*y_cash</f>
        <v>2.10589651022864</v>
      </c>
      <c r="K2761" s="38" t="n">
        <f aca="false">Sens!$J$2757*y_cash</f>
        <v>3.66040175686249</v>
      </c>
      <c r="L2761" s="38" t="n">
        <f aca="false">Sens!$K$2757*y_cash</f>
        <v>6.90197843058588</v>
      </c>
      <c r="M2761" s="38" t="n">
        <f aca="false">Sens!$L$2757*y_cash</f>
        <v>10.5315329566375</v>
      </c>
    </row>
    <row r="2762" customFormat="false" ht="17.15" hidden="false" customHeight="false" outlineLevel="0" collapsed="false">
      <c r="A2762" s="46" t="s">
        <v>757</v>
      </c>
      <c r="B2762" s="13" t="s">
        <v>73</v>
      </c>
      <c r="C2762" s="13"/>
      <c r="D2762" s="13"/>
      <c r="E2762" s="13"/>
      <c r="F2762" s="13"/>
      <c r="G2762" s="47" t="n">
        <f aca="false">SUM(Sens!$G$2751:$K$2751)</f>
        <v>0.208451904487447</v>
      </c>
      <c r="H2762" s="13"/>
      <c r="I2762" s="13"/>
      <c r="J2762" s="13"/>
      <c r="K2762" s="13"/>
      <c r="L2762" s="13"/>
      <c r="M2762" s="13"/>
      <c r="N2762" s="13"/>
      <c r="O2762" s="13"/>
    </row>
    <row r="2763" customFormat="false" ht="17.15" hidden="false" customHeight="false" outlineLevel="0" collapsed="false">
      <c r="A2763" s="0" t="s">
        <v>724</v>
      </c>
      <c r="B2763" s="0" t="s">
        <v>73</v>
      </c>
      <c r="G2763" s="38" t="n">
        <f aca="false">SUM(Sens!$G$2756:$K$2756)</f>
        <v>7.03523597599433</v>
      </c>
    </row>
    <row r="2766" customFormat="false" ht="19.4" hidden="false" customHeight="false" outlineLevel="0" collapsed="false">
      <c r="A2766" s="31" t="s">
        <v>1104</v>
      </c>
    </row>
    <row r="2767" customFormat="false" ht="17.15" hidden="false" customHeight="false" outlineLevel="0" collapsed="false">
      <c r="A2767" s="6" t="s">
        <v>16</v>
      </c>
      <c r="B2767" s="6" t="s">
        <v>17</v>
      </c>
      <c r="C2767" s="20" t="s">
        <v>457</v>
      </c>
      <c r="D2767" s="20" t="s">
        <v>458</v>
      </c>
      <c r="E2767" s="20" t="s">
        <v>540</v>
      </c>
      <c r="F2767" s="20" t="s">
        <v>541</v>
      </c>
      <c r="G2767" s="20" t="s">
        <v>542</v>
      </c>
      <c r="H2767" s="20" t="s">
        <v>543</v>
      </c>
      <c r="I2767" s="20" t="s">
        <v>544</v>
      </c>
      <c r="J2767" s="20" t="s">
        <v>545</v>
      </c>
      <c r="K2767" s="20" t="s">
        <v>546</v>
      </c>
      <c r="L2767" s="20" t="s">
        <v>547</v>
      </c>
      <c r="M2767" s="20" t="s">
        <v>548</v>
      </c>
      <c r="N2767" s="20" t="s">
        <v>549</v>
      </c>
      <c r="O2767" s="20" t="s">
        <v>550</v>
      </c>
      <c r="P2767" s="6" t="s">
        <v>23</v>
      </c>
      <c r="R2767" s="20" t="n">
        <v>2023</v>
      </c>
      <c r="S2767" s="20" t="n">
        <v>2024</v>
      </c>
      <c r="T2767" s="20" t="n">
        <v>2025</v>
      </c>
      <c r="U2767" s="20" t="n">
        <v>2026</v>
      </c>
      <c r="V2767" s="20" t="n">
        <v>2027</v>
      </c>
      <c r="W2767" s="20" t="n">
        <v>2028</v>
      </c>
      <c r="X2767" s="20" t="n">
        <v>2029</v>
      </c>
      <c r="Y2767" s="20" t="n">
        <v>2030</v>
      </c>
      <c r="Z2767" s="20" t="n">
        <v>2031</v>
      </c>
      <c r="AA2767" s="20" t="n">
        <v>2032</v>
      </c>
    </row>
    <row r="2768" customFormat="false" ht="17.15" hidden="false" customHeight="false" outlineLevel="0" collapsed="false">
      <c r="A2768" s="1" t="s">
        <v>852</v>
      </c>
    </row>
    <row r="2769" customFormat="false" ht="17.15" hidden="false" customHeight="false" outlineLevel="0" collapsed="false">
      <c r="A2769" s="0" t="s">
        <v>853</v>
      </c>
      <c r="B2769" s="0" t="s">
        <v>73</v>
      </c>
      <c r="H2769" s="38" t="n">
        <f aca="false">Sens!$H$2705*(1-tax)</f>
        <v>111.745679363873</v>
      </c>
      <c r="I2769" s="38" t="n">
        <f aca="false">Sens!$I$2705*(1-tax)</f>
        <v>131.538275962766</v>
      </c>
      <c r="J2769" s="38" t="n">
        <f aca="false">Sens!$J$2705*(1-tax)</f>
        <v>148.348951410634</v>
      </c>
      <c r="K2769" s="38" t="n">
        <f aca="false">Sens!$K$2705*(1-tax)</f>
        <v>160.865516527903</v>
      </c>
      <c r="L2769" s="38" t="n">
        <f aca="false">Sens!$L$2705*(1-tax)</f>
        <v>174.546722724778</v>
      </c>
      <c r="M2769" s="38" t="n">
        <f aca="false">Sens!$M$2705*(1-tax)</f>
        <v>188.489586909747</v>
      </c>
    </row>
    <row r="2770" customFormat="false" ht="15" hidden="false" customHeight="false" outlineLevel="0" collapsed="false">
      <c r="A2770" s="5" t="s">
        <v>854</v>
      </c>
      <c r="B2770" s="0" t="s">
        <v>73</v>
      </c>
      <c r="H2770" s="38" t="n">
        <f aca="false">Sens!$H$2717</f>
        <v>87.5107389142407</v>
      </c>
      <c r="I2770" s="38" t="n">
        <f aca="false">Sens!$I$2717</f>
        <v>121.675589496082</v>
      </c>
      <c r="J2770" s="38" t="n">
        <f aca="false">Sens!$J$2717</f>
        <v>155.720410467819</v>
      </c>
      <c r="K2770" s="38" t="n">
        <f aca="false">Sens!$K$2717</f>
        <v>188.770177174354</v>
      </c>
      <c r="L2770" s="38" t="n">
        <f aca="false">Sens!$L$2717</f>
        <v>220.015834761088</v>
      </c>
      <c r="M2770" s="38" t="n">
        <f aca="false">Sens!$M$2717</f>
        <v>252.209607561353</v>
      </c>
    </row>
    <row r="2771" customFormat="false" ht="15" hidden="false" customHeight="false" outlineLevel="0" collapsed="false">
      <c r="A2771" s="5" t="s">
        <v>855</v>
      </c>
      <c r="B2771" s="0" t="s">
        <v>73</v>
      </c>
      <c r="H2771" s="38" t="n">
        <f aca="false">Sens!$H$2746</f>
        <v>277.645265015191</v>
      </c>
      <c r="I2771" s="38" t="n">
        <f aca="false">Sens!$I$2746</f>
        <v>293.133315199579</v>
      </c>
      <c r="J2771" s="38" t="n">
        <f aca="false">Sens!$J$2746</f>
        <v>306.240071059618</v>
      </c>
      <c r="K2771" s="38" t="n">
        <f aca="false">Sens!$K$2746</f>
        <v>317.046915954899</v>
      </c>
      <c r="L2771" s="38" t="n">
        <f aca="false">Sens!$L$2746</f>
        <v>359.6187939536</v>
      </c>
      <c r="M2771" s="38" t="n">
        <f aca="false">Sens!$M$2746</f>
        <v>425.999252369021</v>
      </c>
    </row>
    <row r="2772" customFormat="false" ht="15" hidden="false" customHeight="false" outlineLevel="0" collapsed="false">
      <c r="A2772" s="5" t="s">
        <v>856</v>
      </c>
      <c r="B2772" s="0" t="s">
        <v>73</v>
      </c>
      <c r="H2772" s="38" t="n">
        <f aca="false">Sens!$H$2747</f>
        <v>1.6</v>
      </c>
      <c r="I2772" s="38" t="n">
        <f aca="false">Sens!$I$2747</f>
        <v>1.6</v>
      </c>
      <c r="J2772" s="38" t="n">
        <f aca="false">Sens!$J$2747</f>
        <v>1.6</v>
      </c>
      <c r="K2772" s="38" t="n">
        <f aca="false">Sens!$K$2747</f>
        <v>1.6</v>
      </c>
      <c r="L2772" s="38" t="n">
        <f aca="false">Sens!$L$2747</f>
        <v>1.6</v>
      </c>
      <c r="M2772" s="38" t="n">
        <f aca="false">Sens!$M$2747</f>
        <v>1.6</v>
      </c>
    </row>
    <row r="2773" customFormat="false" ht="15" hidden="false" customHeight="false" outlineLevel="0" collapsed="false">
      <c r="A2773" s="5" t="s">
        <v>857</v>
      </c>
      <c r="B2773" s="0" t="s">
        <v>73</v>
      </c>
      <c r="H2773" s="38" t="n">
        <f aca="false">Sens!$H$2741</f>
        <v>11.6234967595308</v>
      </c>
      <c r="I2773" s="38" t="n">
        <f aca="false">Sens!$I$2741</f>
        <v>13.260243096522</v>
      </c>
      <c r="J2773" s="38" t="n">
        <f aca="false">Sens!$J$2741</f>
        <v>14.7651989137424</v>
      </c>
      <c r="K2773" s="38" t="n">
        <f aca="false">Sens!$K$2741</f>
        <v>16.0687184204592</v>
      </c>
      <c r="L2773" s="38" t="n">
        <f aca="false">Sens!$L$2741</f>
        <v>17.4262036158199</v>
      </c>
      <c r="M2773" s="38" t="n">
        <f aca="false">Sens!$M$2741</f>
        <v>18.8413691199868</v>
      </c>
    </row>
    <row r="2774" customFormat="false" ht="17.15" hidden="false" customHeight="false" outlineLevel="0" collapsed="false">
      <c r="A2774" s="1" t="s">
        <v>858</v>
      </c>
      <c r="B2774" s="8" t="s">
        <v>73</v>
      </c>
      <c r="H2774" s="38" t="n">
        <f aca="false">Sens!$H$2769+Sens!$H$2770-Sens!$H$2771-Sens!$H$2772+Sens!$H$2773</f>
        <v>-68.3653499775461</v>
      </c>
      <c r="I2774" s="38" t="n">
        <f aca="false">Sens!$I$2769+Sens!$I$2770-Sens!$I$2771-Sens!$I$2772+Sens!$I$2773</f>
        <v>-28.2592066442091</v>
      </c>
      <c r="J2774" s="38" t="n">
        <f aca="false">Sens!$J$2769+Sens!$J$2770-Sens!$J$2771-Sens!$J$2772+Sens!$J$2773</f>
        <v>10.9944897325772</v>
      </c>
      <c r="K2774" s="38" t="n">
        <f aca="false">Sens!$K$2769+Sens!$K$2770-Sens!$K$2771-Sens!$K$2772+Sens!$K$2773</f>
        <v>47.0574961678183</v>
      </c>
      <c r="L2774" s="38" t="n">
        <f aca="false">Sens!$L$2769+Sens!$L$2770-Sens!$L$2771-Sens!$L$2772+Sens!$L$2773</f>
        <v>50.7699671480864</v>
      </c>
      <c r="M2774" s="38" t="n">
        <f aca="false">Sens!$M$2769+Sens!$M$2770-Sens!$M$2771-Sens!$M$2772+Sens!$M$2773</f>
        <v>31.9413112220659</v>
      </c>
    </row>
    <row r="2775" customFormat="false" ht="15" hidden="false" customHeight="false" outlineLevel="0" collapsed="false">
      <c r="A2775" s="5" t="s">
        <v>859</v>
      </c>
      <c r="B2775" s="0" t="s">
        <v>57</v>
      </c>
      <c r="H2775" s="51" t="n">
        <f aca="false">1/(1+wacc)^(2027-2026-0.5)</f>
        <v>0.942858177653364</v>
      </c>
      <c r="I2775" s="51" t="n">
        <f aca="false">1/(1+wacc)^(2028-2026-0.5)</f>
        <v>0.838183517758688</v>
      </c>
      <c r="J2775" s="51" t="n">
        <f aca="false">1/(1+wacc)^(2029-2026-0.5)</f>
        <v>0.745129677074952</v>
      </c>
      <c r="K2775" s="51" t="n">
        <f aca="false">1/(1+wacc)^(2030-2026-0.5)</f>
        <v>0.662406530186232</v>
      </c>
      <c r="L2775" s="51" t="n">
        <f aca="false">1/(1+wacc)^(2031-2026-0.5)</f>
        <v>0.588867179409399</v>
      </c>
      <c r="M2775" s="51" t="n">
        <f aca="false">1/(1+wacc)^(2032-2026-0.5)</f>
        <v>0.52349205387225</v>
      </c>
    </row>
    <row r="2776" customFormat="false" ht="15" hidden="false" customHeight="false" outlineLevel="0" collapsed="false">
      <c r="A2776" s="5" t="s">
        <v>860</v>
      </c>
      <c r="B2776" s="0" t="s">
        <v>73</v>
      </c>
      <c r="H2776" s="38" t="n">
        <f aca="false">Sens!$H$2774*Sens!$H$2775</f>
        <v>-64.4588292944636</v>
      </c>
      <c r="I2776" s="38" t="n">
        <f aca="false">Sens!$I$2774*Sens!$I$2775</f>
        <v>-23.6864012341129</v>
      </c>
      <c r="J2776" s="38" t="n">
        <f aca="false">Sens!$J$2774*Sens!$J$2775</f>
        <v>8.19232058403911</v>
      </c>
      <c r="K2776" s="38" t="n">
        <f aca="false">Sens!$K$2774*Sens!$K$2775</f>
        <v>31.1711927557764</v>
      </c>
      <c r="L2776" s="38" t="n">
        <f aca="false">Sens!$L$2774*Sens!$L$2775</f>
        <v>29.8967673532015</v>
      </c>
      <c r="M2776" s="38" t="n">
        <f aca="false">Sens!$M$2774*Sens!$M$2775</f>
        <v>16.7210226150121</v>
      </c>
    </row>
    <row r="2777" customFormat="false" ht="15" hidden="false" customHeight="false" outlineLevel="0" collapsed="false">
      <c r="A2777" s="5" t="s">
        <v>861</v>
      </c>
      <c r="B2777" s="0" t="s">
        <v>73</v>
      </c>
      <c r="C2777" s="38" t="n">
        <f aca="false">SUM(Sens!$H$2776:$M$2776)</f>
        <v>-2.16392722054738</v>
      </c>
    </row>
    <row r="2778" customFormat="false" ht="17.15" hidden="false" customHeight="false" outlineLevel="0" collapsed="false">
      <c r="A2778" s="5" t="s">
        <v>862</v>
      </c>
      <c r="B2778" s="0" t="s">
        <v>73</v>
      </c>
      <c r="C2778" s="38" t="n">
        <f aca="false">Sens!$M$2769*(1+tg)*(1-tg/ronic)/(wacc-tg)</f>
        <v>1554.61246428829</v>
      </c>
    </row>
    <row r="2779" customFormat="false" ht="15" hidden="false" customHeight="false" outlineLevel="0" collapsed="false">
      <c r="A2779" s="5" t="s">
        <v>863</v>
      </c>
      <c r="B2779" s="0" t="s">
        <v>73</v>
      </c>
      <c r="C2779" s="38" t="n">
        <f aca="false">Sens!$C$2778/(1+wacc)^6</f>
        <v>767.323698513597</v>
      </c>
    </row>
    <row r="2780" customFormat="false" ht="17.15" hidden="false" customHeight="false" outlineLevel="0" collapsed="false">
      <c r="A2780" s="5" t="s">
        <v>864</v>
      </c>
      <c r="B2780" s="0" t="s">
        <v>73</v>
      </c>
      <c r="C2780" s="38" t="n">
        <f aca="false">Sens!$C$2777+Sens!$C$2779</f>
        <v>765.15977129305</v>
      </c>
    </row>
    <row r="2781" customFormat="false" ht="17.15" hidden="false" customHeight="false" outlineLevel="0" collapsed="false">
      <c r="A2781" s="5" t="s">
        <v>865</v>
      </c>
      <c r="B2781" s="0" t="s">
        <v>52</v>
      </c>
      <c r="C2781" s="12" t="n">
        <f aca="false">Sens!$C$2779/Sens!$C$2780</f>
        <v>1.00282807238662</v>
      </c>
    </row>
    <row r="2782" customFormat="false" ht="17.15" hidden="false" customHeight="false" outlineLevel="0" collapsed="false">
      <c r="A2782" s="5" t="s">
        <v>866</v>
      </c>
      <c r="B2782" s="0" t="s">
        <v>73</v>
      </c>
      <c r="C2782" s="38" t="n">
        <f aca="false">Sens!$G$2759</f>
        <v>67.0428850873731</v>
      </c>
    </row>
    <row r="2783" customFormat="false" ht="17.15" hidden="false" customHeight="false" outlineLevel="0" collapsed="false">
      <c r="A2783" s="5" t="s">
        <v>867</v>
      </c>
      <c r="B2783" s="0" t="s">
        <v>73</v>
      </c>
      <c r="C2783" s="38" t="n">
        <f aca="false">(ant_val*ant_sh+oai_val*oai_sh)*(1-liq_disc)</f>
        <v>178.944</v>
      </c>
    </row>
    <row r="2784" customFormat="false" ht="15" hidden="false" customHeight="false" outlineLevel="0" collapsed="false">
      <c r="A2784" s="5" t="s">
        <v>868</v>
      </c>
      <c r="B2784" s="0" t="s">
        <v>73</v>
      </c>
      <c r="C2784" s="38" t="n">
        <f aca="false">Sens!$C$2780-Sens!$C$2782+Sens!$C$2783</f>
        <v>877.060886205677</v>
      </c>
    </row>
    <row r="2785" customFormat="false" ht="17.15" hidden="false" customHeight="false" outlineLevel="0" collapsed="false">
      <c r="A2785" s="5" t="s">
        <v>869</v>
      </c>
      <c r="B2785" s="0" t="s">
        <v>27</v>
      </c>
      <c r="C2785" s="30" t="n">
        <f aca="false">Sens!$C$2784/sh_val</f>
        <v>79.5136825847094</v>
      </c>
    </row>
    <row r="2786" customFormat="false" ht="17.15" hidden="false" customHeight="false" outlineLevel="0" collapsed="false">
      <c r="A2786" s="1" t="s">
        <v>870</v>
      </c>
      <c r="B2786" s="8" t="s">
        <v>27</v>
      </c>
      <c r="C2786" s="30" t="n">
        <f aca="false">Sens!$C$2785*(1+ke)^tp_yf</f>
        <v>87.8184828347496</v>
      </c>
    </row>
    <row r="2787" customFormat="false" ht="17.15" hidden="false" customHeight="false" outlineLevel="0" collapsed="false">
      <c r="A2787" s="3" t="s">
        <v>871</v>
      </c>
    </row>
    <row r="2788" customFormat="false" ht="17.15" hidden="false" customHeight="false" outlineLevel="0" collapsed="false">
      <c r="A2788" s="5" t="s">
        <v>872</v>
      </c>
      <c r="B2788" s="0" t="s">
        <v>73</v>
      </c>
      <c r="C2788" s="38" t="n">
        <f aca="false">0.25*Sens!$H$2718+0.75*Sens!$I$2718</f>
        <v>57.5541093268329</v>
      </c>
    </row>
    <row r="2789" customFormat="false" ht="15" hidden="false" customHeight="false" outlineLevel="0" collapsed="false">
      <c r="A2789" s="5" t="s">
        <v>873</v>
      </c>
      <c r="B2789" s="0" t="s">
        <v>57</v>
      </c>
      <c r="C2789" s="30" t="n">
        <f aca="false">m_ads*m_x</f>
        <v>9.11</v>
      </c>
    </row>
    <row r="2790" customFormat="false" ht="17.15" hidden="false" customHeight="false" outlineLevel="0" collapsed="false">
      <c r="A2790" s="5" t="s">
        <v>874</v>
      </c>
      <c r="B2790" s="0" t="s">
        <v>73</v>
      </c>
      <c r="C2790" s="38" t="n">
        <f aca="false">Sens!$C$2788*Sens!$C$2789</f>
        <v>524.317935967448</v>
      </c>
    </row>
    <row r="2791" customFormat="false" ht="17.15" hidden="false" customHeight="false" outlineLevel="0" collapsed="false">
      <c r="A2791" s="5" t="s">
        <v>875</v>
      </c>
      <c r="B2791" s="0" t="s">
        <v>73</v>
      </c>
      <c r="C2791" s="38" t="n">
        <f aca="false">0.25*Sens!$H$2719+0.75*Sens!$I$2719</f>
        <v>30.6290803533085</v>
      </c>
    </row>
    <row r="2792" customFormat="false" ht="15" hidden="false" customHeight="false" outlineLevel="0" collapsed="false">
      <c r="A2792" s="5" t="s">
        <v>876</v>
      </c>
      <c r="B2792" s="0" t="s">
        <v>57</v>
      </c>
      <c r="C2792" s="30" t="n">
        <f aca="false">m_retail*m_x</f>
        <v>17.72</v>
      </c>
    </row>
    <row r="2793" customFormat="false" ht="17.15" hidden="false" customHeight="false" outlineLevel="0" collapsed="false">
      <c r="A2793" s="5" t="s">
        <v>877</v>
      </c>
      <c r="B2793" s="0" t="s">
        <v>73</v>
      </c>
      <c r="C2793" s="38" t="n">
        <f aca="false">Sens!$C$2791*Sens!$C$2792</f>
        <v>542.747303860627</v>
      </c>
    </row>
    <row r="2794" customFormat="false" ht="17.15" hidden="false" customHeight="false" outlineLevel="0" collapsed="false">
      <c r="A2794" s="0" t="s">
        <v>878</v>
      </c>
      <c r="B2794" s="0" t="s">
        <v>73</v>
      </c>
      <c r="C2794" s="38" t="n">
        <f aca="false">0.25*Sens!$H$2720+0.75*Sens!$I$2720</f>
        <v>105.83618060391</v>
      </c>
    </row>
    <row r="2795" customFormat="false" ht="17.15" hidden="false" customHeight="false" outlineLevel="0" collapsed="false">
      <c r="A2795" s="0" t="s">
        <v>879</v>
      </c>
      <c r="B2795" s="0" t="s">
        <v>57</v>
      </c>
      <c r="C2795" s="30" t="n">
        <f aca="false">m_cloud*m_x</f>
        <v>13.82</v>
      </c>
    </row>
    <row r="2796" customFormat="false" ht="17.15" hidden="false" customHeight="false" outlineLevel="0" collapsed="false">
      <c r="A2796" s="0" t="s">
        <v>880</v>
      </c>
      <c r="B2796" s="0" t="s">
        <v>73</v>
      </c>
      <c r="C2796" s="38" t="n">
        <f aca="false">Sens!$C$2794*Sens!$C$2795</f>
        <v>1462.65601594604</v>
      </c>
    </row>
    <row r="2797" customFormat="false" ht="17.15" hidden="false" customHeight="false" outlineLevel="0" collapsed="false">
      <c r="A2797" s="0" t="s">
        <v>881</v>
      </c>
      <c r="B2797" s="0" t="s">
        <v>73</v>
      </c>
      <c r="C2797" s="38" t="n">
        <f aca="false">0.25*Sens!$H$2721+0.75*Sens!$I$2721</f>
        <v>72.2947701247864</v>
      </c>
    </row>
    <row r="2798" customFormat="false" ht="17.15" hidden="false" customHeight="false" outlineLevel="0" collapsed="false">
      <c r="A2798" s="0" t="s">
        <v>882</v>
      </c>
      <c r="B2798" s="0" t="s">
        <v>57</v>
      </c>
      <c r="C2798" s="30" t="n">
        <f aca="false">m_ai</f>
        <v>6</v>
      </c>
    </row>
    <row r="2799" customFormat="false" ht="17.15" hidden="false" customHeight="false" outlineLevel="0" collapsed="false">
      <c r="A2799" s="0" t="s">
        <v>883</v>
      </c>
      <c r="B2799" s="0" t="s">
        <v>73</v>
      </c>
      <c r="C2799" s="38" t="n">
        <f aca="false">Sens!$C$2797*Sens!$C$2798</f>
        <v>433.768620748718</v>
      </c>
    </row>
    <row r="2800" customFormat="false" ht="17.15" hidden="false" customHeight="false" outlineLevel="0" collapsed="false">
      <c r="A2800" s="5" t="s">
        <v>884</v>
      </c>
      <c r="B2800" s="0" t="s">
        <v>73</v>
      </c>
      <c r="C2800" s="38" t="n">
        <f aca="false">Sens!$C$2790+Sens!$C$2793+Sens!$C$2796+Sens!$C$2799</f>
        <v>2963.48987652283</v>
      </c>
    </row>
    <row r="2801" customFormat="false" ht="17.15" hidden="false" customHeight="false" outlineLevel="0" collapsed="false">
      <c r="A2801" s="5" t="s">
        <v>885</v>
      </c>
      <c r="B2801" s="0" t="s">
        <v>73</v>
      </c>
      <c r="C2801" s="38" t="n">
        <f aca="false">Sens!$H$2759</f>
        <v>114.080227941687</v>
      </c>
    </row>
    <row r="2802" customFormat="false" ht="15" hidden="false" customHeight="false" outlineLevel="0" collapsed="false">
      <c r="A2802" s="5" t="s">
        <v>886</v>
      </c>
      <c r="B2802" s="0" t="s">
        <v>73</v>
      </c>
      <c r="C2802" s="38" t="n">
        <f aca="false">Sens!$C$2800-Sens!$C$2801+Sens!$C$2783</f>
        <v>3028.35364858114</v>
      </c>
    </row>
    <row r="2803" customFormat="false" ht="15" hidden="false" customHeight="false" outlineLevel="0" collapsed="false">
      <c r="A2803" s="3" t="s">
        <v>887</v>
      </c>
      <c r="B2803" s="8" t="s">
        <v>27</v>
      </c>
      <c r="C2803" s="30" t="n">
        <f aca="false">Sens!$C$2802/sh_val</f>
        <v>274.54827202391</v>
      </c>
    </row>
    <row r="2804" customFormat="false" ht="17.15" hidden="false" customHeight="false" outlineLevel="0" collapsed="false">
      <c r="A2804" s="46" t="s">
        <v>888</v>
      </c>
      <c r="B2804" s="13" t="s">
        <v>27</v>
      </c>
      <c r="C2804" s="43" t="n">
        <f aca="false">w_dcf*Sens!$C$2786+(1-w_dcf)*Sens!$C$2803</f>
        <v>181.18337742933</v>
      </c>
      <c r="D2804" s="13"/>
      <c r="E2804" s="13"/>
      <c r="F2804" s="13"/>
      <c r="G2804" s="13"/>
      <c r="H2804" s="13"/>
      <c r="I2804" s="13"/>
      <c r="J2804" s="13"/>
      <c r="K2804" s="13"/>
      <c r="L2804" s="13"/>
      <c r="M2804" s="13"/>
      <c r="N2804" s="13"/>
      <c r="O2804" s="13"/>
    </row>
    <row r="2805" customFormat="false" ht="17.15" hidden="false" customHeight="false" outlineLevel="0" collapsed="false">
      <c r="A2805" s="5" t="s">
        <v>889</v>
      </c>
      <c r="B2805" s="0" t="s">
        <v>27</v>
      </c>
      <c r="C2805" s="30" t="n">
        <f aca="false">0.45*Sens!$C$2786+0.55*Sens!$C$2803</f>
        <v>190.519866888788</v>
      </c>
    </row>
    <row r="2808" customFormat="false" ht="19.4" hidden="false" customHeight="false" outlineLevel="0" collapsed="false">
      <c r="A2808" s="31" t="s">
        <v>1105</v>
      </c>
    </row>
    <row r="2809" customFormat="false" ht="17.15" hidden="false" customHeight="false" outlineLevel="0" collapsed="false">
      <c r="A2809" s="6" t="s">
        <v>16</v>
      </c>
      <c r="B2809" s="6" t="s">
        <v>17</v>
      </c>
      <c r="C2809" s="20" t="s">
        <v>457</v>
      </c>
      <c r="D2809" s="20" t="s">
        <v>458</v>
      </c>
      <c r="E2809" s="20" t="s">
        <v>540</v>
      </c>
      <c r="F2809" s="20" t="s">
        <v>541</v>
      </c>
      <c r="G2809" s="20" t="s">
        <v>542</v>
      </c>
      <c r="H2809" s="20" t="s">
        <v>543</v>
      </c>
      <c r="I2809" s="20" t="s">
        <v>544</v>
      </c>
      <c r="J2809" s="20" t="s">
        <v>545</v>
      </c>
      <c r="K2809" s="20" t="s">
        <v>546</v>
      </c>
      <c r="L2809" s="20" t="s">
        <v>547</v>
      </c>
      <c r="M2809" s="20" t="s">
        <v>548</v>
      </c>
      <c r="N2809" s="20" t="s">
        <v>549</v>
      </c>
      <c r="O2809" s="20" t="s">
        <v>550</v>
      </c>
      <c r="P2809" s="6" t="s">
        <v>23</v>
      </c>
      <c r="R2809" s="20" t="n">
        <v>2023</v>
      </c>
      <c r="S2809" s="20" t="n">
        <v>2024</v>
      </c>
      <c r="T2809" s="20" t="n">
        <v>2025</v>
      </c>
      <c r="U2809" s="20" t="n">
        <v>2026</v>
      </c>
      <c r="V2809" s="20" t="n">
        <v>2027</v>
      </c>
      <c r="W2809" s="20" t="n">
        <v>2028</v>
      </c>
      <c r="X2809" s="20" t="n">
        <v>2029</v>
      </c>
      <c r="Y2809" s="20" t="n">
        <v>2030</v>
      </c>
      <c r="Z2809" s="20" t="n">
        <v>2031</v>
      </c>
      <c r="AA2809" s="20" t="n">
        <v>2032</v>
      </c>
    </row>
    <row r="2810" customFormat="false" ht="17.15" hidden="false" customHeight="false" outlineLevel="0" collapsed="false">
      <c r="A2810" s="1" t="s">
        <v>621</v>
      </c>
    </row>
    <row r="2811" customFormat="false" ht="17.15" hidden="false" customHeight="false" outlineLevel="0" collapsed="false">
      <c r="A2811" s="0" t="s">
        <v>479</v>
      </c>
      <c r="B2811" s="0" t="s">
        <v>73</v>
      </c>
      <c r="C2811" s="38" t="n">
        <f aca="false">Q!$D$10</f>
        <v>247.029</v>
      </c>
      <c r="D2811" s="38" t="n">
        <f aca="false">Q!$E$10</f>
        <v>269.287</v>
      </c>
      <c r="E2811" s="38" t="n">
        <f aca="false">Q!$P$10</f>
        <v>134.686</v>
      </c>
      <c r="F2811" s="38" t="n">
        <f aca="false">Sens!$O$2811*(1+Sens!$F$2812)-pd_amt*Q!$O$10/(Q!$O$10+Q!$O$12)</f>
        <v>160.728085930082</v>
      </c>
      <c r="G2811" s="38" t="n">
        <f aca="false">Sens!$E$2811+Sens!$F$2811</f>
        <v>295.414085930082</v>
      </c>
      <c r="H2811" s="38" t="n">
        <f aca="false">Sens!$G$2811*(1+Sens!$H$2812)</f>
        <v>320.828163943375</v>
      </c>
      <c r="I2811" s="38" t="n">
        <f aca="false">Sens!$H$2811*(1+Sens!$I$2812)</f>
        <v>344.575578072228</v>
      </c>
      <c r="J2811" s="38" t="n">
        <f aca="false">Sens!$I$2811*(1+Sens!$J$2812)</f>
        <v>365.942555779681</v>
      </c>
      <c r="K2811" s="38" t="n">
        <f aca="false">Sens!$J$2811*(1+Sens!$K$2812)</f>
        <v>384.239683568665</v>
      </c>
      <c r="L2811" s="38" t="n">
        <f aca="false">Sens!$K$2811*(1+Sens!$L$2812)</f>
        <v>403.451667747098</v>
      </c>
      <c r="M2811" s="38" t="n">
        <f aca="false">Sens!$L$2811*(1+Sens!$M$2812)</f>
        <v>423.624251134453</v>
      </c>
      <c r="N2811" s="38" t="n">
        <f aca="false">Q!$N$10</f>
        <v>118.892</v>
      </c>
      <c r="O2811" s="38" t="n">
        <f aca="false">Q!$O$10</f>
        <v>150.395</v>
      </c>
      <c r="P2811" s="8" t="s">
        <v>622</v>
      </c>
    </row>
    <row r="2812" customFormat="false" ht="17.15" hidden="false" customHeight="false" outlineLevel="0" collapsed="false">
      <c r="A2812" s="0" t="s">
        <v>623</v>
      </c>
      <c r="B2812" s="0" t="s">
        <v>52</v>
      </c>
      <c r="E2812" s="12" t="n">
        <f aca="false">Sens!$E$2811/Sens!$N$2811-1</f>
        <v>0.132843252699929</v>
      </c>
      <c r="F2812" s="12" t="n">
        <f aca="false">Sens!$O$2811/(Q!$F$10+Q!$G$10)-1</f>
        <v>0.0980382135842941</v>
      </c>
      <c r="G2812" s="12" t="n">
        <f aca="false">Sens!$G$2811/Sens!$D$2811-1</f>
        <v>0.0970231980380869</v>
      </c>
      <c r="H2812" s="12" t="n">
        <f aca="false">Sens!$F$2812+(g_os-Sens!$F$2812)*1/4</f>
        <v>0.0860286601882206</v>
      </c>
      <c r="I2812" s="12" t="n">
        <f aca="false">Sens!$F$2812+(g_os-Sens!$F$2812)*2/4</f>
        <v>0.074019106792147</v>
      </c>
      <c r="J2812" s="12" t="n">
        <f aca="false">Sens!$F$2812+(g_os-Sens!$F$2812)*3/4</f>
        <v>0.0620095533960735</v>
      </c>
      <c r="K2812" s="12" t="n">
        <f aca="false">Sens!$F$2812+(g_os-Sens!$F$2812)*4/4</f>
        <v>0.05</v>
      </c>
      <c r="L2812" s="12" t="n">
        <f aca="false">g_os</f>
        <v>0.05</v>
      </c>
      <c r="M2812" s="12" t="n">
        <f aca="false">g_os</f>
        <v>0.05</v>
      </c>
      <c r="P2812" s="8" t="s">
        <v>624</v>
      </c>
    </row>
    <row r="2813" customFormat="false" ht="17.15" hidden="false" customHeight="false" outlineLevel="0" collapsed="false">
      <c r="A2813" s="0" t="s">
        <v>480</v>
      </c>
      <c r="B2813" s="0" t="s">
        <v>73</v>
      </c>
      <c r="C2813" s="38" t="n">
        <f aca="false">Q!$D$11</f>
        <v>21.215</v>
      </c>
      <c r="D2813" s="38" t="n">
        <f aca="false">Q!$E$11</f>
        <v>22.561</v>
      </c>
      <c r="E2813" s="38" t="n">
        <f aca="false">Q!$P$11</f>
        <v>11.579</v>
      </c>
      <c r="F2813" s="38" t="n">
        <f aca="false">Sens!$O$2813*(1+Sens!$F$2814)</f>
        <v>12.0952613121125</v>
      </c>
      <c r="G2813" s="38" t="n">
        <f aca="false">Sens!$E$2813+Sens!$F$2813</f>
        <v>23.6742613121125</v>
      </c>
      <c r="H2813" s="38" t="n">
        <f aca="false">Sens!$G$2813*(1+Sens!$H$2814)</f>
        <v>24.8803243963206</v>
      </c>
      <c r="I2813" s="38" t="n">
        <f aca="false">Sens!$H$2813*(1+Sens!$I$2814)</f>
        <v>25.9741308664154</v>
      </c>
      <c r="J2813" s="38" t="n">
        <f aca="false">Sens!$I$2813*(1+Sens!$J$2814)</f>
        <v>26.9346894124267</v>
      </c>
      <c r="K2813" s="38" t="n">
        <f aca="false">Sens!$J$2813*(1+Sens!$K$2814)</f>
        <v>27.7427300947995</v>
      </c>
      <c r="L2813" s="38" t="n">
        <f aca="false">Sens!$K$2813*(1+Sens!$L$2814)</f>
        <v>28.5750119976435</v>
      </c>
      <c r="M2813" s="38" t="n">
        <f aca="false">Sens!$L$2813*(1+Sens!$M$2814)</f>
        <v>29.4322623575728</v>
      </c>
      <c r="N2813" s="38" t="n">
        <f aca="false">Q!$N$11</f>
        <v>11.128</v>
      </c>
      <c r="O2813" s="38" t="n">
        <f aca="false">Q!$O$11</f>
        <v>11.433</v>
      </c>
      <c r="P2813" s="8" t="s">
        <v>622</v>
      </c>
    </row>
    <row r="2814" customFormat="false" ht="17.15" hidden="false" customHeight="false" outlineLevel="0" collapsed="false">
      <c r="A2814" s="0" t="s">
        <v>625</v>
      </c>
      <c r="B2814" s="0" t="s">
        <v>52</v>
      </c>
      <c r="E2814" s="12" t="n">
        <f aca="false">Sens!$E$2813/Sens!$N$2813-1</f>
        <v>0.0405283968368082</v>
      </c>
      <c r="F2814" s="12" t="n">
        <f aca="false">Sens!$O$2813/(Q!$F$11+Q!$G$11)-1</f>
        <v>0.0579254187100955</v>
      </c>
      <c r="G2814" s="12" t="n">
        <f aca="false">Sens!$G$2813/Sens!$D$2813-1</f>
        <v>0.0493445021103904</v>
      </c>
      <c r="H2814" s="12" t="n">
        <f aca="false">Sens!$F$2814+(g_ps-Sens!$F$2814)*1/4</f>
        <v>0.0509440640325716</v>
      </c>
      <c r="I2814" s="12" t="n">
        <f aca="false">Sens!$F$2814+(g_ps-Sens!$F$2814)*2/4</f>
        <v>0.0439627093550477</v>
      </c>
      <c r="J2814" s="12" t="n">
        <f aca="false">Sens!$F$2814+(g_ps-Sens!$F$2814)*3/4</f>
        <v>0.0369813546775239</v>
      </c>
      <c r="K2814" s="12" t="n">
        <f aca="false">Sens!$F$2814+(g_ps-Sens!$F$2814)*4/4</f>
        <v>0.03</v>
      </c>
      <c r="L2814" s="12" t="n">
        <f aca="false">g_ps</f>
        <v>0.03</v>
      </c>
      <c r="M2814" s="12" t="n">
        <f aca="false">g_ps</f>
        <v>0.03</v>
      </c>
      <c r="P2814" s="8" t="s">
        <v>626</v>
      </c>
    </row>
    <row r="2815" customFormat="false" ht="17.15" hidden="false" customHeight="false" outlineLevel="0" collapsed="false">
      <c r="A2815" s="0" t="s">
        <v>481</v>
      </c>
      <c r="B2815" s="0" t="s">
        <v>73</v>
      </c>
      <c r="C2815" s="38" t="n">
        <f aca="false">Q!$D$12</f>
        <v>156.146</v>
      </c>
      <c r="D2815" s="38" t="n">
        <f aca="false">Q!$E$12</f>
        <v>172.162</v>
      </c>
      <c r="E2815" s="38" t="n">
        <f aca="false">Q!$P$12</f>
        <v>88.358</v>
      </c>
      <c r="F2815" s="38" t="n">
        <f aca="false">Sens!$O$2815*(1+Sens!$F$2816)-pd_amt*Q!$O$12/(Q!$O$10+Q!$O$12)</f>
        <v>103.62028337149</v>
      </c>
      <c r="G2815" s="38" t="n">
        <f aca="false">Sens!$E$2815+Sens!$F$2815</f>
        <v>191.97828337149</v>
      </c>
      <c r="H2815" s="38" t="n">
        <f aca="false">Sens!$G$2815*(1+Sens!$H$2816)</f>
        <v>212.128608444755</v>
      </c>
      <c r="I2815" s="38" t="n">
        <f aca="false">Sens!$H$2815*(1+Sens!$I$2816)</f>
        <v>231.92183134134</v>
      </c>
      <c r="J2815" s="38" t="n">
        <f aca="false">Sens!$I$2815*(1+Sens!$J$2816)</f>
        <v>250.859136487863</v>
      </c>
      <c r="K2815" s="38" t="n">
        <f aca="false">Sens!$J$2815*(1+Sens!$K$2816)</f>
        <v>268.419276042014</v>
      </c>
      <c r="L2815" s="38" t="n">
        <f aca="false">Sens!$K$2815*(1+Sens!$L$2816)</f>
        <v>287.208625364954</v>
      </c>
      <c r="M2815" s="38" t="n">
        <f aca="false">Sens!$L$2815*(1+Sens!$M$2816)</f>
        <v>307.313229140501</v>
      </c>
      <c r="N2815" s="38" t="n">
        <f aca="false">Q!$N$12</f>
        <v>76.86</v>
      </c>
      <c r="O2815" s="38" t="n">
        <f aca="false">Q!$O$12</f>
        <v>95.302</v>
      </c>
      <c r="P2815" s="8" t="s">
        <v>622</v>
      </c>
    </row>
    <row r="2816" customFormat="false" ht="17.15" hidden="false" customHeight="false" outlineLevel="0" collapsed="false">
      <c r="A2816" s="0" t="s">
        <v>627</v>
      </c>
      <c r="B2816" s="0" t="s">
        <v>52</v>
      </c>
      <c r="E2816" s="12" t="n">
        <f aca="false">Sens!$E$2815/Sens!$N$2815-1</f>
        <v>0.1495966692688</v>
      </c>
      <c r="F2816" s="12" t="n">
        <f aca="false">Sens!$O$2815/(Q!$F$12+Q!$G$12)-1</f>
        <v>0.11661530890813</v>
      </c>
      <c r="G2816" s="12" t="n">
        <f aca="false">Sens!$G$2815/Sens!$D$2815-1</f>
        <v>0.115102539303041</v>
      </c>
      <c r="H2816" s="12" t="n">
        <f aca="false">Sens!$F$2816+(g_sp-Sens!$F$2816)*1/4</f>
        <v>0.104961481681098</v>
      </c>
      <c r="I2816" s="12" t="n">
        <f aca="false">Sens!$F$2816+(g_sp-Sens!$F$2816)*2/4</f>
        <v>0.0933076544540651</v>
      </c>
      <c r="J2816" s="12" t="n">
        <f aca="false">Sens!$F$2816+(g_sp-Sens!$F$2816)*3/4</f>
        <v>0.0816538272270325</v>
      </c>
      <c r="K2816" s="12" t="n">
        <f aca="false">Sens!$F$2816+(g_sp-Sens!$F$2816)*4/4</f>
        <v>0.07</v>
      </c>
      <c r="L2816" s="12" t="n">
        <f aca="false">g_sp</f>
        <v>0.07</v>
      </c>
      <c r="M2816" s="12" t="n">
        <f aca="false">g_sp</f>
        <v>0.07</v>
      </c>
      <c r="P2816" s="8" t="s">
        <v>628</v>
      </c>
    </row>
    <row r="2817" customFormat="false" ht="17.15" hidden="false" customHeight="false" outlineLevel="0" collapsed="false">
      <c r="A2817" s="0" t="s">
        <v>482</v>
      </c>
      <c r="B2817" s="0" t="s">
        <v>73</v>
      </c>
      <c r="C2817" s="38" t="n">
        <f aca="false">Q!$D$13</f>
        <v>56.214</v>
      </c>
      <c r="D2817" s="38" t="n">
        <f aca="false">Q!$E$13</f>
        <v>68.635</v>
      </c>
      <c r="E2817" s="38" t="n">
        <f aca="false">Q!$P$13</f>
        <v>37.052</v>
      </c>
      <c r="F2817" s="38" t="n">
        <f aca="false">Sens!$O$2817*(1+Sens!$F$2818)</f>
        <v>48.1533381827382</v>
      </c>
      <c r="G2817" s="38" t="n">
        <f aca="false">Sens!$E$2817+Sens!$F$2817</f>
        <v>85.2053381827382</v>
      </c>
      <c r="H2817" s="38" t="n">
        <f aca="false">Sens!$G$2817*(1+Sens!$H$2818)</f>
        <v>102.29336185894</v>
      </c>
      <c r="I2817" s="38" t="n">
        <f aca="false">Sens!$H$2817*(1+Sens!$I$2818)</f>
        <v>119.379837585241</v>
      </c>
      <c r="J2817" s="38" t="n">
        <f aca="false">Sens!$I$2817*(1+Sens!$J$2818)</f>
        <v>135.319079048844</v>
      </c>
      <c r="K2817" s="38" t="n">
        <f aca="false">Sens!$J$2817*(1+Sens!$K$2818)</f>
        <v>148.850986953729</v>
      </c>
      <c r="L2817" s="38" t="n">
        <f aca="false">Sens!$K$2817*(1+Sens!$L$2818)</f>
        <v>163.736085649102</v>
      </c>
      <c r="M2817" s="38" t="n">
        <f aca="false">Sens!$L$2817*(1+Sens!$M$2818)</f>
        <v>180.109694214012</v>
      </c>
      <c r="N2817" s="38" t="n">
        <f aca="false">Q!$N$13</f>
        <v>29.615</v>
      </c>
      <c r="O2817" s="38" t="n">
        <f aca="false">Q!$O$13</f>
        <v>39.02</v>
      </c>
      <c r="P2817" s="8" t="s">
        <v>622</v>
      </c>
    </row>
    <row r="2818" customFormat="false" ht="17.15" hidden="false" customHeight="false" outlineLevel="0" collapsed="false">
      <c r="A2818" s="0" t="s">
        <v>629</v>
      </c>
      <c r="B2818" s="0" t="s">
        <v>52</v>
      </c>
      <c r="E2818" s="12" t="n">
        <f aca="false">Sens!$E$2817/Sens!$N$2817-1</f>
        <v>0.25112274185379</v>
      </c>
      <c r="F2818" s="12" t="n">
        <f aca="false">Sens!$O$2817/(Q!$F$13+Q!$G$13)-1</f>
        <v>0.234068123596572</v>
      </c>
      <c r="G2818" s="12" t="n">
        <f aca="false">Sens!$G$2817/Sens!$D$2817-1</f>
        <v>0.241426942270536</v>
      </c>
      <c r="H2818" s="12" t="n">
        <f aca="false">Sens!$F$2818+(g_ad-Sens!$F$2818)*1/4</f>
        <v>0.200551092697429</v>
      </c>
      <c r="I2818" s="12" t="n">
        <f aca="false">Sens!$F$2818+(g_ad-Sens!$F$2818)*2/4</f>
        <v>0.167034061798286</v>
      </c>
      <c r="J2818" s="12" t="n">
        <f aca="false">Sens!$F$2818+(g_ad-Sens!$F$2818)*3/4</f>
        <v>0.133517030899143</v>
      </c>
      <c r="K2818" s="12" t="n">
        <f aca="false">Sens!$F$2818+(g_ad-Sens!$F$2818)*4/4</f>
        <v>0.1</v>
      </c>
      <c r="L2818" s="12" t="n">
        <f aca="false">g_ad</f>
        <v>0.1</v>
      </c>
      <c r="M2818" s="12" t="n">
        <f aca="false">g_ad</f>
        <v>0.1</v>
      </c>
      <c r="P2818" s="8" t="s">
        <v>630</v>
      </c>
    </row>
    <row r="2819" customFormat="false" ht="17.15" hidden="false" customHeight="false" outlineLevel="0" collapsed="false">
      <c r="A2819" s="0" t="s">
        <v>483</v>
      </c>
      <c r="B2819" s="0" t="s">
        <v>73</v>
      </c>
      <c r="C2819" s="38" t="n">
        <f aca="false">Q!$D$14</f>
        <v>44.374</v>
      </c>
      <c r="D2819" s="38" t="n">
        <f aca="false">Q!$E$14</f>
        <v>49.619</v>
      </c>
      <c r="E2819" s="38" t="n">
        <f aca="false">Q!$P$14</f>
        <v>27.157</v>
      </c>
      <c r="F2819" s="38" t="n">
        <f aca="false">Sens!$O$2819*(1+Sens!$F$2820)</f>
        <v>28.9776360923374</v>
      </c>
      <c r="G2819" s="38" t="n">
        <f aca="false">Sens!$E$2819+Sens!$F$2819</f>
        <v>56.1346360923374</v>
      </c>
      <c r="H2819" s="38" t="n">
        <f aca="false">Sens!$G$2819*(1+Sens!$H$2820)</f>
        <v>62.4937078946075</v>
      </c>
      <c r="I2819" s="38" t="n">
        <f aca="false">Sens!$H$2819*(1+Sens!$I$2820)</f>
        <v>68.6715233062498</v>
      </c>
      <c r="J2819" s="38" t="n">
        <f aca="false">Sens!$I$2819*(1+Sens!$J$2820)</f>
        <v>74.4692882949818</v>
      </c>
      <c r="K2819" s="38" t="n">
        <f aca="false">Sens!$J$2819*(1+Sens!$K$2820)</f>
        <v>79.6821384756306</v>
      </c>
      <c r="L2819" s="38" t="n">
        <f aca="false">Sens!$K$2819*(1+Sens!$L$2820)</f>
        <v>85.2598881689247</v>
      </c>
      <c r="M2819" s="38" t="n">
        <f aca="false">Sens!$L$2819*(1+Sens!$M$2820)</f>
        <v>91.2280803407494</v>
      </c>
      <c r="N2819" s="38" t="n">
        <f aca="false">Q!$N$14</f>
        <v>23.923</v>
      </c>
      <c r="O2819" s="38" t="n">
        <f aca="false">Q!$O$14</f>
        <v>25.696</v>
      </c>
      <c r="P2819" s="8" t="s">
        <v>622</v>
      </c>
    </row>
    <row r="2820" customFormat="false" ht="17.15" hidden="false" customHeight="false" outlineLevel="0" collapsed="false">
      <c r="A2820" s="0" t="s">
        <v>631</v>
      </c>
      <c r="B2820" s="0" t="s">
        <v>52</v>
      </c>
      <c r="E2820" s="12" t="n">
        <f aca="false">Sens!$E$2819/Sens!$N$2819-1</f>
        <v>0.135183714417088</v>
      </c>
      <c r="F2820" s="12" t="n">
        <f aca="false">Sens!$O$2819/(Q!$F$14+Q!$G$14)-1</f>
        <v>0.127709997366804</v>
      </c>
      <c r="G2820" s="12" t="n">
        <f aca="false">Sens!$G$2819/Sens!$D$2819-1</f>
        <v>0.131313329416905</v>
      </c>
      <c r="H2820" s="12" t="n">
        <f aca="false">Sens!$F$2820+(g_sub-Sens!$F$2820)*1/4</f>
        <v>0.113282498025103</v>
      </c>
      <c r="I2820" s="12" t="n">
        <f aca="false">Sens!$F$2820+(g_sub-Sens!$F$2820)*2/4</f>
        <v>0.0988549986834021</v>
      </c>
      <c r="J2820" s="12" t="n">
        <f aca="false">Sens!$F$2820+(g_sub-Sens!$F$2820)*3/4</f>
        <v>0.084427499341701</v>
      </c>
      <c r="K2820" s="12" t="n">
        <f aca="false">Sens!$F$2820+(g_sub-Sens!$F$2820)*4/4</f>
        <v>0.07</v>
      </c>
      <c r="L2820" s="12" t="n">
        <f aca="false">g_sub</f>
        <v>0.07</v>
      </c>
      <c r="M2820" s="12" t="n">
        <f aca="false">g_sub</f>
        <v>0.07</v>
      </c>
      <c r="P2820" s="8" t="s">
        <v>632</v>
      </c>
    </row>
    <row r="2821" customFormat="false" ht="17.15" hidden="false" customHeight="false" outlineLevel="0" collapsed="false">
      <c r="A2821" s="0" t="s">
        <v>484</v>
      </c>
      <c r="B2821" s="0" t="s">
        <v>73</v>
      </c>
      <c r="C2821" s="38" t="n">
        <f aca="false">Q!$D$15</f>
        <v>5.425</v>
      </c>
      <c r="D2821" s="38" t="n">
        <f aca="false">Q!$E$15</f>
        <v>5.935</v>
      </c>
      <c r="E2821" s="38" t="n">
        <f aca="false">Q!$P$15</f>
        <v>3.474</v>
      </c>
      <c r="F2821" s="38" t="n">
        <f aca="false">Sens!$O$2821*(1+Sens!$F$2822)</f>
        <v>3.36182431966931</v>
      </c>
      <c r="G2821" s="38" t="n">
        <f aca="false">Sens!$E$2821+Sens!$F$2821</f>
        <v>6.83582431966931</v>
      </c>
      <c r="H2821" s="38" t="n">
        <f aca="false">Sens!$G$2821*(1+Sens!$H$2822)</f>
        <v>7.31157108370141</v>
      </c>
      <c r="I2821" s="38" t="n">
        <f aca="false">Sens!$H$2821*(1+Sens!$I$2822)</f>
        <v>7.77266852639815</v>
      </c>
      <c r="J2821" s="38" t="n">
        <f aca="false">Sens!$I$2821*(1+Sens!$J$2822)</f>
        <v>8.2120733019884</v>
      </c>
      <c r="K2821" s="38" t="n">
        <f aca="false">Sens!$J$2821*(1+Sens!$K$2822)</f>
        <v>8.62267696708783</v>
      </c>
      <c r="L2821" s="38" t="n">
        <f aca="false">Sens!$K$2821*(1+Sens!$L$2822)</f>
        <v>9.05381081544222</v>
      </c>
      <c r="M2821" s="38" t="n">
        <f aca="false">Sens!$L$2821*(1+Sens!$M$2822)</f>
        <v>9.50650135621433</v>
      </c>
      <c r="N2821" s="38" t="n">
        <f aca="false">Q!$N$15</f>
        <v>2.811</v>
      </c>
      <c r="O2821" s="38" t="n">
        <f aca="false">Q!$O$15</f>
        <v>3.124</v>
      </c>
      <c r="P2821" s="8" t="s">
        <v>622</v>
      </c>
    </row>
    <row r="2822" customFormat="false" ht="17.15" hidden="false" customHeight="false" outlineLevel="0" collapsed="false">
      <c r="A2822" s="0" t="s">
        <v>633</v>
      </c>
      <c r="B2822" s="0" t="s">
        <v>52</v>
      </c>
      <c r="E2822" s="12" t="n">
        <f aca="false">Sens!$E$2821/Sens!$N$2821-1</f>
        <v>0.235859124866596</v>
      </c>
      <c r="F2822" s="12" t="n">
        <f aca="false">Sens!$O$2821/(Q!$F$15+Q!$G$15)-1</f>
        <v>0.0761281433000345</v>
      </c>
      <c r="G2822" s="12" t="n">
        <f aca="false">Sens!$G$2821/Sens!$D$2821-1</f>
        <v>0.151781688234087</v>
      </c>
      <c r="H2822" s="12" t="n">
        <f aca="false">Sens!$F$2822+(g_ot-Sens!$F$2822)*1/4</f>
        <v>0.0695961074750259</v>
      </c>
      <c r="I2822" s="12" t="n">
        <f aca="false">Sens!$F$2822+(g_ot-Sens!$F$2822)*2/4</f>
        <v>0.0630640716500172</v>
      </c>
      <c r="J2822" s="12" t="n">
        <f aca="false">Sens!$F$2822+(g_ot-Sens!$F$2822)*3/4</f>
        <v>0.0565320358250086</v>
      </c>
      <c r="K2822" s="12" t="n">
        <f aca="false">Sens!$F$2822+(g_ot-Sens!$F$2822)*4/4</f>
        <v>0.05</v>
      </c>
      <c r="L2822" s="12" t="n">
        <f aca="false">g_ot</f>
        <v>0.05</v>
      </c>
      <c r="M2822" s="12" t="n">
        <f aca="false">g_ot</f>
        <v>0.05</v>
      </c>
      <c r="P2822" s="8" t="s">
        <v>634</v>
      </c>
    </row>
    <row r="2823" customFormat="false" ht="17.15" hidden="false" customHeight="false" outlineLevel="0" collapsed="false">
      <c r="A2823" s="3" t="s">
        <v>635</v>
      </c>
      <c r="B2823" s="8" t="s">
        <v>73</v>
      </c>
      <c r="C2823" s="38" t="n">
        <f aca="false">Sens!$C$2811+Sens!$C$2813+Sens!$C$2815+Sens!$C$2817+Sens!$C$2819+Sens!$C$2821</f>
        <v>530.403</v>
      </c>
      <c r="D2823" s="38" t="n">
        <f aca="false">Sens!$D$2811+Sens!$D$2813+Sens!$D$2815+Sens!$D$2817+Sens!$D$2819+Sens!$D$2821</f>
        <v>588.199</v>
      </c>
      <c r="E2823" s="38" t="n">
        <f aca="false">Sens!$E$2811+Sens!$E$2813+Sens!$E$2815+Sens!$E$2817+Sens!$E$2819+Sens!$E$2821</f>
        <v>302.306</v>
      </c>
      <c r="F2823" s="38" t="n">
        <f aca="false">Sens!$F$2811+Sens!$F$2813+Sens!$F$2815+Sens!$F$2817+Sens!$F$2819+Sens!$F$2821</f>
        <v>356.93642920843</v>
      </c>
      <c r="G2823" s="38" t="n">
        <f aca="false">Sens!$G$2811+Sens!$G$2813+Sens!$G$2815+Sens!$G$2817+Sens!$G$2819+Sens!$G$2821</f>
        <v>659.24242920843</v>
      </c>
      <c r="H2823" s="38" t="n">
        <f aca="false">Sens!$H$2811+Sens!$H$2813+Sens!$H$2815+Sens!$H$2817+Sens!$H$2819+Sens!$H$2821</f>
        <v>729.935737621701</v>
      </c>
      <c r="I2823" s="38" t="n">
        <f aca="false">Sens!$I$2811+Sens!$I$2813+Sens!$I$2815+Sens!$I$2817+Sens!$I$2819+Sens!$I$2821</f>
        <v>798.295569697873</v>
      </c>
      <c r="J2823" s="38" t="n">
        <f aca="false">Sens!$J$2811+Sens!$J$2813+Sens!$J$2815+Sens!$J$2817+Sens!$J$2819+Sens!$J$2821</f>
        <v>861.736822325785</v>
      </c>
      <c r="K2823" s="38" t="n">
        <f aca="false">Sens!$K$2811+Sens!$K$2813+Sens!$K$2815+Sens!$K$2817+Sens!$K$2819+Sens!$K$2821</f>
        <v>917.557492101925</v>
      </c>
      <c r="L2823" s="38" t="n">
        <f aca="false">Sens!$L$2811+Sens!$L$2813+Sens!$L$2815+Sens!$L$2817+Sens!$L$2819+Sens!$L$2821</f>
        <v>977.285089743165</v>
      </c>
      <c r="M2823" s="38" t="n">
        <f aca="false">Sens!$M$2811+Sens!$M$2813+Sens!$M$2815+Sens!$M$2817+Sens!$M$2819+Sens!$M$2821</f>
        <v>1041.2140185435</v>
      </c>
      <c r="N2823" s="38" t="n">
        <f aca="false">Sens!$N$2811+Sens!$N$2813+Sens!$N$2815+Sens!$N$2817+Sens!$N$2819+Sens!$N$2821</f>
        <v>263.229</v>
      </c>
      <c r="O2823" s="38" t="n">
        <f aca="false">Sens!$O$2811+Sens!$O$2813+Sens!$O$2815+Sens!$O$2817+Sens!$O$2819+Sens!$O$2821</f>
        <v>324.97</v>
      </c>
    </row>
    <row r="2824" customFormat="false" ht="17.15" hidden="false" customHeight="false" outlineLevel="0" collapsed="false">
      <c r="A2824" s="5" t="s">
        <v>636</v>
      </c>
      <c r="B2824" s="0" t="s">
        <v>52</v>
      </c>
      <c r="C2824" s="12" t="n">
        <f aca="false">Q!$D$5/(Q!$D$5+Q!$D$6)</f>
        <v>0.730570905519011</v>
      </c>
      <c r="D2824" s="12" t="n">
        <f aca="false">Q!$E$5/(Q!$E$5+Q!$E$6)</f>
        <v>0.724763217890544</v>
      </c>
      <c r="E2824" s="12" t="n">
        <f aca="false">Q!$P$5/(Q!$P$5+Q!$P$6)</f>
        <v>0.728797972914861</v>
      </c>
      <c r="F2824" s="12" t="n">
        <f aca="false">Sens!$O$2824</f>
        <v>0.718066283041511</v>
      </c>
      <c r="G2824" s="12" t="n">
        <f aca="false">Sens!$G$2825/Sens!$G$2823</f>
        <v>0.722987468473627</v>
      </c>
      <c r="H2824" s="12" t="n">
        <f aca="false">Sens!$G$2824</f>
        <v>0.722987468473627</v>
      </c>
      <c r="I2824" s="12" t="n">
        <f aca="false">Sens!$G$2824</f>
        <v>0.722987468473627</v>
      </c>
      <c r="J2824" s="12" t="n">
        <f aca="false">Sens!$G$2824</f>
        <v>0.722987468473627</v>
      </c>
      <c r="K2824" s="12" t="n">
        <f aca="false">Sens!$G$2824</f>
        <v>0.722987468473627</v>
      </c>
      <c r="L2824" s="12" t="n">
        <f aca="false">Sens!$G$2824</f>
        <v>0.722987468473627</v>
      </c>
      <c r="M2824" s="12" t="n">
        <f aca="false">Sens!$G$2824</f>
        <v>0.722987468473627</v>
      </c>
      <c r="N2824" s="12" t="n">
        <f aca="false">Q!$N$5/(Q!$N$5+Q!$N$6)</f>
        <v>0.733030935041352</v>
      </c>
      <c r="O2824" s="12" t="n">
        <f aca="false">Q!$O$5/(Q!$O$5+Q!$O$6)</f>
        <v>0.718066283041511</v>
      </c>
      <c r="P2824" s="8" t="s">
        <v>637</v>
      </c>
    </row>
    <row r="2825" customFormat="false" ht="17.15" hidden="false" customHeight="false" outlineLevel="0" collapsed="false">
      <c r="A2825" s="1" t="s">
        <v>472</v>
      </c>
      <c r="B2825" s="8" t="s">
        <v>73</v>
      </c>
      <c r="C2825" s="38" t="n">
        <f aca="false">Q!$D$5</f>
        <v>387.497</v>
      </c>
      <c r="D2825" s="38" t="n">
        <f aca="false">Q!$E$5</f>
        <v>426.305</v>
      </c>
      <c r="E2825" s="38" t="n">
        <f aca="false">Q!$P$5</f>
        <v>220.32</v>
      </c>
      <c r="F2825" s="38" t="n">
        <f aca="false">Sens!$F$2823*Sens!$F$2824</f>
        <v>256.304015003807</v>
      </c>
      <c r="G2825" s="38" t="n">
        <f aca="false">Sens!$E$2825+Sens!$F$2825</f>
        <v>476.624015003807</v>
      </c>
      <c r="H2825" s="38" t="n">
        <f aca="false">Sens!$H$2823*Sens!$H$2824</f>
        <v>527.734391091543</v>
      </c>
      <c r="I2825" s="38" t="n">
        <f aca="false">Sens!$I$2823*Sens!$I$2824</f>
        <v>577.157693029577</v>
      </c>
      <c r="J2825" s="38" t="n">
        <f aca="false">Sens!$J$2823*Sens!$J$2824</f>
        <v>623.024923663827</v>
      </c>
      <c r="K2825" s="38" t="n">
        <f aca="false">Sens!$K$2823*Sens!$K$2824</f>
        <v>663.382568393781</v>
      </c>
      <c r="L2825" s="38" t="n">
        <f aca="false">Sens!$L$2823*Sens!$L$2824</f>
        <v>706.564873010432</v>
      </c>
      <c r="M2825" s="38" t="n">
        <f aca="false">Sens!$M$2823*Sens!$M$2824</f>
        <v>752.784687406019</v>
      </c>
      <c r="N2825" s="38" t="n">
        <f aca="false">Q!$N$5</f>
        <v>192.955</v>
      </c>
      <c r="O2825" s="38" t="n">
        <f aca="false">Q!$O$5</f>
        <v>233.35</v>
      </c>
      <c r="P2825" s="5" t="s">
        <v>638</v>
      </c>
    </row>
    <row r="2826" customFormat="false" ht="17.15" hidden="false" customHeight="false" outlineLevel="0" collapsed="false">
      <c r="A2826" s="1" t="s">
        <v>475</v>
      </c>
      <c r="B2826" s="8" t="s">
        <v>73</v>
      </c>
      <c r="C2826" s="38" t="n">
        <f aca="false">Q!$D$6</f>
        <v>142.906</v>
      </c>
      <c r="D2826" s="38" t="n">
        <f aca="false">Q!$E$6</f>
        <v>161.894</v>
      </c>
      <c r="E2826" s="38" t="n">
        <f aca="false">Q!$P$6</f>
        <v>81.986</v>
      </c>
      <c r="F2826" s="38" t="n">
        <f aca="false">Sens!$F$2823*(1-Sens!$F$2824)</f>
        <v>100.632414204623</v>
      </c>
      <c r="G2826" s="38" t="n">
        <f aca="false">Sens!$E$2826+Sens!$F$2826</f>
        <v>182.618414204623</v>
      </c>
      <c r="H2826" s="38" t="n">
        <f aca="false">Sens!$H$2823*(1-Sens!$H$2824)</f>
        <v>202.201346530158</v>
      </c>
      <c r="I2826" s="38" t="n">
        <f aca="false">Sens!$I$2823*(1-Sens!$I$2824)</f>
        <v>221.137876668296</v>
      </c>
      <c r="J2826" s="38" t="n">
        <f aca="false">Sens!$J$2823*(1-Sens!$J$2824)</f>
        <v>238.711898661958</v>
      </c>
      <c r="K2826" s="38" t="n">
        <f aca="false">Sens!$K$2823*(1-Sens!$K$2824)</f>
        <v>254.174923708144</v>
      </c>
      <c r="L2826" s="38" t="n">
        <f aca="false">Sens!$L$2823*(1-Sens!$L$2824)</f>
        <v>270.720216732733</v>
      </c>
      <c r="M2826" s="38" t="n">
        <f aca="false">Sens!$M$2823*(1-Sens!$M$2824)</f>
        <v>288.429331137484</v>
      </c>
      <c r="N2826" s="38" t="n">
        <f aca="false">Q!$N$6</f>
        <v>70.274</v>
      </c>
      <c r="O2826" s="38" t="n">
        <f aca="false">Q!$O$6</f>
        <v>91.62</v>
      </c>
      <c r="P2826" s="5" t="s">
        <v>639</v>
      </c>
    </row>
    <row r="2827" customFormat="false" ht="17.15" hidden="false" customHeight="false" outlineLevel="0" collapsed="false">
      <c r="A2827" s="5" t="s">
        <v>640</v>
      </c>
      <c r="B2827" s="0" t="s">
        <v>73</v>
      </c>
      <c r="C2827" s="38" t="n">
        <f aca="false">Sens!$C$2817*Sens!$C$2824</f>
        <v>41.0683128828457</v>
      </c>
      <c r="D2827" s="38" t="n">
        <f aca="false">Sens!$D$2817*Sens!$D$2824</f>
        <v>49.7441234599175</v>
      </c>
      <c r="E2827" s="38" t="n">
        <f aca="false">Sens!$E$2817*Sens!$E$2824</f>
        <v>27.0034224924414</v>
      </c>
      <c r="F2827" s="38" t="n">
        <f aca="false">Sens!$F$2817*Sens!$F$2824</f>
        <v>34.5772885649197</v>
      </c>
      <c r="G2827" s="38" t="n">
        <f aca="false">Sens!$G$2817*Sens!$G$2824</f>
        <v>61.6023917531772</v>
      </c>
      <c r="H2827" s="38" t="n">
        <f aca="false">Sens!$H$2817*Sens!$H$2824</f>
        <v>73.9568187320519</v>
      </c>
      <c r="I2827" s="38" t="n">
        <f aca="false">Sens!$I$2817*Sens!$I$2824</f>
        <v>86.3101265625461</v>
      </c>
      <c r="J2827" s="38" t="n">
        <f aca="false">Sens!$J$2817*Sens!$J$2824</f>
        <v>97.8339983977065</v>
      </c>
      <c r="K2827" s="38" t="n">
        <f aca="false">Sens!$K$2817*Sens!$K$2824</f>
        <v>107.617398237477</v>
      </c>
      <c r="L2827" s="38" t="n">
        <f aca="false">Sens!$L$2817*Sens!$L$2824</f>
        <v>118.379138061225</v>
      </c>
      <c r="M2827" s="38" t="n">
        <f aca="false">Sens!$M$2817*Sens!$M$2824</f>
        <v>130.217051867347</v>
      </c>
      <c r="N2827" s="38" t="n">
        <f aca="false">Sens!$N$2817*Sens!$N$2824</f>
        <v>21.7087111412496</v>
      </c>
      <c r="O2827" s="38" t="n">
        <f aca="false">Sens!$O$2817*Sens!$O$2824</f>
        <v>28.0189463642798</v>
      </c>
      <c r="P2827" s="5" t="s">
        <v>641</v>
      </c>
    </row>
    <row r="2828" customFormat="false" ht="15" hidden="false" customHeight="false" outlineLevel="0" collapsed="false">
      <c r="A2828" s="5" t="s">
        <v>642</v>
      </c>
      <c r="B2828" s="0" t="s">
        <v>73</v>
      </c>
      <c r="C2828" s="38" t="n">
        <f aca="false">Sens!$C$2817-Sens!$C$2827</f>
        <v>15.1456871171543</v>
      </c>
      <c r="D2828" s="38" t="n">
        <f aca="false">Sens!$D$2817-Sens!$D$2827</f>
        <v>18.8908765400825</v>
      </c>
      <c r="E2828" s="38" t="n">
        <f aca="false">Sens!$E$2817-Sens!$E$2827</f>
        <v>10.0485775075586</v>
      </c>
      <c r="F2828" s="38" t="n">
        <f aca="false">Sens!$F$2817-Sens!$F$2827</f>
        <v>13.5760496178185</v>
      </c>
      <c r="G2828" s="38" t="n">
        <f aca="false">Sens!$G$2817-Sens!$G$2827</f>
        <v>23.6029464295611</v>
      </c>
      <c r="H2828" s="38" t="n">
        <f aca="false">Sens!$H$2817-Sens!$H$2827</f>
        <v>28.3365431268884</v>
      </c>
      <c r="I2828" s="38" t="n">
        <f aca="false">Sens!$I$2817-Sens!$I$2827</f>
        <v>33.0697110226949</v>
      </c>
      <c r="J2828" s="38" t="n">
        <f aca="false">Sens!$J$2817-Sens!$J$2827</f>
        <v>37.4850806511378</v>
      </c>
      <c r="K2828" s="38" t="n">
        <f aca="false">Sens!$K$2817-Sens!$K$2827</f>
        <v>41.2335887162515</v>
      </c>
      <c r="L2828" s="38" t="n">
        <f aca="false">Sens!$L$2817-Sens!$L$2827</f>
        <v>45.3569475878767</v>
      </c>
      <c r="M2828" s="38" t="n">
        <f aca="false">Sens!$M$2817-Sens!$M$2827</f>
        <v>49.8926423466644</v>
      </c>
      <c r="N2828" s="38" t="n">
        <f aca="false">Sens!$N$2817-Sens!$N$2827</f>
        <v>7.90628885875037</v>
      </c>
      <c r="O2828" s="38" t="n">
        <f aca="false">Sens!$O$2817-Sens!$O$2827</f>
        <v>11.0010536357202</v>
      </c>
    </row>
    <row r="2829" customFormat="false" ht="19.4" hidden="false" customHeight="false" outlineLevel="0" collapsed="false">
      <c r="A2829" s="31" t="s">
        <v>1106</v>
      </c>
    </row>
    <row r="2830" customFormat="false" ht="17.15" hidden="false" customHeight="false" outlineLevel="0" collapsed="false">
      <c r="A2830" s="6" t="s">
        <v>16</v>
      </c>
      <c r="B2830" s="6" t="s">
        <v>17</v>
      </c>
      <c r="C2830" s="20" t="s">
        <v>457</v>
      </c>
      <c r="D2830" s="20" t="s">
        <v>458</v>
      </c>
      <c r="E2830" s="20" t="s">
        <v>540</v>
      </c>
      <c r="F2830" s="20" t="s">
        <v>541</v>
      </c>
      <c r="G2830" s="20" t="s">
        <v>542</v>
      </c>
      <c r="H2830" s="20" t="s">
        <v>543</v>
      </c>
      <c r="I2830" s="20" t="s">
        <v>544</v>
      </c>
      <c r="J2830" s="20" t="s">
        <v>545</v>
      </c>
      <c r="K2830" s="20" t="s">
        <v>546</v>
      </c>
      <c r="L2830" s="20" t="s">
        <v>547</v>
      </c>
      <c r="M2830" s="20" t="s">
        <v>548</v>
      </c>
      <c r="N2830" s="20" t="s">
        <v>549</v>
      </c>
      <c r="O2830" s="20" t="s">
        <v>550</v>
      </c>
      <c r="P2830" s="6" t="s">
        <v>23</v>
      </c>
      <c r="R2830" s="20" t="n">
        <v>2023</v>
      </c>
      <c r="S2830" s="20" t="n">
        <v>2024</v>
      </c>
      <c r="T2830" s="20" t="n">
        <v>2025</v>
      </c>
      <c r="U2830" s="20" t="n">
        <v>2026</v>
      </c>
      <c r="V2830" s="20" t="n">
        <v>2027</v>
      </c>
      <c r="W2830" s="20" t="n">
        <v>2028</v>
      </c>
      <c r="X2830" s="20" t="n">
        <v>2029</v>
      </c>
      <c r="Y2830" s="20" t="n">
        <v>2030</v>
      </c>
      <c r="Z2830" s="20" t="n">
        <v>2031</v>
      </c>
      <c r="AA2830" s="20" t="n">
        <v>2032</v>
      </c>
    </row>
    <row r="2831" customFormat="false" ht="17.15" hidden="false" customHeight="false" outlineLevel="0" collapsed="false">
      <c r="A2831" s="1" t="s">
        <v>551</v>
      </c>
    </row>
    <row r="2832" customFormat="false" ht="17.15" hidden="false" customHeight="false" outlineLevel="0" collapsed="false">
      <c r="A2832" s="14" t="s">
        <v>552</v>
      </c>
      <c r="B2832" s="13" t="s">
        <v>108</v>
      </c>
      <c r="C2832" s="32" t="n">
        <f aca="false">mw_ye24</f>
        <v>360</v>
      </c>
      <c r="D2832" s="32" t="n">
        <f aca="false">mw_ye25</f>
        <v>1440</v>
      </c>
      <c r="E2832" s="32" t="n">
        <f aca="false">mw_open</f>
        <v>2080</v>
      </c>
      <c r="F2832" s="32" t="n">
        <f aca="false">Sens!$E$2832+pace_B*0.5</f>
        <v>3897.15</v>
      </c>
      <c r="G2832" s="32" t="n">
        <f aca="false">Sens!$F$2832</f>
        <v>3897.15</v>
      </c>
      <c r="H2832" s="32" t="n">
        <f aca="false">Sens!$G$2832+pace_B</f>
        <v>7531.45</v>
      </c>
      <c r="I2832" s="32" t="n">
        <f aca="false">Sens!$H$2832+pace_B</f>
        <v>11165.75</v>
      </c>
      <c r="J2832" s="32" t="n">
        <f aca="false">Sens!$I$2832+pace_B</f>
        <v>14800.05</v>
      </c>
      <c r="K2832" s="32" t="n">
        <f aca="false">Sens!$J$2832+pace_B</f>
        <v>18434.35</v>
      </c>
      <c r="L2832" s="32" t="n">
        <f aca="false">Sens!$K$2832+pace_B</f>
        <v>22068.65</v>
      </c>
      <c r="M2832" s="32" t="n">
        <f aca="false">Sens!$L$2832+pace_B</f>
        <v>25702.95</v>
      </c>
      <c r="N2832" s="32" t="n">
        <f aca="false">(mw_ye24+mw_ye25)/2</f>
        <v>900</v>
      </c>
      <c r="O2832" s="32" t="n">
        <f aca="false">mw_ye25</f>
        <v>1440</v>
      </c>
      <c r="P2832" s="5" t="s">
        <v>553</v>
      </c>
    </row>
    <row r="2833" customFormat="false" ht="17.15" hidden="false" customHeight="false" outlineLevel="0" collapsed="false">
      <c r="A2833" s="5" t="s">
        <v>554</v>
      </c>
      <c r="B2833" s="0" t="s">
        <v>108</v>
      </c>
      <c r="C2833" s="33" t="n">
        <f aca="false">(mw_ye23+mw_ye24)/2</f>
        <v>240</v>
      </c>
      <c r="D2833" s="33" t="n">
        <f aca="false">(Sens!$C$2832+Sens!$D$2832)/2</f>
        <v>900</v>
      </c>
      <c r="E2833" s="33" t="n">
        <f aca="false">(Sens!$D$2832+Sens!$E$2832)/2</f>
        <v>1760</v>
      </c>
      <c r="F2833" s="33" t="n">
        <f aca="false">(Sens!$E$2832+Sens!$F$2832)/2</f>
        <v>2988.575</v>
      </c>
      <c r="G2833" s="33" t="n">
        <f aca="false">(Sens!$E$2833+Sens!$F$2833)/2</f>
        <v>2374.2875</v>
      </c>
      <c r="H2833" s="33" t="n">
        <f aca="false">(Sens!$G$2832+Sens!$H$2832)/2</f>
        <v>5714.3</v>
      </c>
      <c r="I2833" s="33" t="n">
        <f aca="false">(Sens!$H$2832+Sens!$I$2832)/2</f>
        <v>9348.6</v>
      </c>
      <c r="J2833" s="33" t="n">
        <f aca="false">(Sens!$I$2832+Sens!$J$2832)/2</f>
        <v>12982.9</v>
      </c>
      <c r="K2833" s="33" t="n">
        <f aca="false">(Sens!$J$2832+Sens!$K$2832)/2</f>
        <v>16617.2</v>
      </c>
      <c r="L2833" s="33" t="n">
        <f aca="false">(Sens!$K$2832+Sens!$L$2832)/2</f>
        <v>20251.5</v>
      </c>
      <c r="M2833" s="33" t="n">
        <f aca="false">(Sens!$L$2832+Sens!$M$2832)/2</f>
        <v>23885.8</v>
      </c>
      <c r="N2833" s="33" t="n">
        <f aca="false">(Sens!$C$2832+Sens!$N$2832)/2</f>
        <v>630</v>
      </c>
      <c r="O2833" s="33" t="n">
        <f aca="false">(Sens!$N$2832+Sens!$O$2832)/2</f>
        <v>1170</v>
      </c>
    </row>
    <row r="2834" customFormat="false" ht="15" hidden="false" customHeight="false" outlineLevel="0" collapsed="false">
      <c r="A2834" s="5" t="s">
        <v>555</v>
      </c>
      <c r="B2834" s="5" t="s">
        <v>102</v>
      </c>
      <c r="C2834" s="34" t="n">
        <v>1</v>
      </c>
      <c r="D2834" s="34" t="n">
        <v>1</v>
      </c>
      <c r="E2834" s="34" t="n">
        <v>0.5</v>
      </c>
      <c r="F2834" s="34" t="n">
        <v>0.5</v>
      </c>
      <c r="G2834" s="34" t="n">
        <v>1</v>
      </c>
      <c r="H2834" s="34" t="n">
        <v>1</v>
      </c>
      <c r="I2834" s="34" t="n">
        <v>1</v>
      </c>
      <c r="J2834" s="34" t="n">
        <v>1</v>
      </c>
      <c r="K2834" s="34" t="n">
        <v>1</v>
      </c>
      <c r="L2834" s="34" t="n">
        <v>1</v>
      </c>
      <c r="M2834" s="34" t="n">
        <v>1</v>
      </c>
      <c r="N2834" s="34" t="n">
        <v>0.5</v>
      </c>
      <c r="O2834" s="34" t="n">
        <v>0.5</v>
      </c>
    </row>
    <row r="2835" customFormat="false" ht="17.15" hidden="false" customHeight="false" outlineLevel="0" collapsed="false">
      <c r="A2835" s="5" t="s">
        <v>556</v>
      </c>
      <c r="B2835" s="0" t="s">
        <v>108</v>
      </c>
      <c r="C2835" s="33" t="n">
        <f aca="false">Sens!$C$2832-mw_ye23</f>
        <v>240</v>
      </c>
      <c r="D2835" s="33" t="n">
        <f aca="false">Sens!$D$2832-Sens!$C$2832</f>
        <v>1080</v>
      </c>
      <c r="E2835" s="33" t="n">
        <f aca="false">Sens!$E$2832-Sens!$D$2832</f>
        <v>640</v>
      </c>
      <c r="F2835" s="33" t="n">
        <f aca="false">Sens!$F$2832-Sens!$E$2832</f>
        <v>1817.15</v>
      </c>
      <c r="G2835" s="33" t="n">
        <f aca="false">Sens!$E$2835+Sens!$F$2835</f>
        <v>2457.15</v>
      </c>
      <c r="H2835" s="33" t="n">
        <f aca="false">Sens!$H$2832-Sens!$G$2832</f>
        <v>3634.3</v>
      </c>
      <c r="I2835" s="33" t="n">
        <f aca="false">Sens!$I$2832-Sens!$H$2832</f>
        <v>3634.3</v>
      </c>
      <c r="J2835" s="33" t="n">
        <f aca="false">Sens!$J$2832-Sens!$I$2832</f>
        <v>3634.3</v>
      </c>
      <c r="K2835" s="33" t="n">
        <f aca="false">Sens!$K$2832-Sens!$J$2832</f>
        <v>3634.3</v>
      </c>
      <c r="L2835" s="33" t="n">
        <f aca="false">Sens!$L$2832-Sens!$K$2832</f>
        <v>3634.3</v>
      </c>
      <c r="M2835" s="33" t="n">
        <f aca="false">Sens!$M$2832-Sens!$L$2832</f>
        <v>3634.3</v>
      </c>
      <c r="N2835" s="33" t="n">
        <f aca="false">Sens!$N$2832-Sens!$C$2832</f>
        <v>540</v>
      </c>
      <c r="O2835" s="33" t="n">
        <f aca="false">Sens!$O$2832-Sens!$N$2832</f>
        <v>540</v>
      </c>
    </row>
    <row r="2836" customFormat="false" ht="17.15" hidden="false" customHeight="false" outlineLevel="0" collapsed="false">
      <c r="A2836" s="5" t="s">
        <v>557</v>
      </c>
      <c r="B2836" s="0" t="s">
        <v>108</v>
      </c>
      <c r="C2836" s="33" t="n">
        <f aca="false">Sens!$C$2835/ext_sh</f>
        <v>300</v>
      </c>
      <c r="D2836" s="33" t="n">
        <f aca="false">Sens!$D$2835/ext_sh</f>
        <v>1350</v>
      </c>
      <c r="E2836" s="33" t="n">
        <f aca="false">Sens!$E$2835/ext_sh</f>
        <v>800</v>
      </c>
      <c r="F2836" s="33" t="n">
        <f aca="false">Sens!$F$2835/ext_sh</f>
        <v>2271.4375</v>
      </c>
      <c r="G2836" s="33" t="n">
        <f aca="false">Sens!$G$2835/ext_sh</f>
        <v>3071.4375</v>
      </c>
      <c r="H2836" s="33" t="n">
        <f aca="false">Sens!$H$2835/ext_sh</f>
        <v>4542.875</v>
      </c>
      <c r="I2836" s="33" t="n">
        <f aca="false">Sens!$I$2835/ext_sh</f>
        <v>4542.875</v>
      </c>
      <c r="J2836" s="33" t="n">
        <f aca="false">Sens!$J$2835/ext_sh</f>
        <v>4542.875</v>
      </c>
      <c r="K2836" s="33" t="n">
        <f aca="false">Sens!$K$2835/ext_sh</f>
        <v>4542.875</v>
      </c>
      <c r="L2836" s="33" t="n">
        <f aca="false">Sens!$L$2835/ext_sh</f>
        <v>4542.875</v>
      </c>
      <c r="M2836" s="33" t="n">
        <f aca="false">Sens!$M$2835/ext_sh</f>
        <v>4542.875</v>
      </c>
      <c r="N2836" s="33" t="n">
        <f aca="false">Sens!$N$2835/ext_sh</f>
        <v>675</v>
      </c>
      <c r="O2836" s="33" t="n">
        <f aca="false">Sens!$O$2835/ext_sh</f>
        <v>675</v>
      </c>
      <c r="P2836" s="8" t="s">
        <v>558</v>
      </c>
      <c r="R2836" s="33" t="n">
        <f aca="false">mw_ye23/ext_sh</f>
        <v>150</v>
      </c>
      <c r="S2836" s="33" t="n">
        <f aca="false">Sens!$C$2836</f>
        <v>300</v>
      </c>
      <c r="T2836" s="33" t="n">
        <f aca="false">Sens!$D$2836</f>
        <v>1350</v>
      </c>
      <c r="U2836" s="33" t="n">
        <f aca="false">Sens!$G$2836</f>
        <v>3071.4375</v>
      </c>
      <c r="V2836" s="33" t="n">
        <f aca="false">Sens!$H$2836</f>
        <v>4542.875</v>
      </c>
      <c r="W2836" s="33" t="n">
        <f aca="false">Sens!$I$2836</f>
        <v>4542.875</v>
      </c>
      <c r="X2836" s="33" t="n">
        <f aca="false">Sens!$J$2836</f>
        <v>4542.875</v>
      </c>
      <c r="Y2836" s="33" t="n">
        <f aca="false">Sens!$K$2836</f>
        <v>4542.875</v>
      </c>
      <c r="Z2836" s="33" t="n">
        <f aca="false">Sens!$L$2836</f>
        <v>4542.875</v>
      </c>
      <c r="AA2836" s="33" t="n">
        <f aca="false">Sens!$M$2836</f>
        <v>4542.875</v>
      </c>
    </row>
    <row r="2837" customFormat="false" ht="17.15" hidden="false" customHeight="false" outlineLevel="0" collapsed="false">
      <c r="A2837" s="1" t="s">
        <v>559</v>
      </c>
    </row>
    <row r="2838" customFormat="false" ht="17.15" hidden="false" customHeight="false" outlineLevel="0" collapsed="false">
      <c r="A2838" s="0" t="s">
        <v>560</v>
      </c>
      <c r="B2838" s="0" t="s">
        <v>52</v>
      </c>
      <c r="F2838" s="35" t="n">
        <f aca="false">na_vr26</f>
        <v>0</v>
      </c>
      <c r="G2838" s="35" t="n">
        <f aca="false">na_vr26</f>
        <v>0</v>
      </c>
      <c r="H2838" s="35" t="n">
        <f aca="false">na_vr27</f>
        <v>0.5</v>
      </c>
      <c r="I2838" s="35" t="n">
        <f aca="false">na_vr28</f>
        <v>1</v>
      </c>
      <c r="J2838" s="35" t="n">
        <f aca="false">na_vr28</f>
        <v>1</v>
      </c>
      <c r="K2838" s="35" t="n">
        <f aca="false">na_vr28</f>
        <v>1</v>
      </c>
      <c r="L2838" s="35" t="n">
        <f aca="false">na_vr28</f>
        <v>1</v>
      </c>
      <c r="M2838" s="35" t="n">
        <f aca="false">na_vr28</f>
        <v>1</v>
      </c>
    </row>
    <row r="2839" customFormat="false" ht="17.15" hidden="false" customHeight="false" outlineLevel="0" collapsed="false">
      <c r="A2839" s="5" t="s">
        <v>561</v>
      </c>
      <c r="B2839" s="0" t="s">
        <v>151</v>
      </c>
      <c r="F2839" s="36" t="n">
        <f aca="false">cust_sh*tk_he_gb300*cf_chip+(1-cust_sh)*((1-Sens!$F$2838)*tk_he_gb300+Sens!$F$2838*tk_he_vr200)</f>
        <v>10.8864110021101</v>
      </c>
      <c r="G2839" s="36" t="n">
        <f aca="false">cust_sh*tk_he_gb300*cf_chip+(1-cust_sh)*((1-Sens!$G$2838)*tk_he_gb300+Sens!$G$2838*tk_he_vr200)</f>
        <v>10.8864110021101</v>
      </c>
      <c r="H2839" s="36" t="n">
        <f aca="false">cust_sh*tk_he_gb300*cf_chip+(1-cust_sh)*((1-Sens!$H$2838)*tk_he_gb300+Sens!$H$2838*tk_he_vr200)</f>
        <v>11.2211760027286</v>
      </c>
      <c r="I2839" s="36" t="n">
        <f aca="false">cust_sh*tk_he_gb300*cf_chip+(1-cust_sh)*((1-Sens!$I$2838)*tk_he_gb300+Sens!$I$2838*tk_he_vr200)</f>
        <v>11.5559410033471</v>
      </c>
      <c r="J2839" s="36" t="n">
        <f aca="false">cust_sh*tk_he_gb300*cf_chip+(1-cust_sh)*((1-Sens!$J$2838)*tk_he_gb300+Sens!$J$2838*tk_he_vr200)</f>
        <v>11.5559410033471</v>
      </c>
      <c r="K2839" s="36" t="n">
        <f aca="false">cust_sh*tk_he_gb300*cf_chip+(1-cust_sh)*((1-Sens!$K$2838)*tk_he_gb300+Sens!$K$2838*tk_he_vr200)</f>
        <v>11.5559410033471</v>
      </c>
      <c r="L2839" s="36" t="n">
        <f aca="false">cust_sh*tk_he_gb300*cf_chip+(1-cust_sh)*((1-Sens!$L$2838)*tk_he_gb300+Sens!$L$2838*tk_he_vr200)</f>
        <v>11.5559410033471</v>
      </c>
      <c r="M2839" s="36" t="n">
        <f aca="false">cust_sh*tk_he_gb300*cf_chip+(1-cust_sh)*((1-Sens!$M$2838)*tk_he_gb300+Sens!$M$2838*tk_he_vr200)</f>
        <v>11.5559410033471</v>
      </c>
    </row>
    <row r="2840" customFormat="false" ht="17.15" hidden="false" customHeight="false" outlineLevel="0" collapsed="false">
      <c r="A2840" s="5" t="s">
        <v>562</v>
      </c>
      <c r="B2840" s="0" t="s">
        <v>151</v>
      </c>
      <c r="F2840" s="36" t="n">
        <f aca="false">cust_sh*tk_ox_gb300+(1-cust_sh)*((1-Sens!$F$2838)*tk_ox_gb300+Sens!$F$2838*tk_ox_vr200)</f>
        <v>1.98263481314457</v>
      </c>
      <c r="G2840" s="36" t="n">
        <f aca="false">cust_sh*tk_ox_gb300+(1-cust_sh)*((1-Sens!$G$2838)*tk_ox_gb300+Sens!$G$2838*tk_ox_vr200)</f>
        <v>1.98263481314457</v>
      </c>
      <c r="H2840" s="36" t="n">
        <f aca="false">cust_sh*tk_ox_gb300+(1-cust_sh)*((1-Sens!$H$2838)*tk_ox_gb300+Sens!$H$2838*tk_ox_vr200)</f>
        <v>2.01034999693694</v>
      </c>
      <c r="I2840" s="36" t="n">
        <f aca="false">cust_sh*tk_ox_gb300+(1-cust_sh)*((1-Sens!$I$2838)*tk_ox_gb300+Sens!$I$2838*tk_ox_vr200)</f>
        <v>2.0380651807293</v>
      </c>
      <c r="J2840" s="36" t="n">
        <f aca="false">cust_sh*tk_ox_gb300+(1-cust_sh)*((1-Sens!$J$2838)*tk_ox_gb300+Sens!$J$2838*tk_ox_vr200)</f>
        <v>2.0380651807293</v>
      </c>
      <c r="K2840" s="36" t="n">
        <f aca="false">cust_sh*tk_ox_gb300+(1-cust_sh)*((1-Sens!$K$2838)*tk_ox_gb300+Sens!$K$2838*tk_ox_vr200)</f>
        <v>2.0380651807293</v>
      </c>
      <c r="L2840" s="36" t="n">
        <f aca="false">cust_sh*tk_ox_gb300+(1-cust_sh)*((1-Sens!$L$2838)*tk_ox_gb300+Sens!$L$2838*tk_ox_vr200)</f>
        <v>2.0380651807293</v>
      </c>
      <c r="M2840" s="36" t="n">
        <f aca="false">cust_sh*tk_ox_gb300+(1-cust_sh)*((1-Sens!$M$2838)*tk_ox_gb300+Sens!$M$2838*tk_ox_vr200)</f>
        <v>2.0380651807293</v>
      </c>
    </row>
    <row r="2841" customFormat="false" ht="17.15" hidden="false" customHeight="false" outlineLevel="0" collapsed="false">
      <c r="A2841" s="5" t="s">
        <v>563</v>
      </c>
      <c r="B2841" s="0" t="s">
        <v>170</v>
      </c>
      <c r="F2841" s="36" t="n">
        <f aca="false">cust_sh*tk_cx_gb300*cf_cx+(1-cust_sh)*((1-Sens!$F$2838)*tk_cx_gb300+Sens!$F$2838*tk_cx_vr200)</f>
        <v>32.237224</v>
      </c>
      <c r="G2841" s="36" t="n">
        <f aca="false">cust_sh*tk_cx_gb300*cf_cx+(1-cust_sh)*((1-Sens!$G$2838)*tk_cx_gb300+Sens!$G$2838*tk_cx_vr200)</f>
        <v>32.237224</v>
      </c>
      <c r="H2841" s="36" t="n">
        <f aca="false">cust_sh*tk_cx_gb300*cf_cx+(1-cust_sh)*((1-Sens!$H$2838)*tk_cx_gb300+Sens!$H$2838*tk_cx_vr200)</f>
        <v>33.574506</v>
      </c>
      <c r="I2841" s="36" t="n">
        <f aca="false">cust_sh*tk_cx_gb300*cf_cx+(1-cust_sh)*((1-Sens!$I$2838)*tk_cx_gb300+Sens!$I$2838*tk_cx_vr200)</f>
        <v>34.911788</v>
      </c>
      <c r="J2841" s="36" t="n">
        <f aca="false">cust_sh*tk_cx_gb300*cf_cx+(1-cust_sh)*((1-Sens!$J$2838)*tk_cx_gb300+Sens!$J$2838*tk_cx_vr200)</f>
        <v>34.911788</v>
      </c>
      <c r="K2841" s="36" t="n">
        <f aca="false">cust_sh*tk_cx_gb300*cf_cx+(1-cust_sh)*((1-Sens!$K$2838)*tk_cx_gb300+Sens!$K$2838*tk_cx_vr200)</f>
        <v>34.911788</v>
      </c>
      <c r="L2841" s="36" t="n">
        <f aca="false">cust_sh*tk_cx_gb300*cf_cx+(1-cust_sh)*((1-Sens!$L$2838)*tk_cx_gb300+Sens!$L$2838*tk_cx_vr200)</f>
        <v>34.911788</v>
      </c>
      <c r="M2841" s="36" t="n">
        <f aca="false">cust_sh*tk_cx_gb300*cf_cx+(1-cust_sh)*((1-Sens!$M$2838)*tk_cx_gb300+Sens!$M$2838*tk_cx_vr200)</f>
        <v>34.911788</v>
      </c>
    </row>
    <row r="2842" customFormat="false" ht="17.15" hidden="false" customHeight="false" outlineLevel="0" collapsed="false">
      <c r="A2842" s="5" t="s">
        <v>564</v>
      </c>
      <c r="B2842" s="0" t="s">
        <v>108</v>
      </c>
      <c r="F2842" s="33" t="n">
        <f aca="false">Sens!$F$2832-mw_open</f>
        <v>1817.15</v>
      </c>
      <c r="G2842" s="33" t="n">
        <f aca="false">Sens!$F$2842</f>
        <v>1817.15</v>
      </c>
      <c r="H2842" s="33" t="n">
        <f aca="false">Sens!$H$2832-mw_open</f>
        <v>5451.45</v>
      </c>
      <c r="I2842" s="33" t="n">
        <f aca="false">Sens!$I$2832-mw_open</f>
        <v>9085.75</v>
      </c>
      <c r="J2842" s="33" t="n">
        <f aca="false">Sens!$J$2832-mw_open</f>
        <v>12720.05</v>
      </c>
      <c r="K2842" s="33" t="n">
        <f aca="false">Sens!$K$2832-mw_open</f>
        <v>16354.35</v>
      </c>
      <c r="L2842" s="33" t="n">
        <f aca="false">Sens!$L$2832-mw_open</f>
        <v>19988.65</v>
      </c>
      <c r="M2842" s="33" t="n">
        <f aca="false">Sens!$M$2832-mw_open</f>
        <v>23622.95</v>
      </c>
    </row>
    <row r="2843" customFormat="false" ht="17.15" hidden="false" customHeight="false" outlineLevel="0" collapsed="false">
      <c r="A2843" s="0" t="s">
        <v>565</v>
      </c>
      <c r="B2843" s="0" t="s">
        <v>566</v>
      </c>
      <c r="F2843" s="33" t="n">
        <f aca="false">Sens!$F$2835*Sens!$F$2839</f>
        <v>19782.2417524844</v>
      </c>
      <c r="G2843" s="33" t="n">
        <f aca="false">Sens!$F$2843</f>
        <v>19782.2417524844</v>
      </c>
      <c r="H2843" s="33" t="n">
        <f aca="false">Sens!$G$2843+Sens!$H$2835*Sens!$H$2839</f>
        <v>60563.3616992009</v>
      </c>
      <c r="I2843" s="33" t="n">
        <f aca="false">Sens!$H$2843+Sens!$I$2835*Sens!$I$2839</f>
        <v>102561.118087665</v>
      </c>
      <c r="J2843" s="33" t="n">
        <f aca="false">Sens!$I$2843+Sens!$J$2835*Sens!$J$2839</f>
        <v>144558.87447613</v>
      </c>
      <c r="K2843" s="33" t="n">
        <f aca="false">Sens!$J$2843+Sens!$K$2835*Sens!$K$2839</f>
        <v>186556.630864594</v>
      </c>
      <c r="L2843" s="33" t="n">
        <f aca="false">Sens!$K$2843+Sens!$L$2835*Sens!$L$2839</f>
        <v>228554.387253058</v>
      </c>
      <c r="M2843" s="33" t="n">
        <f aca="false">Sens!$L$2843+Sens!$M$2835*Sens!$M$2839</f>
        <v>270552.143641523</v>
      </c>
    </row>
    <row r="2844" customFormat="false" ht="17.15" hidden="false" customHeight="false" outlineLevel="0" collapsed="false">
      <c r="A2844" s="0" t="s">
        <v>567</v>
      </c>
      <c r="B2844" s="0" t="s">
        <v>566</v>
      </c>
      <c r="F2844" s="33" t="n">
        <f aca="false">Sens!$F$2835*Sens!$F$2840</f>
        <v>3602.74485070566</v>
      </c>
      <c r="G2844" s="33" t="n">
        <f aca="false">Sens!$F$2844</f>
        <v>3602.74485070566</v>
      </c>
      <c r="H2844" s="33" t="n">
        <f aca="false">Sens!$G$2844+Sens!$H$2835*Sens!$H$2840</f>
        <v>10908.9598445736</v>
      </c>
      <c r="I2844" s="33" t="n">
        <f aca="false">Sens!$H$2844+Sens!$I$2835*Sens!$I$2840</f>
        <v>18315.9001308981</v>
      </c>
      <c r="J2844" s="33" t="n">
        <f aca="false">Sens!$I$2844+Sens!$J$2835*Sens!$J$2840</f>
        <v>25722.8404172225</v>
      </c>
      <c r="K2844" s="33" t="n">
        <f aca="false">Sens!$J$2844+Sens!$K$2835*Sens!$K$2840</f>
        <v>33129.780703547</v>
      </c>
      <c r="L2844" s="33" t="n">
        <f aca="false">Sens!$K$2844+Sens!$L$2835*Sens!$L$2840</f>
        <v>40536.7209898715</v>
      </c>
      <c r="M2844" s="33" t="n">
        <f aca="false">Sens!$L$2844+Sens!$M$2835*Sens!$M$2840</f>
        <v>47943.661276196</v>
      </c>
    </row>
    <row r="2845" customFormat="false" ht="17.15" hidden="false" customHeight="false" outlineLevel="0" collapsed="false">
      <c r="A2845" s="5" t="s">
        <v>568</v>
      </c>
      <c r="B2845" s="0" t="s">
        <v>151</v>
      </c>
      <c r="F2845" s="36" t="n">
        <f aca="false">IF(Sens!$F$2842&gt;0,Sens!$F$2843/Sens!$F$2842,Sens!$F$2839)</f>
        <v>10.8864110021101</v>
      </c>
      <c r="G2845" s="36" t="n">
        <f aca="false">IF(Sens!$G$2842&gt;0,Sens!$G$2843/Sens!$G$2842,Sens!$G$2839)</f>
        <v>10.8864110021101</v>
      </c>
      <c r="H2845" s="36" t="n">
        <f aca="false">IF(Sens!$H$2842&gt;0,Sens!$H$2843/Sens!$H$2842,Sens!$H$2839)</f>
        <v>11.1095876691891</v>
      </c>
      <c r="I2845" s="36" t="n">
        <f aca="false">IF(Sens!$I$2842&gt;0,Sens!$I$2843/Sens!$I$2842,Sens!$I$2839)</f>
        <v>11.2881290028523</v>
      </c>
      <c r="J2845" s="36" t="n">
        <f aca="false">IF(Sens!$J$2842&gt;0,Sens!$J$2843/Sens!$J$2842,Sens!$J$2839)</f>
        <v>11.3646467172794</v>
      </c>
      <c r="K2845" s="36" t="n">
        <f aca="false">IF(Sens!$K$2842&gt;0,Sens!$K$2843/Sens!$K$2842,Sens!$K$2839)</f>
        <v>11.4071565586278</v>
      </c>
      <c r="L2845" s="36" t="n">
        <f aca="false">IF(Sens!$L$2842&gt;0,Sens!$L$2843/Sens!$L$2842,Sens!$L$2839)</f>
        <v>11.4342082758495</v>
      </c>
      <c r="M2845" s="36" t="n">
        <f aca="false">IF(Sens!$M$2842&gt;0,Sens!$M$2843/Sens!$M$2842,Sens!$M$2839)</f>
        <v>11.4529363877722</v>
      </c>
    </row>
    <row r="2846" customFormat="false" ht="17.15" hidden="false" customHeight="false" outlineLevel="0" collapsed="false">
      <c r="A2846" s="5" t="s">
        <v>569</v>
      </c>
      <c r="B2846" s="0" t="s">
        <v>151</v>
      </c>
      <c r="F2846" s="36" t="n">
        <f aca="false">IF(Sens!$F$2842&gt;0,Sens!$F$2844/Sens!$F$2842,Sens!$F$2840)</f>
        <v>1.98263481314457</v>
      </c>
      <c r="G2846" s="36" t="n">
        <f aca="false">IF(Sens!$G$2842&gt;0,Sens!$G$2844/Sens!$G$2842,Sens!$G$2840)</f>
        <v>1.98263481314457</v>
      </c>
      <c r="H2846" s="36" t="n">
        <f aca="false">IF(Sens!$H$2842&gt;0,Sens!$H$2844/Sens!$H$2842,Sens!$H$2840)</f>
        <v>2.00111160233948</v>
      </c>
      <c r="I2846" s="36" t="n">
        <f aca="false">IF(Sens!$I$2842&gt;0,Sens!$I$2844/Sens!$I$2842,Sens!$I$2840)</f>
        <v>2.01589303369541</v>
      </c>
      <c r="J2846" s="36" t="n">
        <f aca="false">IF(Sens!$J$2842&gt;0,Sens!$J$2844/Sens!$J$2842,Sens!$J$2840)</f>
        <v>2.02222793284795</v>
      </c>
      <c r="K2846" s="36" t="n">
        <f aca="false">IF(Sens!$K$2842&gt;0,Sens!$K$2844/Sens!$K$2842,Sens!$K$2840)</f>
        <v>2.02574732126603</v>
      </c>
      <c r="L2846" s="36" t="n">
        <f aca="false">IF(Sens!$L$2842&gt;0,Sens!$L$2844/Sens!$L$2842,Sens!$L$2840)</f>
        <v>2.02798693207753</v>
      </c>
      <c r="M2846" s="36" t="n">
        <f aca="false">IF(Sens!$M$2842&gt;0,Sens!$M$2844/Sens!$M$2842,Sens!$M$2840)</f>
        <v>2.02953743187011</v>
      </c>
    </row>
    <row r="2847" customFormat="false" ht="17.15" hidden="false" customHeight="false" outlineLevel="0" collapsed="false">
      <c r="A2847" s="14" t="s">
        <v>570</v>
      </c>
      <c r="B2847" s="13" t="s">
        <v>151</v>
      </c>
      <c r="C2847" s="13"/>
      <c r="D2847" s="13"/>
      <c r="E2847" s="13"/>
      <c r="F2847" s="37" t="n">
        <f aca="false">Sens!$F$2845*k_B</f>
        <v>10.7987645808025</v>
      </c>
      <c r="G2847" s="37" t="n">
        <f aca="false">Sens!$G$2845*k_B</f>
        <v>10.7987645808025</v>
      </c>
      <c r="H2847" s="37" t="n">
        <f aca="false">Sens!$H$2845*k_B</f>
        <v>11.0201444540452</v>
      </c>
      <c r="I2847" s="37" t="n">
        <f aca="false">Sens!$I$2845*k_B</f>
        <v>11.1972483526393</v>
      </c>
      <c r="J2847" s="37" t="n">
        <f aca="false">Sens!$J$2845*k_B</f>
        <v>11.2731500234653</v>
      </c>
      <c r="K2847" s="37" t="n">
        <f aca="false">Sens!$K$2845*k_B</f>
        <v>11.3153176183687</v>
      </c>
      <c r="L2847" s="37" t="n">
        <f aca="false">Sens!$L$2845*k_B</f>
        <v>11.3421515423981</v>
      </c>
      <c r="M2847" s="37" t="n">
        <f aca="false">Sens!$M$2845*k_B</f>
        <v>11.3607288744184</v>
      </c>
      <c r="N2847" s="13"/>
      <c r="O2847" s="13"/>
      <c r="P2847" s="5" t="s">
        <v>571</v>
      </c>
    </row>
    <row r="2848" customFormat="false" ht="17.15" hidden="false" customHeight="false" outlineLevel="0" collapsed="false">
      <c r="A2848" s="5" t="s">
        <v>572</v>
      </c>
      <c r="B2848" s="0" t="s">
        <v>108</v>
      </c>
      <c r="F2848" s="33" t="n">
        <f aca="false">Sens!$F$2842/2</f>
        <v>908.575</v>
      </c>
      <c r="H2848" s="33" t="n">
        <f aca="false">(Sens!$G$2842+Sens!$H$2842)/2</f>
        <v>3634.3</v>
      </c>
      <c r="I2848" s="33" t="n">
        <f aca="false">(Sens!$H$2842+Sens!$I$2842)/2</f>
        <v>7268.6</v>
      </c>
      <c r="J2848" s="33" t="n">
        <f aca="false">(Sens!$I$2842+Sens!$J$2842)/2</f>
        <v>10902.9</v>
      </c>
      <c r="K2848" s="33" t="n">
        <f aca="false">(Sens!$J$2842+Sens!$K$2842)/2</f>
        <v>14537.2</v>
      </c>
      <c r="L2848" s="33" t="n">
        <f aca="false">(Sens!$K$2842+Sens!$L$2842)/2</f>
        <v>18171.5</v>
      </c>
      <c r="M2848" s="33" t="n">
        <f aca="false">(Sens!$L$2842+Sens!$M$2842)/2</f>
        <v>21805.8</v>
      </c>
    </row>
    <row r="2849" customFormat="false" ht="17.15" hidden="false" customHeight="false" outlineLevel="0" collapsed="false">
      <c r="A2849" s="1" t="s">
        <v>573</v>
      </c>
    </row>
    <row r="2850" customFormat="false" ht="17.15" hidden="false" customHeight="false" outlineLevel="0" collapsed="false">
      <c r="A2850" s="1" t="s">
        <v>574</v>
      </c>
      <c r="B2850" s="8" t="s">
        <v>73</v>
      </c>
      <c r="C2850" s="38" t="n">
        <f aca="false">Sens!$C$2833*rpm_open*Sens!$C$2834/1000</f>
        <v>2.32100535697364</v>
      </c>
      <c r="D2850" s="38" t="n">
        <f aca="false">Sens!$D$2833*rpm_open*Sens!$D$2834/1000</f>
        <v>8.70377008865116</v>
      </c>
      <c r="E2850" s="38" t="n">
        <f aca="false">Sens!$E$2833*rpm_open*Sens!$E$2834/1000</f>
        <v>8.51035297557002</v>
      </c>
      <c r="F2850" s="38" t="n">
        <f aca="false">(mw_open*rpm_open+Sens!$F$2848*Sens!$F$2847)*Sens!$F$2834/1000</f>
        <v>14.9634336447205</v>
      </c>
      <c r="G2850" s="38" t="n">
        <f aca="false">Sens!$E$2850+Sens!$F$2850</f>
        <v>23.4737866202905</v>
      </c>
      <c r="H2850" s="38" t="n">
        <f aca="false">(mw_open*rpm_open+Sens!$H$2848*Sens!$H$2847)/1000</f>
        <v>60.1658907497746</v>
      </c>
      <c r="I2850" s="38" t="n">
        <f aca="false">(mw_open*rpm_open+Sens!$I$2848*Sens!$I$2847)/1000</f>
        <v>101.503699136432</v>
      </c>
      <c r="J2850" s="38" t="n">
        <f aca="false">(mw_open*rpm_open+Sens!$J$2848*Sens!$J$2847)/1000</f>
        <v>143.025407151278</v>
      </c>
      <c r="K2850" s="38" t="n">
        <f aca="false">(mw_open*rpm_open+Sens!$K$2848*Sens!$K$2847)/1000</f>
        <v>184.608415042187</v>
      </c>
      <c r="L2850" s="38" t="n">
        <f aca="false">(mw_open*rpm_open+Sens!$L$2848*Sens!$L$2847)/1000</f>
        <v>226.219286513125</v>
      </c>
      <c r="M2850" s="38" t="n">
        <f aca="false">(mw_open*rpm_open+Sens!$M$2848*Sens!$M$2847)/1000</f>
        <v>267.845161450232</v>
      </c>
      <c r="N2850" s="38" t="n">
        <f aca="false">Sens!$N$2833*rpm_open*Sens!$N$2834/1000</f>
        <v>3.04631953102791</v>
      </c>
      <c r="O2850" s="38" t="n">
        <f aca="false">Sens!$O$2833*rpm_open*Sens!$O$2834/1000</f>
        <v>5.65745055762326</v>
      </c>
      <c r="P2850" s="5" t="s">
        <v>575</v>
      </c>
    </row>
    <row r="2851" customFormat="false" ht="17.15" hidden="false" customHeight="false" outlineLevel="0" collapsed="false">
      <c r="A2851" s="5" t="s">
        <v>576</v>
      </c>
      <c r="B2851" s="0" t="s">
        <v>151</v>
      </c>
      <c r="C2851" s="36" t="n">
        <f aca="false">Sens!$C$2850*1000/(Sens!$C$2833*Sens!$C$2834)</f>
        <v>9.67085565405685</v>
      </c>
      <c r="D2851" s="36" t="n">
        <f aca="false">Sens!$D$2850*1000/(Sens!$D$2833*Sens!$D$2834)</f>
        <v>9.67085565405685</v>
      </c>
      <c r="E2851" s="36" t="n">
        <f aca="false">Sens!$E$2850*1000/(Sens!$E$2833*Sens!$E$2834)</f>
        <v>9.67085565405685</v>
      </c>
      <c r="F2851" s="36" t="n">
        <f aca="false">Sens!$F$2850*1000/(Sens!$F$2833*Sens!$F$2834)</f>
        <v>10.0137581588017</v>
      </c>
      <c r="G2851" s="36" t="n">
        <f aca="false">Sens!$G$2850*1000/(Sens!$G$2833*Sens!$G$2834)</f>
        <v>9.88666562928478</v>
      </c>
      <c r="H2851" s="36" t="n">
        <f aca="false">Sens!$H$2850*1000/(Sens!$H$2833*Sens!$H$2834)</f>
        <v>10.5290045586992</v>
      </c>
      <c r="I2851" s="36" t="n">
        <f aca="false">Sens!$I$2850*1000/(Sens!$I$2833*Sens!$I$2834)</f>
        <v>10.8576363451674</v>
      </c>
      <c r="J2851" s="36" t="n">
        <f aca="false">Sens!$J$2850*1000/(Sens!$J$2833*Sens!$J$2834)</f>
        <v>11.0164452588619</v>
      </c>
      <c r="K2851" s="36" t="n">
        <f aca="false">Sens!$K$2850*1000/(Sens!$K$2833*Sens!$K$2834)</f>
        <v>11.1094778327388</v>
      </c>
      <c r="L2851" s="36" t="n">
        <f aca="false">Sens!$L$2850*1000/(Sens!$L$2833*Sens!$L$2834)</f>
        <v>11.1704953466718</v>
      </c>
      <c r="M2851" s="36" t="n">
        <f aca="false">Sens!$M$2850*1000/(Sens!$M$2833*Sens!$M$2834)</f>
        <v>11.2135729785158</v>
      </c>
      <c r="N2851" s="36" t="n">
        <f aca="false">Sens!$N$2850*1000/(Sens!$N$2833*Sens!$N$2834)</f>
        <v>9.67085565405685</v>
      </c>
      <c r="O2851" s="36" t="n">
        <f aca="false">Sens!$O$2850*1000/(Sens!$O$2833*Sens!$O$2834)</f>
        <v>9.67085565405685</v>
      </c>
    </row>
    <row r="2852" customFormat="false" ht="17.15" hidden="false" customHeight="false" outlineLevel="0" collapsed="false">
      <c r="A2852" s="0" t="s">
        <v>577</v>
      </c>
      <c r="B2852" s="0" t="s">
        <v>73</v>
      </c>
      <c r="C2852" s="38" t="n">
        <f aca="false">Sens!$C$2833/ext_sh*(ox_open+rent_mw)*Sens!$C$2834/1000</f>
        <v>0.642569210675032</v>
      </c>
      <c r="D2852" s="38" t="n">
        <f aca="false">Sens!$D$2833/ext_sh*(ox_open+rent_mw)*Sens!$D$2834/1000</f>
        <v>2.40963454003137</v>
      </c>
      <c r="E2852" s="38" t="n">
        <f aca="false">Sens!$E$2833/ext_sh*(ox_open+rent_mw)*Sens!$E$2834/1000</f>
        <v>2.35608710580845</v>
      </c>
      <c r="F2852" s="38" t="n">
        <f aca="false">((mw_open*ox_open+Sens!$F$2848*Sens!$F$2846)/ext_sh+Sens!$F$2833/ext_sh*rent_mw)*Sens!$F$2834/1000</f>
        <v>4.05421991106232</v>
      </c>
      <c r="G2852" s="38" t="n">
        <f aca="false">Sens!$E$2852+Sens!$F$2852</f>
        <v>6.41030701687077</v>
      </c>
      <c r="H2852" s="38" t="n">
        <f aca="false">((mw_open*ox_open+Sens!$H$2848*Sens!$H$2846)/ext_sh+Sens!$H$2833/ext_sh*rent_mw)*Sens!$H$2834/1000</f>
        <v>15.8108975546616</v>
      </c>
      <c r="I2852" s="38" t="n">
        <f aca="false">((mw_open*ox_open+Sens!$I$2848*Sens!$I$2846)/ext_sh+Sens!$I$2833/ext_sh*rent_mw)*Sens!$I$2834/1000</f>
        <v>26.1871623400817</v>
      </c>
      <c r="J2852" s="38" t="n">
        <f aca="false">((mw_open*ox_open+Sens!$J$2848*Sens!$J$2846)/ext_sh+Sens!$J$2833/ext_sh*rent_mw)*Sens!$J$2834/1000</f>
        <v>36.5826128954935</v>
      </c>
      <c r="K2852" s="38" t="n">
        <f aca="false">((mw_open*ox_open+Sens!$K$2848*Sens!$K$2846)/ext_sh+Sens!$K$2833/ext_sh*rent_mw)*Sens!$K$2834/1000</f>
        <v>46.9844587075692</v>
      </c>
      <c r="L2852" s="38" t="n">
        <f aca="false">((mw_open*ox_open+Sens!$L$2848*Sens!$L$2846)/ext_sh+Sens!$L$2833/ext_sh*rent_mw)*Sens!$L$2834/1000</f>
        <v>57.3892114544922</v>
      </c>
      <c r="M2852" s="38" t="n">
        <f aca="false">((mw_open*ox_open+Sens!$M$2848*Sens!$M$2846)/ext_sh+Sens!$M$2833/ext_sh*rent_mw)*Sens!$M$2834/1000</f>
        <v>67.7955294740252</v>
      </c>
      <c r="N2852" s="38" t="n">
        <f aca="false">Sens!$N$2833/ext_sh*(ox_open+rent_mw)*Sens!$N$2834/1000</f>
        <v>0.84337208901098</v>
      </c>
      <c r="O2852" s="38" t="n">
        <f aca="false">Sens!$O$2833/ext_sh*(ox_open+rent_mw)*Sens!$O$2834/1000</f>
        <v>1.56626245102039</v>
      </c>
    </row>
    <row r="2853" customFormat="false" ht="17.15" hidden="false" customHeight="false" outlineLevel="0" collapsed="false">
      <c r="A2853" s="0" t="s">
        <v>578</v>
      </c>
      <c r="B2853" s="0" t="s">
        <v>73</v>
      </c>
      <c r="C2853" s="38" t="n">
        <f aca="false">Q!$D$7</f>
        <v>107.556</v>
      </c>
      <c r="D2853" s="38" t="n">
        <f aca="false">Q!$E$7</f>
        <v>128.725</v>
      </c>
      <c r="E2853" s="38" t="n">
        <f aca="false">Q!$P$7</f>
        <v>79.819</v>
      </c>
      <c r="N2853" s="38" t="n">
        <f aca="false">Q!$N$7</f>
        <v>60.14</v>
      </c>
      <c r="O2853" s="38" t="n">
        <f aca="false">Q!$O$7</f>
        <v>68.585</v>
      </c>
    </row>
    <row r="2854" customFormat="false" ht="17.15" hidden="false" customHeight="false" outlineLevel="0" collapsed="false">
      <c r="A2854" s="1" t="s">
        <v>579</v>
      </c>
      <c r="B2854" s="8" t="s">
        <v>73</v>
      </c>
      <c r="C2854" s="38" t="n">
        <f aca="false">Sens!$C$2853-Sens!$C$2850</f>
        <v>105.234994643026</v>
      </c>
      <c r="D2854" s="38" t="n">
        <f aca="false">Sens!$D$2853-Sens!$D$2850</f>
        <v>120.021229911349</v>
      </c>
      <c r="E2854" s="38" t="n">
        <f aca="false">Sens!$E$2853-Sens!$E$2850</f>
        <v>71.30864702443</v>
      </c>
      <c r="F2854" s="38" t="n">
        <f aca="false">Sens!$O$2854*(1+Sens!$F$2855)</f>
        <v>78.5950104186653</v>
      </c>
      <c r="G2854" s="38" t="n">
        <f aca="false">Sens!$E$2854+Sens!$F$2854</f>
        <v>149.903657443095</v>
      </c>
      <c r="H2854" s="38" t="n">
        <f aca="false">Sens!$G$2854*(1+Sens!$H$2855)</f>
        <v>182.017838198965</v>
      </c>
      <c r="I2854" s="38" t="n">
        <f aca="false">Sens!$H$2854*(1+Sens!$I$2855)</f>
        <v>214.687872466932</v>
      </c>
      <c r="J2854" s="38" t="n">
        <f aca="false">Sens!$I$2854*(1+Sens!$J$2855)</f>
        <v>245.762663624989</v>
      </c>
      <c r="K2854" s="38" t="n">
        <f aca="false">Sens!$J$2854*(1+Sens!$K$2855)</f>
        <v>272.796556623738</v>
      </c>
      <c r="L2854" s="38" t="n">
        <f aca="false">Sens!$K$2854*(1+Sens!$L$2855)</f>
        <v>302.804177852349</v>
      </c>
      <c r="M2854" s="38" t="n">
        <f aca="false">Sens!$L$2854*(1+Sens!$M$2855)</f>
        <v>336.112637416108</v>
      </c>
      <c r="N2854" s="38" t="n">
        <f aca="false">Sens!$N$2853-Sens!$N$2850</f>
        <v>57.0936804689721</v>
      </c>
      <c r="O2854" s="38" t="n">
        <f aca="false">Sens!$O$2853-Sens!$O$2850</f>
        <v>62.9275494423768</v>
      </c>
      <c r="P2854" s="5" t="s">
        <v>580</v>
      </c>
    </row>
    <row r="2855" customFormat="false" ht="17.15" hidden="false" customHeight="false" outlineLevel="0" collapsed="false">
      <c r="A2855" s="0" t="s">
        <v>581</v>
      </c>
      <c r="B2855" s="0" t="s">
        <v>52</v>
      </c>
      <c r="E2855" s="12" t="n">
        <f aca="false">Sens!$E$2854/Sens!$N$2854-1</f>
        <v>0.248976181579029</v>
      </c>
      <c r="F2855" s="12" t="n">
        <f aca="false">Sens!$E$2855</f>
        <v>0.248976181579029</v>
      </c>
      <c r="G2855" s="12" t="n">
        <f aca="false">Sens!$G$2854/Sens!$D$2854-1</f>
        <v>0.248976181579029</v>
      </c>
      <c r="H2855" s="12" t="n">
        <f aca="false">Sens!$E$2855+(g_awso_lt_hi-Sens!$E$2855)*1/4</f>
        <v>0.214232136184272</v>
      </c>
      <c r="I2855" s="12" t="n">
        <f aca="false">Sens!$E$2855+(g_awso_lt_hi-Sens!$E$2855)*2/4</f>
        <v>0.179488090789515</v>
      </c>
      <c r="J2855" s="12" t="n">
        <f aca="false">Sens!$E$2855+(g_awso_lt_hi-Sens!$E$2855)*3/4</f>
        <v>0.144744045394757</v>
      </c>
      <c r="K2855" s="12" t="n">
        <f aca="false">Sens!$E$2855+(g_awso_lt_hi-Sens!$E$2855)*4/4</f>
        <v>0.11</v>
      </c>
      <c r="L2855" s="12" t="n">
        <f aca="false">g_awso_lt_hi</f>
        <v>0.11</v>
      </c>
      <c r="M2855" s="12" t="n">
        <f aca="false">g_awso_lt_hi</f>
        <v>0.11</v>
      </c>
      <c r="P2855" s="8" t="s">
        <v>582</v>
      </c>
    </row>
    <row r="2856" customFormat="false" ht="17.15" hidden="false" customHeight="false" outlineLevel="0" collapsed="false">
      <c r="A2856" s="1" t="s">
        <v>583</v>
      </c>
    </row>
    <row r="2857" customFormat="false" ht="17.15" hidden="false" customHeight="false" outlineLevel="0" collapsed="false">
      <c r="A2857" s="0" t="s">
        <v>584</v>
      </c>
      <c r="B2857" s="0" t="s">
        <v>73</v>
      </c>
      <c r="F2857" s="38" t="n">
        <f aca="false">cx_rt*Sens!$F$2823+cx_awso*Sens!$F$2854</f>
        <v>36.8045765066526</v>
      </c>
    </row>
    <row r="2858" customFormat="false" ht="17.15" hidden="false" customHeight="false" outlineLevel="0" collapsed="false">
      <c r="A2858" s="0" t="s">
        <v>585</v>
      </c>
      <c r="B2858" s="0" t="s">
        <v>52</v>
      </c>
      <c r="C2858" s="12" t="n">
        <f aca="false">tk_cx_h100/(tk_cx_h100+tk_fac*(1-colo_sh))</f>
        <v>0.730756458006641</v>
      </c>
      <c r="D2858" s="12" t="n">
        <f aca="false">tk_cx_h100/(tk_cx_h100+tk_fac*(1-colo_sh))</f>
        <v>0.730756458006641</v>
      </c>
      <c r="E2858" s="12" t="n">
        <f aca="false">Sens!$F$2858</f>
        <v>0.760792334328868</v>
      </c>
      <c r="F2858" s="12" t="n">
        <f aca="false">Sens!$F$2841/(Sens!$F$2841+tk_fac*(1-colo_sh))</f>
        <v>0.760792334328868</v>
      </c>
      <c r="G2858" s="12" t="n">
        <f aca="false">Sens!$G$2841/(Sens!$G$2841+tk_fac*(1-colo_sh))</f>
        <v>0.760792334328868</v>
      </c>
      <c r="H2858" s="12" t="n">
        <f aca="false">Sens!$H$2841/(Sens!$H$2841+tk_fac*(1-colo_sh))</f>
        <v>0.768110668862996</v>
      </c>
      <c r="I2858" s="12" t="n">
        <f aca="false">Sens!$I$2841/(Sens!$I$2841+tk_fac*(1-colo_sh))</f>
        <v>0.77499450139483</v>
      </c>
      <c r="J2858" s="12" t="n">
        <f aca="false">Sens!$J$2841/(Sens!$J$2841+tk_fac*(1-colo_sh))</f>
        <v>0.77499450139483</v>
      </c>
      <c r="K2858" s="12" t="n">
        <f aca="false">Sens!$K$2841/(Sens!$K$2841+tk_fac*(1-colo_sh))</f>
        <v>0.77499450139483</v>
      </c>
      <c r="L2858" s="12" t="n">
        <f aca="false">Sens!$L$2841/(Sens!$L$2841+tk_fac*(1-colo_sh))</f>
        <v>0.77499450139483</v>
      </c>
      <c r="M2858" s="12" t="n">
        <f aca="false">Sens!$M$2841/(Sens!$M$2841+tk_fac*(1-colo_sh))</f>
        <v>0.77499450139483</v>
      </c>
    </row>
    <row r="2859" customFormat="false" ht="17.15" hidden="false" customHeight="false" outlineLevel="0" collapsed="false">
      <c r="A2859" s="1" t="s">
        <v>586</v>
      </c>
      <c r="B2859" s="8" t="s">
        <v>73</v>
      </c>
      <c r="C2859" s="38" t="n">
        <f aca="false">Q!$D$46-cx_rt*Q!$D$16-cx_awso*Sens!$C$2854</f>
        <v>25.2781053077374</v>
      </c>
      <c r="D2859" s="38" t="n">
        <f aca="false">Q!$E$46-cx_rt*Q!$E$16-cx_awso*Sens!$D$2854</f>
        <v>69.5686316310026</v>
      </c>
      <c r="E2859" s="38" t="n">
        <f aca="false">Q!$P$46-cx_rt*Q!$P$16-cx_awso*Sens!$E$2854</f>
        <v>64.1899206485108</v>
      </c>
      <c r="F2859" s="38" t="n">
        <f aca="false">MAX(Sens!$F$2836*(Sens!$F$2841+tk_fac*(1-colo_sh))/1000,capex_g26-Q!$P$46-Sens!$F$2857)</f>
        <v>96.2481299895</v>
      </c>
      <c r="G2859" s="38" t="n">
        <f aca="false">Sens!$E$2859+Sens!$F$2859</f>
        <v>160.438050638011</v>
      </c>
      <c r="H2859" s="38" t="n">
        <f aca="false">Sens!$H$2836*(Sens!$H$2841+tk_fac*(1-colo_sh))/1000+Sens!$H$2860</f>
        <v>198.57136494475</v>
      </c>
      <c r="I2859" s="38" t="n">
        <f aca="false">Sens!$I$2836*(Sens!$I$2841+tk_fac*(1-colo_sh))/1000+Sens!$I$2860</f>
        <v>204.6464699105</v>
      </c>
      <c r="J2859" s="38" t="n">
        <f aca="false">Sens!$J$2836*(Sens!$J$2841+tk_fac*(1-colo_sh))/1000+Sens!$J$2860</f>
        <v>209.8832381105</v>
      </c>
      <c r="K2859" s="38" t="n">
        <f aca="false">Sens!$K$2836*(Sens!$K$2841+tk_fac*(1-colo_sh))/1000+Sens!$K$2860</f>
        <v>215.1200063105</v>
      </c>
      <c r="L2859" s="38" t="n">
        <f aca="false">Sens!$L$2836*(Sens!$L$2841+tk_fac*(1-colo_sh))/1000+Sens!$L$2860</f>
        <v>251.7773837105</v>
      </c>
      <c r="M2859" s="38" t="n">
        <f aca="false">Sens!$M$2836*(Sens!$M$2841+tk_fac*(1-colo_sh))/1000+Sens!$M$2860</f>
        <v>311.87584476575</v>
      </c>
      <c r="P2859" s="5" t="s">
        <v>587</v>
      </c>
      <c r="R2859" s="38" t="n">
        <f aca="false">Q!$C$46-cx_rt*Q!$C$16-cx_awso*(Q!$C$7-mw_ye23/2*rpm_open/1000)</f>
        <v>1.50429979529945</v>
      </c>
      <c r="S2859" s="38" t="n">
        <f aca="false">Sens!$C$2859</f>
        <v>25.2781053077374</v>
      </c>
      <c r="T2859" s="38" t="n">
        <f aca="false">Sens!$D$2859</f>
        <v>69.5686316310026</v>
      </c>
      <c r="U2859" s="38" t="n">
        <f aca="false">Sens!$G$2859</f>
        <v>160.438050638011</v>
      </c>
      <c r="V2859" s="38" t="n">
        <f aca="false">Sens!$H$2859</f>
        <v>198.57136494475</v>
      </c>
      <c r="W2859" s="38" t="n">
        <f aca="false">Sens!$I$2859</f>
        <v>204.6464699105</v>
      </c>
      <c r="X2859" s="38" t="n">
        <f aca="false">Sens!$J$2859</f>
        <v>209.8832381105</v>
      </c>
      <c r="Y2859" s="38" t="n">
        <f aca="false">Sens!$K$2859</f>
        <v>215.1200063105</v>
      </c>
      <c r="Z2859" s="38" t="n">
        <f aca="false">Sens!$L$2859</f>
        <v>251.7773837105</v>
      </c>
      <c r="AA2859" s="38" t="n">
        <f aca="false">Sens!$M$2859</f>
        <v>311.87584476575</v>
      </c>
    </row>
    <row r="2860" customFormat="false" ht="17.15" hidden="false" customHeight="false" outlineLevel="0" collapsed="false">
      <c r="A2860" s="0" t="s">
        <v>588</v>
      </c>
      <c r="B2860" s="0" t="s">
        <v>73</v>
      </c>
      <c r="H2860" s="38" t="n">
        <f aca="false">SUMPRODUCT(--(Sens!$R$2830:$AA$2830=2027-tk_life),Sens!$R$2836:$AA$2836)*Sens!$H$2841/1000</f>
        <v>0</v>
      </c>
      <c r="I2860" s="38" t="n">
        <f aca="false">SUMPRODUCT(--(Sens!$R$2830:$AA$2830=2028-tk_life),Sens!$R$2836:$AA$2836)*Sens!$I$2841/1000</f>
        <v>0</v>
      </c>
      <c r="J2860" s="38" t="n">
        <f aca="false">SUMPRODUCT(--(Sens!$R$2830:$AA$2830=2029-tk_life),Sens!$R$2836:$AA$2836)*Sens!$J$2841/1000</f>
        <v>5.2367682</v>
      </c>
      <c r="K2860" s="38" t="n">
        <f aca="false">SUMPRODUCT(--(Sens!$R$2830:$AA$2830=2030-tk_life),Sens!$R$2836:$AA$2836)*Sens!$K$2841/1000</f>
        <v>10.4735364</v>
      </c>
      <c r="L2860" s="38" t="n">
        <f aca="false">SUMPRODUCT(--(Sens!$R$2830:$AA$2830=2031-tk_life),Sens!$R$2836:$AA$2836)*Sens!$L$2841/1000</f>
        <v>47.1309138</v>
      </c>
      <c r="M2860" s="38" t="n">
        <f aca="false">SUMPRODUCT(--(Sens!$R$2830:$AA$2830=2032-tk_life),Sens!$R$2836:$AA$2836)*Sens!$M$2841/1000</f>
        <v>107.22937485525</v>
      </c>
    </row>
    <row r="2861" customFormat="false" ht="17.15" hidden="false" customHeight="false" outlineLevel="0" collapsed="false">
      <c r="A2861" s="5" t="s">
        <v>589</v>
      </c>
      <c r="B2861" s="0" t="s">
        <v>73</v>
      </c>
      <c r="C2861" s="38" t="n">
        <f aca="false">Sens!$C$2859*Sens!$C$2858</f>
        <v>18.472138699801</v>
      </c>
      <c r="D2861" s="38" t="n">
        <f aca="false">Sens!$D$2859*Sens!$D$2858</f>
        <v>50.8377268390402</v>
      </c>
      <c r="E2861" s="38" t="n">
        <f aca="false">Sens!$E$2859*Sens!$E$2858</f>
        <v>48.8351995705653</v>
      </c>
      <c r="F2861" s="38" t="n">
        <f aca="false">Sens!$F$2859*Sens!$F$2858</f>
        <v>73.2248394895</v>
      </c>
      <c r="G2861" s="38" t="n">
        <f aca="false">Sens!$E$2861+Sens!$F$2861</f>
        <v>122.060039060065</v>
      </c>
      <c r="H2861" s="38" t="n">
        <f aca="false">(Sens!$H$2859-Sens!$H$2860)*Sens!$H$2858+Sens!$H$2860</f>
        <v>152.52478394475</v>
      </c>
      <c r="I2861" s="38" t="n">
        <f aca="false">(Sens!$I$2859-Sens!$I$2860)*Sens!$I$2858+Sens!$I$2860</f>
        <v>158.5998889105</v>
      </c>
      <c r="J2861" s="38" t="n">
        <f aca="false">(Sens!$J$2859-Sens!$J$2860)*Sens!$J$2858+Sens!$J$2860</f>
        <v>163.8366571105</v>
      </c>
      <c r="K2861" s="38" t="n">
        <f aca="false">(Sens!$K$2859-Sens!$K$2860)*Sens!$K$2858+Sens!$K$2860</f>
        <v>169.0734253105</v>
      </c>
      <c r="L2861" s="38" t="n">
        <f aca="false">(Sens!$L$2859-Sens!$L$2860)*Sens!$L$2858+Sens!$L$2860</f>
        <v>205.7308027105</v>
      </c>
      <c r="M2861" s="38" t="n">
        <f aca="false">(Sens!$M$2859-Sens!$M$2860)*Sens!$M$2858+Sens!$M$2860</f>
        <v>265.82926376575</v>
      </c>
      <c r="R2861" s="38" t="n">
        <f aca="false">Sens!$R$2859*Sens!$C$2858</f>
        <v>1.09927679019314</v>
      </c>
      <c r="S2861" s="38" t="n">
        <f aca="false">Sens!$C$2861</f>
        <v>18.472138699801</v>
      </c>
      <c r="T2861" s="38" t="n">
        <f aca="false">Sens!$D$2861</f>
        <v>50.8377268390402</v>
      </c>
      <c r="U2861" s="38" t="n">
        <f aca="false">Sens!$G$2861</f>
        <v>122.060039060065</v>
      </c>
      <c r="V2861" s="38" t="n">
        <f aca="false">Sens!$H$2861</f>
        <v>152.52478394475</v>
      </c>
      <c r="W2861" s="38" t="n">
        <f aca="false">Sens!$I$2861</f>
        <v>158.5998889105</v>
      </c>
      <c r="X2861" s="38" t="n">
        <f aca="false">Sens!$J$2861</f>
        <v>163.8366571105</v>
      </c>
      <c r="Y2861" s="38" t="n">
        <f aca="false">Sens!$K$2861</f>
        <v>169.0734253105</v>
      </c>
      <c r="Z2861" s="38" t="n">
        <f aca="false">Sens!$L$2861</f>
        <v>205.7308027105</v>
      </c>
      <c r="AA2861" s="38" t="n">
        <f aca="false">Sens!$M$2861</f>
        <v>265.82926376575</v>
      </c>
    </row>
    <row r="2862" customFormat="false" ht="15" hidden="false" customHeight="false" outlineLevel="0" collapsed="false">
      <c r="A2862" s="5" t="s">
        <v>590</v>
      </c>
      <c r="B2862" s="0" t="s">
        <v>73</v>
      </c>
      <c r="C2862" s="38" t="n">
        <f aca="false">Sens!$C$2859-Sens!$C$2861</f>
        <v>6.80596660793636</v>
      </c>
      <c r="D2862" s="38" t="n">
        <f aca="false">Sens!$D$2859-Sens!$D$2861</f>
        <v>18.7309047919624</v>
      </c>
      <c r="E2862" s="38" t="n">
        <f aca="false">Sens!$E$2859-Sens!$E$2861</f>
        <v>15.3547210779455</v>
      </c>
      <c r="F2862" s="38" t="n">
        <f aca="false">Sens!$F$2859-Sens!$F$2861</f>
        <v>23.0232905</v>
      </c>
      <c r="G2862" s="38" t="n">
        <f aca="false">Sens!$G$2859-Sens!$G$2861</f>
        <v>38.3780115779455</v>
      </c>
      <c r="H2862" s="38" t="n">
        <f aca="false">Sens!$H$2859-Sens!$H$2861</f>
        <v>46.046581</v>
      </c>
      <c r="I2862" s="38" t="n">
        <f aca="false">Sens!$I$2859-Sens!$I$2861</f>
        <v>46.046581</v>
      </c>
      <c r="J2862" s="38" t="n">
        <f aca="false">Sens!$J$2859-Sens!$J$2861</f>
        <v>46.046581</v>
      </c>
      <c r="K2862" s="38" t="n">
        <f aca="false">Sens!$K$2859-Sens!$K$2861</f>
        <v>46.046581</v>
      </c>
      <c r="L2862" s="38" t="n">
        <f aca="false">Sens!$L$2859-Sens!$L$2861</f>
        <v>46.046581</v>
      </c>
      <c r="M2862" s="38" t="n">
        <f aca="false">Sens!$M$2859-Sens!$M$2861</f>
        <v>46.046581</v>
      </c>
      <c r="R2862" s="38" t="n">
        <f aca="false">Sens!$R$2859-Sens!$R$2861</f>
        <v>0.405023005106309</v>
      </c>
      <c r="S2862" s="38" t="n">
        <f aca="false">Sens!$S$2859-Sens!$S$2861</f>
        <v>6.80596660793636</v>
      </c>
      <c r="T2862" s="38" t="n">
        <f aca="false">Sens!$T$2859-Sens!$T$2861</f>
        <v>18.7309047919624</v>
      </c>
      <c r="U2862" s="38" t="n">
        <f aca="false">Sens!$U$2859-Sens!$U$2861</f>
        <v>38.3780115779455</v>
      </c>
      <c r="V2862" s="38" t="n">
        <f aca="false">Sens!$V$2859-Sens!$V$2861</f>
        <v>46.046581</v>
      </c>
      <c r="W2862" s="38" t="n">
        <f aca="false">Sens!$W$2859-Sens!$W$2861</f>
        <v>46.046581</v>
      </c>
      <c r="X2862" s="38" t="n">
        <f aca="false">Sens!$X$2859-Sens!$X$2861</f>
        <v>46.046581</v>
      </c>
      <c r="Y2862" s="38" t="n">
        <f aca="false">Sens!$Y$2859-Sens!$Y$2861</f>
        <v>46.046581</v>
      </c>
      <c r="Z2862" s="38" t="n">
        <f aca="false">Sens!$Z$2859-Sens!$Z$2861</f>
        <v>46.046581</v>
      </c>
      <c r="AA2862" s="38" t="n">
        <f aca="false">Sens!$AA$2859-Sens!$AA$2861</f>
        <v>46.046581</v>
      </c>
    </row>
    <row r="2863" customFormat="false" ht="17.15" hidden="false" customHeight="false" outlineLevel="0" collapsed="false">
      <c r="A2863" s="0" t="s">
        <v>591</v>
      </c>
      <c r="B2863" s="0" t="s">
        <v>52</v>
      </c>
      <c r="C2863" s="12" t="n">
        <f aca="false">Sens!$C$2859/Sens!$C$2975</f>
        <v>0.325505489553393</v>
      </c>
      <c r="D2863" s="12" t="n">
        <f aca="false">Sens!$D$2859/Sens!$D$2975</f>
        <v>0.54214956071542</v>
      </c>
      <c r="E2863" s="12" t="n">
        <f aca="false">Sens!$E$2859/Sens!$E$2975</f>
        <v>0.666492790452817</v>
      </c>
      <c r="F2863" s="12" t="n">
        <f aca="false">Sens!$F$2859/Sens!$F$2975</f>
        <v>0.723383481058938</v>
      </c>
      <c r="G2863" s="12" t="n">
        <f aca="false">Sens!$G$2859/Sens!$G$2975</f>
        <v>0.699494931364102</v>
      </c>
      <c r="H2863" s="12" t="n">
        <f aca="false">Sens!$H$2859/Sens!$H$2975</f>
        <v>0.71404154008759</v>
      </c>
      <c r="I2863" s="12" t="n">
        <f aca="false">Sens!$I$2859/Sens!$I$2975</f>
        <v>0.694323239331457</v>
      </c>
      <c r="J2863" s="12" t="n">
        <f aca="false">Sens!$J$2859/Sens!$J$2975</f>
        <v>0.677169839053686</v>
      </c>
      <c r="K2863" s="12" t="n">
        <f aca="false">Sens!$K$2859/Sens!$K$2975</f>
        <v>0.664190724892853</v>
      </c>
      <c r="L2863" s="12" t="n">
        <f aca="false">Sens!$L$2859/Sens!$L$2975</f>
        <v>0.6803504849842</v>
      </c>
      <c r="M2863" s="12" t="n">
        <f aca="false">Sens!$M$2859/Sens!$M$2975</f>
        <v>0.707832585642876</v>
      </c>
    </row>
    <row r="2864" customFormat="false" ht="17.15" hidden="false" customHeight="false" outlineLevel="0" collapsed="false">
      <c r="A2864" s="0" t="s">
        <v>592</v>
      </c>
      <c r="B2864" s="0" t="s">
        <v>73</v>
      </c>
      <c r="C2864" s="38" t="n">
        <f aca="false">Sens!$S$2864</f>
        <v>0.183212798365523</v>
      </c>
      <c r="D2864" s="38" t="n">
        <f aca="false">Sens!$T$2864</f>
        <v>3.2619025816657</v>
      </c>
      <c r="E2864" s="38" t="n">
        <f aca="false">Sens!$G$2864/2</f>
        <v>5.86742852741953</v>
      </c>
      <c r="F2864" s="38" t="n">
        <f aca="false">Sens!$G$2864/2</f>
        <v>5.86742852741953</v>
      </c>
      <c r="G2864" s="38" t="n">
        <f aca="false">Sens!$U$2864</f>
        <v>11.7348570548391</v>
      </c>
      <c r="H2864" s="38" t="n">
        <f aca="false">Sens!$V$2864</f>
        <v>32.0781968981833</v>
      </c>
      <c r="I2864" s="38" t="n">
        <f aca="false">Sens!$W$2864</f>
        <v>57.4989942223083</v>
      </c>
      <c r="J2864" s="38" t="n">
        <f aca="false">Sens!$X$2864</f>
        <v>83.932309040725</v>
      </c>
      <c r="K2864" s="38" t="n">
        <f aca="false">Sens!$Y$2864</f>
        <v>111.055205760776</v>
      </c>
      <c r="L2864" s="38" t="n">
        <f aca="false">Sens!$Z$2864</f>
        <v>136.155420195893</v>
      </c>
      <c r="M2864" s="38" t="n">
        <f aca="false">Sens!$AA$2864</f>
        <v>161.970932841136</v>
      </c>
      <c r="N2864" s="38" t="n">
        <f aca="false">Sens!$D$2864/2</f>
        <v>1.63095129083285</v>
      </c>
      <c r="O2864" s="38" t="n">
        <f aca="false">Sens!$D$2864/2</f>
        <v>1.63095129083285</v>
      </c>
      <c r="R2864" s="38" t="n">
        <f aca="false">SUMPRODUCT(--(Sens!$R$2830:$AA$2830&lt;Sens!R$2830),--(Sens!$R$2830:$AA$2830&gt;=Sens!R$2830-tk_life),Sens!$R$2861:$AA$2861)/tk_life</f>
        <v>0</v>
      </c>
      <c r="S2864" s="38" t="n">
        <f aca="false">SUMPRODUCT(--(Sens!$R$2830:$AA$2830&lt;Sens!S$2830),--(Sens!$R$2830:$AA$2830&gt;=Sens!S$2830-tk_life),Sens!$R$2861:$AA$2861)/tk_life</f>
        <v>0.183212798365523</v>
      </c>
      <c r="T2864" s="38" t="n">
        <f aca="false">SUMPRODUCT(--(Sens!$R$2830:$AA$2830&lt;Sens!T$2830),--(Sens!$R$2830:$AA$2830&gt;=Sens!T$2830-tk_life),Sens!$R$2861:$AA$2861)/tk_life</f>
        <v>3.2619025816657</v>
      </c>
      <c r="U2864" s="38" t="n">
        <f aca="false">SUMPRODUCT(--(Sens!$R$2830:$AA$2830&lt;Sens!U$2830),--(Sens!$R$2830:$AA$2830&gt;=Sens!U$2830-tk_life),Sens!$R$2861:$AA$2861)/tk_life</f>
        <v>11.7348570548391</v>
      </c>
      <c r="V2864" s="38" t="n">
        <f aca="false">SUMPRODUCT(--(Sens!$R$2830:$AA$2830&lt;Sens!V$2830),--(Sens!$R$2830:$AA$2830&gt;=Sens!V$2830-tk_life),Sens!$R$2861:$AA$2861)/tk_life</f>
        <v>32.0781968981833</v>
      </c>
      <c r="W2864" s="38" t="n">
        <f aca="false">SUMPRODUCT(--(Sens!$R$2830:$AA$2830&lt;Sens!W$2830),--(Sens!$R$2830:$AA$2830&gt;=Sens!W$2830-tk_life),Sens!$R$2861:$AA$2861)/tk_life</f>
        <v>57.4989942223083</v>
      </c>
      <c r="X2864" s="38" t="n">
        <f aca="false">SUMPRODUCT(--(Sens!$R$2830:$AA$2830&lt;Sens!X$2830),--(Sens!$R$2830:$AA$2830&gt;=Sens!X$2830-tk_life),Sens!$R$2861:$AA$2861)/tk_life</f>
        <v>83.932309040725</v>
      </c>
      <c r="Y2864" s="38" t="n">
        <f aca="false">SUMPRODUCT(--(Sens!$R$2830:$AA$2830&lt;Sens!Y$2830),--(Sens!$R$2830:$AA$2830&gt;=Sens!Y$2830-tk_life),Sens!$R$2861:$AA$2861)/tk_life</f>
        <v>111.055205760776</v>
      </c>
      <c r="Z2864" s="38" t="n">
        <f aca="false">SUMPRODUCT(--(Sens!$R$2830:$AA$2830&lt;Sens!Z$2830),--(Sens!$R$2830:$AA$2830&gt;=Sens!Z$2830-tk_life),Sens!$R$2861:$AA$2861)/tk_life</f>
        <v>136.155420195893</v>
      </c>
      <c r="AA2864" s="38" t="n">
        <f aca="false">SUMPRODUCT(--(Sens!$R$2830:$AA$2830&lt;Sens!AA$2830),--(Sens!$R$2830:$AA$2830&gt;=Sens!AA$2830-tk_life),Sens!$R$2861:$AA$2861)/tk_life</f>
        <v>161.970932841136</v>
      </c>
    </row>
    <row r="2865" customFormat="false" ht="17.15" hidden="false" customHeight="false" outlineLevel="0" collapsed="false">
      <c r="A2865" s="0" t="s">
        <v>593</v>
      </c>
      <c r="B2865" s="0" t="s">
        <v>73</v>
      </c>
      <c r="C2865" s="38" t="n">
        <f aca="false">Sens!$S$2865</f>
        <v>0.0202511502553155</v>
      </c>
      <c r="D2865" s="38" t="n">
        <f aca="false">Sens!$T$2865</f>
        <v>0.360549480652134</v>
      </c>
      <c r="E2865" s="38" t="n">
        <f aca="false">Sens!$G$2865/2</f>
        <v>0.648547360125127</v>
      </c>
      <c r="F2865" s="38" t="n">
        <f aca="false">Sens!$G$2865/2</f>
        <v>0.648547360125127</v>
      </c>
      <c r="G2865" s="38" t="n">
        <f aca="false">Sens!$U$2865</f>
        <v>1.29709472025025</v>
      </c>
      <c r="H2865" s="38" t="n">
        <f aca="false">Sens!$V$2865</f>
        <v>3.21599529914753</v>
      </c>
      <c r="I2865" s="38" t="n">
        <f aca="false">Sens!$W$2865</f>
        <v>5.51832434914753</v>
      </c>
      <c r="J2865" s="38" t="n">
        <f aca="false">Sens!$X$2865</f>
        <v>7.82065339914753</v>
      </c>
      <c r="K2865" s="38" t="n">
        <f aca="false">Sens!$Y$2865</f>
        <v>10.1229824491475</v>
      </c>
      <c r="L2865" s="38" t="n">
        <f aca="false">Sens!$Z$2865</f>
        <v>12.4253114991475</v>
      </c>
      <c r="M2865" s="38" t="n">
        <f aca="false">Sens!$AA$2865</f>
        <v>14.7276405491475</v>
      </c>
      <c r="N2865" s="38" t="n">
        <f aca="false">Sens!$D$2865/2</f>
        <v>0.180274740326067</v>
      </c>
      <c r="O2865" s="38" t="n">
        <f aca="false">Sens!$D$2865/2</f>
        <v>0.180274740326067</v>
      </c>
      <c r="R2865" s="38" t="n">
        <f aca="false">SUMPRODUCT(--(Sens!$R$2830:$AA$2830&lt;Sens!R$2830),Sens!$R$2862:$AA$2862)/fac_life</f>
        <v>0</v>
      </c>
      <c r="S2865" s="38" t="n">
        <f aca="false">SUMPRODUCT(--(Sens!$R$2830:$AA$2830&lt;Sens!S$2830),Sens!$R$2862:$AA$2862)/fac_life</f>
        <v>0.0202511502553155</v>
      </c>
      <c r="T2865" s="38" t="n">
        <f aca="false">SUMPRODUCT(--(Sens!$R$2830:$AA$2830&lt;Sens!T$2830),Sens!$R$2862:$AA$2862)/fac_life</f>
        <v>0.360549480652134</v>
      </c>
      <c r="U2865" s="38" t="n">
        <f aca="false">SUMPRODUCT(--(Sens!$R$2830:$AA$2830&lt;Sens!U$2830),Sens!$R$2862:$AA$2862)/fac_life</f>
        <v>1.29709472025025</v>
      </c>
      <c r="V2865" s="38" t="n">
        <f aca="false">SUMPRODUCT(--(Sens!$R$2830:$AA$2830&lt;Sens!V$2830),Sens!$R$2862:$AA$2862)/fac_life</f>
        <v>3.21599529914753</v>
      </c>
      <c r="W2865" s="38" t="n">
        <f aca="false">SUMPRODUCT(--(Sens!$R$2830:$AA$2830&lt;Sens!W$2830),Sens!$R$2862:$AA$2862)/fac_life</f>
        <v>5.51832434914753</v>
      </c>
      <c r="X2865" s="38" t="n">
        <f aca="false">SUMPRODUCT(--(Sens!$R$2830:$AA$2830&lt;Sens!X$2830),Sens!$R$2862:$AA$2862)/fac_life</f>
        <v>7.82065339914753</v>
      </c>
      <c r="Y2865" s="38" t="n">
        <f aca="false">SUMPRODUCT(--(Sens!$R$2830:$AA$2830&lt;Sens!Y$2830),Sens!$R$2862:$AA$2862)/fac_life</f>
        <v>10.1229824491475</v>
      </c>
      <c r="Z2865" s="38" t="n">
        <f aca="false">SUMPRODUCT(--(Sens!$R$2830:$AA$2830&lt;Sens!Z$2830),Sens!$R$2862:$AA$2862)/fac_life</f>
        <v>12.4253114991475</v>
      </c>
      <c r="AA2865" s="38" t="n">
        <f aca="false">SUMPRODUCT(--(Sens!$R$2830:$AA$2830&lt;Sens!AA$2830),Sens!$R$2862:$AA$2862)/fac_life</f>
        <v>14.7276405491475</v>
      </c>
    </row>
    <row r="2866" customFormat="false" ht="17.15" hidden="false" customHeight="false" outlineLevel="0" collapsed="false">
      <c r="A2866" s="1" t="s">
        <v>594</v>
      </c>
      <c r="B2866" s="8" t="s">
        <v>73</v>
      </c>
      <c r="C2866" s="38" t="n">
        <f aca="false">Sens!$C$2864+Sens!$C$2865</f>
        <v>0.203463948620839</v>
      </c>
      <c r="D2866" s="38" t="n">
        <f aca="false">Sens!$D$2864+Sens!$D$2865</f>
        <v>3.62245206231783</v>
      </c>
      <c r="E2866" s="38" t="n">
        <f aca="false">Sens!$E$2864+Sens!$E$2865</f>
        <v>6.51597588754466</v>
      </c>
      <c r="F2866" s="38" t="n">
        <f aca="false">Sens!$F$2864+Sens!$F$2865</f>
        <v>6.51597588754466</v>
      </c>
      <c r="G2866" s="38" t="n">
        <f aca="false">Sens!$G$2864+Sens!$G$2865</f>
        <v>13.0319517750893</v>
      </c>
      <c r="H2866" s="38" t="n">
        <f aca="false">Sens!$H$2864+Sens!$H$2865</f>
        <v>35.2941921973308</v>
      </c>
      <c r="I2866" s="38" t="n">
        <f aca="false">Sens!$I$2864+Sens!$I$2865</f>
        <v>63.0173185714558</v>
      </c>
      <c r="J2866" s="38" t="n">
        <f aca="false">Sens!$J$2864+Sens!$J$2865</f>
        <v>91.7529624398725</v>
      </c>
      <c r="K2866" s="38" t="n">
        <f aca="false">Sens!$K$2864+Sens!$K$2865</f>
        <v>121.178188209924</v>
      </c>
      <c r="L2866" s="38" t="n">
        <f aca="false">Sens!$L$2864+Sens!$L$2865</f>
        <v>148.58073169504</v>
      </c>
      <c r="M2866" s="38" t="n">
        <f aca="false">Sens!$M$2864+Sens!$M$2865</f>
        <v>176.698573390283</v>
      </c>
      <c r="N2866" s="38" t="n">
        <f aca="false">Sens!$N$2864+Sens!$N$2865</f>
        <v>1.81122603115892</v>
      </c>
      <c r="O2866" s="38" t="n">
        <f aca="false">Sens!$O$2864+Sens!$O$2865</f>
        <v>1.81122603115892</v>
      </c>
      <c r="R2866" s="38" t="n">
        <f aca="false">Sens!$R$2864+Sens!$R$2865</f>
        <v>0</v>
      </c>
      <c r="S2866" s="38" t="n">
        <f aca="false">Sens!$S$2864+Sens!$S$2865</f>
        <v>0.203463948620839</v>
      </c>
      <c r="T2866" s="38" t="n">
        <f aca="false">Sens!$T$2864+Sens!$T$2865</f>
        <v>3.62245206231783</v>
      </c>
      <c r="U2866" s="38" t="n">
        <f aca="false">Sens!$U$2864+Sens!$U$2865</f>
        <v>13.0319517750893</v>
      </c>
      <c r="V2866" s="38" t="n">
        <f aca="false">Sens!$V$2864+Sens!$V$2865</f>
        <v>35.2941921973308</v>
      </c>
      <c r="W2866" s="38" t="n">
        <f aca="false">Sens!$W$2864+Sens!$W$2865</f>
        <v>63.0173185714558</v>
      </c>
      <c r="X2866" s="38" t="n">
        <f aca="false">Sens!$X$2864+Sens!$X$2865</f>
        <v>91.7529624398725</v>
      </c>
      <c r="Y2866" s="38" t="n">
        <f aca="false">Sens!$Y$2864+Sens!$Y$2865</f>
        <v>121.178188209924</v>
      </c>
      <c r="Z2866" s="38" t="n">
        <f aca="false">Sens!$Z$2864+Sens!$Z$2865</f>
        <v>148.58073169504</v>
      </c>
      <c r="AA2866" s="38" t="n">
        <f aca="false">Sens!$AA$2864+Sens!$AA$2865</f>
        <v>176.698573390283</v>
      </c>
    </row>
    <row r="2867" customFormat="false" ht="17.15" hidden="false" customHeight="false" outlineLevel="0" collapsed="false">
      <c r="A2867" s="0" t="s">
        <v>595</v>
      </c>
      <c r="B2867" s="0" t="s">
        <v>73</v>
      </c>
      <c r="C2867" s="38" t="n">
        <f aca="false">Sens!$S$2867</f>
        <v>26.578941154416</v>
      </c>
      <c r="D2867" s="38" t="n">
        <f aca="false">Sens!$T$2867</f>
        <v>92.5251207231008</v>
      </c>
      <c r="G2867" s="38" t="n">
        <f aca="false">Sens!$U$2867</f>
        <v>239.931219586022</v>
      </c>
      <c r="H2867" s="38" t="n">
        <f aca="false">Sens!$V$2867</f>
        <v>403.208392333442</v>
      </c>
      <c r="I2867" s="38" t="n">
        <f aca="false">Sens!$W$2867</f>
        <v>544.837543672486</v>
      </c>
      <c r="J2867" s="38" t="n">
        <f aca="false">Sens!$X$2867</f>
        <v>662.967819343113</v>
      </c>
      <c r="K2867" s="38" t="n">
        <f aca="false">Sens!$Y$2867</f>
        <v>756.90963744369</v>
      </c>
      <c r="L2867" s="38" t="n">
        <f aca="false">Sens!$Z$2867</f>
        <v>860.10628945915</v>
      </c>
      <c r="M2867" s="38" t="n">
        <f aca="false">Sens!$AA$2867</f>
        <v>995.283560834616</v>
      </c>
      <c r="R2867" s="38" t="n">
        <f aca="false">SUM(Sens!$R$2859:$R$2859)-SUM(Sens!$R$2866:$R$2866)</f>
        <v>1.50429979529945</v>
      </c>
      <c r="S2867" s="38" t="n">
        <f aca="false">SUM(Sens!$R$2859:$S$2859)-SUM(Sens!$R$2866:$S$2866)</f>
        <v>26.578941154416</v>
      </c>
      <c r="T2867" s="38" t="n">
        <f aca="false">SUM(Sens!$R$2859:$T$2859)-SUM(Sens!$R$2866:$T$2866)</f>
        <v>92.5251207231008</v>
      </c>
      <c r="U2867" s="38" t="n">
        <f aca="false">SUM(Sens!$R$2859:$U$2859)-SUM(Sens!$R$2866:$U$2866)</f>
        <v>239.931219586022</v>
      </c>
      <c r="V2867" s="38" t="n">
        <f aca="false">SUM(Sens!$R$2859:$V$2859)-SUM(Sens!$R$2866:$V$2866)</f>
        <v>403.208392333442</v>
      </c>
      <c r="W2867" s="38" t="n">
        <f aca="false">SUM(Sens!$R$2859:$W$2859)-SUM(Sens!$R$2866:$W$2866)</f>
        <v>544.837543672486</v>
      </c>
      <c r="X2867" s="38" t="n">
        <f aca="false">SUM(Sens!$R$2859:$X$2859)-SUM(Sens!$R$2866:$X$2866)</f>
        <v>662.967819343113</v>
      </c>
      <c r="Y2867" s="38" t="n">
        <f aca="false">SUM(Sens!$R$2859:$Y$2859)-SUM(Sens!$R$2866:$Y$2866)</f>
        <v>756.90963744369</v>
      </c>
      <c r="Z2867" s="38" t="n">
        <f aca="false">SUM(Sens!$R$2859:$Z$2859)-SUM(Sens!$R$2866:$Z$2866)</f>
        <v>860.10628945915</v>
      </c>
      <c r="AA2867" s="38" t="n">
        <f aca="false">SUM(Sens!$R$2859:$AA$2859)-SUM(Sens!$R$2866:$AA$2866)</f>
        <v>995.283560834616</v>
      </c>
    </row>
    <row r="2868" customFormat="false" ht="17.15" hidden="false" customHeight="false" outlineLevel="0" collapsed="false">
      <c r="A2868" s="1" t="s">
        <v>596</v>
      </c>
    </row>
    <row r="2869" customFormat="false" ht="17.15" hidden="false" customHeight="false" outlineLevel="0" collapsed="false">
      <c r="A2869" s="0" t="s">
        <v>597</v>
      </c>
      <c r="B2869" s="0" t="s">
        <v>73</v>
      </c>
      <c r="C2869" s="38" t="n">
        <f aca="false">Sens!$C$2850-ext_sh*Sens!$C$2852</f>
        <v>1.80694998843362</v>
      </c>
      <c r="D2869" s="38" t="n">
        <f aca="false">Sens!$D$2850-ext_sh*Sens!$D$2852</f>
        <v>6.77606245662607</v>
      </c>
      <c r="E2869" s="38" t="n">
        <f aca="false">Sens!$E$2850-ext_sh*Sens!$E$2852</f>
        <v>6.62548329092326</v>
      </c>
      <c r="F2869" s="38" t="n">
        <f aca="false">Sens!$F$2850-ext_sh*Sens!$F$2852</f>
        <v>11.7200577158706</v>
      </c>
      <c r="G2869" s="38" t="n">
        <f aca="false">Sens!$G$2850-ext_sh*Sens!$G$2852</f>
        <v>18.3455410067939</v>
      </c>
      <c r="H2869" s="38" t="n">
        <f aca="false">Sens!$H$2850-ext_sh*Sens!$H$2852</f>
        <v>47.5171727060453</v>
      </c>
      <c r="I2869" s="38" t="n">
        <f aca="false">Sens!$I$2850-ext_sh*Sens!$I$2852</f>
        <v>80.5539692643667</v>
      </c>
      <c r="J2869" s="38" t="n">
        <f aca="false">Sens!$J$2850-ext_sh*Sens!$J$2852</f>
        <v>113.759316834883</v>
      </c>
      <c r="K2869" s="38" t="n">
        <f aca="false">Sens!$K$2850-ext_sh*Sens!$K$2852</f>
        <v>147.020848076132</v>
      </c>
      <c r="L2869" s="38" t="n">
        <f aca="false">Sens!$L$2850-ext_sh*Sens!$L$2852</f>
        <v>180.307917349531</v>
      </c>
      <c r="M2869" s="38" t="n">
        <f aca="false">Sens!$M$2850-ext_sh*Sens!$M$2852</f>
        <v>213.608737871012</v>
      </c>
      <c r="N2869" s="38" t="n">
        <f aca="false">Sens!$N$2850-ext_sh*Sens!$N$2852</f>
        <v>2.37162185981912</v>
      </c>
      <c r="O2869" s="38" t="n">
        <f aca="false">Sens!$O$2850-ext_sh*Sens!$O$2852</f>
        <v>4.40444059680694</v>
      </c>
    </row>
    <row r="2870" customFormat="false" ht="17.15" hidden="false" customHeight="false" outlineLevel="0" collapsed="false">
      <c r="A2870" s="1" t="s">
        <v>598</v>
      </c>
      <c r="B2870" s="8" t="s">
        <v>73</v>
      </c>
      <c r="C2870" s="38" t="n">
        <f aca="false">Sens!$C$2869-ext_sh*Sens!$C$2866</f>
        <v>1.64417882953695</v>
      </c>
      <c r="D2870" s="38" t="n">
        <f aca="false">Sens!$D$2869-ext_sh*Sens!$D$2866</f>
        <v>3.8781008067718</v>
      </c>
      <c r="E2870" s="38" t="n">
        <f aca="false">Sens!$E$2869-ext_sh*Sens!$E$2866</f>
        <v>1.41270258088753</v>
      </c>
      <c r="F2870" s="38" t="n">
        <f aca="false">Sens!$F$2869-ext_sh*Sens!$F$2866</f>
        <v>6.50727700583486</v>
      </c>
      <c r="G2870" s="38" t="n">
        <f aca="false">Sens!$G$2869-ext_sh*Sens!$G$2866</f>
        <v>7.9199795867224</v>
      </c>
      <c r="H2870" s="38" t="n">
        <f aca="false">Sens!$H$2869-ext_sh*Sens!$H$2866</f>
        <v>19.2818189481807</v>
      </c>
      <c r="I2870" s="38" t="n">
        <f aca="false">Sens!$I$2869-ext_sh*Sens!$I$2866</f>
        <v>30.140114407202</v>
      </c>
      <c r="J2870" s="38" t="n">
        <f aca="false">Sens!$J$2869-ext_sh*Sens!$J$2866</f>
        <v>40.3569468829854</v>
      </c>
      <c r="K2870" s="38" t="n">
        <f aca="false">Sens!$K$2869-ext_sh*Sens!$K$2866</f>
        <v>50.0782975081929</v>
      </c>
      <c r="L2870" s="38" t="n">
        <f aca="false">Sens!$L$2869-ext_sh*Sens!$L$2866</f>
        <v>61.443331993499</v>
      </c>
      <c r="M2870" s="38" t="n">
        <f aca="false">Sens!$M$2869-ext_sh*Sens!$M$2866</f>
        <v>72.2498791587849</v>
      </c>
      <c r="N2870" s="38" t="n">
        <f aca="false">Sens!$N$2869-ext_sh*Sens!$N$2866</f>
        <v>0.92264103489199</v>
      </c>
      <c r="O2870" s="38" t="n">
        <f aca="false">Sens!$O$2869-ext_sh*Sens!$O$2866</f>
        <v>2.95545977187981</v>
      </c>
    </row>
    <row r="2871" customFormat="false" ht="17.15" hidden="false" customHeight="false" outlineLevel="0" collapsed="false">
      <c r="A2871" s="0" t="s">
        <v>599</v>
      </c>
      <c r="B2871" s="0" t="s">
        <v>52</v>
      </c>
      <c r="C2871" s="12" t="n">
        <f aca="false">Sens!$C$2870/Sens!$C$2850</f>
        <v>0.708390794789371</v>
      </c>
      <c r="D2871" s="12" t="n">
        <f aca="false">Sens!$D$2870/Sens!$D$2850</f>
        <v>0.445565630441968</v>
      </c>
      <c r="E2871" s="12" t="n">
        <f aca="false">Sens!$E$2870/Sens!$E$2850</f>
        <v>0.165998118402711</v>
      </c>
      <c r="F2871" s="12" t="n">
        <f aca="false">Sens!$F$2870/Sens!$F$2850</f>
        <v>0.434878595403858</v>
      </c>
      <c r="G2871" s="12" t="n">
        <f aca="false">Sens!$G$2870/Sens!$G$2850</f>
        <v>0.3373967615381</v>
      </c>
      <c r="H2871" s="12" t="n">
        <f aca="false">Sens!$H$2870/Sens!$H$2850</f>
        <v>0.320477578041224</v>
      </c>
      <c r="I2871" s="12" t="n">
        <f aca="false">Sens!$I$2870/Sens!$I$2850</f>
        <v>0.296936118226494</v>
      </c>
      <c r="J2871" s="12" t="n">
        <f aca="false">Sens!$J$2870/Sens!$J$2850</f>
        <v>0.282166278613001</v>
      </c>
      <c r="K2871" s="12" t="n">
        <f aca="false">Sens!$K$2870/Sens!$K$2850</f>
        <v>0.271267685694333</v>
      </c>
      <c r="L2871" s="12" t="n">
        <f aca="false">Sens!$L$2870/Sens!$L$2850</f>
        <v>0.27160960915653</v>
      </c>
      <c r="M2871" s="12" t="n">
        <f aca="false">Sens!$M$2870/Sens!$M$2850</f>
        <v>0.26974494804234</v>
      </c>
      <c r="N2871" s="12" t="n">
        <f aca="false">Sens!$N$2870/Sens!$N$2850</f>
        <v>0.302870734830849</v>
      </c>
      <c r="O2871" s="12" t="n">
        <f aca="false">Sens!$O$2870/Sens!$O$2850</f>
        <v>0.52240134346334</v>
      </c>
    </row>
    <row r="2872" customFormat="false" ht="17.15" hidden="false" customHeight="false" outlineLevel="0" collapsed="false">
      <c r="A2872" s="5" t="s">
        <v>600</v>
      </c>
      <c r="B2872" s="0" t="s">
        <v>73</v>
      </c>
      <c r="C2872" s="38" t="n">
        <f aca="false">rd2*(1-ext_sh)/ext_sh*Sens!$C$2833*he_open*Sens!$C$2834/1000</f>
        <v>0</v>
      </c>
      <c r="D2872" s="38" t="n">
        <f aca="false">rd2*(1-ext_sh)/ext_sh*Sens!$D$2833*he_open*Sens!$D$2834/1000</f>
        <v>0</v>
      </c>
      <c r="E2872" s="38" t="n">
        <f aca="false">rd2*(1-ext_sh)/ext_sh*Sens!$E$2833*he_open*Sens!$E$2834/1000</f>
        <v>0</v>
      </c>
      <c r="F2872" s="38" t="n">
        <f aca="false">rd2*(1-ext_sh)/ext_sh*(mw_open*he_open+Sens!$F$2848*Sens!$F$2845)*Sens!$F$2834/1000</f>
        <v>0</v>
      </c>
      <c r="G2872" s="38" t="n">
        <f aca="false">Sens!$E$2872+Sens!$F$2872</f>
        <v>0</v>
      </c>
      <c r="H2872" s="38" t="n">
        <f aca="false">rd2*(1-ext_sh)/ext_sh*(mw_open*he_open+Sens!$H$2848*Sens!$H$2845)*Sens!$H$2834/1000</f>
        <v>0</v>
      </c>
      <c r="I2872" s="38" t="n">
        <f aca="false">rd2*(1-ext_sh)/ext_sh*(mw_open*he_open+Sens!$I$2848*Sens!$I$2845)*Sens!$I$2834/1000</f>
        <v>0</v>
      </c>
      <c r="J2872" s="38" t="n">
        <f aca="false">rd2*(1-ext_sh)/ext_sh*(mw_open*he_open+Sens!$J$2848*Sens!$J$2845)*Sens!$J$2834/1000</f>
        <v>0</v>
      </c>
      <c r="K2872" s="38" t="n">
        <f aca="false">rd2*(1-ext_sh)/ext_sh*(mw_open*he_open+Sens!$K$2848*Sens!$K$2845)*Sens!$K$2834/1000</f>
        <v>0</v>
      </c>
      <c r="L2872" s="38" t="n">
        <f aca="false">rd2*(1-ext_sh)/ext_sh*(mw_open*he_open+Sens!$L$2848*Sens!$L$2845)*Sens!$L$2834/1000</f>
        <v>0</v>
      </c>
      <c r="M2872" s="38" t="n">
        <f aca="false">rd2*(1-ext_sh)/ext_sh*(mw_open*he_open+Sens!$M$2848*Sens!$M$2845)*Sens!$M$2834/1000</f>
        <v>0</v>
      </c>
      <c r="N2872" s="38" t="n">
        <f aca="false">rd2*(1-ext_sh)/ext_sh*Sens!$N$2833*he_open*Sens!$N$2834/1000</f>
        <v>0</v>
      </c>
      <c r="O2872" s="38" t="n">
        <f aca="false">rd2*(1-ext_sh)/ext_sh*Sens!$O$2833*he_open*Sens!$O$2834/1000</f>
        <v>0</v>
      </c>
      <c r="P2872" s="8" t="s">
        <v>601</v>
      </c>
    </row>
    <row r="2873" customFormat="false" ht="17.15" hidden="false" customHeight="false" outlineLevel="0" collapsed="false">
      <c r="A2873" s="5" t="s">
        <v>602</v>
      </c>
      <c r="B2873" s="0" t="s">
        <v>73</v>
      </c>
      <c r="C2873" s="38" t="n">
        <f aca="false">(1-ext_sh)*(Sens!$C$2852+Sens!$C$2866)-Sens!$C$2872</f>
        <v>0.169206631859174</v>
      </c>
      <c r="D2873" s="38" t="n">
        <f aca="false">(1-ext_sh)*(Sens!$D$2852+Sens!$D$2866)-Sens!$D$2872</f>
        <v>1.20641732046984</v>
      </c>
      <c r="E2873" s="38" t="n">
        <f aca="false">(1-ext_sh)*(Sens!$E$2852+Sens!$E$2866)-Sens!$E$2872</f>
        <v>1.77441259867062</v>
      </c>
      <c r="F2873" s="38" t="n">
        <f aca="false">(1-ext_sh)*(Sens!$F$2852+Sens!$F$2866)-Sens!$F$2872</f>
        <v>2.1140391597214</v>
      </c>
      <c r="G2873" s="38" t="n">
        <f aca="false">(1-ext_sh)*(Sens!$G$2852+Sens!$G$2866)-Sens!$G$2872</f>
        <v>3.88845175839202</v>
      </c>
      <c r="H2873" s="38" t="n">
        <f aca="false">(1-ext_sh)*(Sens!$H$2852+Sens!$H$2866)-Sens!$H$2872</f>
        <v>10.2210179503985</v>
      </c>
      <c r="I2873" s="38" t="n">
        <f aca="false">(1-ext_sh)*(Sens!$I$2852+Sens!$I$2866)-Sens!$I$2872</f>
        <v>17.8408961823075</v>
      </c>
      <c r="J2873" s="38" t="n">
        <f aca="false">(1-ext_sh)*(Sens!$J$2852+Sens!$J$2866)-Sens!$J$2872</f>
        <v>25.6671150670732</v>
      </c>
      <c r="K2873" s="38" t="n">
        <f aca="false">(1-ext_sh)*(Sens!$K$2852+Sens!$K$2866)-Sens!$K$2872</f>
        <v>33.6325293834986</v>
      </c>
      <c r="L2873" s="38" t="n">
        <f aca="false">(1-ext_sh)*(Sens!$L$2852+Sens!$L$2866)-Sens!$L$2872</f>
        <v>41.1939886299065</v>
      </c>
      <c r="M2873" s="38" t="n">
        <f aca="false">(1-ext_sh)*(Sens!$M$2852+Sens!$M$2866)-Sens!$M$2872</f>
        <v>48.8988205728617</v>
      </c>
      <c r="N2873" s="38" t="n">
        <f aca="false">(1-ext_sh)*(Sens!$N$2852+Sens!$N$2866)-Sens!$N$2872</f>
        <v>0.530919624033979</v>
      </c>
      <c r="O2873" s="38" t="n">
        <f aca="false">(1-ext_sh)*(Sens!$O$2852+Sens!$O$2866)-Sens!$O$2872</f>
        <v>0.675497696435861</v>
      </c>
    </row>
    <row r="2874" customFormat="false" ht="17.15" hidden="false" customHeight="false" outlineLevel="0" collapsed="false">
      <c r="A2874" s="0" t="s">
        <v>603</v>
      </c>
      <c r="B2874" s="0" t="s">
        <v>73</v>
      </c>
      <c r="C2874" s="38" t="n">
        <f aca="false">Q!$D$24</f>
        <v>39.834</v>
      </c>
      <c r="D2874" s="38" t="n">
        <f aca="false">Q!$E$24</f>
        <v>45.606</v>
      </c>
      <c r="E2874" s="38" t="n">
        <f aca="false">Q!$P$24</f>
        <v>30.782</v>
      </c>
      <c r="N2874" s="38" t="n">
        <f aca="false">Q!$N$24</f>
        <v>21.707</v>
      </c>
      <c r="O2874" s="38" t="n">
        <f aca="false">Q!$O$24</f>
        <v>23.899</v>
      </c>
    </row>
    <row r="2875" customFormat="false" ht="17.15" hidden="false" customHeight="false" outlineLevel="0" collapsed="false">
      <c r="A2875" s="0" t="s">
        <v>604</v>
      </c>
      <c r="B2875" s="0" t="s">
        <v>73</v>
      </c>
      <c r="C2875" s="38" t="n">
        <f aca="false">Sens!$C$2874-Sens!$C$2870</f>
        <v>38.1898211704631</v>
      </c>
      <c r="D2875" s="38" t="n">
        <f aca="false">Sens!$D$2874-Sens!$D$2870</f>
        <v>41.7278991932282</v>
      </c>
      <c r="E2875" s="38" t="n">
        <f aca="false">Sens!$E$2874-Sens!$E$2870</f>
        <v>29.3692974191125</v>
      </c>
      <c r="F2875" s="38" t="n">
        <f aca="false">Sens!$F$2854*Sens!$F$2876</f>
        <v>29.458060516894</v>
      </c>
      <c r="G2875" s="38" t="n">
        <f aca="false">Sens!$E$2875+Sens!$F$2875</f>
        <v>58.8273579360065</v>
      </c>
      <c r="H2875" s="38" t="n">
        <f aca="false">Sens!$H$2854*Sens!$H$2876</f>
        <v>68.2217925063847</v>
      </c>
      <c r="I2875" s="38" t="n">
        <f aca="false">Sens!$I$2854*Sens!$I$2876</f>
        <v>80.4667917935941</v>
      </c>
      <c r="J2875" s="38" t="n">
        <f aca="false">Sens!$J$2854*Sens!$J$2876</f>
        <v>92.1138807577366</v>
      </c>
      <c r="K2875" s="38" t="n">
        <f aca="false">Sens!$K$2854*Sens!$K$2876</f>
        <v>102.246407641088</v>
      </c>
      <c r="L2875" s="38" t="n">
        <f aca="false">Sens!$L$2854*Sens!$L$2876</f>
        <v>113.493512481607</v>
      </c>
      <c r="M2875" s="38" t="n">
        <f aca="false">Sens!$M$2854*Sens!$M$2876</f>
        <v>125.977798854584</v>
      </c>
      <c r="N2875" s="38" t="n">
        <f aca="false">Sens!$N$2874-Sens!$N$2870</f>
        <v>20.784358965108</v>
      </c>
      <c r="O2875" s="38" t="n">
        <f aca="false">Sens!$O$2874-Sens!$O$2870</f>
        <v>20.9435402281202</v>
      </c>
      <c r="P2875" s="5" t="s">
        <v>605</v>
      </c>
    </row>
    <row r="2876" customFormat="false" ht="17.15" hidden="false" customHeight="false" outlineLevel="0" collapsed="false">
      <c r="A2876" s="0" t="s">
        <v>606</v>
      </c>
      <c r="B2876" s="0" t="s">
        <v>52</v>
      </c>
      <c r="C2876" s="12" t="n">
        <f aca="false">Sens!$C$2875/Sens!$C$2854</f>
        <v>0.362900395443635</v>
      </c>
      <c r="D2876" s="12" t="n">
        <f aca="false">Sens!$D$2875/Sens!$D$2854</f>
        <v>0.34767098474203</v>
      </c>
      <c r="E2876" s="12" t="n">
        <f aca="false">Sens!$E$2875/Sens!$E$2854</f>
        <v>0.411861655558416</v>
      </c>
      <c r="F2876" s="12" t="n">
        <f aca="false">(Sens!$O$2875+Sens!$E$2875)/(Sens!$O$2854+Sens!$E$2854)</f>
        <v>0.37480827803158</v>
      </c>
      <c r="G2876" s="12" t="n">
        <f aca="false">Sens!$G$2875/Sens!$G$2854</f>
        <v>0.392434440489471</v>
      </c>
      <c r="H2876" s="12" t="n">
        <f aca="false">Sens!$F$2876</f>
        <v>0.37480827803158</v>
      </c>
      <c r="I2876" s="12" t="n">
        <f aca="false">Sens!$F$2876</f>
        <v>0.37480827803158</v>
      </c>
      <c r="J2876" s="12" t="n">
        <f aca="false">Sens!$F$2876</f>
        <v>0.37480827803158</v>
      </c>
      <c r="K2876" s="12" t="n">
        <f aca="false">Sens!$F$2876</f>
        <v>0.37480827803158</v>
      </c>
      <c r="L2876" s="12" t="n">
        <f aca="false">Sens!$F$2876</f>
        <v>0.37480827803158</v>
      </c>
      <c r="M2876" s="12" t="n">
        <f aca="false">Sens!$F$2876</f>
        <v>0.37480827803158</v>
      </c>
      <c r="N2876" s="12" t="n">
        <f aca="false">Sens!$N$2875/Sens!$N$2854</f>
        <v>0.364039571356823</v>
      </c>
      <c r="O2876" s="12" t="n">
        <f aca="false">Sens!$O$2875/Sens!$O$2854</f>
        <v>0.332819892300086</v>
      </c>
      <c r="P2876" s="8" t="s">
        <v>607</v>
      </c>
    </row>
    <row r="2877" customFormat="false" ht="17.15" hidden="false" customHeight="false" outlineLevel="0" collapsed="false">
      <c r="A2877" s="0" t="s">
        <v>608</v>
      </c>
      <c r="B2877" s="0" t="s">
        <v>52</v>
      </c>
      <c r="D2877" s="12" t="n">
        <f aca="false">(Q!$E$31-ext_sh*Sens!$D$2866)/Sens!$D$2854</f>
        <v>0.154572973163571</v>
      </c>
    </row>
    <row r="2878" customFormat="false" ht="17.15" hidden="false" customHeight="false" outlineLevel="0" collapsed="false">
      <c r="A2878" s="0" t="s">
        <v>609</v>
      </c>
      <c r="B2878" s="0" t="s">
        <v>73</v>
      </c>
      <c r="C2878" s="38" t="n">
        <f aca="false">Q!$D$31</f>
        <v>13.32</v>
      </c>
      <c r="D2878" s="38" t="n">
        <f aca="false">Q!$E$31</f>
        <v>21.45</v>
      </c>
      <c r="E2878" s="38" t="n">
        <f aca="false">Q!$P$31</f>
        <v>15.353</v>
      </c>
      <c r="F2878" s="38" t="n">
        <f aca="false">ext_sh*Sens!$F$2866+Sens!$D$2877*Sens!$F$2854</f>
        <v>17.3614451462707</v>
      </c>
      <c r="G2878" s="38" t="n">
        <f aca="false">Sens!$E$2878+Sens!$F$2878</f>
        <v>32.7144451462707</v>
      </c>
      <c r="H2878" s="38" t="n">
        <f aca="false">ext_sh*Sens!$H$2866+Sens!$D$2877*Sens!$H$2854</f>
        <v>56.3703921770845</v>
      </c>
      <c r="I2878" s="38" t="n">
        <f aca="false">ext_sh*Sens!$I$2866+Sens!$D$2877*Sens!$I$2854</f>
        <v>83.5987976065399</v>
      </c>
      <c r="J2878" s="38" t="n">
        <f aca="false">ext_sh*Sens!$J$2866+Sens!$D$2877*Sens!$J$2854</f>
        <v>111.390635561011</v>
      </c>
      <c r="K2878" s="38" t="n">
        <f aca="false">ext_sh*Sens!$K$2866+Sens!$D$2877*Sens!$K$2854</f>
        <v>139.109525394055</v>
      </c>
      <c r="L2878" s="38" t="n">
        <f aca="false">ext_sh*Sens!$L$2866+Sens!$D$2877*Sens!$L$2854</f>
        <v>165.669927413021</v>
      </c>
      <c r="M2878" s="38" t="n">
        <f aca="false">ext_sh*Sens!$M$2866+Sens!$D$2877*Sens!$M$2854</f>
        <v>193.312788395484</v>
      </c>
      <c r="N2878" s="38" t="n">
        <f aca="false">Q!$N$31</f>
        <v>9.234</v>
      </c>
      <c r="O2878" s="38" t="n">
        <f aca="false">Q!$O$31</f>
        <v>12.216</v>
      </c>
    </row>
    <row r="2879" customFormat="false" ht="17.15" hidden="false" customHeight="false" outlineLevel="0" collapsed="false">
      <c r="A2879" s="1" t="s">
        <v>610</v>
      </c>
    </row>
    <row r="2880" customFormat="false" ht="17.15" hidden="false" customHeight="false" outlineLevel="0" collapsed="false">
      <c r="A2880" s="14" t="s">
        <v>611</v>
      </c>
      <c r="B2880" s="13" t="s">
        <v>52</v>
      </c>
      <c r="C2880" s="13"/>
      <c r="D2880" s="13"/>
      <c r="E2880" s="13"/>
      <c r="F2880" s="13"/>
      <c r="G2880" s="16" t="n">
        <f aca="false">Sens!$G$2870*(1-tax)/(ext_sh*(Sens!$D$2867+Sens!$G$2867)/2)</f>
        <v>0.0492184452944045</v>
      </c>
      <c r="H2880" s="16" t="n">
        <f aca="false">Sens!$H$2870*(1-tax)/(ext_sh*(Sens!$G$2867+Sens!$H$2867)/2)</f>
        <v>0.0619414246858107</v>
      </c>
      <c r="I2880" s="16" t="n">
        <f aca="false">Sens!$I$2870*(1-tax)/(ext_sh*(Sens!$H$2867+Sens!$I$2867)/2)</f>
        <v>0.0656831488051666</v>
      </c>
      <c r="J2880" s="16" t="n">
        <f aca="false">Sens!$J$2870*(1-tax)/(ext_sh*(Sens!$I$2867+Sens!$J$2867)/2)</f>
        <v>0.0690334849962116</v>
      </c>
      <c r="K2880" s="16" t="n">
        <f aca="false">Sens!$K$2870*(1-tax)/(ext_sh*(Sens!$J$2867+Sens!$K$2867)/2)</f>
        <v>0.0728680488295485</v>
      </c>
      <c r="L2880" s="16" t="n">
        <f aca="false">Sens!$L$2870*(1-tax)/(ext_sh*(Sens!$K$2867+Sens!$L$2867)/2)</f>
        <v>0.0785052878122331</v>
      </c>
      <c r="M2880" s="16" t="n">
        <f aca="false">Sens!$M$2870*(1-tax)/(ext_sh*(Sens!$L$2867+Sens!$M$2867)/2)</f>
        <v>0.0804526580722741</v>
      </c>
      <c r="N2880" s="13"/>
      <c r="O2880" s="13"/>
      <c r="P2880" s="8" t="s">
        <v>612</v>
      </c>
    </row>
    <row r="2881" customFormat="false" ht="17.15" hidden="false" customHeight="false" outlineLevel="0" collapsed="false">
      <c r="A2881" s="5" t="s">
        <v>613</v>
      </c>
      <c r="B2881" s="0" t="s">
        <v>57</v>
      </c>
      <c r="H2881" s="36" t="n">
        <f aca="false">Sens!$H$2850*1000/(mw_open*he_open+Sens!$H$2848*Sens!$H$2845)</f>
        <v>0.991949006767191</v>
      </c>
      <c r="I2881" s="36" t="n">
        <f aca="false">Sens!$I$2850*1000/(mw_open*he_open+Sens!$I$2848*Sens!$I$2845)</f>
        <v>0.991949006767191</v>
      </c>
      <c r="J2881" s="36" t="n">
        <f aca="false">Sens!$J$2850*1000/(mw_open*he_open+Sens!$J$2848*Sens!$J$2845)</f>
        <v>0.991949006767191</v>
      </c>
      <c r="K2881" s="36" t="n">
        <f aca="false">Sens!$K$2850*1000/(mw_open*he_open+Sens!$K$2848*Sens!$K$2845)</f>
        <v>0.991949006767191</v>
      </c>
      <c r="L2881" s="36" t="n">
        <f aca="false">Sens!$L$2850*1000/(mw_open*he_open+Sens!$L$2848*Sens!$L$2845)</f>
        <v>0.991949006767191</v>
      </c>
      <c r="M2881" s="36" t="n">
        <f aca="false">Sens!$M$2850*1000/(mw_open*he_open+Sens!$M$2848*Sens!$M$2845)</f>
        <v>0.991949006767192</v>
      </c>
    </row>
    <row r="2882" customFormat="false" ht="17.15" hidden="false" customHeight="false" outlineLevel="0" collapsed="false">
      <c r="A2882" s="5" t="s">
        <v>614</v>
      </c>
      <c r="B2882" s="0" t="s">
        <v>57</v>
      </c>
      <c r="H2882" s="36" t="n">
        <f aca="false">Sens!$H$2881*(Sens!$H$2850+wacc*ext_sh*(Sens!$G$2867+Sens!$H$2867)/2/(1-tax)-Sens!$H$2870)/Sens!$H$2850</f>
        <v>1.3149781212103</v>
      </c>
      <c r="I2882" s="36" t="n">
        <f aca="false">Sens!$I$2881*(Sens!$I$2850+wacc*ext_sh*(Sens!$H$2867+Sens!$I$2867)/2/(1-tax)-Sens!$I$2870)/Sens!$I$2850</f>
        <v>1.25742005569107</v>
      </c>
      <c r="J2882" s="36" t="n">
        <f aca="false">Sens!$J$2881*(Sens!$J$2850+wacc*ext_sh*(Sens!$I$2867+Sens!$J$2867)/2/(1-tax)-Sens!$J$2870)/Sens!$J$2850</f>
        <v>1.21838845868559</v>
      </c>
      <c r="K2882" s="36" t="n">
        <f aca="false">Sens!$K$2881*(Sens!$K$2850+wacc*ext_sh*(Sens!$J$2867+Sens!$K$2867)/2/(1-tax)-Sens!$K$2870)/Sens!$K$2850</f>
        <v>1.18402644209548</v>
      </c>
      <c r="L2882" s="36" t="n">
        <f aca="false">Sens!$L$2881*(Sens!$L$2850+wacc*ext_sh*(Sens!$K$2867+Sens!$L$2867)/2/(1-tax)-Sens!$L$2870)/Sens!$L$2850</f>
        <v>1.15111215322059</v>
      </c>
      <c r="M2882" s="36" t="n">
        <f aca="false">Sens!$M$2881*(Sens!$M$2850+wacc*ext_sh*(Sens!$L$2867+Sens!$M$2867)/2/(1-tax)-Sens!$M$2870)/Sens!$M$2850</f>
        <v>1.1397166845677</v>
      </c>
    </row>
    <row r="2883" customFormat="false" ht="17.15" hidden="false" customHeight="false" outlineLevel="0" collapsed="false">
      <c r="A2883" s="5" t="s">
        <v>615</v>
      </c>
      <c r="B2883" s="0" t="s">
        <v>52</v>
      </c>
      <c r="C2883" s="12" t="n">
        <f aca="false">Sens!$C$2851/tk_pq</f>
        <v>0.195316432429398</v>
      </c>
      <c r="D2883" s="12" t="n">
        <f aca="false">Sens!$D$2851/tk_pq</f>
        <v>0.195316432429398</v>
      </c>
      <c r="E2883" s="12" t="n">
        <f aca="false">Sens!$E$2851/tk_pq</f>
        <v>0.195316432429398</v>
      </c>
      <c r="F2883" s="12" t="n">
        <f aca="false">Sens!$F$2851/tk_pq</f>
        <v>0.202241827274866</v>
      </c>
      <c r="G2883" s="12" t="n">
        <f aca="false">Sens!$G$2851/tk_pq</f>
        <v>0.199675016194063</v>
      </c>
      <c r="H2883" s="12" t="n">
        <f aca="false">Sens!$H$2851/tk_pq</f>
        <v>0.212647947710325</v>
      </c>
      <c r="I2883" s="12" t="n">
        <f aca="false">Sens!$I$2851/tk_pq</f>
        <v>0.219285125475351</v>
      </c>
      <c r="J2883" s="12" t="n">
        <f aca="false">Sens!$J$2851/tk_pq</f>
        <v>0.222492493217189</v>
      </c>
      <c r="K2883" s="12" t="n">
        <f aca="false">Sens!$K$2851/tk_pq</f>
        <v>0.224371415939166</v>
      </c>
      <c r="L2883" s="12" t="n">
        <f aca="false">Sens!$L$2851/tk_pq</f>
        <v>0.225603749825993</v>
      </c>
      <c r="M2883" s="12" t="n">
        <f aca="false">Sens!$M$2851/tk_pq</f>
        <v>0.22647376274628</v>
      </c>
      <c r="N2883" s="12" t="n">
        <f aca="false">Sens!$N$2851/tk_pq</f>
        <v>0.195316432429398</v>
      </c>
      <c r="O2883" s="12" t="n">
        <f aca="false">Sens!$O$2851/tk_pq</f>
        <v>0.195316432429398</v>
      </c>
      <c r="P2883" s="5" t="s">
        <v>616</v>
      </c>
    </row>
    <row r="2886" customFormat="false" ht="17.15" hidden="false" customHeight="false" outlineLevel="0" collapsed="false">
      <c r="A2886" s="1" t="s">
        <v>643</v>
      </c>
    </row>
    <row r="2887" customFormat="false" ht="17.15" hidden="false" customHeight="false" outlineLevel="0" collapsed="false">
      <c r="A2887" s="0" t="s">
        <v>644</v>
      </c>
      <c r="B2887" s="0" t="s">
        <v>73</v>
      </c>
      <c r="C2887" s="38" t="n">
        <f aca="false">Sens!$C$2850</f>
        <v>2.32100535697364</v>
      </c>
      <c r="D2887" s="38" t="n">
        <f aca="false">Sens!$D$2850</f>
        <v>8.70377008865116</v>
      </c>
      <c r="E2887" s="38" t="n">
        <f aca="false">Sens!$E$2850</f>
        <v>8.51035297557002</v>
      </c>
      <c r="F2887" s="38" t="n">
        <f aca="false">Sens!$F$2850</f>
        <v>14.9634336447205</v>
      </c>
      <c r="G2887" s="38" t="n">
        <f aca="false">Sens!$G$2850</f>
        <v>23.4737866202905</v>
      </c>
      <c r="H2887" s="38" t="n">
        <f aca="false">Sens!$H$2850</f>
        <v>60.1658907497746</v>
      </c>
      <c r="I2887" s="38" t="n">
        <f aca="false">Sens!$I$2850</f>
        <v>101.503699136432</v>
      </c>
      <c r="J2887" s="38" t="n">
        <f aca="false">Sens!$J$2850</f>
        <v>143.025407151278</v>
      </c>
      <c r="K2887" s="38" t="n">
        <f aca="false">Sens!$K$2850</f>
        <v>184.608415042187</v>
      </c>
      <c r="L2887" s="38" t="n">
        <f aca="false">Sens!$L$2850</f>
        <v>226.219286513125</v>
      </c>
      <c r="M2887" s="38" t="n">
        <f aca="false">Sens!$M$2850</f>
        <v>267.845161450232</v>
      </c>
      <c r="N2887" s="38" t="n">
        <f aca="false">Sens!$N$2850</f>
        <v>3.04631953102791</v>
      </c>
      <c r="O2887" s="38" t="n">
        <f aca="false">Sens!$O$2850</f>
        <v>5.65745055762326</v>
      </c>
      <c r="P2887" s="8" t="s">
        <v>645</v>
      </c>
    </row>
    <row r="2888" customFormat="false" ht="17.15" hidden="false" customHeight="false" outlineLevel="0" collapsed="false">
      <c r="A2888" s="0" t="s">
        <v>646</v>
      </c>
      <c r="B2888" s="0" t="s">
        <v>73</v>
      </c>
      <c r="C2888" s="38" t="n">
        <f aca="false">Sens!$C$2854</f>
        <v>105.234994643026</v>
      </c>
      <c r="D2888" s="38" t="n">
        <f aca="false">Sens!$D$2854</f>
        <v>120.021229911349</v>
      </c>
      <c r="E2888" s="38" t="n">
        <f aca="false">Sens!$E$2854</f>
        <v>71.30864702443</v>
      </c>
      <c r="F2888" s="38" t="n">
        <f aca="false">Sens!$F$2854</f>
        <v>78.5950104186653</v>
      </c>
      <c r="G2888" s="38" t="n">
        <f aca="false">Sens!$G$2854</f>
        <v>149.903657443095</v>
      </c>
      <c r="H2888" s="38" t="n">
        <f aca="false">Sens!$H$2854</f>
        <v>182.017838198965</v>
      </c>
      <c r="I2888" s="38" t="n">
        <f aca="false">Sens!$I$2854</f>
        <v>214.687872466932</v>
      </c>
      <c r="J2888" s="38" t="n">
        <f aca="false">Sens!$J$2854</f>
        <v>245.762663624989</v>
      </c>
      <c r="K2888" s="38" t="n">
        <f aca="false">Sens!$K$2854</f>
        <v>272.796556623738</v>
      </c>
      <c r="L2888" s="38" t="n">
        <f aca="false">Sens!$L$2854</f>
        <v>302.804177852349</v>
      </c>
      <c r="M2888" s="38" t="n">
        <f aca="false">Sens!$M$2854</f>
        <v>336.112637416108</v>
      </c>
      <c r="N2888" s="38" t="n">
        <f aca="false">Sens!$N$2854</f>
        <v>57.0936804689721</v>
      </c>
      <c r="O2888" s="38" t="n">
        <f aca="false">Sens!$O$2854</f>
        <v>62.9275494423768</v>
      </c>
      <c r="P2888" s="8" t="s">
        <v>645</v>
      </c>
    </row>
    <row r="2889" customFormat="false" ht="17.15" hidden="false" customHeight="false" outlineLevel="0" collapsed="false">
      <c r="A2889" s="1" t="s">
        <v>476</v>
      </c>
      <c r="B2889" s="8" t="s">
        <v>73</v>
      </c>
      <c r="C2889" s="38" t="n">
        <f aca="false">Q!$D$7</f>
        <v>107.556</v>
      </c>
      <c r="D2889" s="38" t="n">
        <f aca="false">Q!$E$7</f>
        <v>128.725</v>
      </c>
      <c r="E2889" s="38" t="n">
        <f aca="false">Q!$P$7</f>
        <v>79.819</v>
      </c>
      <c r="F2889" s="38" t="n">
        <f aca="false">Sens!$F$2887+Sens!$F$2888</f>
        <v>93.5584440633857</v>
      </c>
      <c r="G2889" s="38" t="n">
        <f aca="false">Sens!$G$2887+Sens!$G$2888</f>
        <v>173.377444063386</v>
      </c>
      <c r="H2889" s="38" t="n">
        <f aca="false">Sens!$H$2887+Sens!$H$2888</f>
        <v>242.183728948739</v>
      </c>
      <c r="I2889" s="38" t="n">
        <f aca="false">Sens!$I$2887+Sens!$I$2888</f>
        <v>316.191571603364</v>
      </c>
      <c r="J2889" s="38" t="n">
        <f aca="false">Sens!$J$2887+Sens!$J$2888</f>
        <v>388.788070776268</v>
      </c>
      <c r="K2889" s="38" t="n">
        <f aca="false">Sens!$K$2887+Sens!$K$2888</f>
        <v>457.404971665925</v>
      </c>
      <c r="L2889" s="38" t="n">
        <f aca="false">Sens!$L$2887+Sens!$L$2888</f>
        <v>529.023464365474</v>
      </c>
      <c r="M2889" s="38" t="n">
        <f aca="false">Sens!$M$2887+Sens!$M$2888</f>
        <v>603.95779886634</v>
      </c>
      <c r="N2889" s="38" t="n">
        <f aca="false">Q!$N$7</f>
        <v>60.14</v>
      </c>
      <c r="O2889" s="38" t="n">
        <f aca="false">Q!$O$7</f>
        <v>68.585</v>
      </c>
      <c r="P2889" s="5" t="s">
        <v>647</v>
      </c>
    </row>
    <row r="2890" customFormat="false" ht="15" hidden="false" customHeight="false" outlineLevel="0" collapsed="false">
      <c r="A2890" s="3" t="s">
        <v>648</v>
      </c>
      <c r="B2890" s="8" t="s">
        <v>73</v>
      </c>
      <c r="C2890" s="38" t="n">
        <f aca="false">Q!$D$8</f>
        <v>637.959</v>
      </c>
      <c r="D2890" s="38" t="n">
        <f aca="false">Q!$E$8</f>
        <v>716.924</v>
      </c>
      <c r="E2890" s="38" t="n">
        <f aca="false">Q!$P$8</f>
        <v>382.125</v>
      </c>
      <c r="F2890" s="38" t="n">
        <f aca="false">Sens!$F$2823+Sens!$F$2889</f>
        <v>450.494873271816</v>
      </c>
      <c r="G2890" s="38" t="n">
        <f aca="false">Sens!$G$2823+Sens!$G$2889</f>
        <v>832.619873271816</v>
      </c>
      <c r="H2890" s="38" t="n">
        <f aca="false">Sens!$H$2823+Sens!$H$2889</f>
        <v>972.11946657044</v>
      </c>
      <c r="I2890" s="38" t="n">
        <f aca="false">Sens!$I$2823+Sens!$I$2889</f>
        <v>1114.48714130124</v>
      </c>
      <c r="J2890" s="38" t="n">
        <f aca="false">Sens!$J$2823+Sens!$J$2889</f>
        <v>1250.52489310205</v>
      </c>
      <c r="K2890" s="38" t="n">
        <f aca="false">Sens!$K$2823+Sens!$K$2889</f>
        <v>1374.96246376785</v>
      </c>
      <c r="L2890" s="38" t="n">
        <f aca="false">Sens!$L$2823+Sens!$L$2889</f>
        <v>1506.30855410864</v>
      </c>
      <c r="M2890" s="38" t="n">
        <f aca="false">Sens!$M$2823+Sens!$M$2889</f>
        <v>1645.17181740984</v>
      </c>
      <c r="N2890" s="38" t="n">
        <f aca="false">Q!$N$8</f>
        <v>323.369</v>
      </c>
      <c r="O2890" s="38" t="n">
        <f aca="false">Q!$O$8</f>
        <v>393.555</v>
      </c>
    </row>
    <row r="2891" customFormat="false" ht="17.15" hidden="false" customHeight="false" outlineLevel="0" collapsed="false">
      <c r="A2891" s="24" t="s">
        <v>656</v>
      </c>
      <c r="B2891" s="25" t="s">
        <v>73</v>
      </c>
      <c r="C2891" s="39" t="n">
        <f aca="false">Sens!$C$2823-(Sens!$C$2825+Sens!$C$2826)</f>
        <v>0</v>
      </c>
      <c r="D2891" s="39" t="n">
        <f aca="false">Sens!$D$2823-(Sens!$D$2825+Sens!$D$2826)</f>
        <v>0</v>
      </c>
      <c r="E2891" s="39" t="n">
        <f aca="false">Sens!$E$2823-(Sens!$E$2825+Sens!$E$2826)</f>
        <v>0</v>
      </c>
      <c r="F2891" s="39" t="n">
        <f aca="false">Sens!$F$2823-(Sens!$F$2825+Sens!$F$2826)</f>
        <v>0</v>
      </c>
      <c r="G2891" s="39" t="n">
        <f aca="false">Sens!$G$2823-(Sens!$G$2825+Sens!$G$2826)</f>
        <v>0</v>
      </c>
      <c r="H2891" s="39" t="n">
        <f aca="false">Sens!$H$2823-(Sens!$H$2825+Sens!$H$2826)</f>
        <v>0</v>
      </c>
      <c r="I2891" s="39" t="n">
        <f aca="false">Sens!$I$2823-(Sens!$I$2825+Sens!$I$2826)</f>
        <v>0</v>
      </c>
      <c r="J2891" s="39" t="n">
        <f aca="false">Sens!$J$2823-(Sens!$J$2825+Sens!$J$2826)</f>
        <v>0</v>
      </c>
      <c r="K2891" s="39" t="n">
        <f aca="false">Sens!$K$2823-(Sens!$K$2825+Sens!$K$2826)</f>
        <v>0</v>
      </c>
      <c r="L2891" s="39" t="n">
        <f aca="false">Sens!$L$2823-(Sens!$L$2825+Sens!$L$2826)</f>
        <v>0</v>
      </c>
      <c r="M2891" s="39" t="n">
        <f aca="false">Sens!$M$2823-(Sens!$M$2825+Sens!$M$2826)</f>
        <v>0</v>
      </c>
      <c r="N2891" s="39" t="n">
        <f aca="false">Sens!$N$2823-(Sens!$N$2825+Sens!$N$2826)</f>
        <v>0</v>
      </c>
      <c r="O2891" s="39" t="n">
        <f aca="false">Sens!$O$2823-(Sens!$O$2825+Sens!$O$2826)</f>
        <v>0</v>
      </c>
    </row>
    <row r="2892" customFormat="false" ht="17.15" hidden="false" customHeight="false" outlineLevel="0" collapsed="false">
      <c r="A2892" s="24" t="s">
        <v>657</v>
      </c>
      <c r="B2892" s="25" t="s">
        <v>73</v>
      </c>
      <c r="C2892" s="39" t="n">
        <f aca="false">Sens!$C$2887+Sens!$C$2888-Sens!$C$2889</f>
        <v>0</v>
      </c>
      <c r="D2892" s="39" t="n">
        <f aca="false">Sens!$D$2887+Sens!$D$2888-Sens!$D$2889</f>
        <v>0</v>
      </c>
      <c r="E2892" s="39" t="n">
        <f aca="false">Sens!$E$2887+Sens!$E$2888-Sens!$E$2889</f>
        <v>0</v>
      </c>
      <c r="F2892" s="39" t="n">
        <f aca="false">Sens!$F$2887+Sens!$F$2888-Sens!$F$2889</f>
        <v>0</v>
      </c>
      <c r="G2892" s="39" t="n">
        <f aca="false">Sens!$G$2887+Sens!$G$2888-Sens!$G$2889</f>
        <v>0</v>
      </c>
      <c r="H2892" s="39" t="n">
        <f aca="false">Sens!$H$2887+Sens!$H$2888-Sens!$H$2889</f>
        <v>0</v>
      </c>
      <c r="I2892" s="39" t="n">
        <f aca="false">Sens!$I$2887+Sens!$I$2888-Sens!$I$2889</f>
        <v>0</v>
      </c>
      <c r="J2892" s="39" t="n">
        <f aca="false">Sens!$J$2887+Sens!$J$2888-Sens!$J$2889</f>
        <v>0</v>
      </c>
      <c r="K2892" s="39" t="n">
        <f aca="false">Sens!$K$2887+Sens!$K$2888-Sens!$K$2889</f>
        <v>0</v>
      </c>
      <c r="L2892" s="39" t="n">
        <f aca="false">Sens!$L$2887+Sens!$L$2888-Sens!$L$2889</f>
        <v>0</v>
      </c>
      <c r="M2892" s="39" t="n">
        <f aca="false">Sens!$M$2887+Sens!$M$2888-Sens!$M$2889</f>
        <v>0</v>
      </c>
      <c r="N2892" s="39" t="n">
        <f aca="false">Sens!$N$2887+Sens!$N$2888-Sens!$N$2889</f>
        <v>0</v>
      </c>
      <c r="O2892" s="39" t="n">
        <f aca="false">Sens!$O$2887+Sens!$O$2888-Sens!$O$2889</f>
        <v>0</v>
      </c>
    </row>
    <row r="2893" customFormat="false" ht="17.15" hidden="false" customHeight="false" outlineLevel="0" collapsed="false">
      <c r="A2893" s="24" t="s">
        <v>658</v>
      </c>
      <c r="B2893" s="25" t="s">
        <v>73</v>
      </c>
      <c r="C2893" s="39" t="n">
        <f aca="false">Sens!$C$2825+Sens!$C$2826+Sens!$C$2889-Sens!$C$2890</f>
        <v>0</v>
      </c>
      <c r="D2893" s="39" t="n">
        <f aca="false">Sens!$D$2825+Sens!$D$2826+Sens!$D$2889-Sens!$D$2890</f>
        <v>0</v>
      </c>
      <c r="E2893" s="39" t="n">
        <f aca="false">Sens!$E$2825+Sens!$E$2826+Sens!$E$2889-Sens!$E$2890</f>
        <v>0</v>
      </c>
      <c r="F2893" s="39" t="n">
        <f aca="false">Sens!$F$2825+Sens!$F$2826+Sens!$F$2889-Sens!$F$2890</f>
        <v>0</v>
      </c>
      <c r="G2893" s="39" t="n">
        <f aca="false">Sens!$G$2825+Sens!$G$2826+Sens!$G$2889-Sens!$G$2890</f>
        <v>0</v>
      </c>
      <c r="H2893" s="39" t="n">
        <f aca="false">Sens!$H$2825+Sens!$H$2826+Sens!$H$2889-Sens!$H$2890</f>
        <v>0</v>
      </c>
      <c r="I2893" s="39" t="n">
        <f aca="false">Sens!$I$2825+Sens!$I$2826+Sens!$I$2889-Sens!$I$2890</f>
        <v>0</v>
      </c>
      <c r="J2893" s="39" t="n">
        <f aca="false">Sens!$J$2825+Sens!$J$2826+Sens!$J$2889-Sens!$J$2890</f>
        <v>0</v>
      </c>
      <c r="K2893" s="39" t="n">
        <f aca="false">Sens!$K$2825+Sens!$K$2826+Sens!$K$2889-Sens!$K$2890</f>
        <v>0</v>
      </c>
      <c r="L2893" s="39" t="n">
        <f aca="false">Sens!$L$2825+Sens!$L$2826+Sens!$L$2889-Sens!$L$2890</f>
        <v>0</v>
      </c>
      <c r="M2893" s="39" t="n">
        <f aca="false">Sens!$M$2825+Sens!$M$2826+Sens!$M$2889-Sens!$M$2890</f>
        <v>0</v>
      </c>
      <c r="N2893" s="39" t="n">
        <f aca="false">Sens!$N$2825+Sens!$N$2826+Sens!$N$2889-Sens!$N$2890</f>
        <v>0</v>
      </c>
      <c r="O2893" s="39" t="n">
        <f aca="false">Sens!$O$2825+Sens!$O$2826+Sens!$O$2889-Sens!$O$2890</f>
        <v>0</v>
      </c>
    </row>
    <row r="2894" customFormat="false" ht="15" hidden="false" customHeight="false" outlineLevel="0" collapsed="false">
      <c r="A2894" s="5" t="s">
        <v>652</v>
      </c>
      <c r="B2894" s="0" t="s">
        <v>52</v>
      </c>
      <c r="G2894" s="12" t="n">
        <f aca="false">Sens!$G$2890/Sens!$D$2890-1</f>
        <v>0.161378156222718</v>
      </c>
      <c r="H2894" s="12" t="n">
        <f aca="false">Sens!$H$2890/Sens!$G$2890-1</f>
        <v>0.167542954206047</v>
      </c>
      <c r="I2894" s="12" t="n">
        <f aca="false">Sens!$I$2890/Sens!$H$2890-1</f>
        <v>0.146450801189136</v>
      </c>
      <c r="J2894" s="12" t="n">
        <f aca="false">Sens!$J$2890/Sens!$I$2890-1</f>
        <v>0.122063096790855</v>
      </c>
      <c r="K2894" s="12" t="n">
        <f aca="false">Sens!$K$2890/Sens!$J$2890-1</f>
        <v>0.0995082715683633</v>
      </c>
      <c r="L2894" s="12" t="n">
        <f aca="false">Sens!$L$2890/Sens!$K$2890-1</f>
        <v>0.0955270371387864</v>
      </c>
      <c r="M2894" s="12" t="n">
        <f aca="false">Sens!$M$2890/Sens!$L$2890-1</f>
        <v>0.0921877944080161</v>
      </c>
    </row>
    <row r="2895" customFormat="false" ht="17.15" hidden="false" customHeight="false" outlineLevel="0" collapsed="false">
      <c r="A2895" s="0" t="s">
        <v>653</v>
      </c>
      <c r="B2895" s="0" t="s">
        <v>52</v>
      </c>
      <c r="C2895" s="12" t="n">
        <f aca="false">Sens!$C$2889/Sens!$C$2890</f>
        <v>0.168593906504964</v>
      </c>
      <c r="D2895" s="12" t="n">
        <f aca="false">Sens!$D$2889/Sens!$D$2890</f>
        <v>0.179551807444025</v>
      </c>
      <c r="E2895" s="12" t="n">
        <f aca="false">Sens!$E$2889/Sens!$E$2890</f>
        <v>0.208881910369643</v>
      </c>
      <c r="F2895" s="12" t="n">
        <f aca="false">Sens!$F$2889/Sens!$F$2890</f>
        <v>0.207679264769203</v>
      </c>
      <c r="G2895" s="12" t="n">
        <f aca="false">Sens!$G$2889/Sens!$G$2890</f>
        <v>0.208231210458731</v>
      </c>
      <c r="H2895" s="12" t="n">
        <f aca="false">Sens!$H$2889/Sens!$H$2890</f>
        <v>0.249129594949008</v>
      </c>
      <c r="I2895" s="12" t="n">
        <f aca="false">Sens!$I$2889/Sens!$I$2890</f>
        <v>0.283710381112329</v>
      </c>
      <c r="J2895" s="12" t="n">
        <f aca="false">Sens!$J$2889/Sens!$J$2890</f>
        <v>0.310899905248459</v>
      </c>
      <c r="K2895" s="12" t="n">
        <f aca="false">Sens!$K$2889/Sens!$K$2890</f>
        <v>0.332667242720565</v>
      </c>
      <c r="L2895" s="12" t="n">
        <f aca="false">Sens!$L$2889/Sens!$L$2890</f>
        <v>0.351205244717292</v>
      </c>
      <c r="M2895" s="12" t="n">
        <f aca="false">Sens!$M$2889/Sens!$M$2890</f>
        <v>0.36710925416727</v>
      </c>
      <c r="N2895" s="12" t="n">
        <f aca="false">Sens!$N$2889/Sens!$N$2890</f>
        <v>0.185979484737251</v>
      </c>
      <c r="O2895" s="12" t="n">
        <f aca="false">Sens!$O$2889/Sens!$O$2890</f>
        <v>0.174270432341096</v>
      </c>
    </row>
    <row r="2896" customFormat="false" ht="17.15" hidden="false" customHeight="false" outlineLevel="0" collapsed="false">
      <c r="A2896" s="0" t="s">
        <v>654</v>
      </c>
      <c r="B2896" s="0" t="s">
        <v>52</v>
      </c>
      <c r="C2896" s="12" t="n">
        <f aca="false">Sens!$C$2887/Sens!$C$2889</f>
        <v>0.0215795060896058</v>
      </c>
      <c r="D2896" s="12" t="n">
        <f aca="false">Sens!$D$2887/Sens!$D$2889</f>
        <v>0.0676152269462122</v>
      </c>
      <c r="E2896" s="12" t="n">
        <f aca="false">Sens!$E$2887/Sens!$E$2889</f>
        <v>0.106620641395783</v>
      </c>
      <c r="F2896" s="12" t="n">
        <f aca="false">Sens!$F$2887/Sens!$F$2889</f>
        <v>0.159936751776064</v>
      </c>
      <c r="G2896" s="12" t="n">
        <f aca="false">Sens!$G$2887/Sens!$G$2889</f>
        <v>0.135391237003751</v>
      </c>
      <c r="H2896" s="12" t="n">
        <f aca="false">Sens!$H$2887/Sens!$H$2889</f>
        <v>0.248430772004957</v>
      </c>
      <c r="I2896" s="12" t="n">
        <f aca="false">Sens!$I$2887/Sens!$I$2889</f>
        <v>0.32101962307762</v>
      </c>
      <c r="J2896" s="12" t="n">
        <f aca="false">Sens!$J$2887/Sens!$J$2889</f>
        <v>0.36787498871997</v>
      </c>
      <c r="K2896" s="12" t="n">
        <f aca="false">Sens!$K$2887/Sens!$K$2889</f>
        <v>0.403599493835453</v>
      </c>
      <c r="L2896" s="12" t="n">
        <f aca="false">Sens!$L$2887/Sens!$L$2889</f>
        <v>0.427616734891823</v>
      </c>
      <c r="M2896" s="12" t="n">
        <f aca="false">Sens!$M$2887/Sens!$M$2889</f>
        <v>0.443483239976355</v>
      </c>
      <c r="N2896" s="12" t="n">
        <f aca="false">Sens!$N$2887/Sens!$N$2889</f>
        <v>0.0506537999838362</v>
      </c>
      <c r="O2896" s="12" t="n">
        <f aca="false">Sens!$O$2887/Sens!$O$2889</f>
        <v>0.0824881615167056</v>
      </c>
    </row>
    <row r="2899" customFormat="false" ht="19.4" hidden="false" customHeight="false" outlineLevel="0" collapsed="false">
      <c r="A2899" s="31" t="s">
        <v>1107</v>
      </c>
    </row>
    <row r="2900" customFormat="false" ht="17.15" hidden="false" customHeight="false" outlineLevel="0" collapsed="false">
      <c r="A2900" s="6" t="s">
        <v>16</v>
      </c>
      <c r="B2900" s="6" t="s">
        <v>17</v>
      </c>
      <c r="C2900" s="20" t="s">
        <v>457</v>
      </c>
      <c r="D2900" s="20" t="s">
        <v>458</v>
      </c>
      <c r="E2900" s="20" t="s">
        <v>540</v>
      </c>
      <c r="F2900" s="20" t="s">
        <v>541</v>
      </c>
      <c r="G2900" s="20" t="s">
        <v>542</v>
      </c>
      <c r="H2900" s="20" t="s">
        <v>543</v>
      </c>
      <c r="I2900" s="20" t="s">
        <v>544</v>
      </c>
      <c r="J2900" s="20" t="s">
        <v>545</v>
      </c>
      <c r="K2900" s="20" t="s">
        <v>546</v>
      </c>
      <c r="L2900" s="20" t="s">
        <v>547</v>
      </c>
      <c r="M2900" s="20" t="s">
        <v>548</v>
      </c>
      <c r="N2900" s="20" t="s">
        <v>549</v>
      </c>
      <c r="O2900" s="20" t="s">
        <v>550</v>
      </c>
      <c r="P2900" s="6" t="s">
        <v>23</v>
      </c>
      <c r="R2900" s="20" t="n">
        <v>2023</v>
      </c>
      <c r="S2900" s="20" t="n">
        <v>2024</v>
      </c>
      <c r="T2900" s="20" t="n">
        <v>2025</v>
      </c>
      <c r="U2900" s="20" t="n">
        <v>2026</v>
      </c>
      <c r="V2900" s="20" t="n">
        <v>2027</v>
      </c>
      <c r="W2900" s="20" t="n">
        <v>2028</v>
      </c>
      <c r="X2900" s="20" t="n">
        <v>2029</v>
      </c>
      <c r="Y2900" s="20" t="n">
        <v>2030</v>
      </c>
      <c r="Z2900" s="20" t="n">
        <v>2031</v>
      </c>
      <c r="AA2900" s="20" t="n">
        <v>2032</v>
      </c>
    </row>
    <row r="2901" customFormat="false" ht="17.15" hidden="false" customHeight="false" outlineLevel="0" collapsed="false">
      <c r="A2901" s="1" t="s">
        <v>669</v>
      </c>
    </row>
    <row r="2902" customFormat="false" ht="15" hidden="false" customHeight="false" outlineLevel="0" collapsed="false">
      <c r="A2902" s="0" t="s">
        <v>479</v>
      </c>
      <c r="B2902" s="0" t="s">
        <v>73</v>
      </c>
      <c r="C2902" s="38" t="n">
        <f aca="false">Sens!$C$2811</f>
        <v>247.029</v>
      </c>
      <c r="D2902" s="38" t="n">
        <f aca="false">Sens!$D$2811</f>
        <v>269.287</v>
      </c>
      <c r="E2902" s="38" t="n">
        <f aca="false">Sens!$E$2811</f>
        <v>134.686</v>
      </c>
      <c r="F2902" s="38" t="n">
        <f aca="false">Sens!$F$2811</f>
        <v>160.728085930082</v>
      </c>
      <c r="G2902" s="38" t="n">
        <f aca="false">Sens!$G$2811</f>
        <v>295.414085930082</v>
      </c>
      <c r="H2902" s="38" t="n">
        <f aca="false">Sens!$H$2811</f>
        <v>320.828163943375</v>
      </c>
      <c r="I2902" s="38" t="n">
        <f aca="false">Sens!$I$2811</f>
        <v>344.575578072228</v>
      </c>
      <c r="J2902" s="38" t="n">
        <f aca="false">Sens!$J$2811</f>
        <v>365.942555779681</v>
      </c>
      <c r="K2902" s="38" t="n">
        <f aca="false">Sens!$K$2811</f>
        <v>384.239683568665</v>
      </c>
      <c r="L2902" s="38" t="n">
        <f aca="false">Sens!$L$2811</f>
        <v>403.451667747098</v>
      </c>
      <c r="M2902" s="38" t="n">
        <f aca="false">Sens!$M$2811</f>
        <v>423.624251134453</v>
      </c>
      <c r="N2902" s="38" t="n">
        <f aca="false">Sens!$N$2811</f>
        <v>118.892</v>
      </c>
      <c r="O2902" s="38" t="n">
        <f aca="false">Sens!$O$2811</f>
        <v>150.395</v>
      </c>
    </row>
    <row r="2903" customFormat="false" ht="15" hidden="false" customHeight="false" outlineLevel="0" collapsed="false">
      <c r="A2903" s="0" t="s">
        <v>480</v>
      </c>
      <c r="B2903" s="0" t="s">
        <v>73</v>
      </c>
      <c r="C2903" s="38" t="n">
        <f aca="false">Sens!$C$2813</f>
        <v>21.215</v>
      </c>
      <c r="D2903" s="38" t="n">
        <f aca="false">Sens!$D$2813</f>
        <v>22.561</v>
      </c>
      <c r="E2903" s="38" t="n">
        <f aca="false">Sens!$E$2813</f>
        <v>11.579</v>
      </c>
      <c r="F2903" s="38" t="n">
        <f aca="false">Sens!$F$2813</f>
        <v>12.0952613121125</v>
      </c>
      <c r="G2903" s="38" t="n">
        <f aca="false">Sens!$G$2813</f>
        <v>23.6742613121125</v>
      </c>
      <c r="H2903" s="38" t="n">
        <f aca="false">Sens!$H$2813</f>
        <v>24.8803243963206</v>
      </c>
      <c r="I2903" s="38" t="n">
        <f aca="false">Sens!$I$2813</f>
        <v>25.9741308664154</v>
      </c>
      <c r="J2903" s="38" t="n">
        <f aca="false">Sens!$J$2813</f>
        <v>26.9346894124267</v>
      </c>
      <c r="K2903" s="38" t="n">
        <f aca="false">Sens!$K$2813</f>
        <v>27.7427300947995</v>
      </c>
      <c r="L2903" s="38" t="n">
        <f aca="false">Sens!$L$2813</f>
        <v>28.5750119976435</v>
      </c>
      <c r="M2903" s="38" t="n">
        <f aca="false">Sens!$M$2813</f>
        <v>29.4322623575728</v>
      </c>
      <c r="N2903" s="38" t="n">
        <f aca="false">Sens!$N$2813</f>
        <v>11.128</v>
      </c>
      <c r="O2903" s="38" t="n">
        <f aca="false">Sens!$O$2813</f>
        <v>11.433</v>
      </c>
    </row>
    <row r="2904" customFormat="false" ht="15" hidden="false" customHeight="false" outlineLevel="0" collapsed="false">
      <c r="A2904" s="0" t="s">
        <v>481</v>
      </c>
      <c r="B2904" s="0" t="s">
        <v>73</v>
      </c>
      <c r="C2904" s="38" t="n">
        <f aca="false">Sens!$C$2815</f>
        <v>156.146</v>
      </c>
      <c r="D2904" s="38" t="n">
        <f aca="false">Sens!$D$2815</f>
        <v>172.162</v>
      </c>
      <c r="E2904" s="38" t="n">
        <f aca="false">Sens!$E$2815</f>
        <v>88.358</v>
      </c>
      <c r="F2904" s="38" t="n">
        <f aca="false">Sens!$F$2815</f>
        <v>103.62028337149</v>
      </c>
      <c r="G2904" s="38" t="n">
        <f aca="false">Sens!$G$2815</f>
        <v>191.97828337149</v>
      </c>
      <c r="H2904" s="38" t="n">
        <f aca="false">Sens!$H$2815</f>
        <v>212.128608444755</v>
      </c>
      <c r="I2904" s="38" t="n">
        <f aca="false">Sens!$I$2815</f>
        <v>231.92183134134</v>
      </c>
      <c r="J2904" s="38" t="n">
        <f aca="false">Sens!$J$2815</f>
        <v>250.859136487863</v>
      </c>
      <c r="K2904" s="38" t="n">
        <f aca="false">Sens!$K$2815</f>
        <v>268.419276042014</v>
      </c>
      <c r="L2904" s="38" t="n">
        <f aca="false">Sens!$L$2815</f>
        <v>287.208625364954</v>
      </c>
      <c r="M2904" s="38" t="n">
        <f aca="false">Sens!$M$2815</f>
        <v>307.313229140501</v>
      </c>
      <c r="N2904" s="38" t="n">
        <f aca="false">Sens!$N$2815</f>
        <v>76.86</v>
      </c>
      <c r="O2904" s="38" t="n">
        <f aca="false">Sens!$O$2815</f>
        <v>95.302</v>
      </c>
    </row>
    <row r="2905" customFormat="false" ht="15" hidden="false" customHeight="false" outlineLevel="0" collapsed="false">
      <c r="A2905" s="0" t="s">
        <v>482</v>
      </c>
      <c r="B2905" s="0" t="s">
        <v>73</v>
      </c>
      <c r="C2905" s="38" t="n">
        <f aca="false">Sens!$C$2817</f>
        <v>56.214</v>
      </c>
      <c r="D2905" s="38" t="n">
        <f aca="false">Sens!$D$2817</f>
        <v>68.635</v>
      </c>
      <c r="E2905" s="38" t="n">
        <f aca="false">Sens!$E$2817</f>
        <v>37.052</v>
      </c>
      <c r="F2905" s="38" t="n">
        <f aca="false">Sens!$F$2817</f>
        <v>48.1533381827382</v>
      </c>
      <c r="G2905" s="38" t="n">
        <f aca="false">Sens!$G$2817</f>
        <v>85.2053381827382</v>
      </c>
      <c r="H2905" s="38" t="n">
        <f aca="false">Sens!$H$2817</f>
        <v>102.29336185894</v>
      </c>
      <c r="I2905" s="38" t="n">
        <f aca="false">Sens!$I$2817</f>
        <v>119.379837585241</v>
      </c>
      <c r="J2905" s="38" t="n">
        <f aca="false">Sens!$J$2817</f>
        <v>135.319079048844</v>
      </c>
      <c r="K2905" s="38" t="n">
        <f aca="false">Sens!$K$2817</f>
        <v>148.850986953729</v>
      </c>
      <c r="L2905" s="38" t="n">
        <f aca="false">Sens!$L$2817</f>
        <v>163.736085649102</v>
      </c>
      <c r="M2905" s="38" t="n">
        <f aca="false">Sens!$M$2817</f>
        <v>180.109694214012</v>
      </c>
      <c r="N2905" s="38" t="n">
        <f aca="false">Sens!$N$2817</f>
        <v>29.615</v>
      </c>
      <c r="O2905" s="38" t="n">
        <f aca="false">Sens!$O$2817</f>
        <v>39.02</v>
      </c>
    </row>
    <row r="2906" customFormat="false" ht="15" hidden="false" customHeight="false" outlineLevel="0" collapsed="false">
      <c r="A2906" s="0" t="s">
        <v>483</v>
      </c>
      <c r="B2906" s="0" t="s">
        <v>73</v>
      </c>
      <c r="C2906" s="38" t="n">
        <f aca="false">Sens!$C$2819</f>
        <v>44.374</v>
      </c>
      <c r="D2906" s="38" t="n">
        <f aca="false">Sens!$D$2819</f>
        <v>49.619</v>
      </c>
      <c r="E2906" s="38" t="n">
        <f aca="false">Sens!$E$2819</f>
        <v>27.157</v>
      </c>
      <c r="F2906" s="38" t="n">
        <f aca="false">Sens!$F$2819</f>
        <v>28.9776360923374</v>
      </c>
      <c r="G2906" s="38" t="n">
        <f aca="false">Sens!$G$2819</f>
        <v>56.1346360923374</v>
      </c>
      <c r="H2906" s="38" t="n">
        <f aca="false">Sens!$H$2819</f>
        <v>62.4937078946075</v>
      </c>
      <c r="I2906" s="38" t="n">
        <f aca="false">Sens!$I$2819</f>
        <v>68.6715233062498</v>
      </c>
      <c r="J2906" s="38" t="n">
        <f aca="false">Sens!$J$2819</f>
        <v>74.4692882949818</v>
      </c>
      <c r="K2906" s="38" t="n">
        <f aca="false">Sens!$K$2819</f>
        <v>79.6821384756306</v>
      </c>
      <c r="L2906" s="38" t="n">
        <f aca="false">Sens!$L$2819</f>
        <v>85.2598881689247</v>
      </c>
      <c r="M2906" s="38" t="n">
        <f aca="false">Sens!$M$2819</f>
        <v>91.2280803407494</v>
      </c>
      <c r="N2906" s="38" t="n">
        <f aca="false">Sens!$N$2819</f>
        <v>23.923</v>
      </c>
      <c r="O2906" s="38" t="n">
        <f aca="false">Sens!$O$2819</f>
        <v>25.696</v>
      </c>
    </row>
    <row r="2907" customFormat="false" ht="15" hidden="false" customHeight="false" outlineLevel="0" collapsed="false">
      <c r="A2907" s="0" t="s">
        <v>484</v>
      </c>
      <c r="B2907" s="0" t="s">
        <v>73</v>
      </c>
      <c r="C2907" s="38" t="n">
        <f aca="false">Sens!$C$2821</f>
        <v>5.425</v>
      </c>
      <c r="D2907" s="38" t="n">
        <f aca="false">Sens!$D$2821</f>
        <v>5.935</v>
      </c>
      <c r="E2907" s="38" t="n">
        <f aca="false">Sens!$E$2821</f>
        <v>3.474</v>
      </c>
      <c r="F2907" s="38" t="n">
        <f aca="false">Sens!$F$2821</f>
        <v>3.36182431966931</v>
      </c>
      <c r="G2907" s="38" t="n">
        <f aca="false">Sens!$G$2821</f>
        <v>6.83582431966931</v>
      </c>
      <c r="H2907" s="38" t="n">
        <f aca="false">Sens!$H$2821</f>
        <v>7.31157108370141</v>
      </c>
      <c r="I2907" s="38" t="n">
        <f aca="false">Sens!$I$2821</f>
        <v>7.77266852639815</v>
      </c>
      <c r="J2907" s="38" t="n">
        <f aca="false">Sens!$J$2821</f>
        <v>8.2120733019884</v>
      </c>
      <c r="K2907" s="38" t="n">
        <f aca="false">Sens!$K$2821</f>
        <v>8.62267696708783</v>
      </c>
      <c r="L2907" s="38" t="n">
        <f aca="false">Sens!$L$2821</f>
        <v>9.05381081544222</v>
      </c>
      <c r="M2907" s="38" t="n">
        <f aca="false">Sens!$M$2821</f>
        <v>9.50650135621433</v>
      </c>
      <c r="N2907" s="38" t="n">
        <f aca="false">Sens!$N$2821</f>
        <v>2.811</v>
      </c>
      <c r="O2907" s="38" t="n">
        <f aca="false">Sens!$O$2821</f>
        <v>3.124</v>
      </c>
    </row>
    <row r="2908" customFormat="false" ht="17.15" hidden="false" customHeight="false" outlineLevel="0" collapsed="false">
      <c r="A2908" s="0" t="s">
        <v>670</v>
      </c>
      <c r="B2908" s="0" t="s">
        <v>73</v>
      </c>
      <c r="C2908" s="38" t="n">
        <f aca="false">Sens!$C$2889</f>
        <v>107.556</v>
      </c>
      <c r="D2908" s="38" t="n">
        <f aca="false">Sens!$D$2889</f>
        <v>128.725</v>
      </c>
      <c r="E2908" s="38" t="n">
        <f aca="false">Sens!$E$2889</f>
        <v>79.819</v>
      </c>
      <c r="F2908" s="38" t="n">
        <f aca="false">Sens!$F$2889</f>
        <v>93.5584440633857</v>
      </c>
      <c r="G2908" s="38" t="n">
        <f aca="false">Sens!$G$2889</f>
        <v>173.377444063386</v>
      </c>
      <c r="H2908" s="38" t="n">
        <f aca="false">Sens!$H$2889</f>
        <v>242.183728948739</v>
      </c>
      <c r="I2908" s="38" t="n">
        <f aca="false">Sens!$I$2889</f>
        <v>316.191571603364</v>
      </c>
      <c r="J2908" s="38" t="n">
        <f aca="false">Sens!$J$2889</f>
        <v>388.788070776268</v>
      </c>
      <c r="K2908" s="38" t="n">
        <f aca="false">Sens!$K$2889</f>
        <v>457.404971665925</v>
      </c>
      <c r="L2908" s="38" t="n">
        <f aca="false">Sens!$L$2889</f>
        <v>529.023464365474</v>
      </c>
      <c r="M2908" s="38" t="n">
        <f aca="false">Sens!$M$2889</f>
        <v>603.95779886634</v>
      </c>
      <c r="N2908" s="38" t="n">
        <f aca="false">Sens!$N$2889</f>
        <v>60.14</v>
      </c>
      <c r="O2908" s="38" t="n">
        <f aca="false">Sens!$O$2889</f>
        <v>68.585</v>
      </c>
    </row>
    <row r="2909" customFormat="false" ht="15" hidden="false" customHeight="false" outlineLevel="0" collapsed="false">
      <c r="A2909" s="1" t="s">
        <v>472</v>
      </c>
      <c r="B2909" s="8" t="s">
        <v>73</v>
      </c>
      <c r="C2909" s="38" t="n">
        <f aca="false">Sens!$C$2825</f>
        <v>387.497</v>
      </c>
      <c r="D2909" s="38" t="n">
        <f aca="false">Sens!$D$2825</f>
        <v>426.305</v>
      </c>
      <c r="E2909" s="38" t="n">
        <f aca="false">Sens!$E$2825</f>
        <v>220.32</v>
      </c>
      <c r="F2909" s="38" t="n">
        <f aca="false">Sens!$F$2825</f>
        <v>256.304015003807</v>
      </c>
      <c r="G2909" s="38" t="n">
        <f aca="false">Sens!$G$2825</f>
        <v>476.624015003807</v>
      </c>
      <c r="H2909" s="38" t="n">
        <f aca="false">Sens!$H$2825</f>
        <v>527.734391091543</v>
      </c>
      <c r="I2909" s="38" t="n">
        <f aca="false">Sens!$I$2825</f>
        <v>577.157693029577</v>
      </c>
      <c r="J2909" s="38" t="n">
        <f aca="false">Sens!$J$2825</f>
        <v>623.024923663827</v>
      </c>
      <c r="K2909" s="38" t="n">
        <f aca="false">Sens!$K$2825</f>
        <v>663.382568393781</v>
      </c>
      <c r="L2909" s="38" t="n">
        <f aca="false">Sens!$L$2825</f>
        <v>706.564873010432</v>
      </c>
      <c r="M2909" s="38" t="n">
        <f aca="false">Sens!$M$2825</f>
        <v>752.784687406019</v>
      </c>
      <c r="N2909" s="38" t="n">
        <f aca="false">Sens!$N$2825</f>
        <v>192.955</v>
      </c>
      <c r="O2909" s="38" t="n">
        <f aca="false">Sens!$O$2825</f>
        <v>233.35</v>
      </c>
    </row>
    <row r="2910" customFormat="false" ht="15" hidden="false" customHeight="false" outlineLevel="0" collapsed="false">
      <c r="A2910" s="1" t="s">
        <v>475</v>
      </c>
      <c r="B2910" s="8" t="s">
        <v>73</v>
      </c>
      <c r="C2910" s="38" t="n">
        <f aca="false">Sens!$C$2826</f>
        <v>142.906</v>
      </c>
      <c r="D2910" s="38" t="n">
        <f aca="false">Sens!$D$2826</f>
        <v>161.894</v>
      </c>
      <c r="E2910" s="38" t="n">
        <f aca="false">Sens!$E$2826</f>
        <v>81.986</v>
      </c>
      <c r="F2910" s="38" t="n">
        <f aca="false">Sens!$F$2826</f>
        <v>100.632414204623</v>
      </c>
      <c r="G2910" s="38" t="n">
        <f aca="false">Sens!$G$2826</f>
        <v>182.618414204623</v>
      </c>
      <c r="H2910" s="38" t="n">
        <f aca="false">Sens!$H$2826</f>
        <v>202.201346530158</v>
      </c>
      <c r="I2910" s="38" t="n">
        <f aca="false">Sens!$I$2826</f>
        <v>221.137876668296</v>
      </c>
      <c r="J2910" s="38" t="n">
        <f aca="false">Sens!$J$2826</f>
        <v>238.711898661958</v>
      </c>
      <c r="K2910" s="38" t="n">
        <f aca="false">Sens!$K$2826</f>
        <v>254.174923708144</v>
      </c>
      <c r="L2910" s="38" t="n">
        <f aca="false">Sens!$L$2826</f>
        <v>270.720216732733</v>
      </c>
      <c r="M2910" s="38" t="n">
        <f aca="false">Sens!$M$2826</f>
        <v>288.429331137484</v>
      </c>
      <c r="N2910" s="38" t="n">
        <f aca="false">Sens!$N$2826</f>
        <v>70.274</v>
      </c>
      <c r="O2910" s="38" t="n">
        <f aca="false">Sens!$O$2826</f>
        <v>91.62</v>
      </c>
    </row>
    <row r="2911" customFormat="false" ht="15" hidden="false" customHeight="false" outlineLevel="0" collapsed="false">
      <c r="A2911" s="1" t="s">
        <v>476</v>
      </c>
      <c r="B2911" s="8" t="s">
        <v>73</v>
      </c>
      <c r="C2911" s="38" t="n">
        <f aca="false">Sens!$C$2889</f>
        <v>107.556</v>
      </c>
      <c r="D2911" s="38" t="n">
        <f aca="false">Sens!$D$2889</f>
        <v>128.725</v>
      </c>
      <c r="E2911" s="38" t="n">
        <f aca="false">Sens!$E$2889</f>
        <v>79.819</v>
      </c>
      <c r="F2911" s="38" t="n">
        <f aca="false">Sens!$F$2889</f>
        <v>93.5584440633857</v>
      </c>
      <c r="G2911" s="38" t="n">
        <f aca="false">Sens!$G$2889</f>
        <v>173.377444063386</v>
      </c>
      <c r="H2911" s="38" t="n">
        <f aca="false">Sens!$H$2889</f>
        <v>242.183728948739</v>
      </c>
      <c r="I2911" s="38" t="n">
        <f aca="false">Sens!$I$2889</f>
        <v>316.191571603364</v>
      </c>
      <c r="J2911" s="38" t="n">
        <f aca="false">Sens!$J$2889</f>
        <v>388.788070776268</v>
      </c>
      <c r="K2911" s="38" t="n">
        <f aca="false">Sens!$K$2889</f>
        <v>457.404971665925</v>
      </c>
      <c r="L2911" s="38" t="n">
        <f aca="false">Sens!$L$2889</f>
        <v>529.023464365474</v>
      </c>
      <c r="M2911" s="38" t="n">
        <f aca="false">Sens!$M$2889</f>
        <v>603.95779886634</v>
      </c>
      <c r="N2911" s="38" t="n">
        <f aca="false">Sens!$N$2889</f>
        <v>60.14</v>
      </c>
      <c r="O2911" s="38" t="n">
        <f aca="false">Sens!$O$2889</f>
        <v>68.585</v>
      </c>
    </row>
    <row r="2912" customFormat="false" ht="17.15" hidden="false" customHeight="false" outlineLevel="0" collapsed="false">
      <c r="A2912" s="0" t="s">
        <v>644</v>
      </c>
      <c r="B2912" s="0" t="s">
        <v>73</v>
      </c>
      <c r="C2912" s="38" t="n">
        <f aca="false">Sens!$C$2887</f>
        <v>2.32100535697364</v>
      </c>
      <c r="D2912" s="38" t="n">
        <f aca="false">Sens!$D$2887</f>
        <v>8.70377008865116</v>
      </c>
      <c r="E2912" s="38" t="n">
        <f aca="false">Sens!$E$2887</f>
        <v>8.51035297557002</v>
      </c>
      <c r="F2912" s="38" t="n">
        <f aca="false">Sens!$F$2887</f>
        <v>14.9634336447205</v>
      </c>
      <c r="G2912" s="38" t="n">
        <f aca="false">Sens!$G$2887</f>
        <v>23.4737866202905</v>
      </c>
      <c r="H2912" s="38" t="n">
        <f aca="false">Sens!$H$2887</f>
        <v>60.1658907497746</v>
      </c>
      <c r="I2912" s="38" t="n">
        <f aca="false">Sens!$I$2887</f>
        <v>101.503699136432</v>
      </c>
      <c r="J2912" s="38" t="n">
        <f aca="false">Sens!$J$2887</f>
        <v>143.025407151278</v>
      </c>
      <c r="K2912" s="38" t="n">
        <f aca="false">Sens!$K$2887</f>
        <v>184.608415042187</v>
      </c>
      <c r="L2912" s="38" t="n">
        <f aca="false">Sens!$L$2887</f>
        <v>226.219286513125</v>
      </c>
      <c r="M2912" s="38" t="n">
        <f aca="false">Sens!$M$2887</f>
        <v>267.845161450232</v>
      </c>
      <c r="N2912" s="38" t="n">
        <f aca="false">Sens!$N$2887</f>
        <v>3.04631953102791</v>
      </c>
      <c r="O2912" s="38" t="n">
        <f aca="false">Sens!$O$2887</f>
        <v>5.65745055762326</v>
      </c>
    </row>
    <row r="2913" customFormat="false" ht="17.15" hidden="false" customHeight="false" outlineLevel="0" collapsed="false">
      <c r="A2913" s="0" t="s">
        <v>646</v>
      </c>
      <c r="B2913" s="0" t="s">
        <v>73</v>
      </c>
      <c r="C2913" s="38" t="n">
        <f aca="false">Sens!$C$2888</f>
        <v>105.234994643026</v>
      </c>
      <c r="D2913" s="38" t="n">
        <f aca="false">Sens!$D$2888</f>
        <v>120.021229911349</v>
      </c>
      <c r="E2913" s="38" t="n">
        <f aca="false">Sens!$E$2888</f>
        <v>71.30864702443</v>
      </c>
      <c r="F2913" s="38" t="n">
        <f aca="false">Sens!$F$2888</f>
        <v>78.5950104186653</v>
      </c>
      <c r="G2913" s="38" t="n">
        <f aca="false">Sens!$G$2888</f>
        <v>149.903657443095</v>
      </c>
      <c r="H2913" s="38" t="n">
        <f aca="false">Sens!$H$2888</f>
        <v>182.017838198965</v>
      </c>
      <c r="I2913" s="38" t="n">
        <f aca="false">Sens!$I$2888</f>
        <v>214.687872466932</v>
      </c>
      <c r="J2913" s="38" t="n">
        <f aca="false">Sens!$J$2888</f>
        <v>245.762663624989</v>
      </c>
      <c r="K2913" s="38" t="n">
        <f aca="false">Sens!$K$2888</f>
        <v>272.796556623738</v>
      </c>
      <c r="L2913" s="38" t="n">
        <f aca="false">Sens!$L$2888</f>
        <v>302.804177852349</v>
      </c>
      <c r="M2913" s="38" t="n">
        <f aca="false">Sens!$M$2888</f>
        <v>336.112637416108</v>
      </c>
      <c r="N2913" s="38" t="n">
        <f aca="false">Sens!$N$2888</f>
        <v>57.0936804689721</v>
      </c>
      <c r="O2913" s="38" t="n">
        <f aca="false">Sens!$O$2888</f>
        <v>62.9275494423768</v>
      </c>
    </row>
    <row r="2914" customFormat="false" ht="15" hidden="false" customHeight="false" outlineLevel="0" collapsed="false">
      <c r="A2914" s="3" t="s">
        <v>477</v>
      </c>
      <c r="B2914" s="8" t="s">
        <v>73</v>
      </c>
      <c r="C2914" s="38" t="n">
        <f aca="false">Sens!$C$2890</f>
        <v>637.959</v>
      </c>
      <c r="D2914" s="38" t="n">
        <f aca="false">Sens!$D$2890</f>
        <v>716.924</v>
      </c>
      <c r="E2914" s="38" t="n">
        <f aca="false">Sens!$E$2890</f>
        <v>382.125</v>
      </c>
      <c r="F2914" s="38" t="n">
        <f aca="false">Sens!$F$2890</f>
        <v>450.494873271816</v>
      </c>
      <c r="G2914" s="38" t="n">
        <f aca="false">Sens!$G$2890</f>
        <v>832.619873271816</v>
      </c>
      <c r="H2914" s="38" t="n">
        <f aca="false">Sens!$H$2890</f>
        <v>972.11946657044</v>
      </c>
      <c r="I2914" s="38" t="n">
        <f aca="false">Sens!$I$2890</f>
        <v>1114.48714130124</v>
      </c>
      <c r="J2914" s="38" t="n">
        <f aca="false">Sens!$J$2890</f>
        <v>1250.52489310205</v>
      </c>
      <c r="K2914" s="38" t="n">
        <f aca="false">Sens!$K$2890</f>
        <v>1374.96246376785</v>
      </c>
      <c r="L2914" s="38" t="n">
        <f aca="false">Sens!$L$2890</f>
        <v>1506.30855410864</v>
      </c>
      <c r="M2914" s="38" t="n">
        <f aca="false">Sens!$M$2890</f>
        <v>1645.17181740984</v>
      </c>
      <c r="N2914" s="38" t="n">
        <f aca="false">Sens!$N$2890</f>
        <v>323.369</v>
      </c>
      <c r="O2914" s="38" t="n">
        <f aca="false">Sens!$O$2890</f>
        <v>393.555</v>
      </c>
    </row>
    <row r="2915" customFormat="false" ht="17.15" hidden="false" customHeight="false" outlineLevel="0" collapsed="false">
      <c r="A2915" s="24" t="s">
        <v>656</v>
      </c>
      <c r="B2915" s="25" t="s">
        <v>73</v>
      </c>
      <c r="C2915" s="39" t="n">
        <f aca="false">Sens!$C$2902+Sens!$C$2903+Sens!$C$2904+Sens!$C$2905+Sens!$C$2906+Sens!$C$2907-(Sens!$C$2909+Sens!$C$2910)</f>
        <v>0</v>
      </c>
      <c r="D2915" s="39" t="n">
        <f aca="false">Sens!$D$2902+Sens!$D$2903+Sens!$D$2904+Sens!$D$2905+Sens!$D$2906+Sens!$D$2907-(Sens!$D$2909+Sens!$D$2910)</f>
        <v>0</v>
      </c>
      <c r="E2915" s="39" t="n">
        <f aca="false">Sens!$E$2902+Sens!$E$2903+Sens!$E$2904+Sens!$E$2905+Sens!$E$2906+Sens!$E$2907-(Sens!$E$2909+Sens!$E$2910)</f>
        <v>0</v>
      </c>
      <c r="F2915" s="39" t="n">
        <f aca="false">Sens!$F$2902+Sens!$F$2903+Sens!$F$2904+Sens!$F$2905+Sens!$F$2906+Sens!$F$2907-(Sens!$F$2909+Sens!$F$2910)</f>
        <v>0</v>
      </c>
      <c r="G2915" s="39" t="n">
        <f aca="false">Sens!$G$2902+Sens!$G$2903+Sens!$G$2904+Sens!$G$2905+Sens!$G$2906+Sens!$G$2907-(Sens!$G$2909+Sens!$G$2910)</f>
        <v>0</v>
      </c>
      <c r="H2915" s="39" t="n">
        <f aca="false">Sens!$H$2902+Sens!$H$2903+Sens!$H$2904+Sens!$H$2905+Sens!$H$2906+Sens!$H$2907-(Sens!$H$2909+Sens!$H$2910)</f>
        <v>0</v>
      </c>
      <c r="I2915" s="39" t="n">
        <f aca="false">Sens!$I$2902+Sens!$I$2903+Sens!$I$2904+Sens!$I$2905+Sens!$I$2906+Sens!$I$2907-(Sens!$I$2909+Sens!$I$2910)</f>
        <v>0</v>
      </c>
      <c r="J2915" s="39" t="n">
        <f aca="false">Sens!$J$2902+Sens!$J$2903+Sens!$J$2904+Sens!$J$2905+Sens!$J$2906+Sens!$J$2907-(Sens!$J$2909+Sens!$J$2910)</f>
        <v>0</v>
      </c>
      <c r="K2915" s="39" t="n">
        <f aca="false">Sens!$K$2902+Sens!$K$2903+Sens!$K$2904+Sens!$K$2905+Sens!$K$2906+Sens!$K$2907-(Sens!$K$2909+Sens!$K$2910)</f>
        <v>0</v>
      </c>
      <c r="L2915" s="39" t="n">
        <f aca="false">Sens!$L$2902+Sens!$L$2903+Sens!$L$2904+Sens!$L$2905+Sens!$L$2906+Sens!$L$2907-(Sens!$L$2909+Sens!$L$2910)</f>
        <v>0</v>
      </c>
      <c r="M2915" s="39" t="n">
        <f aca="false">Sens!$M$2902+Sens!$M$2903+Sens!$M$2904+Sens!$M$2905+Sens!$M$2906+Sens!$M$2907-(Sens!$M$2909+Sens!$M$2910)</f>
        <v>0</v>
      </c>
      <c r="N2915" s="39" t="n">
        <f aca="false">Sens!$N$2902+Sens!$N$2903+Sens!$N$2904+Sens!$N$2905+Sens!$N$2906+Sens!$N$2907-(Sens!$N$2909+Sens!$N$2910)</f>
        <v>0</v>
      </c>
      <c r="O2915" s="39" t="n">
        <f aca="false">Sens!$O$2902+Sens!$O$2903+Sens!$O$2904+Sens!$O$2905+Sens!$O$2906+Sens!$O$2907-(Sens!$O$2909+Sens!$O$2910)</f>
        <v>0</v>
      </c>
    </row>
    <row r="2916" customFormat="false" ht="17.15" hidden="false" customHeight="false" outlineLevel="0" collapsed="false">
      <c r="A2916" s="24" t="s">
        <v>657</v>
      </c>
      <c r="B2916" s="25" t="s">
        <v>73</v>
      </c>
      <c r="C2916" s="39" t="n">
        <f aca="false">Sens!$C$2912+Sens!$C$2913-Sens!$C$2911</f>
        <v>0</v>
      </c>
      <c r="D2916" s="39" t="n">
        <f aca="false">Sens!$D$2912+Sens!$D$2913-Sens!$D$2911</f>
        <v>0</v>
      </c>
      <c r="E2916" s="39" t="n">
        <f aca="false">Sens!$E$2912+Sens!$E$2913-Sens!$E$2911</f>
        <v>0</v>
      </c>
      <c r="F2916" s="39" t="n">
        <f aca="false">Sens!$F$2912+Sens!$F$2913-Sens!$F$2911</f>
        <v>0</v>
      </c>
      <c r="G2916" s="39" t="n">
        <f aca="false">Sens!$G$2912+Sens!$G$2913-Sens!$G$2911</f>
        <v>0</v>
      </c>
      <c r="H2916" s="39" t="n">
        <f aca="false">Sens!$H$2912+Sens!$H$2913-Sens!$H$2911</f>
        <v>0</v>
      </c>
      <c r="I2916" s="39" t="n">
        <f aca="false">Sens!$I$2912+Sens!$I$2913-Sens!$I$2911</f>
        <v>0</v>
      </c>
      <c r="J2916" s="39" t="n">
        <f aca="false">Sens!$J$2912+Sens!$J$2913-Sens!$J$2911</f>
        <v>0</v>
      </c>
      <c r="K2916" s="39" t="n">
        <f aca="false">Sens!$K$2912+Sens!$K$2913-Sens!$K$2911</f>
        <v>0</v>
      </c>
      <c r="L2916" s="39" t="n">
        <f aca="false">Sens!$L$2912+Sens!$L$2913-Sens!$L$2911</f>
        <v>0</v>
      </c>
      <c r="M2916" s="39" t="n">
        <f aca="false">Sens!$M$2912+Sens!$M$2913-Sens!$M$2911</f>
        <v>0</v>
      </c>
      <c r="N2916" s="39" t="n">
        <f aca="false">Sens!$N$2912+Sens!$N$2913-Sens!$N$2911</f>
        <v>0</v>
      </c>
      <c r="O2916" s="39" t="n">
        <f aca="false">Sens!$O$2912+Sens!$O$2913-Sens!$O$2911</f>
        <v>0</v>
      </c>
    </row>
    <row r="2917" customFormat="false" ht="17.15" hidden="false" customHeight="false" outlineLevel="0" collapsed="false">
      <c r="A2917" s="24" t="s">
        <v>711</v>
      </c>
      <c r="B2917" s="25" t="s">
        <v>73</v>
      </c>
      <c r="C2917" s="39" t="n">
        <f aca="false">Sens!$C$2902+Sens!$C$2903+Sens!$C$2904+Sens!$C$2905+Sens!$C$2906+Sens!$C$2907+Sens!$C$2908-Sens!$C$2914</f>
        <v>0</v>
      </c>
      <c r="D2917" s="39" t="n">
        <f aca="false">Sens!$D$2902+Sens!$D$2903+Sens!$D$2904+Sens!$D$2905+Sens!$D$2906+Sens!$D$2907+Sens!$D$2908-Sens!$D$2914</f>
        <v>0</v>
      </c>
      <c r="E2917" s="39" t="n">
        <f aca="false">Sens!$E$2902+Sens!$E$2903+Sens!$E$2904+Sens!$E$2905+Sens!$E$2906+Sens!$E$2907+Sens!$E$2908-Sens!$E$2914</f>
        <v>0</v>
      </c>
      <c r="F2917" s="39" t="n">
        <f aca="false">Sens!$F$2902+Sens!$F$2903+Sens!$F$2904+Sens!$F$2905+Sens!$F$2906+Sens!$F$2907+Sens!$F$2908-Sens!$F$2914</f>
        <v>0</v>
      </c>
      <c r="G2917" s="39" t="n">
        <f aca="false">Sens!$G$2902+Sens!$G$2903+Sens!$G$2904+Sens!$G$2905+Sens!$G$2906+Sens!$G$2907+Sens!$G$2908-Sens!$G$2914</f>
        <v>0</v>
      </c>
      <c r="H2917" s="39" t="n">
        <f aca="false">Sens!$H$2902+Sens!$H$2903+Sens!$H$2904+Sens!$H$2905+Sens!$H$2906+Sens!$H$2907+Sens!$H$2908-Sens!$H$2914</f>
        <v>0</v>
      </c>
      <c r="I2917" s="39" t="n">
        <f aca="false">Sens!$I$2902+Sens!$I$2903+Sens!$I$2904+Sens!$I$2905+Sens!$I$2906+Sens!$I$2907+Sens!$I$2908-Sens!$I$2914</f>
        <v>0</v>
      </c>
      <c r="J2917" s="39" t="n">
        <f aca="false">Sens!$J$2902+Sens!$J$2903+Sens!$J$2904+Sens!$J$2905+Sens!$J$2906+Sens!$J$2907+Sens!$J$2908-Sens!$J$2914</f>
        <v>0</v>
      </c>
      <c r="K2917" s="39" t="n">
        <f aca="false">Sens!$K$2902+Sens!$K$2903+Sens!$K$2904+Sens!$K$2905+Sens!$K$2906+Sens!$K$2907+Sens!$K$2908-Sens!$K$2914</f>
        <v>0</v>
      </c>
      <c r="L2917" s="39" t="n">
        <f aca="false">Sens!$L$2902+Sens!$L$2903+Sens!$L$2904+Sens!$L$2905+Sens!$L$2906+Sens!$L$2907+Sens!$L$2908-Sens!$L$2914</f>
        <v>0</v>
      </c>
      <c r="M2917" s="39" t="n">
        <f aca="false">Sens!$M$2902+Sens!$M$2903+Sens!$M$2904+Sens!$M$2905+Sens!$M$2906+Sens!$M$2907+Sens!$M$2908-Sens!$M$2914</f>
        <v>0</v>
      </c>
      <c r="N2917" s="39" t="n">
        <f aca="false">Sens!$N$2902+Sens!$N$2903+Sens!$N$2904+Sens!$N$2905+Sens!$N$2906+Sens!$N$2907+Sens!$N$2908-Sens!$N$2914</f>
        <v>0</v>
      </c>
      <c r="O2917" s="39" t="n">
        <f aca="false">Sens!$O$2902+Sens!$O$2903+Sens!$O$2904+Sens!$O$2905+Sens!$O$2906+Sens!$O$2907+Sens!$O$2908-Sens!$O$2914</f>
        <v>0</v>
      </c>
    </row>
    <row r="2918" customFormat="false" ht="17.15" hidden="false" customHeight="false" outlineLevel="0" collapsed="false">
      <c r="A2918" s="24" t="s">
        <v>658</v>
      </c>
      <c r="B2918" s="25" t="s">
        <v>73</v>
      </c>
      <c r="C2918" s="39" t="n">
        <f aca="false">Sens!$C$2909+Sens!$C$2910+Sens!$C$2911-Sens!$C$2914</f>
        <v>0</v>
      </c>
      <c r="D2918" s="39" t="n">
        <f aca="false">Sens!$D$2909+Sens!$D$2910+Sens!$D$2911-Sens!$D$2914</f>
        <v>0</v>
      </c>
      <c r="E2918" s="39" t="n">
        <f aca="false">Sens!$E$2909+Sens!$E$2910+Sens!$E$2911-Sens!$E$2914</f>
        <v>0</v>
      </c>
      <c r="F2918" s="39" t="n">
        <f aca="false">Sens!$F$2909+Sens!$F$2910+Sens!$F$2911-Sens!$F$2914</f>
        <v>0</v>
      </c>
      <c r="G2918" s="39" t="n">
        <f aca="false">Sens!$G$2909+Sens!$G$2910+Sens!$G$2911-Sens!$G$2914</f>
        <v>0</v>
      </c>
      <c r="H2918" s="39" t="n">
        <f aca="false">Sens!$H$2909+Sens!$H$2910+Sens!$H$2911-Sens!$H$2914</f>
        <v>0</v>
      </c>
      <c r="I2918" s="39" t="n">
        <f aca="false">Sens!$I$2909+Sens!$I$2910+Sens!$I$2911-Sens!$I$2914</f>
        <v>0</v>
      </c>
      <c r="J2918" s="39" t="n">
        <f aca="false">Sens!$J$2909+Sens!$J$2910+Sens!$J$2911-Sens!$J$2914</f>
        <v>0</v>
      </c>
      <c r="K2918" s="39" t="n">
        <f aca="false">Sens!$K$2909+Sens!$K$2910+Sens!$K$2911-Sens!$K$2914</f>
        <v>0</v>
      </c>
      <c r="L2918" s="39" t="n">
        <f aca="false">Sens!$L$2909+Sens!$L$2910+Sens!$L$2911-Sens!$L$2914</f>
        <v>0</v>
      </c>
      <c r="M2918" s="39" t="n">
        <f aca="false">Sens!$M$2909+Sens!$M$2910+Sens!$M$2911-Sens!$M$2914</f>
        <v>0</v>
      </c>
      <c r="N2918" s="39" t="n">
        <f aca="false">Sens!$N$2909+Sens!$N$2910+Sens!$N$2911-Sens!$N$2914</f>
        <v>0</v>
      </c>
      <c r="O2918" s="39" t="n">
        <f aca="false">Sens!$O$2909+Sens!$O$2910+Sens!$O$2911-Sens!$O$2914</f>
        <v>0</v>
      </c>
    </row>
    <row r="2919" customFormat="false" ht="17.15" hidden="false" customHeight="false" outlineLevel="0" collapsed="false">
      <c r="A2919" s="1" t="s">
        <v>672</v>
      </c>
    </row>
    <row r="2920" customFormat="false" ht="17.15" hidden="false" customHeight="false" outlineLevel="0" collapsed="false">
      <c r="A2920" s="0" t="s">
        <v>673</v>
      </c>
      <c r="B2920" s="0" t="s">
        <v>73</v>
      </c>
      <c r="C2920" s="38" t="n">
        <f aca="false">Sens!$C$2827*m_ad</f>
        <v>20.5341564414228</v>
      </c>
      <c r="D2920" s="38" t="n">
        <f aca="false">Sens!$D$2827*m_ad</f>
        <v>24.8720617299587</v>
      </c>
      <c r="E2920" s="38" t="n">
        <f aca="false">Sens!$E$2827*m_ad</f>
        <v>13.5017112462207</v>
      </c>
      <c r="F2920" s="38" t="n">
        <f aca="false">Sens!$F$2827*m_ad</f>
        <v>17.2886442824599</v>
      </c>
      <c r="G2920" s="38" t="n">
        <f aca="false">Sens!$G$2827*m_ad</f>
        <v>30.8011958765886</v>
      </c>
      <c r="H2920" s="38" t="n">
        <f aca="false">Sens!$H$2827*m_ad</f>
        <v>36.978409366026</v>
      </c>
      <c r="I2920" s="38" t="n">
        <f aca="false">Sens!$I$2827*m_ad</f>
        <v>43.155063281273</v>
      </c>
      <c r="J2920" s="38" t="n">
        <f aca="false">Sens!$J$2827*m_ad</f>
        <v>48.9169991988532</v>
      </c>
      <c r="K2920" s="38" t="n">
        <f aca="false">Sens!$K$2827*m_ad</f>
        <v>53.8086991187386</v>
      </c>
      <c r="L2920" s="38" t="n">
        <f aca="false">Sens!$L$2827*m_ad</f>
        <v>59.1895690306124</v>
      </c>
      <c r="M2920" s="38" t="n">
        <f aca="false">Sens!$M$2827*m_ad</f>
        <v>65.1085259336737</v>
      </c>
      <c r="N2920" s="38" t="n">
        <f aca="false">Sens!$N$2827*m_ad</f>
        <v>10.8543555706248</v>
      </c>
      <c r="O2920" s="38" t="n">
        <f aca="false">Sens!$O$2827*m_ad</f>
        <v>14.0094731821399</v>
      </c>
    </row>
    <row r="2921" customFormat="false" ht="17.15" hidden="false" customHeight="false" outlineLevel="0" collapsed="false">
      <c r="A2921" s="0" t="s">
        <v>674</v>
      </c>
      <c r="B2921" s="0" t="s">
        <v>73</v>
      </c>
      <c r="C2921" s="38" t="n">
        <f aca="false">Sens!$C$2825-Sens!$C$2827</f>
        <v>346.428687117154</v>
      </c>
      <c r="D2921" s="38" t="n">
        <f aca="false">Sens!$D$2825-Sens!$D$2827</f>
        <v>376.560876540083</v>
      </c>
      <c r="E2921" s="38" t="n">
        <f aca="false">Sens!$E$2825-Sens!$E$2827</f>
        <v>193.316577507559</v>
      </c>
      <c r="F2921" s="38" t="n">
        <f aca="false">Sens!$F$2825-Sens!$F$2827</f>
        <v>221.726726438887</v>
      </c>
      <c r="G2921" s="38" t="n">
        <f aca="false">Sens!$G$2825-Sens!$G$2827</f>
        <v>415.02162325063</v>
      </c>
      <c r="H2921" s="38" t="n">
        <f aca="false">Sens!$H$2825-Sens!$H$2827</f>
        <v>453.777572359491</v>
      </c>
      <c r="I2921" s="38" t="n">
        <f aca="false">Sens!$I$2825-Sens!$I$2827</f>
        <v>490.847566467031</v>
      </c>
      <c r="J2921" s="38" t="n">
        <f aca="false">Sens!$J$2825-Sens!$J$2827</f>
        <v>525.190925266121</v>
      </c>
      <c r="K2921" s="38" t="n">
        <f aca="false">Sens!$K$2825-Sens!$K$2827</f>
        <v>555.765170156304</v>
      </c>
      <c r="L2921" s="38" t="n">
        <f aca="false">Sens!$L$2825-Sens!$L$2827</f>
        <v>588.185734949207</v>
      </c>
      <c r="M2921" s="38" t="n">
        <f aca="false">Sens!$M$2825-Sens!$M$2827</f>
        <v>622.567635538672</v>
      </c>
      <c r="N2921" s="38" t="n">
        <f aca="false">Sens!$N$2825-Sens!$N$2827</f>
        <v>171.24628885875</v>
      </c>
      <c r="O2921" s="38" t="n">
        <f aca="false">Sens!$O$2825-Sens!$O$2827</f>
        <v>205.33105363572</v>
      </c>
    </row>
    <row r="2922" customFormat="false" ht="17.15" hidden="false" customHeight="false" outlineLevel="0" collapsed="false">
      <c r="A2922" s="0" t="s">
        <v>675</v>
      </c>
      <c r="B2922" s="0" t="s">
        <v>73</v>
      </c>
      <c r="C2922" s="38" t="n">
        <f aca="false">Sens!$C$2873*Sens!$C$2824</f>
        <v>0.123617442257179</v>
      </c>
      <c r="D2922" s="38" t="n">
        <f aca="false">Sens!$D$2873*Sens!$D$2824</f>
        <v>0.874366899302609</v>
      </c>
      <c r="E2922" s="38" t="n">
        <f aca="false">Sens!$E$2873*Sens!$E$2824</f>
        <v>1.29318830502574</v>
      </c>
      <c r="F2922" s="38" t="n">
        <f aca="false">Sens!$F$2873*Sens!$F$2824</f>
        <v>1.51802024162534</v>
      </c>
      <c r="G2922" s="38" t="n">
        <f aca="false">Sens!$G$2873*Sens!$G$2824</f>
        <v>2.81130189308167</v>
      </c>
      <c r="H2922" s="38" t="n">
        <f aca="false">Sens!$H$2873*Sens!$H$2824</f>
        <v>7.38966789318209</v>
      </c>
      <c r="I2922" s="38" t="n">
        <f aca="false">Sens!$I$2873*Sens!$I$2824</f>
        <v>12.8987443661473</v>
      </c>
      <c r="J2922" s="38" t="n">
        <f aca="false">Sens!$J$2873*Sens!$J$2824</f>
        <v>18.5570025453645</v>
      </c>
      <c r="K2922" s="38" t="n">
        <f aca="false">Sens!$K$2873*Sens!$K$2824</f>
        <v>24.3158972773405</v>
      </c>
      <c r="L2922" s="38" t="n">
        <f aca="false">Sens!$L$2873*Sens!$L$2824</f>
        <v>29.7827375558674</v>
      </c>
      <c r="M2922" s="38" t="n">
        <f aca="false">Sens!$M$2873*Sens!$M$2824</f>
        <v>35.3532344973194</v>
      </c>
      <c r="N2922" s="38" t="n">
        <f aca="false">Sens!$N$2873*Sens!$N$2824</f>
        <v>0.389180508437431</v>
      </c>
      <c r="O2922" s="38" t="n">
        <f aca="false">Sens!$O$2873*Sens!$O$2824</f>
        <v>0.485052120082802</v>
      </c>
    </row>
    <row r="2923" customFormat="false" ht="17.15" hidden="false" customHeight="false" outlineLevel="0" collapsed="false">
      <c r="A2923" s="0" t="s">
        <v>676</v>
      </c>
      <c r="B2923" s="0" t="s">
        <v>52</v>
      </c>
      <c r="C2923" s="28" t="n">
        <f aca="false">(Sens!$C$2924-Sens!$C$2920+Sens!$C$2922)/Sens!$C$2921</f>
        <v>0.0131526665379575</v>
      </c>
      <c r="D2923" s="28" t="n">
        <f aca="false">(Sens!$D$2924-Sens!$D$2920+Sens!$D$2922)/Sens!$D$2921</f>
        <v>0.0149280116962589</v>
      </c>
      <c r="E2923" s="28" t="n">
        <f aca="false">(Sens!$E$2924-Sens!$E$2920+Sens!$E$2922)/Sens!$E$2921</f>
        <v>0.0268030663774938</v>
      </c>
      <c r="F2923" s="28" t="n">
        <f aca="false">Sens!$O$2923+(Sens!$E$2923-Sens!$N$2923)</f>
        <v>0.0232379346966962</v>
      </c>
      <c r="G2923" s="28" t="n">
        <f aca="false">(Sens!$G$2924-Sens!$G$2920+Sens!$G$2922)/Sens!$G$2921</f>
        <v>0.0248738876928168</v>
      </c>
      <c r="H2923" s="28" t="n">
        <f aca="false">Sens!$G$2923+step_na</f>
        <v>0.0278738876928168</v>
      </c>
      <c r="I2923" s="28" t="n">
        <f aca="false">Sens!$H$2923+step_na</f>
        <v>0.0308738876928168</v>
      </c>
      <c r="J2923" s="28" t="n">
        <f aca="false">Sens!$I$2923+step_na</f>
        <v>0.0338738876928168</v>
      </c>
      <c r="K2923" s="28" t="n">
        <f aca="false">Sens!$J$2923+step_na</f>
        <v>0.0368738876928168</v>
      </c>
      <c r="L2923" s="28" t="n">
        <f aca="false">Sens!$K$2923</f>
        <v>0.0368738876928168</v>
      </c>
      <c r="M2923" s="28" t="n">
        <f aca="false">Sens!$L$2923</f>
        <v>0.0368738876928168</v>
      </c>
      <c r="N2923" s="28" t="n">
        <f aca="false">(Sens!$N$2924-Sens!$N$2920+Sens!$N$2922)/Sens!$N$2921</f>
        <v>0.0168927744775755</v>
      </c>
      <c r="O2923" s="28" t="n">
        <f aca="false">(Sens!$O$2924-Sens!$O$2920+Sens!$O$2922)/Sens!$O$2921</f>
        <v>0.0133276427967779</v>
      </c>
      <c r="P2923" s="8" t="s">
        <v>677</v>
      </c>
    </row>
    <row r="2924" customFormat="false" ht="17.15" hidden="false" customHeight="false" outlineLevel="0" collapsed="false">
      <c r="A2924" s="1" t="s">
        <v>678</v>
      </c>
      <c r="B2924" s="8" t="s">
        <v>73</v>
      </c>
      <c r="C2924" s="38" t="n">
        <f aca="false">Q!$D$22</f>
        <v>24.967</v>
      </c>
      <c r="D2924" s="38" t="n">
        <f aca="false">Q!$E$22</f>
        <v>29.619</v>
      </c>
      <c r="E2924" s="38" t="n">
        <f aca="false">Q!$P$22</f>
        <v>17.39</v>
      </c>
      <c r="F2924" s="38" t="n">
        <f aca="false">Sens!$F$2920+Sens!$F$2921*Sens!$F$2923-Sens!$F$2922</f>
        <v>20.9230952303336</v>
      </c>
      <c r="G2924" s="38" t="n">
        <f aca="false">Sens!$E$2924+Sens!$F$2924</f>
        <v>38.3130952303336</v>
      </c>
      <c r="H2924" s="38" t="n">
        <f aca="false">Sens!$H$2920+Sens!$H$2921*Sens!$H$2923-Sens!$H$2922</f>
        <v>42.2372865623114</v>
      </c>
      <c r="I2924" s="38" t="n">
        <f aca="false">Sens!$I$2920+Sens!$I$2921*Sens!$I$2923-Sens!$I$2922</f>
        <v>45.4106915565213</v>
      </c>
      <c r="J2924" s="38" t="n">
        <f aca="false">Sens!$J$2920+Sens!$J$2921*Sens!$J$2923-Sens!$J$2922</f>
        <v>48.1502550732398</v>
      </c>
      <c r="K2924" s="38" t="n">
        <f aca="false">Sens!$K$2920+Sens!$K$2921*Sens!$K$2923-Sens!$K$2922</f>
        <v>49.9860243093208</v>
      </c>
      <c r="L2924" s="38" t="n">
        <f aca="false">Sens!$L$2920+Sens!$L$2921*Sens!$L$2923-Sens!$L$2922</f>
        <v>51.095526207779</v>
      </c>
      <c r="M2924" s="38" t="n">
        <f aca="false">Sens!$M$2920+Sens!$M$2921*Sens!$M$2923-Sens!$M$2922</f>
        <v>52.7117805103898</v>
      </c>
      <c r="N2924" s="38" t="n">
        <f aca="false">Q!$N$22</f>
        <v>13.358</v>
      </c>
      <c r="O2924" s="38" t="n">
        <f aca="false">Q!$O$22</f>
        <v>16.261</v>
      </c>
    </row>
    <row r="2925" customFormat="false" ht="17.15" hidden="false" customHeight="false" outlineLevel="0" collapsed="false">
      <c r="A2925" s="0" t="s">
        <v>679</v>
      </c>
      <c r="B2925" s="0" t="s">
        <v>73</v>
      </c>
      <c r="C2925" s="38" t="n">
        <f aca="false">Sens!$C$2828*m_ad</f>
        <v>7.57284355857716</v>
      </c>
      <c r="D2925" s="38" t="n">
        <f aca="false">Sens!$D$2828*m_ad</f>
        <v>9.44543827004127</v>
      </c>
      <c r="E2925" s="38" t="n">
        <f aca="false">Sens!$E$2828*m_ad</f>
        <v>5.02428875377928</v>
      </c>
      <c r="F2925" s="38" t="n">
        <f aca="false">Sens!$F$2828*m_ad</f>
        <v>6.78802480890925</v>
      </c>
      <c r="G2925" s="38" t="n">
        <f aca="false">Sens!$G$2828*m_ad</f>
        <v>11.8014732147805</v>
      </c>
      <c r="H2925" s="38" t="n">
        <f aca="false">Sens!$H$2828*m_ad</f>
        <v>14.1682715634442</v>
      </c>
      <c r="I2925" s="38" t="n">
        <f aca="false">Sens!$I$2828*m_ad</f>
        <v>16.5348555113474</v>
      </c>
      <c r="J2925" s="38" t="n">
        <f aca="false">Sens!$J$2828*m_ad</f>
        <v>18.7425403255689</v>
      </c>
      <c r="K2925" s="38" t="n">
        <f aca="false">Sens!$K$2828*m_ad</f>
        <v>20.6167943581258</v>
      </c>
      <c r="L2925" s="38" t="n">
        <f aca="false">Sens!$L$2828*m_ad</f>
        <v>22.6784737939383</v>
      </c>
      <c r="M2925" s="38" t="n">
        <f aca="false">Sens!$M$2828*m_ad</f>
        <v>24.9463211733322</v>
      </c>
      <c r="N2925" s="38" t="n">
        <f aca="false">Sens!$N$2828*m_ad</f>
        <v>3.95314442937518</v>
      </c>
      <c r="O2925" s="38" t="n">
        <f aca="false">Sens!$O$2828*m_ad</f>
        <v>5.50052681786011</v>
      </c>
    </row>
    <row r="2926" customFormat="false" ht="17.15" hidden="false" customHeight="false" outlineLevel="0" collapsed="false">
      <c r="A2926" s="0" t="s">
        <v>680</v>
      </c>
      <c r="B2926" s="0" t="s">
        <v>73</v>
      </c>
      <c r="C2926" s="38" t="n">
        <f aca="false">Sens!$C$2826-Sens!$C$2828</f>
        <v>127.760312882846</v>
      </c>
      <c r="D2926" s="38" t="n">
        <f aca="false">Sens!$D$2826-Sens!$D$2828</f>
        <v>143.003123459917</v>
      </c>
      <c r="E2926" s="38" t="n">
        <f aca="false">Sens!$E$2826-Sens!$E$2828</f>
        <v>71.9374224924414</v>
      </c>
      <c r="F2926" s="38" t="n">
        <f aca="false">Sens!$F$2826-Sens!$F$2828</f>
        <v>87.0563645868046</v>
      </c>
      <c r="G2926" s="38" t="n">
        <f aca="false">Sens!$G$2826-Sens!$G$2828</f>
        <v>159.015467775062</v>
      </c>
      <c r="H2926" s="38" t="n">
        <f aca="false">Sens!$H$2826-Sens!$H$2828</f>
        <v>173.864803403269</v>
      </c>
      <c r="I2926" s="38" t="n">
        <f aca="false">Sens!$I$2826-Sens!$I$2828</f>
        <v>188.068165645601</v>
      </c>
      <c r="J2926" s="38" t="n">
        <f aca="false">Sens!$J$2826-Sens!$J$2828</f>
        <v>201.22681801082</v>
      </c>
      <c r="K2926" s="38" t="n">
        <f aca="false">Sens!$K$2826-Sens!$K$2828</f>
        <v>212.941334991893</v>
      </c>
      <c r="L2926" s="38" t="n">
        <f aca="false">Sens!$L$2826-Sens!$L$2828</f>
        <v>225.363269144856</v>
      </c>
      <c r="M2926" s="38" t="n">
        <f aca="false">Sens!$M$2826-Sens!$M$2828</f>
        <v>238.536688790819</v>
      </c>
      <c r="N2926" s="38" t="n">
        <f aca="false">Sens!$N$2826-Sens!$N$2828</f>
        <v>62.3677111412496</v>
      </c>
      <c r="O2926" s="38" t="n">
        <f aca="false">Sens!$O$2826-Sens!$O$2828</f>
        <v>80.6189463642798</v>
      </c>
    </row>
    <row r="2927" customFormat="false" ht="17.15" hidden="false" customHeight="false" outlineLevel="0" collapsed="false">
      <c r="A2927" s="0" t="s">
        <v>681</v>
      </c>
      <c r="B2927" s="0" t="s">
        <v>73</v>
      </c>
      <c r="C2927" s="38" t="n">
        <f aca="false">Sens!$C$2873*(1-Sens!$C$2824)</f>
        <v>0.0455891896019953</v>
      </c>
      <c r="D2927" s="38" t="n">
        <f aca="false">Sens!$D$2873*(1-Sens!$D$2824)</f>
        <v>0.332050421167231</v>
      </c>
      <c r="E2927" s="38" t="n">
        <f aca="false">Sens!$E$2873*(1-Sens!$E$2824)</f>
        <v>0.481224293644882</v>
      </c>
      <c r="F2927" s="38" t="n">
        <f aca="false">Sens!$F$2873*(1-Sens!$F$2824)</f>
        <v>0.596018918096053</v>
      </c>
      <c r="G2927" s="38" t="n">
        <f aca="false">Sens!$G$2873*(1-Sens!$G$2824)</f>
        <v>1.07714986531035</v>
      </c>
      <c r="H2927" s="38" t="n">
        <f aca="false">Sens!$H$2873*(1-Sens!$H$2824)</f>
        <v>2.83135005721638</v>
      </c>
      <c r="I2927" s="38" t="n">
        <f aca="false">Sens!$I$2873*(1-Sens!$I$2824)</f>
        <v>4.9421518161602</v>
      </c>
      <c r="J2927" s="38" t="n">
        <f aca="false">Sens!$J$2873*(1-Sens!$J$2824)</f>
        <v>7.11011252170866</v>
      </c>
      <c r="K2927" s="38" t="n">
        <f aca="false">Sens!$K$2873*(1-Sens!$K$2824)</f>
        <v>9.31663210615807</v>
      </c>
      <c r="L2927" s="38" t="n">
        <f aca="false">Sens!$L$2873*(1-Sens!$L$2824)</f>
        <v>11.411251074039</v>
      </c>
      <c r="M2927" s="38" t="n">
        <f aca="false">Sens!$M$2873*(1-Sens!$M$2824)</f>
        <v>13.5455860755423</v>
      </c>
      <c r="N2927" s="38" t="n">
        <f aca="false">Sens!$N$2873*(1-Sens!$N$2824)</f>
        <v>0.141739115596548</v>
      </c>
      <c r="O2927" s="38" t="n">
        <f aca="false">Sens!$O$2873*(1-Sens!$O$2824)</f>
        <v>0.190445576353059</v>
      </c>
    </row>
    <row r="2928" customFormat="false" ht="17.15" hidden="false" customHeight="false" outlineLevel="0" collapsed="false">
      <c r="A2928" s="0" t="s">
        <v>682</v>
      </c>
      <c r="B2928" s="0" t="s">
        <v>52</v>
      </c>
      <c r="C2928" s="28" t="n">
        <f aca="false">(Sens!$C$2929-Sens!$C$2925+Sens!$C$2927)/Sens!$C$2926</f>
        <v>-0.0292364215826579</v>
      </c>
      <c r="D2928" s="28" t="n">
        <f aca="false">(Sens!$D$2929-Sens!$D$2925+Sens!$D$2927)/Sens!$D$2926</f>
        <v>-0.0305125352740778</v>
      </c>
      <c r="E2928" s="28" t="n">
        <f aca="false">(Sens!$E$2929-Sens!$E$2925+Sens!$E$2927)/Sens!$E$2926</f>
        <v>-0.019490056934994</v>
      </c>
      <c r="F2928" s="28" t="n">
        <f aca="false">Sens!$O$2928+(Sens!$E$2928-Sens!$N$2928)</f>
        <v>-0.0367332293992226</v>
      </c>
      <c r="G2928" s="28" t="n">
        <f aca="false">(Sens!$G$2929-Sens!$G$2925+Sens!$G$2927)/Sens!$G$2926</f>
        <v>-0.0288599526442178</v>
      </c>
      <c r="H2928" s="28" t="n">
        <f aca="false">Sens!$G$2928+step_in</f>
        <v>-0.0288599526442178</v>
      </c>
      <c r="I2928" s="28" t="n">
        <f aca="false">Sens!$H$2928+step_in</f>
        <v>-0.0288599526442178</v>
      </c>
      <c r="J2928" s="28" t="n">
        <f aca="false">Sens!$I$2928+step_in</f>
        <v>-0.0288599526442178</v>
      </c>
      <c r="K2928" s="28" t="n">
        <f aca="false">Sens!$J$2928+step_in</f>
        <v>-0.0288599526442178</v>
      </c>
      <c r="L2928" s="28" t="n">
        <f aca="false">Sens!$K$2928</f>
        <v>-0.0288599526442178</v>
      </c>
      <c r="M2928" s="28" t="n">
        <f aca="false">Sens!$L$2928</f>
        <v>-0.0288599526442178</v>
      </c>
      <c r="N2928" s="28" t="n">
        <f aca="false">(Sens!$N$2929-Sens!$N$2925+Sens!$N$2927)/Sens!$N$2926</f>
        <v>-0.02085061789158</v>
      </c>
      <c r="O2928" s="28" t="n">
        <f aca="false">(Sens!$O$2929-Sens!$O$2925+Sens!$O$2927)/Sens!$O$2926</f>
        <v>-0.0380937903558086</v>
      </c>
      <c r="P2928" s="8" t="s">
        <v>677</v>
      </c>
    </row>
    <row r="2929" customFormat="false" ht="17.15" hidden="false" customHeight="false" outlineLevel="0" collapsed="false">
      <c r="A2929" s="1" t="s">
        <v>683</v>
      </c>
      <c r="B2929" s="8" t="s">
        <v>73</v>
      </c>
      <c r="C2929" s="38" t="n">
        <f aca="false">Q!$D$23</f>
        <v>3.792</v>
      </c>
      <c r="D2929" s="38" t="n">
        <f aca="false">Q!$E$23</f>
        <v>4.75</v>
      </c>
      <c r="E2929" s="38" t="n">
        <f aca="false">Q!$P$23</f>
        <v>3.141</v>
      </c>
      <c r="F2929" s="38" t="n">
        <f aca="false">Sens!$F$2925+Sens!$F$2926*Sens!$F$2928-Sens!$F$2927</f>
        <v>2.99414447978375</v>
      </c>
      <c r="G2929" s="38" t="n">
        <f aca="false">Sens!$E$2929+Sens!$F$2929</f>
        <v>6.13514447978375</v>
      </c>
      <c r="H2929" s="38" t="n">
        <f aca="false">Sens!$H$2925+Sens!$H$2926*Sens!$H$2928-Sens!$H$2927</f>
        <v>6.31919151351322</v>
      </c>
      <c r="I2929" s="38" t="n">
        <f aca="false">Sens!$I$2925+Sens!$I$2926*Sens!$I$2928-Sens!$I$2927</f>
        <v>6.16506534077027</v>
      </c>
      <c r="J2929" s="38" t="n">
        <f aca="false">Sens!$J$2925+Sens!$J$2926*Sens!$J$2928-Sens!$J$2927</f>
        <v>5.8250313653213</v>
      </c>
      <c r="K2929" s="38" t="n">
        <f aca="false">Sens!$K$2925+Sens!$K$2926*Sens!$K$2928-Sens!$K$2927</f>
        <v>5.15468540810514</v>
      </c>
      <c r="L2929" s="38" t="n">
        <f aca="false">Sens!$L$2925+Sens!$L$2926*Sens!$L$2928-Sens!$L$2927</f>
        <v>4.76324944463266</v>
      </c>
      <c r="M2929" s="38" t="n">
        <f aca="false">Sens!$M$2925+Sens!$M$2926*Sens!$M$2928-Sens!$M$2927</f>
        <v>4.51657755537829</v>
      </c>
      <c r="N2929" s="38" t="n">
        <f aca="false">Q!$N$23</f>
        <v>2.511</v>
      </c>
      <c r="O2929" s="38" t="n">
        <f aca="false">Q!$O$23</f>
        <v>2.239</v>
      </c>
    </row>
    <row r="2930" customFormat="false" ht="17.15" hidden="false" customHeight="false" outlineLevel="0" collapsed="false">
      <c r="A2930" s="0" t="s">
        <v>684</v>
      </c>
      <c r="B2930" s="0" t="s">
        <v>73</v>
      </c>
      <c r="C2930" s="38" t="n">
        <f aca="false">Sens!$C$2870</f>
        <v>1.64417882953695</v>
      </c>
      <c r="D2930" s="38" t="n">
        <f aca="false">Sens!$D$2870</f>
        <v>3.8781008067718</v>
      </c>
      <c r="E2930" s="38" t="n">
        <f aca="false">Sens!$E$2870</f>
        <v>1.41270258088753</v>
      </c>
      <c r="F2930" s="38" t="n">
        <f aca="false">Sens!$F$2870</f>
        <v>6.50727700583486</v>
      </c>
      <c r="G2930" s="38" t="n">
        <f aca="false">Sens!$G$2870</f>
        <v>7.9199795867224</v>
      </c>
      <c r="H2930" s="38" t="n">
        <f aca="false">Sens!$H$2870</f>
        <v>19.2818189481807</v>
      </c>
      <c r="I2930" s="38" t="n">
        <f aca="false">Sens!$I$2870</f>
        <v>30.140114407202</v>
      </c>
      <c r="J2930" s="38" t="n">
        <f aca="false">Sens!$J$2870</f>
        <v>40.3569468829854</v>
      </c>
      <c r="K2930" s="38" t="n">
        <f aca="false">Sens!$K$2870</f>
        <v>50.0782975081929</v>
      </c>
      <c r="L2930" s="38" t="n">
        <f aca="false">Sens!$L$2870</f>
        <v>61.443331993499</v>
      </c>
      <c r="M2930" s="38" t="n">
        <f aca="false">Sens!$M$2870</f>
        <v>72.2498791587849</v>
      </c>
      <c r="N2930" s="38" t="n">
        <f aca="false">Sens!$N$2870</f>
        <v>0.92264103489199</v>
      </c>
      <c r="O2930" s="38" t="n">
        <f aca="false">Sens!$O$2870</f>
        <v>2.95545977187981</v>
      </c>
    </row>
    <row r="2931" customFormat="false" ht="17.15" hidden="false" customHeight="false" outlineLevel="0" collapsed="false">
      <c r="A2931" s="0" t="s">
        <v>604</v>
      </c>
      <c r="B2931" s="0" t="s">
        <v>73</v>
      </c>
      <c r="C2931" s="38" t="n">
        <f aca="false">Sens!$C$2875</f>
        <v>38.1898211704631</v>
      </c>
      <c r="D2931" s="38" t="n">
        <f aca="false">Sens!$D$2875</f>
        <v>41.7278991932282</v>
      </c>
      <c r="E2931" s="38" t="n">
        <f aca="false">Sens!$E$2875</f>
        <v>29.3692974191125</v>
      </c>
      <c r="F2931" s="38" t="n">
        <f aca="false">Sens!$F$2875</f>
        <v>29.458060516894</v>
      </c>
      <c r="G2931" s="38" t="n">
        <f aca="false">Sens!$G$2875</f>
        <v>58.8273579360065</v>
      </c>
      <c r="H2931" s="38" t="n">
        <f aca="false">Sens!$H$2875</f>
        <v>68.2217925063847</v>
      </c>
      <c r="I2931" s="38" t="n">
        <f aca="false">Sens!$I$2875</f>
        <v>80.4667917935941</v>
      </c>
      <c r="J2931" s="38" t="n">
        <f aca="false">Sens!$J$2875</f>
        <v>92.1138807577366</v>
      </c>
      <c r="K2931" s="38" t="n">
        <f aca="false">Sens!$K$2875</f>
        <v>102.246407641088</v>
      </c>
      <c r="L2931" s="38" t="n">
        <f aca="false">Sens!$L$2875</f>
        <v>113.493512481607</v>
      </c>
      <c r="M2931" s="38" t="n">
        <f aca="false">Sens!$M$2875</f>
        <v>125.977798854584</v>
      </c>
      <c r="N2931" s="38" t="n">
        <f aca="false">Sens!$N$2875</f>
        <v>20.784358965108</v>
      </c>
      <c r="O2931" s="38" t="n">
        <f aca="false">Sens!$O$2875</f>
        <v>20.9435402281202</v>
      </c>
    </row>
    <row r="2932" customFormat="false" ht="17.15" hidden="false" customHeight="false" outlineLevel="0" collapsed="false">
      <c r="A2932" s="1" t="s">
        <v>685</v>
      </c>
      <c r="B2932" s="8" t="s">
        <v>73</v>
      </c>
      <c r="C2932" s="38" t="n">
        <f aca="false">Q!$D$24</f>
        <v>39.834</v>
      </c>
      <c r="D2932" s="38" t="n">
        <f aca="false">Q!$E$24</f>
        <v>45.606</v>
      </c>
      <c r="E2932" s="38" t="n">
        <f aca="false">Q!$P$24</f>
        <v>30.782</v>
      </c>
      <c r="F2932" s="38" t="n">
        <f aca="false">Sens!$F$2930+Sens!$F$2931</f>
        <v>35.9653375227289</v>
      </c>
      <c r="G2932" s="38" t="n">
        <f aca="false">Sens!$G$2930+Sens!$G$2931</f>
        <v>66.7473375227289</v>
      </c>
      <c r="H2932" s="38" t="n">
        <f aca="false">Sens!$H$2930+Sens!$H$2931</f>
        <v>87.5036114545654</v>
      </c>
      <c r="I2932" s="38" t="n">
        <f aca="false">Sens!$I$2930+Sens!$I$2931</f>
        <v>110.606906200796</v>
      </c>
      <c r="J2932" s="38" t="n">
        <f aca="false">Sens!$J$2930+Sens!$J$2931</f>
        <v>132.470827640722</v>
      </c>
      <c r="K2932" s="38" t="n">
        <f aca="false">Sens!$K$2930+Sens!$K$2931</f>
        <v>152.324705149281</v>
      </c>
      <c r="L2932" s="38" t="n">
        <f aca="false">Sens!$L$2930+Sens!$L$2931</f>
        <v>174.936844475106</v>
      </c>
      <c r="M2932" s="38" t="n">
        <f aca="false">Sens!$M$2930+Sens!$M$2931</f>
        <v>198.227678013369</v>
      </c>
      <c r="N2932" s="38" t="n">
        <f aca="false">Q!$N$24</f>
        <v>21.707</v>
      </c>
      <c r="O2932" s="38" t="n">
        <f aca="false">Q!$O$24</f>
        <v>23.899</v>
      </c>
    </row>
    <row r="2933" customFormat="false" ht="17.15" hidden="false" customHeight="false" outlineLevel="0" collapsed="false">
      <c r="A2933" s="5" t="s">
        <v>686</v>
      </c>
      <c r="B2933" s="0" t="s">
        <v>73</v>
      </c>
      <c r="C2933" s="38" t="n">
        <f aca="false">Q!$D$26</f>
        <v>0</v>
      </c>
      <c r="D2933" s="38" t="n">
        <f aca="false">Q!$E$26</f>
        <v>0</v>
      </c>
      <c r="E2933" s="38" t="n">
        <f aca="false">Q!$P$26</f>
        <v>0</v>
      </c>
      <c r="F2933" s="41" t="n">
        <v>0</v>
      </c>
      <c r="G2933" s="38" t="n">
        <f aca="false">Sens!$E$2933+Sens!$F$2933</f>
        <v>0</v>
      </c>
      <c r="H2933" s="41" t="n">
        <v>0</v>
      </c>
      <c r="I2933" s="41" t="n">
        <v>0</v>
      </c>
      <c r="J2933" s="41" t="n">
        <v>0</v>
      </c>
      <c r="K2933" s="41" t="n">
        <v>0</v>
      </c>
      <c r="L2933" s="41" t="n">
        <v>0</v>
      </c>
      <c r="M2933" s="41" t="n">
        <v>0</v>
      </c>
      <c r="N2933" s="38" t="n">
        <f aca="false">Q!$N$26</f>
        <v>0</v>
      </c>
      <c r="O2933" s="38" t="n">
        <f aca="false">Q!$O$26</f>
        <v>0</v>
      </c>
    </row>
    <row r="2934" customFormat="false" ht="15" hidden="false" customHeight="false" outlineLevel="0" collapsed="false">
      <c r="A2934" s="3" t="s">
        <v>494</v>
      </c>
      <c r="B2934" s="8" t="s">
        <v>73</v>
      </c>
      <c r="C2934" s="38" t="n">
        <f aca="false">Q!$D$25</f>
        <v>68.593</v>
      </c>
      <c r="D2934" s="38" t="n">
        <f aca="false">Q!$E$25</f>
        <v>79.975</v>
      </c>
      <c r="E2934" s="38" t="n">
        <f aca="false">Q!$P$25</f>
        <v>51.313</v>
      </c>
      <c r="F2934" s="38" t="n">
        <f aca="false">Sens!$F$2924+Sens!$F$2929+Sens!$F$2932+Sens!$F$2933</f>
        <v>59.8825772328462</v>
      </c>
      <c r="G2934" s="38" t="n">
        <f aca="false">Sens!$G$2924+Sens!$G$2929+Sens!$G$2932+Sens!$G$2933</f>
        <v>111.195577232846</v>
      </c>
      <c r="H2934" s="38" t="n">
        <f aca="false">Sens!$H$2924+Sens!$H$2929+Sens!$H$2932+Sens!$H$2933</f>
        <v>136.06008953039</v>
      </c>
      <c r="I2934" s="38" t="n">
        <f aca="false">Sens!$I$2924+Sens!$I$2929+Sens!$I$2932+Sens!$I$2933</f>
        <v>162.182663098088</v>
      </c>
      <c r="J2934" s="38" t="n">
        <f aca="false">Sens!$J$2924+Sens!$J$2929+Sens!$J$2932+Sens!$J$2933</f>
        <v>186.446114079283</v>
      </c>
      <c r="K2934" s="38" t="n">
        <f aca="false">Sens!$K$2924+Sens!$K$2929+Sens!$K$2932+Sens!$K$2933</f>
        <v>207.465414866707</v>
      </c>
      <c r="L2934" s="38" t="n">
        <f aca="false">Sens!$L$2924+Sens!$L$2929+Sens!$L$2932+Sens!$L$2933</f>
        <v>230.795620127518</v>
      </c>
      <c r="M2934" s="38" t="n">
        <f aca="false">Sens!$M$2924+Sens!$M$2929+Sens!$M$2932+Sens!$M$2933</f>
        <v>255.456036079137</v>
      </c>
      <c r="N2934" s="38" t="n">
        <f aca="false">Q!$N$25</f>
        <v>37.576</v>
      </c>
      <c r="O2934" s="38" t="n">
        <f aca="false">Q!$O$25</f>
        <v>42.399</v>
      </c>
    </row>
    <row r="2935" customFormat="false" ht="17.15" hidden="false" customHeight="false" outlineLevel="0" collapsed="false">
      <c r="A2935" s="24" t="s">
        <v>712</v>
      </c>
      <c r="B2935" s="25" t="s">
        <v>73</v>
      </c>
      <c r="C2935" s="39" t="n">
        <f aca="false">Sens!$C$2924+Sens!$C$2929+Sens!$C$2932+Sens!$C$2933-Sens!$C$2934</f>
        <v>0</v>
      </c>
      <c r="D2935" s="39" t="n">
        <f aca="false">Sens!$D$2924+Sens!$D$2929+Sens!$D$2932+Sens!$D$2933-Sens!$D$2934</f>
        <v>0</v>
      </c>
      <c r="E2935" s="39" t="n">
        <f aca="false">Sens!$E$2924+Sens!$E$2929+Sens!$E$2932+Sens!$E$2933-Sens!$E$2934</f>
        <v>0</v>
      </c>
      <c r="F2935" s="39" t="n">
        <f aca="false">Sens!$F$2924+Sens!$F$2929+Sens!$F$2932+Sens!$F$2933-Sens!$F$2934</f>
        <v>0</v>
      </c>
      <c r="G2935" s="39" t="n">
        <f aca="false">Sens!$G$2924+Sens!$G$2929+Sens!$G$2932+Sens!$G$2933-Sens!$G$2934</f>
        <v>0</v>
      </c>
      <c r="H2935" s="39" t="n">
        <f aca="false">Sens!$H$2924+Sens!$H$2929+Sens!$H$2932+Sens!$H$2933-Sens!$H$2934</f>
        <v>0</v>
      </c>
      <c r="I2935" s="39" t="n">
        <f aca="false">Sens!$I$2924+Sens!$I$2929+Sens!$I$2932+Sens!$I$2933-Sens!$I$2934</f>
        <v>0</v>
      </c>
      <c r="J2935" s="39" t="n">
        <f aca="false">Sens!$J$2924+Sens!$J$2929+Sens!$J$2932+Sens!$J$2933-Sens!$J$2934</f>
        <v>0</v>
      </c>
      <c r="K2935" s="39" t="n">
        <f aca="false">Sens!$K$2924+Sens!$K$2929+Sens!$K$2932+Sens!$K$2933-Sens!$K$2934</f>
        <v>0</v>
      </c>
      <c r="L2935" s="39" t="n">
        <f aca="false">Sens!$L$2924+Sens!$L$2929+Sens!$L$2932+Sens!$L$2933-Sens!$L$2934</f>
        <v>0</v>
      </c>
      <c r="M2935" s="39" t="n">
        <f aca="false">Sens!$M$2924+Sens!$M$2929+Sens!$M$2932+Sens!$M$2933-Sens!$M$2934</f>
        <v>0</v>
      </c>
      <c r="N2935" s="39" t="n">
        <f aca="false">Sens!$N$2924+Sens!$N$2929+Sens!$N$2932+Sens!$N$2933-Sens!$N$2934</f>
        <v>0</v>
      </c>
      <c r="O2935" s="39" t="n">
        <f aca="false">Sens!$O$2924+Sens!$O$2929+Sens!$O$2932+Sens!$O$2933-Sens!$O$2934</f>
        <v>0</v>
      </c>
    </row>
    <row r="2936" customFormat="false" ht="17.15" hidden="false" customHeight="false" outlineLevel="0" collapsed="false">
      <c r="A2936" s="0" t="s">
        <v>688</v>
      </c>
      <c r="B2936" s="0" t="s">
        <v>52</v>
      </c>
      <c r="C2936" s="12" t="n">
        <f aca="false">Sens!$C$2924/Sens!$C$2909</f>
        <v>0.0644314665661928</v>
      </c>
      <c r="D2936" s="12" t="n">
        <f aca="false">Sens!$D$2924/Sens!$D$2909</f>
        <v>0.0694784250712518</v>
      </c>
      <c r="E2936" s="12" t="n">
        <f aca="false">Sens!$E$2924/Sens!$E$2909</f>
        <v>0.0789306463326071</v>
      </c>
      <c r="F2936" s="12" t="n">
        <f aca="false">Sens!$F$2924/Sens!$F$2909</f>
        <v>0.0816338957078875</v>
      </c>
      <c r="G2936" s="12" t="n">
        <f aca="false">Sens!$G$2924/Sens!$G$2909</f>
        <v>0.080384315570057</v>
      </c>
      <c r="H2936" s="12" t="n">
        <f aca="false">Sens!$H$2924/Sens!$H$2909</f>
        <v>0.080035122355679</v>
      </c>
      <c r="I2936" s="12" t="n">
        <f aca="false">Sens!$I$2924/Sens!$I$2909</f>
        <v>0.0786798687862144</v>
      </c>
      <c r="J2936" s="12" t="n">
        <f aca="false">Sens!$J$2924/Sens!$J$2909</f>
        <v>0.0772846370095153</v>
      </c>
      <c r="K2936" s="12" t="n">
        <f aca="false">Sens!$K$2924/Sens!$K$2909</f>
        <v>0.0753502227686655</v>
      </c>
      <c r="L2936" s="12" t="n">
        <f aca="false">Sens!$L$2924/Sens!$L$2909</f>
        <v>0.0723154067793922</v>
      </c>
      <c r="M2936" s="12" t="n">
        <f aca="false">Sens!$M$2924/Sens!$M$2909</f>
        <v>0.070022386735876</v>
      </c>
      <c r="N2936" s="12" t="n">
        <f aca="false">Sens!$N$2924/Sens!$N$2909</f>
        <v>0.069228576611127</v>
      </c>
      <c r="O2936" s="12" t="n">
        <f aca="false">Sens!$O$2924/Sens!$O$2909</f>
        <v>0.069685022498393</v>
      </c>
    </row>
    <row r="2937" customFormat="false" ht="17.15" hidden="false" customHeight="false" outlineLevel="0" collapsed="false">
      <c r="A2937" s="0" t="s">
        <v>689</v>
      </c>
      <c r="B2937" s="0" t="s">
        <v>52</v>
      </c>
      <c r="C2937" s="12" t="n">
        <f aca="false">Sens!$C$2929/Sens!$C$2910</f>
        <v>0.026534925055631</v>
      </c>
      <c r="D2937" s="12" t="n">
        <f aca="false">Sens!$D$2929/Sens!$D$2910</f>
        <v>0.0293401855535103</v>
      </c>
      <c r="E2937" s="12" t="n">
        <f aca="false">Sens!$E$2929/Sens!$E$2910</f>
        <v>0.03831141902276</v>
      </c>
      <c r="F2937" s="12" t="n">
        <f aca="false">Sens!$F$2929/Sens!$F$2910</f>
        <v>0.0297532808235678</v>
      </c>
      <c r="G2937" s="12" t="n">
        <f aca="false">Sens!$G$2929/Sens!$G$2910</f>
        <v>0.0335954317997163</v>
      </c>
      <c r="H2937" s="12" t="n">
        <f aca="false">Sens!$H$2929/Sens!$H$2910</f>
        <v>0.0312519754292078</v>
      </c>
      <c r="I2937" s="12" t="n">
        <f aca="false">Sens!$I$2929/Sens!$I$2910</f>
        <v>0.0278788303191397</v>
      </c>
      <c r="J2937" s="12" t="n">
        <f aca="false">Sens!$J$2929/Sens!$J$2910</f>
        <v>0.0244019313573061</v>
      </c>
      <c r="K2937" s="12" t="n">
        <f aca="false">Sens!$K$2929/Sens!$K$2910</f>
        <v>0.020280070641524</v>
      </c>
      <c r="L2937" s="12" t="n">
        <f aca="false">Sens!$L$2929/Sens!$L$2910</f>
        <v>0.0175947312030086</v>
      </c>
      <c r="M2937" s="12" t="n">
        <f aca="false">Sens!$M$2929/Sens!$M$2910</f>
        <v>0.0156592172424565</v>
      </c>
      <c r="N2937" s="12" t="n">
        <f aca="false">Sens!$N$2929/Sens!$N$2910</f>
        <v>0.0357315650169337</v>
      </c>
      <c r="O2937" s="12" t="n">
        <f aca="false">Sens!$O$2929/Sens!$O$2910</f>
        <v>0.0244378956559703</v>
      </c>
    </row>
    <row r="2938" customFormat="false" ht="17.15" hidden="false" customHeight="false" outlineLevel="0" collapsed="false">
      <c r="A2938" s="13" t="s">
        <v>690</v>
      </c>
      <c r="B2938" s="13" t="s">
        <v>52</v>
      </c>
      <c r="C2938" s="16" t="n">
        <f aca="false">Sens!$C$2932/Sens!$C$2911</f>
        <v>0.370355907620217</v>
      </c>
      <c r="D2938" s="16" t="n">
        <f aca="false">Sens!$D$2932/Sens!$D$2911</f>
        <v>0.35429015342785</v>
      </c>
      <c r="E2938" s="16" t="n">
        <f aca="false">Sens!$E$2932/Sens!$E$2911</f>
        <v>0.385647527531039</v>
      </c>
      <c r="F2938" s="16" t="n">
        <f aca="false">Sens!$F$2932/Sens!$F$2911</f>
        <v>0.384415729470259</v>
      </c>
      <c r="G2938" s="16" t="n">
        <f aca="false">Sens!$G$2932/Sens!$G$2911</f>
        <v>0.38498282105443</v>
      </c>
      <c r="H2938" s="16" t="n">
        <f aca="false">Sens!$H$2932/Sens!$H$2911</f>
        <v>0.361310860289406</v>
      </c>
      <c r="I2938" s="16" t="n">
        <f aca="false">Sens!$I$2932/Sens!$I$2911</f>
        <v>0.349809786642711</v>
      </c>
      <c r="J2938" s="16" t="n">
        <f aca="false">Sens!$J$2932/Sens!$J$2911</f>
        <v>0.340727603540475</v>
      </c>
      <c r="K2938" s="16" t="n">
        <f aca="false">Sens!$K$2932/Sens!$K$2911</f>
        <v>0.333019347372844</v>
      </c>
      <c r="L2938" s="16" t="n">
        <f aca="false">Sens!$L$2932/Sens!$L$2911</f>
        <v>0.330678800202049</v>
      </c>
      <c r="M2938" s="16" t="n">
        <f aca="false">Sens!$M$2932/Sens!$M$2911</f>
        <v>0.328214452045247</v>
      </c>
      <c r="N2938" s="16" t="n">
        <f aca="false">Sens!$N$2932/Sens!$N$2911</f>
        <v>0.360941137346192</v>
      </c>
      <c r="O2938" s="16" t="n">
        <f aca="false">Sens!$O$2932/Sens!$O$2911</f>
        <v>0.348458117664212</v>
      </c>
    </row>
    <row r="2939" customFormat="false" ht="17.15" hidden="false" customHeight="false" outlineLevel="0" collapsed="false">
      <c r="A2939" s="0" t="s">
        <v>691</v>
      </c>
      <c r="B2939" s="0" t="s">
        <v>52</v>
      </c>
      <c r="C2939" s="12" t="n">
        <f aca="false">Sens!$C$2930/Sens!$C$2912</f>
        <v>0.708390794789371</v>
      </c>
      <c r="D2939" s="12" t="n">
        <f aca="false">Sens!$D$2930/Sens!$D$2912</f>
        <v>0.445565630441968</v>
      </c>
      <c r="E2939" s="12" t="n">
        <f aca="false">Sens!$E$2930/Sens!$E$2912</f>
        <v>0.165998118402711</v>
      </c>
      <c r="F2939" s="12" t="n">
        <f aca="false">Sens!$F$2930/Sens!$F$2912</f>
        <v>0.434878595403858</v>
      </c>
      <c r="G2939" s="12" t="n">
        <f aca="false">Sens!$G$2930/Sens!$G$2912</f>
        <v>0.3373967615381</v>
      </c>
      <c r="H2939" s="12" t="n">
        <f aca="false">Sens!$H$2930/Sens!$H$2912</f>
        <v>0.320477578041224</v>
      </c>
      <c r="I2939" s="12" t="n">
        <f aca="false">Sens!$I$2930/Sens!$I$2912</f>
        <v>0.296936118226494</v>
      </c>
      <c r="J2939" s="12" t="n">
        <f aca="false">Sens!$J$2930/Sens!$J$2912</f>
        <v>0.282166278613001</v>
      </c>
      <c r="K2939" s="12" t="n">
        <f aca="false">Sens!$K$2930/Sens!$K$2912</f>
        <v>0.271267685694333</v>
      </c>
      <c r="L2939" s="12" t="n">
        <f aca="false">Sens!$L$2930/Sens!$L$2912</f>
        <v>0.27160960915653</v>
      </c>
      <c r="M2939" s="12" t="n">
        <f aca="false">Sens!$M$2930/Sens!$M$2912</f>
        <v>0.26974494804234</v>
      </c>
      <c r="N2939" s="12" t="n">
        <f aca="false">Sens!$N$2930/Sens!$N$2912</f>
        <v>0.302870734830849</v>
      </c>
      <c r="O2939" s="12" t="n">
        <f aca="false">Sens!$O$2930/Sens!$O$2912</f>
        <v>0.52240134346334</v>
      </c>
    </row>
    <row r="2940" customFormat="false" ht="15" hidden="false" customHeight="false" outlineLevel="0" collapsed="false">
      <c r="A2940" s="5" t="s">
        <v>692</v>
      </c>
      <c r="B2940" s="0" t="s">
        <v>52</v>
      </c>
      <c r="C2940" s="12" t="n">
        <f aca="false">Sens!$C$2934/Sens!$C$2914</f>
        <v>0.107519448742004</v>
      </c>
      <c r="D2940" s="12" t="n">
        <f aca="false">Sens!$D$2934/Sens!$D$2914</f>
        <v>0.111552967957552</v>
      </c>
      <c r="E2940" s="12" t="n">
        <f aca="false">Sens!$E$2934/Sens!$E$2914</f>
        <v>0.13428328426562</v>
      </c>
      <c r="F2940" s="12" t="n">
        <f aca="false">Sens!$F$2934/Sens!$F$2914</f>
        <v>0.132926212451512</v>
      </c>
      <c r="G2940" s="12" t="n">
        <f aca="false">Sens!$G$2934/Sens!$G$2914</f>
        <v>0.133549030959228</v>
      </c>
      <c r="H2940" s="12" t="n">
        <f aca="false">Sens!$H$2934/Sens!$H$2914</f>
        <v>0.139962313490542</v>
      </c>
      <c r="I2940" s="12" t="n">
        <f aca="false">Sens!$I$2934/Sens!$I$2914</f>
        <v>0.145522238066138</v>
      </c>
      <c r="J2940" s="12" t="n">
        <f aca="false">Sens!$J$2934/Sens!$J$2914</f>
        <v>0.149094284414271</v>
      </c>
      <c r="K2940" s="12" t="n">
        <f aca="false">Sens!$K$2934/Sens!$K$2914</f>
        <v>0.150888057189709</v>
      </c>
      <c r="L2940" s="12" t="n">
        <f aca="false">Sens!$L$2934/Sens!$L$2914</f>
        <v>0.153219351704533</v>
      </c>
      <c r="M2940" s="12" t="n">
        <f aca="false">Sens!$M$2934/Sens!$M$2914</f>
        <v>0.155276204816909</v>
      </c>
      <c r="N2940" s="12" t="n">
        <f aca="false">Sens!$N$2934/Sens!$N$2914</f>
        <v>0.116201614873411</v>
      </c>
      <c r="O2940" s="12" t="n">
        <f aca="false">Sens!$O$2934/Sens!$O$2914</f>
        <v>0.107733353660861</v>
      </c>
    </row>
    <row r="2941" customFormat="false" ht="17.15" hidden="false" customHeight="false" outlineLevel="0" collapsed="false">
      <c r="A2941" s="1" t="s">
        <v>693</v>
      </c>
    </row>
    <row r="2942" customFormat="false" ht="17.15" hidden="false" customHeight="false" outlineLevel="0" collapsed="false">
      <c r="A2942" s="5" t="s">
        <v>694</v>
      </c>
      <c r="B2942" s="0" t="s">
        <v>52</v>
      </c>
      <c r="D2942" s="28" t="n">
        <f aca="false">(Q!$E$29+Q!$E$30-(1-ext_sh)*Sens!$D$2866)/Sens!$D$2823</f>
        <v>0.0334674312393194</v>
      </c>
    </row>
    <row r="2943" customFormat="false" ht="17.15" hidden="false" customHeight="false" outlineLevel="0" collapsed="false">
      <c r="A2943" s="0" t="s">
        <v>498</v>
      </c>
      <c r="B2943" s="0" t="s">
        <v>73</v>
      </c>
      <c r="C2943" s="38" t="n">
        <f aca="false">Q!$D$29</f>
        <v>14.285</v>
      </c>
      <c r="D2943" s="38" t="n">
        <f aca="false">Q!$E$29</f>
        <v>15.503</v>
      </c>
      <c r="E2943" s="38" t="n">
        <f aca="false">Q!$P$29</f>
        <v>8.78</v>
      </c>
      <c r="F2943" s="38" t="n">
        <f aca="false">(Sens!$D$2942*Sens!$F$2823+(1-ext_sh)*Sens!$F$2866)*Sens!$F$2824</f>
        <v>9.51361751569285</v>
      </c>
      <c r="G2943" s="38" t="n">
        <f aca="false">Sens!$E$2943+Sens!$F$2943</f>
        <v>18.2936175156929</v>
      </c>
      <c r="H2943" s="38" t="n">
        <f aca="false">(Sens!$D$2942*Sens!$H$2823+(1-ext_sh)*Sens!$H$2866)*Sens!$H$2824</f>
        <v>22.7653661801943</v>
      </c>
      <c r="I2943" s="38" t="n">
        <f aca="false">(Sens!$D$2942*Sens!$I$2823+(1-ext_sh)*Sens!$I$2866)*Sens!$I$2824</f>
        <v>28.4281317305062</v>
      </c>
      <c r="J2943" s="38" t="n">
        <f aca="false">(Sens!$D$2942*Sens!$J$2823+(1-ext_sh)*Sens!$J$2866)*Sens!$J$2824</f>
        <v>34.1182922009732</v>
      </c>
      <c r="K2943" s="38" t="n">
        <f aca="false">(Sens!$D$2942*Sens!$K$2823+(1-ext_sh)*Sens!$K$2866)*Sens!$K$2824</f>
        <v>39.7237727987046</v>
      </c>
      <c r="L2943" s="38" t="n">
        <f aca="false">(Sens!$D$2942*Sens!$L$2823+(1-ext_sh)*Sens!$L$2866)*Sens!$L$2824</f>
        <v>45.1313127180263</v>
      </c>
      <c r="M2943" s="38" t="n">
        <f aca="false">(Sens!$D$2942*Sens!$M$2823+(1-ext_sh)*Sens!$M$2866)*Sens!$M$2824</f>
        <v>50.743940615442</v>
      </c>
      <c r="N2943" s="38" t="n">
        <f aca="false">Q!$N$29</f>
        <v>7.272</v>
      </c>
      <c r="O2943" s="38" t="n">
        <f aca="false">Q!$O$29</f>
        <v>8.231</v>
      </c>
    </row>
    <row r="2944" customFormat="false" ht="17.15" hidden="false" customHeight="false" outlineLevel="0" collapsed="false">
      <c r="A2944" s="0" t="s">
        <v>500</v>
      </c>
      <c r="B2944" s="0" t="s">
        <v>73</v>
      </c>
      <c r="C2944" s="38" t="n">
        <f aca="false">Q!$D$30</f>
        <v>4.462</v>
      </c>
      <c r="D2944" s="38" t="n">
        <f aca="false">Q!$E$30</f>
        <v>4.907</v>
      </c>
      <c r="E2944" s="38" t="n">
        <f aca="false">Q!$P$30</f>
        <v>2.57</v>
      </c>
      <c r="F2944" s="38" t="n">
        <f aca="false">(Sens!$D$2942*Sens!$F$2823+(1-ext_sh)*Sens!$F$2866)*(1-Sens!$F$2824)</f>
        <v>3.7353230631574</v>
      </c>
      <c r="G2944" s="38" t="n">
        <f aca="false">Sens!$E$2944+Sens!$F$2944</f>
        <v>6.3053230631574</v>
      </c>
      <c r="H2944" s="38" t="n">
        <f aca="false">(Sens!$D$2942*Sens!$H$2823+(1-ext_sh)*Sens!$H$2866)*(1-Sens!$H$2824)</f>
        <v>8.72254636724805</v>
      </c>
      <c r="I2944" s="38" t="n">
        <f aca="false">(Sens!$D$2942*Sens!$I$2823+(1-ext_sh)*Sens!$I$2866)*(1-Sens!$I$2824)</f>
        <v>10.8922340713019</v>
      </c>
      <c r="J2944" s="38" t="n">
        <f aca="false">(Sens!$D$2942*Sens!$J$2823+(1-ext_sh)*Sens!$J$2866)*(1-Sens!$J$2824)</f>
        <v>13.0724181345791</v>
      </c>
      <c r="K2944" s="38" t="n">
        <f aca="false">(Sens!$D$2942*Sens!$K$2823+(1-ext_sh)*Sens!$K$2866)*(1-Sens!$K$2824)</f>
        <v>15.2201571183236</v>
      </c>
      <c r="L2944" s="38" t="n">
        <f aca="false">(Sens!$D$2942*Sens!$L$2823+(1-ext_sh)*Sens!$L$2866)*(1-Sens!$L$2824)</f>
        <v>17.2920551631732</v>
      </c>
      <c r="M2944" s="38" t="n">
        <f aca="false">(Sens!$D$2942*Sens!$M$2823+(1-ext_sh)*Sens!$M$2866)*(1-Sens!$M$2824)</f>
        <v>19.4425326336348</v>
      </c>
      <c r="N2944" s="38" t="n">
        <f aca="false">Q!$N$30</f>
        <v>2.316</v>
      </c>
      <c r="O2944" s="38" t="n">
        <f aca="false">Q!$O$30</f>
        <v>2.591</v>
      </c>
    </row>
    <row r="2945" customFormat="false" ht="17.15" hidden="false" customHeight="false" outlineLevel="0" collapsed="false">
      <c r="A2945" s="0" t="s">
        <v>501</v>
      </c>
      <c r="B2945" s="0" t="s">
        <v>73</v>
      </c>
      <c r="C2945" s="38" t="n">
        <f aca="false">Sens!$C$2878</f>
        <v>13.32</v>
      </c>
      <c r="D2945" s="38" t="n">
        <f aca="false">Sens!$D$2878</f>
        <v>21.45</v>
      </c>
      <c r="E2945" s="38" t="n">
        <f aca="false">Sens!$E$2878</f>
        <v>15.353</v>
      </c>
      <c r="F2945" s="38" t="n">
        <f aca="false">Sens!$F$2878</f>
        <v>17.3614451462707</v>
      </c>
      <c r="G2945" s="38" t="n">
        <f aca="false">Sens!$G$2878</f>
        <v>32.7144451462707</v>
      </c>
      <c r="H2945" s="38" t="n">
        <f aca="false">Sens!$H$2878</f>
        <v>56.3703921770845</v>
      </c>
      <c r="I2945" s="38" t="n">
        <f aca="false">Sens!$I$2878</f>
        <v>83.5987976065399</v>
      </c>
      <c r="J2945" s="38" t="n">
        <f aca="false">Sens!$J$2878</f>
        <v>111.390635561011</v>
      </c>
      <c r="K2945" s="38" t="n">
        <f aca="false">Sens!$K$2878</f>
        <v>139.109525394055</v>
      </c>
      <c r="L2945" s="38" t="n">
        <f aca="false">Sens!$L$2878</f>
        <v>165.669927413021</v>
      </c>
      <c r="M2945" s="38" t="n">
        <f aca="false">Sens!$M$2878</f>
        <v>193.312788395484</v>
      </c>
      <c r="N2945" s="38" t="n">
        <f aca="false">Sens!$N$2878</f>
        <v>9.234</v>
      </c>
      <c r="O2945" s="38" t="n">
        <f aca="false">Sens!$O$2878</f>
        <v>12.216</v>
      </c>
    </row>
    <row r="2946" customFormat="false" ht="17.15" hidden="false" customHeight="false" outlineLevel="0" collapsed="false">
      <c r="A2946" s="5" t="s">
        <v>695</v>
      </c>
      <c r="B2946" s="0" t="s">
        <v>73</v>
      </c>
      <c r="C2946" s="38" t="n">
        <f aca="false">Sens!$C$2943+Sens!$C$2944+Sens!$C$2945</f>
        <v>32.067</v>
      </c>
      <c r="D2946" s="38" t="n">
        <f aca="false">Sens!$D$2943+Sens!$D$2944+Sens!$D$2945</f>
        <v>41.86</v>
      </c>
      <c r="E2946" s="38" t="n">
        <f aca="false">Sens!$E$2943+Sens!$E$2944+Sens!$E$2945</f>
        <v>26.703</v>
      </c>
      <c r="F2946" s="38" t="n">
        <f aca="false">Sens!$F$2943+Sens!$F$2944+Sens!$F$2945</f>
        <v>30.6103857251209</v>
      </c>
      <c r="G2946" s="38" t="n">
        <f aca="false">Sens!$G$2943+Sens!$G$2944+Sens!$G$2945</f>
        <v>57.3133857251209</v>
      </c>
      <c r="H2946" s="38" t="n">
        <f aca="false">Sens!$H$2943+Sens!$H$2944+Sens!$H$2945</f>
        <v>87.8583047245268</v>
      </c>
      <c r="I2946" s="38" t="n">
        <f aca="false">Sens!$I$2943+Sens!$I$2944+Sens!$I$2945</f>
        <v>122.919163408348</v>
      </c>
      <c r="J2946" s="38" t="n">
        <f aca="false">Sens!$J$2943+Sens!$J$2944+Sens!$J$2945</f>
        <v>158.581345896564</v>
      </c>
      <c r="K2946" s="38" t="n">
        <f aca="false">Sens!$K$2943+Sens!$K$2944+Sens!$K$2945</f>
        <v>194.053455311083</v>
      </c>
      <c r="L2946" s="38" t="n">
        <f aca="false">Sens!$L$2943+Sens!$L$2944+Sens!$L$2945</f>
        <v>228.09329529422</v>
      </c>
      <c r="M2946" s="38" t="n">
        <f aca="false">Sens!$M$2943+Sens!$M$2944+Sens!$M$2945</f>
        <v>263.499261644561</v>
      </c>
      <c r="N2946" s="38" t="n">
        <f aca="false">Sens!$N$2943+Sens!$N$2944+Sens!$N$2945</f>
        <v>18.822</v>
      </c>
      <c r="O2946" s="38" t="n">
        <f aca="false">Sens!$O$2943+Sens!$O$2944+Sens!$O$2945</f>
        <v>23.038</v>
      </c>
    </row>
    <row r="2947" customFormat="false" ht="17.15" hidden="false" customHeight="false" outlineLevel="0" collapsed="false">
      <c r="A2947" s="0" t="s">
        <v>696</v>
      </c>
      <c r="B2947" s="0" t="s">
        <v>73</v>
      </c>
      <c r="C2947" s="38" t="n">
        <f aca="false">Sens!$C$2920+Sens!$C$2925</f>
        <v>28.107</v>
      </c>
      <c r="D2947" s="38" t="n">
        <f aca="false">Sens!$D$2920+Sens!$D$2925</f>
        <v>34.3175</v>
      </c>
      <c r="E2947" s="38" t="n">
        <f aca="false">Sens!$E$2920+Sens!$E$2925</f>
        <v>18.526</v>
      </c>
      <c r="F2947" s="38" t="n">
        <f aca="false">Sens!$F$2920+Sens!$F$2925</f>
        <v>24.0766690913691</v>
      </c>
      <c r="G2947" s="38" t="n">
        <f aca="false">Sens!$G$2920+Sens!$G$2925</f>
        <v>42.6026690913691</v>
      </c>
      <c r="H2947" s="38" t="n">
        <f aca="false">Sens!$H$2920+Sens!$H$2925</f>
        <v>51.1466809294702</v>
      </c>
      <c r="I2947" s="38" t="n">
        <f aca="false">Sens!$I$2920+Sens!$I$2925</f>
        <v>59.6899187926205</v>
      </c>
      <c r="J2947" s="38" t="n">
        <f aca="false">Sens!$J$2920+Sens!$J$2925</f>
        <v>67.6595395244221</v>
      </c>
      <c r="K2947" s="38" t="n">
        <f aca="false">Sens!$K$2920+Sens!$K$2925</f>
        <v>74.4254934768643</v>
      </c>
      <c r="L2947" s="38" t="n">
        <f aca="false">Sens!$L$2920+Sens!$L$2925</f>
        <v>81.8680428245508</v>
      </c>
      <c r="M2947" s="38" t="n">
        <f aca="false">Sens!$M$2920+Sens!$M$2925</f>
        <v>90.0548471070059</v>
      </c>
      <c r="N2947" s="38" t="n">
        <f aca="false">Sens!$N$2920+Sens!$N$2925</f>
        <v>14.8075</v>
      </c>
      <c r="O2947" s="38" t="n">
        <f aca="false">Sens!$O$2920+Sens!$O$2925</f>
        <v>19.51</v>
      </c>
    </row>
    <row r="2948" customFormat="false" ht="17.15" hidden="false" customHeight="false" outlineLevel="0" collapsed="false">
      <c r="A2948" s="0" t="s">
        <v>697</v>
      </c>
      <c r="B2948" s="0" t="s">
        <v>73</v>
      </c>
      <c r="C2948" s="38" t="n">
        <f aca="false">Sens!$C$2924+Sens!$C$2929+Sens!$C$2943+Sens!$C$2944-Sens!$C$2947</f>
        <v>19.399</v>
      </c>
      <c r="D2948" s="38" t="n">
        <f aca="false">Sens!$D$2924+Sens!$D$2929+Sens!$D$2943+Sens!$D$2944-Sens!$D$2947</f>
        <v>20.4615</v>
      </c>
      <c r="E2948" s="38" t="n">
        <f aca="false">Sens!$E$2924+Sens!$E$2929+Sens!$E$2943+Sens!$E$2944-Sens!$E$2947</f>
        <v>13.355</v>
      </c>
      <c r="F2948" s="38" t="n">
        <f aca="false">Sens!$F$2924+Sens!$F$2929+Sens!$F$2943+Sens!$F$2944-Sens!$F$2947</f>
        <v>13.0895111975985</v>
      </c>
      <c r="G2948" s="38" t="n">
        <f aca="false">Sens!$G$2924+Sens!$G$2929+Sens!$G$2943+Sens!$G$2944-Sens!$G$2947</f>
        <v>26.4445111975985</v>
      </c>
      <c r="H2948" s="38" t="n">
        <f aca="false">Sens!$H$2924+Sens!$H$2929+Sens!$H$2943+Sens!$H$2944-Sens!$H$2947</f>
        <v>28.8977096937968</v>
      </c>
      <c r="I2948" s="38" t="n">
        <f aca="false">Sens!$I$2924+Sens!$I$2929+Sens!$I$2943+Sens!$I$2944-Sens!$I$2947</f>
        <v>31.2062039064791</v>
      </c>
      <c r="J2948" s="38" t="n">
        <f aca="false">Sens!$J$2924+Sens!$J$2929+Sens!$J$2943+Sens!$J$2944-Sens!$J$2947</f>
        <v>33.5064572496913</v>
      </c>
      <c r="K2948" s="38" t="n">
        <f aca="false">Sens!$K$2924+Sens!$K$2929+Sens!$K$2943+Sens!$K$2944-Sens!$K$2947</f>
        <v>35.6591461575899</v>
      </c>
      <c r="L2948" s="38" t="n">
        <f aca="false">Sens!$L$2924+Sens!$L$2929+Sens!$L$2943+Sens!$L$2944-Sens!$L$2947</f>
        <v>36.4141007090604</v>
      </c>
      <c r="M2948" s="38" t="n">
        <f aca="false">Sens!$M$2924+Sens!$M$2929+Sens!$M$2943+Sens!$M$2944-Sens!$M$2947</f>
        <v>37.359984207839</v>
      </c>
      <c r="N2948" s="38" t="n">
        <f aca="false">Sens!$N$2924+Sens!$N$2929+Sens!$N$2943+Sens!$N$2944-Sens!$N$2947</f>
        <v>10.6495</v>
      </c>
      <c r="O2948" s="38" t="n">
        <f aca="false">Sens!$O$2924+Sens!$O$2929+Sens!$O$2943+Sens!$O$2944-Sens!$O$2947</f>
        <v>9.81200000000001</v>
      </c>
    </row>
    <row r="2949" customFormat="false" ht="17.15" hidden="false" customHeight="false" outlineLevel="0" collapsed="false">
      <c r="A2949" s="0" t="s">
        <v>698</v>
      </c>
      <c r="B2949" s="0" t="s">
        <v>73</v>
      </c>
      <c r="C2949" s="38" t="n">
        <f aca="false">Sens!$C$2931+Sens!$C$2945-ext_sh*Sens!$C$2866</f>
        <v>51.3470500115664</v>
      </c>
      <c r="D2949" s="38" t="n">
        <f aca="false">Sens!$D$2931+Sens!$D$2945-ext_sh*Sens!$D$2866</f>
        <v>60.2799375433739</v>
      </c>
      <c r="E2949" s="38" t="n">
        <f aca="false">Sens!$E$2931+Sens!$E$2945-ext_sh*Sens!$E$2866</f>
        <v>39.5095167090767</v>
      </c>
      <c r="F2949" s="38" t="n">
        <f aca="false">Sens!$F$2931+Sens!$F$2945-ext_sh*Sens!$F$2866</f>
        <v>41.606724953129</v>
      </c>
      <c r="G2949" s="38" t="n">
        <f aca="false">Sens!$G$2931+Sens!$G$2945-ext_sh*Sens!$G$2866</f>
        <v>81.1162416622057</v>
      </c>
      <c r="H2949" s="38" t="n">
        <f aca="false">Sens!$H$2931+Sens!$H$2945-ext_sh*Sens!$H$2866</f>
        <v>96.3568309256046</v>
      </c>
      <c r="I2949" s="38" t="n">
        <f aca="false">Sens!$I$2931+Sens!$I$2945-ext_sh*Sens!$I$2866</f>
        <v>113.651734542969</v>
      </c>
      <c r="J2949" s="38" t="n">
        <f aca="false">Sens!$J$2931+Sens!$J$2945-ext_sh*Sens!$J$2866</f>
        <v>130.10214636685</v>
      </c>
      <c r="K2949" s="38" t="n">
        <f aca="false">Sens!$K$2931+Sens!$K$2945-ext_sh*Sens!$K$2866</f>
        <v>144.413382467203</v>
      </c>
      <c r="L2949" s="38" t="n">
        <f aca="false">Sens!$L$2931+Sens!$L$2945-ext_sh*Sens!$L$2866</f>
        <v>160.298854538596</v>
      </c>
      <c r="M2949" s="38" t="n">
        <f aca="false">Sens!$M$2931+Sens!$M$2945-ext_sh*Sens!$M$2866</f>
        <v>177.931728537841</v>
      </c>
      <c r="N2949" s="38" t="n">
        <f aca="false">Sens!$N$2931+Sens!$N$2945-ext_sh*Sens!$N$2866</f>
        <v>28.5693781401809</v>
      </c>
      <c r="O2949" s="38" t="n">
        <f aca="false">Sens!$O$2931+Sens!$O$2945-ext_sh*Sens!$O$2866</f>
        <v>31.7105594031931</v>
      </c>
    </row>
    <row r="2950" customFormat="false" ht="17.15" hidden="false" customHeight="false" outlineLevel="0" collapsed="false">
      <c r="A2950" s="0" t="s">
        <v>699</v>
      </c>
      <c r="B2950" s="0" t="s">
        <v>73</v>
      </c>
      <c r="C2950" s="38" t="n">
        <f aca="false">Sens!$C$2869</f>
        <v>1.80694998843362</v>
      </c>
      <c r="D2950" s="38" t="n">
        <f aca="false">Sens!$D$2869</f>
        <v>6.77606245662607</v>
      </c>
      <c r="E2950" s="38" t="n">
        <f aca="false">Sens!$E$2869</f>
        <v>6.62548329092326</v>
      </c>
      <c r="F2950" s="38" t="n">
        <f aca="false">Sens!$F$2869</f>
        <v>11.7200577158706</v>
      </c>
      <c r="G2950" s="38" t="n">
        <f aca="false">Sens!$G$2869</f>
        <v>18.3455410067939</v>
      </c>
      <c r="H2950" s="38" t="n">
        <f aca="false">Sens!$H$2869</f>
        <v>47.5171727060453</v>
      </c>
      <c r="I2950" s="38" t="n">
        <f aca="false">Sens!$I$2869</f>
        <v>80.5539692643667</v>
      </c>
      <c r="J2950" s="38" t="n">
        <f aca="false">Sens!$J$2869</f>
        <v>113.759316834883</v>
      </c>
      <c r="K2950" s="38" t="n">
        <f aca="false">Sens!$K$2869</f>
        <v>147.020848076132</v>
      </c>
      <c r="L2950" s="38" t="n">
        <f aca="false">Sens!$L$2869</f>
        <v>180.307917349531</v>
      </c>
      <c r="M2950" s="38" t="n">
        <f aca="false">Sens!$M$2869</f>
        <v>213.608737871012</v>
      </c>
      <c r="N2950" s="38" t="n">
        <f aca="false">Sens!$N$2869</f>
        <v>2.37162185981912</v>
      </c>
      <c r="O2950" s="38" t="n">
        <f aca="false">Sens!$O$2869</f>
        <v>4.40444059680694</v>
      </c>
    </row>
    <row r="2951" customFormat="false" ht="17.15" hidden="false" customHeight="false" outlineLevel="0" collapsed="false">
      <c r="A2951" s="0" t="s">
        <v>700</v>
      </c>
      <c r="B2951" s="0" t="s">
        <v>73</v>
      </c>
      <c r="C2951" s="38" t="n">
        <f aca="false">Sens!$C$2934+Sens!$C$2946</f>
        <v>100.66</v>
      </c>
      <c r="D2951" s="38" t="n">
        <f aca="false">Sens!$D$2934+Sens!$D$2946</f>
        <v>121.835</v>
      </c>
      <c r="E2951" s="38" t="n">
        <f aca="false">Sens!$E$2934+Sens!$E$2946</f>
        <v>78.016</v>
      </c>
      <c r="F2951" s="38" t="n">
        <f aca="false">Sens!$F$2934+Sens!$F$2946</f>
        <v>90.4929629579672</v>
      </c>
      <c r="G2951" s="38" t="n">
        <f aca="false">Sens!$G$2934+Sens!$G$2946</f>
        <v>168.508962957967</v>
      </c>
      <c r="H2951" s="38" t="n">
        <f aca="false">Sens!$H$2934+Sens!$H$2946</f>
        <v>223.918394254917</v>
      </c>
      <c r="I2951" s="38" t="n">
        <f aca="false">Sens!$I$2934+Sens!$I$2946</f>
        <v>285.101826506436</v>
      </c>
      <c r="J2951" s="38" t="n">
        <f aca="false">Sens!$J$2934+Sens!$J$2946</f>
        <v>345.027459975847</v>
      </c>
      <c r="K2951" s="38" t="n">
        <f aca="false">Sens!$K$2934+Sens!$K$2946</f>
        <v>401.518870177789</v>
      </c>
      <c r="L2951" s="38" t="n">
        <f aca="false">Sens!$L$2934+Sens!$L$2946</f>
        <v>458.888915421738</v>
      </c>
      <c r="M2951" s="38" t="n">
        <f aca="false">Sens!$M$2934+Sens!$M$2946</f>
        <v>518.955297723698</v>
      </c>
      <c r="N2951" s="38" t="n">
        <f aca="false">Sens!$N$2934+Sens!$N$2946</f>
        <v>56.398</v>
      </c>
      <c r="O2951" s="38" t="n">
        <f aca="false">Sens!$O$2934+Sens!$O$2946</f>
        <v>65.437</v>
      </c>
    </row>
    <row r="2952" customFormat="false" ht="17.15" hidden="false" customHeight="false" outlineLevel="0" collapsed="false">
      <c r="A2952" s="1" t="s">
        <v>701</v>
      </c>
    </row>
    <row r="2953" customFormat="false" ht="15" hidden="false" customHeight="false" outlineLevel="0" collapsed="false">
      <c r="A2953" s="5" t="s">
        <v>504</v>
      </c>
      <c r="B2953" s="0" t="s">
        <v>73</v>
      </c>
      <c r="C2953" s="38" t="n">
        <f aca="false">Q!$D$34</f>
        <v>2.406</v>
      </c>
      <c r="D2953" s="38" t="n">
        <f aca="false">Q!$E$34</f>
        <v>2.274</v>
      </c>
      <c r="E2953" s="38" t="n">
        <f aca="false">Q!$P$34</f>
        <v>2.114</v>
      </c>
      <c r="F2953" s="38" t="n">
        <f aca="false">Sens!$F$2989</f>
        <v>3.24888964316061</v>
      </c>
      <c r="G2953" s="38" t="n">
        <f aca="false">Sens!$E$2953+Sens!$F$2953</f>
        <v>5.36288964316061</v>
      </c>
      <c r="H2953" s="38" t="n">
        <f aca="false">Sens!$H$2989</f>
        <v>7.42354178632123</v>
      </c>
      <c r="I2953" s="38" t="n">
        <f aca="false">Sens!$I$2989</f>
        <v>7.49684023768835</v>
      </c>
      <c r="J2953" s="38" t="n">
        <f aca="false">Sens!$J$2989</f>
        <v>7.67036594560656</v>
      </c>
      <c r="K2953" s="38" t="n">
        <f aca="false">Sens!$K$2989</f>
        <v>7.67036594560656</v>
      </c>
      <c r="L2953" s="38" t="n">
        <f aca="false">Sens!$L$2989</f>
        <v>7.67036594560656</v>
      </c>
      <c r="M2953" s="38" t="n">
        <f aca="false">Sens!$M$2989</f>
        <v>7.67036594560656</v>
      </c>
      <c r="N2953" s="38" t="n">
        <f aca="false">Q!$N$34</f>
        <v>1.057</v>
      </c>
      <c r="O2953" s="38" t="n">
        <f aca="false">Q!$O$34</f>
        <v>1.217</v>
      </c>
    </row>
    <row r="2954" customFormat="false" ht="15" hidden="false" customHeight="false" outlineLevel="0" collapsed="false">
      <c r="A2954" s="5" t="s">
        <v>702</v>
      </c>
      <c r="B2954" s="0" t="s">
        <v>73</v>
      </c>
      <c r="F2954" s="38" t="n">
        <f aca="false">Sens!$F$2990</f>
        <v>2.59</v>
      </c>
      <c r="H2954" s="38" t="n">
        <f aca="false">Sens!$H$2990</f>
        <v>4.00971603121774</v>
      </c>
      <c r="I2954" s="38" t="n">
        <f aca="false">Sens!$I$2990</f>
        <v>2.10589651022864</v>
      </c>
      <c r="J2954" s="38" t="n">
        <f aca="false">Sens!$J$2990</f>
        <v>2.10589651022864</v>
      </c>
      <c r="K2954" s="38" t="n">
        <f aca="false">Sens!$K$2990</f>
        <v>3.90211367417502</v>
      </c>
      <c r="L2954" s="38" t="n">
        <f aca="false">Sens!$L$2990</f>
        <v>7.59262188083602</v>
      </c>
      <c r="M2954" s="38" t="n">
        <f aca="false">Sens!$M$2990</f>
        <v>11.916057835239</v>
      </c>
    </row>
    <row r="2955" customFormat="false" ht="17.15" hidden="false" customHeight="false" outlineLevel="0" collapsed="false">
      <c r="A2955" s="5" t="s">
        <v>703</v>
      </c>
      <c r="B2955" s="0" t="s">
        <v>73</v>
      </c>
      <c r="C2955" s="38" t="n">
        <f aca="false">Q!$D$39</f>
        <v>2.427</v>
      </c>
      <c r="D2955" s="38" t="n">
        <f aca="false">Q!$E$39</f>
        <v>19.61</v>
      </c>
      <c r="E2955" s="38" t="n">
        <f aca="false">Q!$P$39</f>
        <v>71.492</v>
      </c>
      <c r="F2955" s="41" t="n">
        <v>0</v>
      </c>
      <c r="G2955" s="38" t="n">
        <f aca="false">Sens!$E$2955+Sens!$F$2955</f>
        <v>71.492</v>
      </c>
      <c r="H2955" s="41" t="n">
        <v>0</v>
      </c>
      <c r="I2955" s="41" t="n">
        <v>0</v>
      </c>
      <c r="J2955" s="41" t="n">
        <v>0</v>
      </c>
      <c r="K2955" s="41" t="n">
        <v>0</v>
      </c>
      <c r="L2955" s="41" t="n">
        <v>0</v>
      </c>
      <c r="M2955" s="41" t="n">
        <v>0</v>
      </c>
      <c r="N2955" s="38" t="n">
        <f aca="false">Q!$N$39</f>
        <v>6.017</v>
      </c>
      <c r="O2955" s="38" t="n">
        <f aca="false">Q!$O$39</f>
        <v>13.593</v>
      </c>
      <c r="P2955" s="5" t="s">
        <v>704</v>
      </c>
    </row>
    <row r="2956" customFormat="false" ht="15" hidden="false" customHeight="false" outlineLevel="0" collapsed="false">
      <c r="A2956" s="5" t="s">
        <v>507</v>
      </c>
      <c r="B2956" s="0" t="s">
        <v>73</v>
      </c>
      <c r="C2956" s="38" t="n">
        <f aca="false">Q!$D$36</f>
        <v>68.614</v>
      </c>
      <c r="D2956" s="38" t="n">
        <f aca="false">Q!$E$36</f>
        <v>97.311</v>
      </c>
      <c r="E2956" s="38" t="n">
        <f aca="false">Q!$P$36</f>
        <v>120.691</v>
      </c>
      <c r="F2956" s="38" t="n">
        <f aca="false">Sens!$F$2934-Sens!$F$2953+Sens!$F$2954+Sens!$F$2955</f>
        <v>59.2236875896856</v>
      </c>
      <c r="G2956" s="38" t="n">
        <f aca="false">Sens!$E$2956+Sens!$F$2956</f>
        <v>179.914687589686</v>
      </c>
      <c r="H2956" s="38" t="n">
        <f aca="false">Sens!$H$2934-Sens!$H$2953+Sens!$H$2954+Sens!$H$2955</f>
        <v>132.646263775287</v>
      </c>
      <c r="I2956" s="38" t="n">
        <f aca="false">Sens!$I$2934-Sens!$I$2953+Sens!$I$2954+Sens!$I$2955</f>
        <v>156.791719370628</v>
      </c>
      <c r="J2956" s="38" t="n">
        <f aca="false">Sens!$J$2934-Sens!$J$2953+Sens!$J$2954+Sens!$J$2955</f>
        <v>180.881644643905</v>
      </c>
      <c r="K2956" s="38" t="n">
        <f aca="false">Sens!$K$2934-Sens!$K$2953+Sens!$K$2954+Sens!$K$2955</f>
        <v>203.697162595275</v>
      </c>
      <c r="L2956" s="38" t="n">
        <f aca="false">Sens!$L$2934-Sens!$L$2953+Sens!$L$2954+Sens!$L$2955</f>
        <v>230.717876062747</v>
      </c>
      <c r="M2956" s="38" t="n">
        <f aca="false">Sens!$M$2934-Sens!$M$2953+Sens!$M$2954+Sens!$M$2955</f>
        <v>259.70172796877</v>
      </c>
      <c r="N2956" s="38" t="n">
        <f aca="false">Q!$N$36</f>
        <v>42.536</v>
      </c>
      <c r="O2956" s="38" t="n">
        <f aca="false">Q!$O$36</f>
        <v>54.775</v>
      </c>
    </row>
    <row r="2957" customFormat="false" ht="15" hidden="false" customHeight="false" outlineLevel="0" collapsed="false">
      <c r="A2957" s="5" t="s">
        <v>508</v>
      </c>
      <c r="B2957" s="0" t="s">
        <v>73</v>
      </c>
      <c r="C2957" s="38" t="n">
        <f aca="false">Q!$D$37</f>
        <v>9.265</v>
      </c>
      <c r="D2957" s="38" t="n">
        <f aca="false">Q!$E$37</f>
        <v>19.087</v>
      </c>
      <c r="E2957" s="38" t="n">
        <f aca="false">Q!$P$37</f>
        <v>27.759</v>
      </c>
      <c r="F2957" s="38" t="n">
        <f aca="false">Sens!$F$2956*tax</f>
        <v>10.2803157750071</v>
      </c>
      <c r="G2957" s="38" t="n">
        <f aca="false">Sens!$E$2957+Sens!$F$2957</f>
        <v>38.0393157750071</v>
      </c>
      <c r="H2957" s="38" t="n">
        <f aca="false">Sens!$H$2956*tax</f>
        <v>23.0253389054808</v>
      </c>
      <c r="I2957" s="38" t="n">
        <f aca="false">Sens!$I$2956*tax</f>
        <v>27.2166163850472</v>
      </c>
      <c r="J2957" s="38" t="n">
        <f aca="false">Sens!$J$2956*tax</f>
        <v>31.3982546599449</v>
      </c>
      <c r="K2957" s="38" t="n">
        <f aca="false">Sens!$K$2956*tax</f>
        <v>35.3586755431469</v>
      </c>
      <c r="L2957" s="38" t="n">
        <f aca="false">Sens!$L$2956*tax</f>
        <v>40.0490532993605</v>
      </c>
      <c r="M2957" s="38" t="n">
        <f aca="false">Sens!$M$2956*tax</f>
        <v>45.0802015121213</v>
      </c>
      <c r="N2957" s="38" t="n">
        <f aca="false">Q!$N$37</f>
        <v>7.231</v>
      </c>
      <c r="O2957" s="38" t="n">
        <f aca="false">Q!$O$37</f>
        <v>11.856</v>
      </c>
    </row>
    <row r="2958" customFormat="false" ht="15" hidden="false" customHeight="false" outlineLevel="0" collapsed="false">
      <c r="A2958" s="3" t="s">
        <v>509</v>
      </c>
      <c r="B2958" s="8" t="s">
        <v>73</v>
      </c>
      <c r="C2958" s="38" t="n">
        <f aca="false">Q!$D$38</f>
        <v>59.248</v>
      </c>
      <c r="D2958" s="38" t="n">
        <f aca="false">Q!$E$38</f>
        <v>77.67</v>
      </c>
      <c r="E2958" s="38" t="n">
        <f aca="false">Q!$P$38</f>
        <v>92.902</v>
      </c>
      <c r="F2958" s="38" t="n">
        <f aca="false">Sens!$F$2956-Sens!$F$2957</f>
        <v>48.9433718146785</v>
      </c>
      <c r="G2958" s="38" t="n">
        <f aca="false">Sens!$E$2958+Sens!$F$2958</f>
        <v>141.845371814679</v>
      </c>
      <c r="H2958" s="38" t="n">
        <f aca="false">Sens!$H$2956-Sens!$H$2957</f>
        <v>109.620924869806</v>
      </c>
      <c r="I2958" s="38" t="n">
        <f aca="false">Sens!$I$2956-Sens!$I$2957</f>
        <v>129.575102985581</v>
      </c>
      <c r="J2958" s="38" t="n">
        <f aca="false">Sens!$J$2956-Sens!$J$2957</f>
        <v>149.48338998396</v>
      </c>
      <c r="K2958" s="38" t="n">
        <f aca="false">Sens!$K$2956-Sens!$K$2957</f>
        <v>168.338487052128</v>
      </c>
      <c r="L2958" s="38" t="n">
        <f aca="false">Sens!$L$2956-Sens!$L$2957</f>
        <v>190.668822763387</v>
      </c>
      <c r="M2958" s="38" t="n">
        <f aca="false">Sens!$M$2956-Sens!$M$2957</f>
        <v>214.621526456648</v>
      </c>
      <c r="N2958" s="38" t="n">
        <f aca="false">Q!$N$38</f>
        <v>35.291</v>
      </c>
      <c r="O2958" s="38" t="n">
        <f aca="false">Q!$O$38</f>
        <v>42.379</v>
      </c>
    </row>
    <row r="2959" customFormat="false" ht="17.15" hidden="false" customHeight="false" outlineLevel="0" collapsed="false">
      <c r="A2959" s="5" t="s">
        <v>512</v>
      </c>
      <c r="B2959" s="5" t="s">
        <v>33</v>
      </c>
      <c r="C2959" s="22" t="n">
        <f aca="false">Q!$D$41</f>
        <v>10.721</v>
      </c>
      <c r="D2959" s="22" t="n">
        <f aca="false">Q!$E$41</f>
        <v>10.827</v>
      </c>
      <c r="E2959" s="22" t="n">
        <f aca="false">(Q!$L$41+Q!$M$41)/2</f>
        <v>10.8885</v>
      </c>
      <c r="F2959" s="22" t="n">
        <f aca="false">Sens!$G$2959</f>
        <v>10.924806</v>
      </c>
      <c r="G2959" s="22" t="n">
        <f aca="false">Q!$M$41*(1+sh_g*0.25)</f>
        <v>10.924806</v>
      </c>
      <c r="H2959" s="22" t="n">
        <f aca="false">Sens!$G$2959*(1+sh_g)</f>
        <v>11.012204448</v>
      </c>
      <c r="I2959" s="22" t="n">
        <f aca="false">Sens!$H$2959*(1+sh_g)</f>
        <v>11.100302083584</v>
      </c>
      <c r="J2959" s="22" t="n">
        <f aca="false">Sens!$I$2959*(1+sh_g)</f>
        <v>11.1891045002527</v>
      </c>
      <c r="K2959" s="22" t="n">
        <f aca="false">Sens!$J$2959*(1+sh_g)</f>
        <v>11.2786173362547</v>
      </c>
      <c r="L2959" s="22" t="n">
        <f aca="false">Sens!$K$2959*(1+sh_g)</f>
        <v>11.3688462749447</v>
      </c>
      <c r="M2959" s="22" t="n">
        <f aca="false">Sens!$L$2959*(1+sh_g)</f>
        <v>11.4597970451443</v>
      </c>
      <c r="P2959" s="5" t="s">
        <v>705</v>
      </c>
    </row>
    <row r="2960" customFormat="false" ht="17.15" hidden="false" customHeight="false" outlineLevel="0" collapsed="false">
      <c r="A2960" s="42" t="s">
        <v>706</v>
      </c>
      <c r="B2960" s="13" t="s">
        <v>27</v>
      </c>
      <c r="C2960" s="43" t="n">
        <f aca="false">Sens!$C$2958/Sens!$C$2959</f>
        <v>5.52635015390355</v>
      </c>
      <c r="D2960" s="43" t="n">
        <f aca="false">Sens!$D$2958/Sens!$D$2959</f>
        <v>7.1737323358271</v>
      </c>
      <c r="E2960" s="43" t="n">
        <f aca="false">Sens!$E$2958/Sens!$E$2959</f>
        <v>8.53212104513937</v>
      </c>
      <c r="F2960" s="13"/>
      <c r="G2960" s="43" t="n">
        <f aca="false">Sens!$G$2958/Sens!$G$2959</f>
        <v>12.9837886196495</v>
      </c>
      <c r="H2960" s="43" t="n">
        <f aca="false">Sens!$H$2958/Sens!$H$2959</f>
        <v>9.95449416031453</v>
      </c>
      <c r="I2960" s="43" t="n">
        <f aca="false">Sens!$I$2958/Sens!$I$2959</f>
        <v>11.6731150206449</v>
      </c>
      <c r="J2960" s="43" t="n">
        <f aca="false">Sens!$J$2958/Sens!$J$2959</f>
        <v>13.3597277584265</v>
      </c>
      <c r="K2960" s="43" t="n">
        <f aca="false">Sens!$K$2958/Sens!$K$2959</f>
        <v>14.9254542496987</v>
      </c>
      <c r="L2960" s="43" t="n">
        <f aca="false">Sens!$L$2958/Sens!$L$2959</f>
        <v>16.7711672892959</v>
      </c>
      <c r="M2960" s="43" t="n">
        <f aca="false">Sens!$M$2958/Sens!$M$2959</f>
        <v>18.7282135635715</v>
      </c>
      <c r="N2960" s="13"/>
      <c r="O2960" s="13"/>
    </row>
    <row r="2961" customFormat="false" ht="17.15" hidden="false" customHeight="false" outlineLevel="0" collapsed="false">
      <c r="A2961" s="0" t="s">
        <v>707</v>
      </c>
      <c r="B2961" s="0" t="s">
        <v>27</v>
      </c>
      <c r="C2961" s="30" t="n">
        <f aca="false">(Sens!$C$2958-Sens!$C$2955*(1-tax))/Sens!$C$2959</f>
        <v>5.33926775917445</v>
      </c>
      <c r="D2961" s="30" t="n">
        <f aca="false">(Sens!$D$2958-Sens!$D$2955*(1-tax))/Sens!$D$2959</f>
        <v>5.67691812755503</v>
      </c>
      <c r="E2961" s="30" t="n">
        <f aca="false">(Sens!$E$2958-Sens!$E$2955*(1-tax))/Sens!$E$2959</f>
        <v>3.10602057006846</v>
      </c>
      <c r="G2961" s="30" t="n">
        <f aca="false">(Sens!$G$2958-Sens!$G$2955*(1-tax))/Sens!$G$2959</f>
        <v>7.57572050175252</v>
      </c>
      <c r="H2961" s="30" t="n">
        <f aca="false">(Sens!$H$2958-Sens!$H$2955*(1-tax))/Sens!$H$2959</f>
        <v>9.95449416031453</v>
      </c>
      <c r="I2961" s="30" t="n">
        <f aca="false">(Sens!$I$2958-Sens!$I$2955*(1-tax))/Sens!$I$2959</f>
        <v>11.6731150206449</v>
      </c>
      <c r="J2961" s="30" t="n">
        <f aca="false">(Sens!$J$2958-Sens!$J$2955*(1-tax))/Sens!$J$2959</f>
        <v>13.3597277584265</v>
      </c>
      <c r="K2961" s="30" t="n">
        <f aca="false">(Sens!$K$2958-Sens!$K$2955*(1-tax))/Sens!$K$2959</f>
        <v>14.9254542496987</v>
      </c>
      <c r="L2961" s="30" t="n">
        <f aca="false">(Sens!$L$2958-Sens!$L$2955*(1-tax))/Sens!$L$2959</f>
        <v>16.7711672892959</v>
      </c>
      <c r="M2961" s="30" t="n">
        <f aca="false">(Sens!$M$2958-Sens!$M$2955*(1-tax))/Sens!$M$2959</f>
        <v>18.7282135635715</v>
      </c>
      <c r="P2961" s="5" t="s">
        <v>708</v>
      </c>
    </row>
    <row r="2962" customFormat="false" ht="17.15" hidden="false" customHeight="false" outlineLevel="0" collapsed="false">
      <c r="A2962" s="0" t="s">
        <v>709</v>
      </c>
      <c r="B2962" s="0" t="s">
        <v>52</v>
      </c>
      <c r="H2962" s="12" t="n">
        <f aca="false">Sens!$H$2960/Sens!$G$2960-1</f>
        <v>-0.233313599603006</v>
      </c>
      <c r="I2962" s="12" t="n">
        <f aca="false">Sens!$I$2960/Sens!$H$2960-1</f>
        <v>0.172647734043788</v>
      </c>
      <c r="J2962" s="12" t="n">
        <f aca="false">Sens!$J$2960/Sens!$I$2960-1</f>
        <v>0.144486945840815</v>
      </c>
      <c r="K2962" s="12" t="n">
        <f aca="false">Sens!$K$2960/Sens!$J$2960-1</f>
        <v>0.117197484827837</v>
      </c>
      <c r="L2962" s="12" t="n">
        <f aca="false">Sens!$L$2960/Sens!$K$2960-1</f>
        <v>0.123662101582904</v>
      </c>
      <c r="M2962" s="12" t="n">
        <f aca="false">Sens!$M$2960/Sens!$L$2960-1</f>
        <v>0.116691118782452</v>
      </c>
    </row>
    <row r="2965" customFormat="false" ht="19.4" hidden="false" customHeight="false" outlineLevel="0" collapsed="false">
      <c r="A2965" s="31" t="s">
        <v>1108</v>
      </c>
    </row>
    <row r="2966" customFormat="false" ht="17.15" hidden="false" customHeight="false" outlineLevel="0" collapsed="false">
      <c r="A2966" s="6" t="s">
        <v>16</v>
      </c>
      <c r="B2966" s="6" t="s">
        <v>17</v>
      </c>
      <c r="C2966" s="20" t="s">
        <v>457</v>
      </c>
      <c r="D2966" s="20" t="s">
        <v>458</v>
      </c>
      <c r="E2966" s="20" t="s">
        <v>540</v>
      </c>
      <c r="F2966" s="20" t="s">
        <v>541</v>
      </c>
      <c r="G2966" s="20" t="s">
        <v>542</v>
      </c>
      <c r="H2966" s="20" t="s">
        <v>543</v>
      </c>
      <c r="I2966" s="20" t="s">
        <v>544</v>
      </c>
      <c r="J2966" s="20" t="s">
        <v>545</v>
      </c>
      <c r="K2966" s="20" t="s">
        <v>546</v>
      </c>
      <c r="L2966" s="20" t="s">
        <v>547</v>
      </c>
      <c r="M2966" s="20" t="s">
        <v>548</v>
      </c>
      <c r="N2966" s="20" t="s">
        <v>549</v>
      </c>
      <c r="O2966" s="20" t="s">
        <v>550</v>
      </c>
      <c r="P2966" s="6" t="s">
        <v>23</v>
      </c>
      <c r="R2966" s="20" t="n">
        <v>2023</v>
      </c>
      <c r="S2966" s="20" t="n">
        <v>2024</v>
      </c>
      <c r="T2966" s="20" t="n">
        <v>2025</v>
      </c>
      <c r="U2966" s="20" t="n">
        <v>2026</v>
      </c>
      <c r="V2966" s="20" t="n">
        <v>2027</v>
      </c>
      <c r="W2966" s="20" t="n">
        <v>2028</v>
      </c>
      <c r="X2966" s="20" t="n">
        <v>2029</v>
      </c>
      <c r="Y2966" s="20" t="n">
        <v>2030</v>
      </c>
      <c r="Z2966" s="20" t="n">
        <v>2031</v>
      </c>
      <c r="AA2966" s="20" t="n">
        <v>2032</v>
      </c>
    </row>
    <row r="2967" customFormat="false" ht="15" hidden="false" customHeight="false" outlineLevel="0" collapsed="false">
      <c r="A2967" s="5" t="s">
        <v>509</v>
      </c>
      <c r="B2967" s="0" t="s">
        <v>73</v>
      </c>
      <c r="C2967" s="38" t="n">
        <f aca="false">Sens!$C$2958</f>
        <v>59.248</v>
      </c>
      <c r="D2967" s="38" t="n">
        <f aca="false">Sens!$D$2958</f>
        <v>77.67</v>
      </c>
      <c r="E2967" s="38" t="n">
        <f aca="false">Sens!$E$2958</f>
        <v>92.902</v>
      </c>
      <c r="F2967" s="38" t="n">
        <f aca="false">Sens!$F$2958</f>
        <v>48.9433718146785</v>
      </c>
      <c r="G2967" s="38" t="n">
        <f aca="false">Sens!$G$2958</f>
        <v>141.845371814679</v>
      </c>
      <c r="H2967" s="38" t="n">
        <f aca="false">Sens!$H$2958</f>
        <v>109.620924869806</v>
      </c>
      <c r="I2967" s="38" t="n">
        <f aca="false">Sens!$I$2958</f>
        <v>129.575102985581</v>
      </c>
      <c r="J2967" s="38" t="n">
        <f aca="false">Sens!$J$2958</f>
        <v>149.48338998396</v>
      </c>
      <c r="K2967" s="38" t="n">
        <f aca="false">Sens!$K$2958</f>
        <v>168.338487052128</v>
      </c>
      <c r="L2967" s="38" t="n">
        <f aca="false">Sens!$L$2958</f>
        <v>190.668822763387</v>
      </c>
      <c r="M2967" s="38" t="n">
        <f aca="false">Sens!$M$2958</f>
        <v>214.621526456648</v>
      </c>
    </row>
    <row r="2968" customFormat="false" ht="17.15" hidden="false" customHeight="false" outlineLevel="0" collapsed="false">
      <c r="A2968" s="5" t="s">
        <v>731</v>
      </c>
      <c r="B2968" s="0" t="s">
        <v>73</v>
      </c>
      <c r="C2968" s="38" t="n">
        <f aca="false">Sens!$C$2946</f>
        <v>32.067</v>
      </c>
      <c r="D2968" s="38" t="n">
        <f aca="false">Sens!$D$2946</f>
        <v>41.86</v>
      </c>
      <c r="E2968" s="38" t="n">
        <f aca="false">Sens!$E$2946</f>
        <v>26.703</v>
      </c>
      <c r="F2968" s="38" t="n">
        <f aca="false">Sens!$F$2946</f>
        <v>30.6103857251209</v>
      </c>
      <c r="G2968" s="38" t="n">
        <f aca="false">Sens!$G$2946</f>
        <v>57.3133857251209</v>
      </c>
      <c r="H2968" s="38" t="n">
        <f aca="false">Sens!$H$2946</f>
        <v>87.8583047245268</v>
      </c>
      <c r="I2968" s="38" t="n">
        <f aca="false">Sens!$I$2946</f>
        <v>122.919163408348</v>
      </c>
      <c r="J2968" s="38" t="n">
        <f aca="false">Sens!$J$2946</f>
        <v>158.581345896564</v>
      </c>
      <c r="K2968" s="38" t="n">
        <f aca="false">Sens!$K$2946</f>
        <v>194.053455311083</v>
      </c>
      <c r="L2968" s="38" t="n">
        <f aca="false">Sens!$L$2946</f>
        <v>228.09329529422</v>
      </c>
      <c r="M2968" s="38" t="n">
        <f aca="false">Sens!$M$2946</f>
        <v>263.499261644561</v>
      </c>
    </row>
    <row r="2969" customFormat="false" ht="15" hidden="false" customHeight="false" outlineLevel="0" collapsed="false">
      <c r="A2969" s="5" t="s">
        <v>732</v>
      </c>
      <c r="B2969" s="0" t="s">
        <v>73</v>
      </c>
      <c r="C2969" s="38" t="n">
        <f aca="false">Q!$D$48</f>
        <v>22.011</v>
      </c>
      <c r="D2969" s="38" t="n">
        <f aca="false">Q!$E$48</f>
        <v>19.467</v>
      </c>
      <c r="E2969" s="38" t="n">
        <f aca="false">Q!$P$48</f>
        <v>10.07</v>
      </c>
      <c r="F2969" s="38" t="n">
        <f aca="false">sbc_r*Sens!$F$2890</f>
        <v>11.2170714500462</v>
      </c>
      <c r="G2969" s="38" t="n">
        <f aca="false">Sens!$E$2969+Sens!$F$2969</f>
        <v>21.2870714500462</v>
      </c>
      <c r="H2969" s="38" t="n">
        <f aca="false">sbc_r*Sens!$H$2890</f>
        <v>24.2052333144357</v>
      </c>
      <c r="I2969" s="38" t="n">
        <f aca="false">sbc_r*Sens!$I$2890</f>
        <v>27.7501091263048</v>
      </c>
      <c r="J2969" s="38" t="n">
        <f aca="false">sbc_r*Sens!$J$2890</f>
        <v>31.1373733825457</v>
      </c>
      <c r="K2969" s="38" t="n">
        <f aca="false">sbc_r*Sens!$K$2890</f>
        <v>34.2357995890216</v>
      </c>
      <c r="L2969" s="38" t="n">
        <f aca="false">sbc_r*Sens!$L$2890</f>
        <v>37.5062440878381</v>
      </c>
      <c r="M2969" s="38" t="n">
        <f aca="false">sbc_r*Sens!$M$2890</f>
        <v>40.9638620068246</v>
      </c>
    </row>
    <row r="2970" customFormat="false" ht="17.15" hidden="false" customHeight="false" outlineLevel="0" collapsed="false">
      <c r="A2970" s="5" t="s">
        <v>733</v>
      </c>
      <c r="B2970" s="0" t="s">
        <v>73</v>
      </c>
      <c r="C2970" s="38" t="n">
        <f aca="false">Q!$D$44-Sens!$C$2967-Sens!$C$2968-Sens!$C$2969</f>
        <v>2.551</v>
      </c>
      <c r="D2970" s="38" t="n">
        <f aca="false">Q!$E$44-Sens!$D$2967-Sens!$D$2968-Sens!$D$2969</f>
        <v>0.51700000000001</v>
      </c>
      <c r="E2970" s="38" t="n">
        <f aca="false">Q!$P$44-Sens!$E$2967-Sens!$E$2968-Sens!$E$2969</f>
        <v>-58.256</v>
      </c>
      <c r="F2970" s="38" t="n">
        <f aca="false">wc_2h26+oth_r*Sens!$F$2890</f>
        <v>7.34599241893378</v>
      </c>
      <c r="G2970" s="38" t="n">
        <f aca="false">Sens!$E$2970+Sens!$F$2970</f>
        <v>-50.9100075810662</v>
      </c>
      <c r="H2970" s="38" t="n">
        <f aca="false">oth_r*Sens!$H$2890</f>
        <v>11.6504447480027</v>
      </c>
      <c r="I2970" s="38" t="n">
        <f aca="false">oth_r*Sens!$I$2890</f>
        <v>13.3566617155574</v>
      </c>
      <c r="J2970" s="38" t="n">
        <f aca="false">oth_r*Sens!$J$2890</f>
        <v>14.9870172073462</v>
      </c>
      <c r="K2970" s="38" t="n">
        <f aca="false">oth_r*Sens!$K$2890</f>
        <v>16.4783493856146</v>
      </c>
      <c r="L2970" s="38" t="n">
        <f aca="false">oth_r*Sens!$L$2890</f>
        <v>18.0524772793601</v>
      </c>
      <c r="M2970" s="38" t="n">
        <f aca="false">oth_r*Sens!$M$2890</f>
        <v>19.7166953433451</v>
      </c>
      <c r="P2970" s="8" t="s">
        <v>734</v>
      </c>
    </row>
    <row r="2971" customFormat="false" ht="15" hidden="false" customHeight="false" outlineLevel="0" collapsed="false">
      <c r="A2971" s="3" t="s">
        <v>515</v>
      </c>
      <c r="B2971" s="8" t="s">
        <v>73</v>
      </c>
      <c r="C2971" s="38" t="n">
        <f aca="false">Q!$D$44</f>
        <v>115.877</v>
      </c>
      <c r="D2971" s="38" t="n">
        <f aca="false">Q!$E$44</f>
        <v>139.514</v>
      </c>
      <c r="E2971" s="38" t="n">
        <f aca="false">Q!$P$44</f>
        <v>71.419</v>
      </c>
      <c r="F2971" s="38" t="n">
        <f aca="false">Sens!$F$2967+Sens!$F$2968+Sens!$F$2969+Sens!$F$2970</f>
        <v>98.1168214087795</v>
      </c>
      <c r="G2971" s="38" t="n">
        <f aca="false">Sens!$E$2971+Sens!$F$2971</f>
        <v>169.535821408779</v>
      </c>
      <c r="H2971" s="38" t="n">
        <f aca="false">Sens!$H$2967+Sens!$H$2968+Sens!$H$2969+Sens!$H$2970</f>
        <v>233.334907656771</v>
      </c>
      <c r="I2971" s="38" t="n">
        <f aca="false">Sens!$I$2967+Sens!$I$2968+Sens!$I$2969+Sens!$I$2970</f>
        <v>293.601037235791</v>
      </c>
      <c r="J2971" s="38" t="n">
        <f aca="false">Sens!$J$2967+Sens!$J$2968+Sens!$J$2969+Sens!$J$2970</f>
        <v>354.189126470416</v>
      </c>
      <c r="K2971" s="38" t="n">
        <f aca="false">Sens!$K$2967+Sens!$K$2968+Sens!$K$2969+Sens!$K$2970</f>
        <v>413.106091337847</v>
      </c>
      <c r="L2971" s="38" t="n">
        <f aca="false">Sens!$L$2967+Sens!$L$2968+Sens!$L$2969+Sens!$L$2970</f>
        <v>474.320839424805</v>
      </c>
      <c r="M2971" s="38" t="n">
        <f aca="false">Sens!$M$2967+Sens!$M$2968+Sens!$M$2969+Sens!$M$2970</f>
        <v>538.801345451379</v>
      </c>
    </row>
    <row r="2972" customFormat="false" ht="17.15" hidden="false" customHeight="false" outlineLevel="0" collapsed="false">
      <c r="A2972" s="5" t="s">
        <v>735</v>
      </c>
      <c r="B2972" s="0" t="s">
        <v>73</v>
      </c>
      <c r="C2972" s="38" t="n">
        <f aca="false">Sens!$C$2859</f>
        <v>25.2781053077374</v>
      </c>
      <c r="D2972" s="38" t="n">
        <f aca="false">Sens!$D$2859</f>
        <v>69.5686316310026</v>
      </c>
      <c r="E2972" s="38" t="n">
        <f aca="false">Sens!$E$2859</f>
        <v>64.1899206485108</v>
      </c>
      <c r="F2972" s="38" t="n">
        <f aca="false">Sens!$F$2859</f>
        <v>96.2481299895</v>
      </c>
      <c r="G2972" s="38" t="n">
        <f aca="false">Sens!$G$2859</f>
        <v>160.438050638011</v>
      </c>
      <c r="H2972" s="38" t="n">
        <f aca="false">Sens!$H$2859</f>
        <v>198.57136494475</v>
      </c>
      <c r="I2972" s="38" t="n">
        <f aca="false">Sens!$I$2859</f>
        <v>204.6464699105</v>
      </c>
      <c r="J2972" s="38" t="n">
        <f aca="false">Sens!$J$2859</f>
        <v>209.8832381105</v>
      </c>
      <c r="K2972" s="38" t="n">
        <f aca="false">Sens!$K$2859</f>
        <v>215.1200063105</v>
      </c>
      <c r="L2972" s="38" t="n">
        <f aca="false">Sens!$L$2859</f>
        <v>251.7773837105</v>
      </c>
      <c r="M2972" s="38" t="n">
        <f aca="false">Sens!$M$2859</f>
        <v>311.87584476575</v>
      </c>
    </row>
    <row r="2973" customFormat="false" ht="17.15" hidden="false" customHeight="false" outlineLevel="0" collapsed="false">
      <c r="A2973" s="5" t="s">
        <v>736</v>
      </c>
      <c r="B2973" s="0" t="s">
        <v>73</v>
      </c>
      <c r="C2973" s="38" t="n">
        <f aca="false">cx_awso*Sens!$C$2888</f>
        <v>21.0469989286053</v>
      </c>
      <c r="D2973" s="38" t="n">
        <f aca="false">cx_awso*Sens!$D$2888</f>
        <v>24.0042459822698</v>
      </c>
      <c r="E2973" s="38" t="n">
        <f aca="false">cx_awso*Sens!$E$2888</f>
        <v>14.261729404886</v>
      </c>
      <c r="F2973" s="38" t="n">
        <f aca="false">cx_awso*Sens!$F$2888</f>
        <v>15.7190020837331</v>
      </c>
      <c r="G2973" s="38" t="n">
        <f aca="false">Sens!$E$2973+Sens!$F$2973</f>
        <v>29.9807314886191</v>
      </c>
      <c r="H2973" s="38" t="n">
        <f aca="false">cx_awso*Sens!$H$2888</f>
        <v>36.403567639793</v>
      </c>
      <c r="I2973" s="38" t="n">
        <f aca="false">cx_awso*Sens!$I$2888</f>
        <v>42.9375744933864</v>
      </c>
      <c r="J2973" s="38" t="n">
        <f aca="false">cx_awso*Sens!$J$2888</f>
        <v>49.1525327249979</v>
      </c>
      <c r="K2973" s="38" t="n">
        <f aca="false">cx_awso*Sens!$K$2888</f>
        <v>54.5593113247476</v>
      </c>
      <c r="L2973" s="38" t="n">
        <f aca="false">cx_awso*Sens!$L$2888</f>
        <v>60.5608355704699</v>
      </c>
      <c r="M2973" s="38" t="n">
        <f aca="false">cx_awso*Sens!$M$2888</f>
        <v>67.2225274832216</v>
      </c>
    </row>
    <row r="2974" customFormat="false" ht="17.15" hidden="false" customHeight="false" outlineLevel="0" collapsed="false">
      <c r="A2974" s="5" t="s">
        <v>737</v>
      </c>
      <c r="B2974" s="0" t="s">
        <v>73</v>
      </c>
      <c r="C2974" s="38" t="n">
        <f aca="false">Q!$D$46-Sens!$C$2972-Sens!$C$2973</f>
        <v>31.3328957636573</v>
      </c>
      <c r="D2974" s="38" t="n">
        <f aca="false">Q!$E$46-Sens!$D$2972-Sens!$D$2973</f>
        <v>34.7471223867276</v>
      </c>
      <c r="E2974" s="38" t="n">
        <f aca="false">Q!$P$46-Sens!$E$2972-Sens!$E$2973</f>
        <v>17.8583499466032</v>
      </c>
      <c r="F2974" s="38" t="n">
        <f aca="false">cx_rt*Sens!$F$2823</f>
        <v>21.0855744229195</v>
      </c>
      <c r="G2974" s="38" t="n">
        <f aca="false">Sens!$E$2974+Sens!$F$2974</f>
        <v>38.9439243695228</v>
      </c>
      <c r="H2974" s="38" t="n">
        <f aca="false">cx_rt*Sens!$H$2823</f>
        <v>43.1200434029767</v>
      </c>
      <c r="I2974" s="38" t="n">
        <f aca="false">cx_rt*Sens!$I$2823</f>
        <v>47.1583152318763</v>
      </c>
      <c r="J2974" s="38" t="n">
        <f aca="false">cx_rt*Sens!$J$2823</f>
        <v>50.9060281137911</v>
      </c>
      <c r="K2974" s="38" t="n">
        <f aca="false">cx_rt*Sens!$K$2823</f>
        <v>54.2035645673053</v>
      </c>
      <c r="L2974" s="38" t="n">
        <f aca="false">cx_rt*Sens!$L$2823</f>
        <v>57.7318979121519</v>
      </c>
      <c r="M2974" s="38" t="n">
        <f aca="false">cx_rt*Sens!$M$2823</f>
        <v>61.5084196557756</v>
      </c>
    </row>
    <row r="2975" customFormat="false" ht="15" hidden="false" customHeight="false" outlineLevel="0" collapsed="false">
      <c r="A2975" s="3" t="s">
        <v>738</v>
      </c>
      <c r="B2975" s="8" t="s">
        <v>73</v>
      </c>
      <c r="C2975" s="38" t="n">
        <f aca="false">Q!$D$46</f>
        <v>77.658</v>
      </c>
      <c r="D2975" s="38" t="n">
        <f aca="false">Q!$E$46</f>
        <v>128.32</v>
      </c>
      <c r="E2975" s="38" t="n">
        <f aca="false">Q!$P$46</f>
        <v>96.31</v>
      </c>
      <c r="F2975" s="38" t="n">
        <f aca="false">Sens!$F$2972+Sens!$F$2973+Sens!$F$2974</f>
        <v>133.052706496153</v>
      </c>
      <c r="G2975" s="38" t="n">
        <f aca="false">Sens!$E$2975+Sens!$F$2975</f>
        <v>229.362706496153</v>
      </c>
      <c r="H2975" s="38" t="n">
        <f aca="false">Sens!$H$2972+Sens!$H$2973+Sens!$H$2974</f>
        <v>278.09497598752</v>
      </c>
      <c r="I2975" s="38" t="n">
        <f aca="false">Sens!$I$2972+Sens!$I$2973+Sens!$I$2974</f>
        <v>294.742359635763</v>
      </c>
      <c r="J2975" s="38" t="n">
        <f aca="false">Sens!$J$2972+Sens!$J$2973+Sens!$J$2974</f>
        <v>309.941798949289</v>
      </c>
      <c r="K2975" s="38" t="n">
        <f aca="false">Sens!$K$2972+Sens!$K$2973+Sens!$K$2974</f>
        <v>323.882882202553</v>
      </c>
      <c r="L2975" s="38" t="n">
        <f aca="false">Sens!$L$2972+Sens!$L$2973+Sens!$L$2974</f>
        <v>370.070117193122</v>
      </c>
      <c r="M2975" s="38" t="n">
        <f aca="false">Sens!$M$2972+Sens!$M$2973+Sens!$M$2974</f>
        <v>440.606791904747</v>
      </c>
    </row>
    <row r="2976" customFormat="false" ht="17.15" hidden="false" customHeight="false" outlineLevel="0" collapsed="false">
      <c r="A2976" s="5" t="s">
        <v>523</v>
      </c>
      <c r="B2976" s="0" t="s">
        <v>73</v>
      </c>
      <c r="C2976" s="38" t="n">
        <f aca="false">Q!$D$50</f>
        <v>2.043</v>
      </c>
      <c r="D2976" s="38" t="n">
        <f aca="false">Q!$E$50</f>
        <v>1.557</v>
      </c>
      <c r="E2976" s="38" t="n">
        <f aca="false">lease_pr/2</f>
        <v>0.8</v>
      </c>
      <c r="F2976" s="38" t="n">
        <f aca="false">lease_pr/2</f>
        <v>0.8</v>
      </c>
      <c r="G2976" s="38" t="n">
        <f aca="false">Sens!$E$2976+Sens!$F$2976</f>
        <v>1.6</v>
      </c>
      <c r="H2976" s="38" t="n">
        <f aca="false">lease_pr</f>
        <v>1.6</v>
      </c>
      <c r="I2976" s="38" t="n">
        <f aca="false">lease_pr</f>
        <v>1.6</v>
      </c>
      <c r="J2976" s="38" t="n">
        <f aca="false">lease_pr</f>
        <v>1.6</v>
      </c>
      <c r="K2976" s="38" t="n">
        <f aca="false">lease_pr</f>
        <v>1.6</v>
      </c>
      <c r="L2976" s="38" t="n">
        <f aca="false">lease_pr</f>
        <v>1.6</v>
      </c>
      <c r="M2976" s="38" t="n">
        <f aca="false">lease_pr</f>
        <v>1.6</v>
      </c>
      <c r="P2976" s="8" t="s">
        <v>739</v>
      </c>
    </row>
    <row r="2977" customFormat="false" ht="15" hidden="false" customHeight="false" outlineLevel="0" collapsed="false">
      <c r="A2977" s="46" t="s">
        <v>740</v>
      </c>
      <c r="B2977" s="13" t="s">
        <v>73</v>
      </c>
      <c r="C2977" s="47" t="n">
        <f aca="false">Sens!$C$2971-Sens!$C$2975-Sens!$C$2976</f>
        <v>36.176</v>
      </c>
      <c r="D2977" s="47" t="n">
        <f aca="false">Sens!$D$2971-Sens!$D$2975-Sens!$D$2976</f>
        <v>9.63700000000002</v>
      </c>
      <c r="E2977" s="47" t="n">
        <f aca="false">Sens!$E$2971-Sens!$E$2975-Sens!$E$2976</f>
        <v>-25.691</v>
      </c>
      <c r="F2977" s="47" t="n">
        <f aca="false">Sens!$F$2971-Sens!$F$2975-Sens!$F$2976</f>
        <v>-35.7358850873731</v>
      </c>
      <c r="G2977" s="47" t="n">
        <f aca="false">Sens!$G$2971-Sens!$G$2975-Sens!$G$2976</f>
        <v>-61.4268850873731</v>
      </c>
      <c r="H2977" s="47" t="n">
        <f aca="false">Sens!$H$2971-Sens!$H$2975-Sens!$H$2976</f>
        <v>-46.3600683307489</v>
      </c>
      <c r="I2977" s="47" t="n">
        <f aca="false">Sens!$I$2971-Sens!$I$2975-Sens!$I$2976</f>
        <v>-2.74132239997167</v>
      </c>
      <c r="J2977" s="47" t="n">
        <f aca="false">Sens!$J$2971-Sens!$J$2975-Sens!$J$2976</f>
        <v>42.6473275211269</v>
      </c>
      <c r="K2977" s="47" t="n">
        <f aca="false">Sens!$K$2971-Sens!$K$2975-Sens!$K$2976</f>
        <v>87.6232091352941</v>
      </c>
      <c r="L2977" s="47" t="n">
        <f aca="false">Sens!$L$2971-Sens!$L$2975-Sens!$L$2976</f>
        <v>102.650722231683</v>
      </c>
      <c r="M2977" s="47" t="n">
        <f aca="false">Sens!$M$2971-Sens!$M$2975-Sens!$M$2976</f>
        <v>96.5945535466316</v>
      </c>
      <c r="N2977" s="13"/>
      <c r="O2977" s="13"/>
    </row>
    <row r="2978" customFormat="false" ht="17.15" hidden="false" customHeight="false" outlineLevel="0" collapsed="false">
      <c r="A2978" s="5" t="s">
        <v>741</v>
      </c>
      <c r="B2978" s="0" t="s">
        <v>73</v>
      </c>
      <c r="C2978" s="38" t="n">
        <f aca="false">dps*Sens!$C$2959</f>
        <v>0</v>
      </c>
      <c r="D2978" s="38" t="n">
        <f aca="false">dps*Sens!$D$2959</f>
        <v>0</v>
      </c>
      <c r="E2978" s="38" t="n">
        <f aca="false">dps*Sens!$E$2959</f>
        <v>0</v>
      </c>
      <c r="F2978" s="38" t="n">
        <f aca="false">0</f>
        <v>0</v>
      </c>
      <c r="G2978" s="38" t="n">
        <f aca="false">dps*Sens!$G$2959</f>
        <v>0</v>
      </c>
      <c r="H2978" s="38" t="n">
        <f aca="false">dps*Sens!$H$2959</f>
        <v>0</v>
      </c>
      <c r="I2978" s="38" t="n">
        <f aca="false">dps*Sens!$I$2959</f>
        <v>0</v>
      </c>
      <c r="J2978" s="38" t="n">
        <f aca="false">dps*Sens!$J$2959</f>
        <v>0</v>
      </c>
      <c r="K2978" s="38" t="n">
        <f aca="false">dps*Sens!$K$2959</f>
        <v>0</v>
      </c>
      <c r="L2978" s="38" t="n">
        <f aca="false">dps*Sens!$L$2959</f>
        <v>0</v>
      </c>
      <c r="M2978" s="38" t="n">
        <f aca="false">dps*Sens!$M$2959</f>
        <v>0</v>
      </c>
      <c r="P2978" s="8" t="s">
        <v>742</v>
      </c>
    </row>
    <row r="2979" customFormat="false" ht="17.15" hidden="false" customHeight="false" outlineLevel="0" collapsed="false">
      <c r="A2979" s="5" t="s">
        <v>743</v>
      </c>
      <c r="B2979" s="0" t="s">
        <v>73</v>
      </c>
      <c r="C2979" s="38" t="n">
        <f aca="false">0</f>
        <v>0</v>
      </c>
      <c r="D2979" s="38" t="n">
        <f aca="false">0</f>
        <v>0</v>
      </c>
      <c r="E2979" s="38" t="n">
        <f aca="false">0</f>
        <v>0</v>
      </c>
      <c r="F2979" s="38" t="n">
        <f aca="false">0</f>
        <v>0</v>
      </c>
      <c r="G2979" s="38" t="n">
        <f aca="false">0</f>
        <v>0</v>
      </c>
      <c r="H2979" s="38" t="n">
        <f aca="false">0</f>
        <v>0</v>
      </c>
      <c r="I2979" s="38" t="n">
        <f aca="false">0</f>
        <v>0</v>
      </c>
      <c r="J2979" s="38" t="n">
        <f aca="false">0</f>
        <v>0</v>
      </c>
      <c r="K2979" s="38" t="n">
        <f aca="false">0</f>
        <v>0</v>
      </c>
      <c r="L2979" s="38" t="n">
        <f aca="false">0</f>
        <v>0</v>
      </c>
      <c r="M2979" s="38" t="n">
        <f aca="false">0</f>
        <v>0</v>
      </c>
      <c r="P2979" s="8" t="s">
        <v>744</v>
      </c>
    </row>
    <row r="2980" customFormat="false" ht="15" hidden="false" customHeight="false" outlineLevel="0" collapsed="false">
      <c r="A2980" s="3" t="s">
        <v>745</v>
      </c>
      <c r="B2980" s="8" t="s">
        <v>73</v>
      </c>
      <c r="C2980" s="38" t="n">
        <f aca="false">Sens!$C$2977-Sens!$C$2978</f>
        <v>36.176</v>
      </c>
      <c r="D2980" s="38" t="n">
        <f aca="false">Sens!$D$2977-Sens!$D$2978</f>
        <v>9.63700000000002</v>
      </c>
      <c r="E2980" s="38" t="n">
        <f aca="false">Sens!$E$2977-Sens!$E$2978</f>
        <v>-25.691</v>
      </c>
      <c r="F2980" s="38" t="n">
        <f aca="false">Sens!$F$2977-Sens!$F$2978</f>
        <v>-35.7358850873731</v>
      </c>
      <c r="G2980" s="38" t="n">
        <f aca="false">Sens!$G$2977-Sens!$G$2978</f>
        <v>-61.4268850873731</v>
      </c>
      <c r="H2980" s="38" t="n">
        <f aca="false">Sens!$H$2977-Sens!$H$2978</f>
        <v>-46.3600683307489</v>
      </c>
      <c r="I2980" s="38" t="n">
        <f aca="false">Sens!$I$2977-Sens!$I$2978</f>
        <v>-2.74132239997167</v>
      </c>
      <c r="J2980" s="38" t="n">
        <f aca="false">Sens!$J$2977-Sens!$J$2978</f>
        <v>42.6473275211269</v>
      </c>
      <c r="K2980" s="38" t="n">
        <f aca="false">Sens!$K$2977-Sens!$K$2978</f>
        <v>87.6232091352941</v>
      </c>
      <c r="L2980" s="38" t="n">
        <f aca="false">Sens!$L$2977-Sens!$L$2978</f>
        <v>102.650722231683</v>
      </c>
      <c r="M2980" s="38" t="n">
        <f aca="false">Sens!$M$2977-Sens!$M$2978</f>
        <v>96.5945535466316</v>
      </c>
    </row>
    <row r="2981" customFormat="false" ht="17.15" hidden="false" customHeight="false" outlineLevel="0" collapsed="false">
      <c r="A2981" s="5" t="s">
        <v>746</v>
      </c>
      <c r="B2981" s="0" t="s">
        <v>73</v>
      </c>
      <c r="E2981" s="38" t="n">
        <f aca="false">Q!$P$53</f>
        <v>39.767</v>
      </c>
      <c r="F2981" s="38" t="n">
        <f aca="false">inv_2h26</f>
        <v>21.3</v>
      </c>
      <c r="G2981" s="38" t="n">
        <f aca="false">Sens!$E$2981+Sens!$F$2981</f>
        <v>61.067</v>
      </c>
      <c r="H2981" s="41" t="n">
        <v>0</v>
      </c>
      <c r="I2981" s="41" t="n">
        <v>0</v>
      </c>
      <c r="J2981" s="41" t="n">
        <v>0</v>
      </c>
      <c r="K2981" s="41" t="n">
        <v>0</v>
      </c>
      <c r="L2981" s="41" t="n">
        <v>0</v>
      </c>
      <c r="M2981" s="41" t="n">
        <v>0</v>
      </c>
    </row>
    <row r="2982" customFormat="false" ht="17.15" hidden="false" customHeight="false" outlineLevel="0" collapsed="false">
      <c r="A2982" s="5" t="s">
        <v>747</v>
      </c>
      <c r="B2982" s="0" t="s">
        <v>73</v>
      </c>
      <c r="F2982" s="38" t="n">
        <f aca="false">iss_2h26</f>
        <v>29.25</v>
      </c>
      <c r="G2982" s="38" t="n">
        <f aca="false">Sens!$F$2982</f>
        <v>29.25</v>
      </c>
      <c r="H2982" s="41" t="n">
        <v>0</v>
      </c>
      <c r="I2982" s="41" t="n">
        <v>0</v>
      </c>
      <c r="J2982" s="41" t="n">
        <v>0</v>
      </c>
      <c r="K2982" s="41" t="n">
        <v>0</v>
      </c>
      <c r="L2982" s="41" t="n">
        <v>0</v>
      </c>
      <c r="M2982" s="41" t="n">
        <v>0</v>
      </c>
    </row>
    <row r="2983" customFormat="false" ht="17.15" hidden="false" customHeight="false" outlineLevel="0" collapsed="false">
      <c r="A2983" s="5" t="s">
        <v>748</v>
      </c>
      <c r="B2983" s="0" t="s">
        <v>73</v>
      </c>
      <c r="F2983" s="38" t="n">
        <f aca="false">cash_q2</f>
        <v>122.988</v>
      </c>
      <c r="G2983" s="38" t="n">
        <f aca="false">cash_q2</f>
        <v>122.988</v>
      </c>
      <c r="H2983" s="38" t="n">
        <f aca="false">Sens!$G$2986</f>
        <v>95.2021149126269</v>
      </c>
      <c r="I2983" s="38" t="n">
        <f aca="false">Sens!$H$2986</f>
        <v>50</v>
      </c>
      <c r="J2983" s="38" t="n">
        <f aca="false">Sens!$I$2986</f>
        <v>50</v>
      </c>
      <c r="K2983" s="38" t="n">
        <f aca="false">Sens!$J$2986</f>
        <v>92.6473275211269</v>
      </c>
      <c r="L2983" s="38" t="n">
        <f aca="false">Sens!$K$2986</f>
        <v>180.270536656421</v>
      </c>
      <c r="M2983" s="38" t="n">
        <f aca="false">Sens!$L$2986</f>
        <v>282.921258888104</v>
      </c>
    </row>
    <row r="2984" customFormat="false" ht="15" hidden="false" customHeight="false" outlineLevel="0" collapsed="false">
      <c r="A2984" s="5" t="s">
        <v>749</v>
      </c>
      <c r="B2984" s="0" t="s">
        <v>73</v>
      </c>
      <c r="F2984" s="38" t="n">
        <f aca="false">Sens!$F$2983+Sens!$F$2980-Sens!$F$2979-Sens!$F$2981+Sens!$F$2982</f>
        <v>95.2021149126269</v>
      </c>
      <c r="H2984" s="38" t="n">
        <f aca="false">Sens!$H$2983+Sens!$H$2980-Sens!$H$2979-Sens!$H$2981+Sens!$H$2982</f>
        <v>48.842046581878</v>
      </c>
      <c r="I2984" s="38" t="n">
        <f aca="false">Sens!$I$2983+Sens!$I$2980-Sens!$I$2979-Sens!$I$2981+Sens!$I$2982</f>
        <v>47.2586776000283</v>
      </c>
      <c r="J2984" s="38" t="n">
        <f aca="false">Sens!$J$2983+Sens!$J$2980-Sens!$J$2979-Sens!$J$2981+Sens!$J$2982</f>
        <v>92.6473275211269</v>
      </c>
      <c r="K2984" s="38" t="n">
        <f aca="false">Sens!$K$2983+Sens!$K$2980-Sens!$K$2979-Sens!$K$2981+Sens!$K$2982</f>
        <v>180.270536656421</v>
      </c>
      <c r="L2984" s="38" t="n">
        <f aca="false">Sens!$L$2983+Sens!$L$2980-Sens!$L$2979-Sens!$L$2981+Sens!$L$2982</f>
        <v>282.921258888104</v>
      </c>
      <c r="M2984" s="38" t="n">
        <f aca="false">Sens!$M$2983+Sens!$M$2980-Sens!$M$2979-Sens!$M$2981+Sens!$M$2982</f>
        <v>379.515812434736</v>
      </c>
    </row>
    <row r="2985" customFormat="false" ht="17.15" hidden="false" customHeight="false" outlineLevel="0" collapsed="false">
      <c r="A2985" s="5" t="s">
        <v>750</v>
      </c>
      <c r="B2985" s="0" t="s">
        <v>73</v>
      </c>
      <c r="F2985" s="38" t="n">
        <f aca="false">MAX(0,min_cash-Sens!$F$2984)</f>
        <v>0</v>
      </c>
      <c r="G2985" s="38" t="n">
        <f aca="false">Sens!$F$2985</f>
        <v>0</v>
      </c>
      <c r="H2985" s="38" t="n">
        <f aca="false">MAX(0,min_cash-Sens!$H$2984)</f>
        <v>1.15795341812203</v>
      </c>
      <c r="I2985" s="38" t="n">
        <f aca="false">MAX(0,min_cash-Sens!$I$2984)</f>
        <v>2.74132239997167</v>
      </c>
      <c r="J2985" s="38" t="n">
        <f aca="false">MAX(0,min_cash-Sens!$J$2984)</f>
        <v>0</v>
      </c>
      <c r="K2985" s="38" t="n">
        <f aca="false">MAX(0,min_cash-Sens!$K$2984)</f>
        <v>0</v>
      </c>
      <c r="L2985" s="38" t="n">
        <f aca="false">MAX(0,min_cash-Sens!$L$2984)</f>
        <v>0</v>
      </c>
      <c r="M2985" s="38" t="n">
        <f aca="false">MAX(0,min_cash-Sens!$M$2984)</f>
        <v>0</v>
      </c>
      <c r="P2985" s="5" t="s">
        <v>751</v>
      </c>
    </row>
    <row r="2986" customFormat="false" ht="15" hidden="false" customHeight="false" outlineLevel="0" collapsed="false">
      <c r="A2986" s="5" t="s">
        <v>752</v>
      </c>
      <c r="B2986" s="0" t="s">
        <v>73</v>
      </c>
      <c r="D2986" s="38" t="n">
        <f aca="false">Q!$E$61</f>
        <v>123.029</v>
      </c>
      <c r="E2986" s="38" t="n">
        <f aca="false">Q!$M$61</f>
        <v>122.988</v>
      </c>
      <c r="F2986" s="38" t="n">
        <f aca="false">Sens!$F$2984+Sens!$F$2985</f>
        <v>95.2021149126269</v>
      </c>
      <c r="G2986" s="38" t="n">
        <f aca="false">Sens!$F$2986</f>
        <v>95.2021149126269</v>
      </c>
      <c r="H2986" s="38" t="n">
        <f aca="false">Sens!$H$2984+Sens!$H$2985</f>
        <v>50</v>
      </c>
      <c r="I2986" s="38" t="n">
        <f aca="false">Sens!$I$2984+Sens!$I$2985</f>
        <v>50</v>
      </c>
      <c r="J2986" s="38" t="n">
        <f aca="false">Sens!$J$2984+Sens!$J$2985</f>
        <v>92.6473275211269</v>
      </c>
      <c r="K2986" s="38" t="n">
        <f aca="false">Sens!$K$2984+Sens!$K$2985</f>
        <v>180.270536656421</v>
      </c>
      <c r="L2986" s="38" t="n">
        <f aca="false">Sens!$L$2984+Sens!$L$2985</f>
        <v>282.921258888104</v>
      </c>
      <c r="M2986" s="38" t="n">
        <f aca="false">Sens!$M$2984+Sens!$M$2985</f>
        <v>379.515812434736</v>
      </c>
    </row>
    <row r="2987" customFormat="false" ht="15" hidden="false" customHeight="false" outlineLevel="0" collapsed="false">
      <c r="A2987" s="5" t="s">
        <v>753</v>
      </c>
      <c r="B2987" s="0" t="s">
        <v>73</v>
      </c>
      <c r="D2987" s="38" t="n">
        <f aca="false">Q!$E$62</f>
        <v>68.836</v>
      </c>
      <c r="E2987" s="38" t="n">
        <f aca="false">Q!$M$62</f>
        <v>132.995</v>
      </c>
      <c r="F2987" s="38" t="n">
        <f aca="false">debt_q2+Sens!$F$2982+Sens!$F$2985</f>
        <v>162.245</v>
      </c>
      <c r="G2987" s="38" t="n">
        <f aca="false">Sens!$F$2987</f>
        <v>162.245</v>
      </c>
      <c r="H2987" s="38" t="n">
        <f aca="false">Sens!$G$2987+Sens!$H$2985</f>
        <v>163.402953418122</v>
      </c>
      <c r="I2987" s="38" t="n">
        <f aca="false">Sens!$H$2987+Sens!$I$2985</f>
        <v>166.144275818094</v>
      </c>
      <c r="J2987" s="38" t="n">
        <f aca="false">Sens!$I$2987+Sens!$J$2985</f>
        <v>166.144275818094</v>
      </c>
      <c r="K2987" s="38" t="n">
        <f aca="false">Sens!$J$2987+Sens!$K$2985</f>
        <v>166.144275818094</v>
      </c>
      <c r="L2987" s="38" t="n">
        <f aca="false">Sens!$K$2987+Sens!$L$2985</f>
        <v>166.144275818094</v>
      </c>
      <c r="M2987" s="38" t="n">
        <f aca="false">Sens!$L$2987+Sens!$M$2985</f>
        <v>166.144275818094</v>
      </c>
    </row>
    <row r="2988" customFormat="false" ht="15" hidden="false" customHeight="false" outlineLevel="0" collapsed="false">
      <c r="A2988" s="5" t="s">
        <v>754</v>
      </c>
      <c r="B2988" s="0" t="s">
        <v>73</v>
      </c>
      <c r="D2988" s="38" t="n">
        <f aca="false">Sens!$D$2987-Sens!$D$2986</f>
        <v>-54.193</v>
      </c>
      <c r="E2988" s="38" t="n">
        <f aca="false">Sens!$E$2987-Sens!$E$2986</f>
        <v>10.007</v>
      </c>
      <c r="F2988" s="38" t="n">
        <f aca="false">Sens!$F$2987-Sens!$F$2986</f>
        <v>67.0428850873731</v>
      </c>
      <c r="G2988" s="38" t="n">
        <f aca="false">Sens!$G$2987-Sens!$G$2986</f>
        <v>67.0428850873731</v>
      </c>
      <c r="H2988" s="38" t="n">
        <f aca="false">Sens!$H$2987-Sens!$H$2986</f>
        <v>113.402953418122</v>
      </c>
      <c r="I2988" s="38" t="n">
        <f aca="false">Sens!$I$2987-Sens!$I$2986</f>
        <v>116.144275818094</v>
      </c>
      <c r="J2988" s="38" t="n">
        <f aca="false">Sens!$J$2987-Sens!$J$2986</f>
        <v>73.4969482969668</v>
      </c>
      <c r="K2988" s="38" t="n">
        <f aca="false">Sens!$K$2987-Sens!$K$2986</f>
        <v>-14.1262608383273</v>
      </c>
      <c r="L2988" s="38" t="n">
        <f aca="false">Sens!$L$2987-Sens!$L$2986</f>
        <v>-116.776983070011</v>
      </c>
      <c r="M2988" s="38" t="n">
        <f aca="false">Sens!$M$2987-Sens!$M$2986</f>
        <v>-213.371536616642</v>
      </c>
    </row>
    <row r="2989" customFormat="false" ht="17.15" hidden="false" customHeight="false" outlineLevel="0" collapsed="false">
      <c r="A2989" s="5" t="s">
        <v>755</v>
      </c>
      <c r="B2989" s="0" t="s">
        <v>73</v>
      </c>
      <c r="F2989" s="38" t="n">
        <f aca="false">debt_q2*kd_book*0.5+iss_2h26*kd_new*0.25</f>
        <v>3.24888964316061</v>
      </c>
      <c r="H2989" s="38" t="n">
        <f aca="false">debt_q2*kd_book+(Sens!$G$2987-debt_q2)*kd_new</f>
        <v>7.42354178632123</v>
      </c>
      <c r="I2989" s="38" t="n">
        <f aca="false">debt_q2*kd_book+(Sens!$H$2987-debt_q2)*kd_new</f>
        <v>7.49684023768835</v>
      </c>
      <c r="J2989" s="38" t="n">
        <f aca="false">debt_q2*kd_book+(Sens!$I$2987-debt_q2)*kd_new</f>
        <v>7.67036594560656</v>
      </c>
      <c r="K2989" s="38" t="n">
        <f aca="false">debt_q2*kd_book+(Sens!$J$2987-debt_q2)*kd_new</f>
        <v>7.67036594560656</v>
      </c>
      <c r="L2989" s="38" t="n">
        <f aca="false">debt_q2*kd_book+(Sens!$K$2987-debt_q2)*kd_new</f>
        <v>7.67036594560656</v>
      </c>
      <c r="M2989" s="38" t="n">
        <f aca="false">debt_q2*kd_book+(Sens!$L$2987-debt_q2)*kd_new</f>
        <v>7.67036594560656</v>
      </c>
    </row>
    <row r="2990" customFormat="false" ht="17.15" hidden="false" customHeight="false" outlineLevel="0" collapsed="false">
      <c r="A2990" s="5" t="s">
        <v>756</v>
      </c>
      <c r="B2990" s="0" t="s">
        <v>73</v>
      </c>
      <c r="F2990" s="38" t="n">
        <f aca="false">cash_q2*y_cash*0.5</f>
        <v>2.59</v>
      </c>
      <c r="H2990" s="38" t="n">
        <f aca="false">Sens!$G$2986*y_cash</f>
        <v>4.00971603121774</v>
      </c>
      <c r="I2990" s="38" t="n">
        <f aca="false">Sens!$H$2986*y_cash</f>
        <v>2.10589651022864</v>
      </c>
      <c r="J2990" s="38" t="n">
        <f aca="false">Sens!$I$2986*y_cash</f>
        <v>2.10589651022864</v>
      </c>
      <c r="K2990" s="38" t="n">
        <f aca="false">Sens!$J$2986*y_cash</f>
        <v>3.90211367417502</v>
      </c>
      <c r="L2990" s="38" t="n">
        <f aca="false">Sens!$K$2986*y_cash</f>
        <v>7.59262188083602</v>
      </c>
      <c r="M2990" s="38" t="n">
        <f aca="false">Sens!$L$2986*y_cash</f>
        <v>11.916057835239</v>
      </c>
    </row>
    <row r="2991" customFormat="false" ht="17.15" hidden="false" customHeight="false" outlineLevel="0" collapsed="false">
      <c r="A2991" s="46" t="s">
        <v>757</v>
      </c>
      <c r="B2991" s="13" t="s">
        <v>73</v>
      </c>
      <c r="C2991" s="13"/>
      <c r="D2991" s="13"/>
      <c r="E2991" s="13"/>
      <c r="F2991" s="13"/>
      <c r="G2991" s="47" t="n">
        <f aca="false">SUM(Sens!$G$2980:$K$2980)</f>
        <v>19.7422608383272</v>
      </c>
      <c r="H2991" s="13"/>
      <c r="I2991" s="13"/>
      <c r="J2991" s="13"/>
      <c r="K2991" s="13"/>
      <c r="L2991" s="13"/>
      <c r="M2991" s="13"/>
      <c r="N2991" s="13"/>
      <c r="O2991" s="13"/>
    </row>
    <row r="2992" customFormat="false" ht="17.15" hidden="false" customHeight="false" outlineLevel="0" collapsed="false">
      <c r="A2992" s="0" t="s">
        <v>724</v>
      </c>
      <c r="B2992" s="0" t="s">
        <v>73</v>
      </c>
      <c r="G2992" s="38" t="n">
        <f aca="false">SUM(Sens!$G$2985:$K$2985)</f>
        <v>3.8992758180937</v>
      </c>
    </row>
    <row r="2995" customFormat="false" ht="19.4" hidden="false" customHeight="false" outlineLevel="0" collapsed="false">
      <c r="A2995" s="31" t="s">
        <v>1109</v>
      </c>
    </row>
    <row r="2996" customFormat="false" ht="17.15" hidden="false" customHeight="false" outlineLevel="0" collapsed="false">
      <c r="A2996" s="6" t="s">
        <v>16</v>
      </c>
      <c r="B2996" s="6" t="s">
        <v>17</v>
      </c>
      <c r="C2996" s="20" t="s">
        <v>457</v>
      </c>
      <c r="D2996" s="20" t="s">
        <v>458</v>
      </c>
      <c r="E2996" s="20" t="s">
        <v>540</v>
      </c>
      <c r="F2996" s="20" t="s">
        <v>541</v>
      </c>
      <c r="G2996" s="20" t="s">
        <v>542</v>
      </c>
      <c r="H2996" s="20" t="s">
        <v>543</v>
      </c>
      <c r="I2996" s="20" t="s">
        <v>544</v>
      </c>
      <c r="J2996" s="20" t="s">
        <v>545</v>
      </c>
      <c r="K2996" s="20" t="s">
        <v>546</v>
      </c>
      <c r="L2996" s="20" t="s">
        <v>547</v>
      </c>
      <c r="M2996" s="20" t="s">
        <v>548</v>
      </c>
      <c r="N2996" s="20" t="s">
        <v>549</v>
      </c>
      <c r="O2996" s="20" t="s">
        <v>550</v>
      </c>
      <c r="P2996" s="6" t="s">
        <v>23</v>
      </c>
      <c r="R2996" s="20" t="n">
        <v>2023</v>
      </c>
      <c r="S2996" s="20" t="n">
        <v>2024</v>
      </c>
      <c r="T2996" s="20" t="n">
        <v>2025</v>
      </c>
      <c r="U2996" s="20" t="n">
        <v>2026</v>
      </c>
      <c r="V2996" s="20" t="n">
        <v>2027</v>
      </c>
      <c r="W2996" s="20" t="n">
        <v>2028</v>
      </c>
      <c r="X2996" s="20" t="n">
        <v>2029</v>
      </c>
      <c r="Y2996" s="20" t="n">
        <v>2030</v>
      </c>
      <c r="Z2996" s="20" t="n">
        <v>2031</v>
      </c>
      <c r="AA2996" s="20" t="n">
        <v>2032</v>
      </c>
    </row>
    <row r="2997" customFormat="false" ht="17.15" hidden="false" customHeight="false" outlineLevel="0" collapsed="false">
      <c r="A2997" s="1" t="s">
        <v>852</v>
      </c>
    </row>
    <row r="2998" customFormat="false" ht="17.15" hidden="false" customHeight="false" outlineLevel="0" collapsed="false">
      <c r="A2998" s="0" t="s">
        <v>853</v>
      </c>
      <c r="B2998" s="0" t="s">
        <v>73</v>
      </c>
      <c r="H2998" s="38" t="n">
        <f aca="false">Sens!$H$2934*(1-tax)</f>
        <v>112.442163297243</v>
      </c>
      <c r="I2998" s="38" t="n">
        <f aca="false">Sens!$I$2934*(1-tax)</f>
        <v>134.030262298069</v>
      </c>
      <c r="J2998" s="38" t="n">
        <f aca="false">Sens!$J$2934*(1-tax)</f>
        <v>154.081953626501</v>
      </c>
      <c r="K2998" s="38" t="n">
        <f aca="false">Sens!$K$2934*(1-tax)</f>
        <v>171.452629036835</v>
      </c>
      <c r="L2998" s="38" t="n">
        <f aca="false">Sens!$L$2934*(1-tax)</f>
        <v>190.733071661477</v>
      </c>
      <c r="M2998" s="38" t="n">
        <f aca="false">Sens!$M$2934*(1-tax)</f>
        <v>211.112820983856</v>
      </c>
    </row>
    <row r="2999" customFormat="false" ht="15" hidden="false" customHeight="false" outlineLevel="0" collapsed="false">
      <c r="A2999" s="5" t="s">
        <v>854</v>
      </c>
      <c r="B2999" s="0" t="s">
        <v>73</v>
      </c>
      <c r="H2999" s="38" t="n">
        <f aca="false">Sens!$H$2946</f>
        <v>87.8583047245268</v>
      </c>
      <c r="I2999" s="38" t="n">
        <f aca="false">Sens!$I$2946</f>
        <v>122.919163408348</v>
      </c>
      <c r="J2999" s="38" t="n">
        <f aca="false">Sens!$J$2946</f>
        <v>158.581345896564</v>
      </c>
      <c r="K2999" s="38" t="n">
        <f aca="false">Sens!$K$2946</f>
        <v>194.053455311083</v>
      </c>
      <c r="L2999" s="38" t="n">
        <f aca="false">Sens!$L$2946</f>
        <v>228.09329529422</v>
      </c>
      <c r="M2999" s="38" t="n">
        <f aca="false">Sens!$M$2946</f>
        <v>263.499261644561</v>
      </c>
    </row>
    <row r="3000" customFormat="false" ht="15" hidden="false" customHeight="false" outlineLevel="0" collapsed="false">
      <c r="A3000" s="5" t="s">
        <v>855</v>
      </c>
      <c r="B3000" s="0" t="s">
        <v>73</v>
      </c>
      <c r="H3000" s="38" t="n">
        <f aca="false">Sens!$H$2975</f>
        <v>278.09497598752</v>
      </c>
      <c r="I3000" s="38" t="n">
        <f aca="false">Sens!$I$2975</f>
        <v>294.742359635763</v>
      </c>
      <c r="J3000" s="38" t="n">
        <f aca="false">Sens!$J$2975</f>
        <v>309.941798949289</v>
      </c>
      <c r="K3000" s="38" t="n">
        <f aca="false">Sens!$K$2975</f>
        <v>323.882882202553</v>
      </c>
      <c r="L3000" s="38" t="n">
        <f aca="false">Sens!$L$2975</f>
        <v>370.070117193122</v>
      </c>
      <c r="M3000" s="38" t="n">
        <f aca="false">Sens!$M$2975</f>
        <v>440.606791904747</v>
      </c>
    </row>
    <row r="3001" customFormat="false" ht="15" hidden="false" customHeight="false" outlineLevel="0" collapsed="false">
      <c r="A3001" s="5" t="s">
        <v>856</v>
      </c>
      <c r="B3001" s="0" t="s">
        <v>73</v>
      </c>
      <c r="H3001" s="38" t="n">
        <f aca="false">Sens!$H$2976</f>
        <v>1.6</v>
      </c>
      <c r="I3001" s="38" t="n">
        <f aca="false">Sens!$I$2976</f>
        <v>1.6</v>
      </c>
      <c r="J3001" s="38" t="n">
        <f aca="false">Sens!$J$2976</f>
        <v>1.6</v>
      </c>
      <c r="K3001" s="38" t="n">
        <f aca="false">Sens!$K$2976</f>
        <v>1.6</v>
      </c>
      <c r="L3001" s="38" t="n">
        <f aca="false">Sens!$L$2976</f>
        <v>1.6</v>
      </c>
      <c r="M3001" s="38" t="n">
        <f aca="false">Sens!$M$2976</f>
        <v>1.6</v>
      </c>
    </row>
    <row r="3002" customFormat="false" ht="15" hidden="false" customHeight="false" outlineLevel="0" collapsed="false">
      <c r="A3002" s="5" t="s">
        <v>857</v>
      </c>
      <c r="B3002" s="0" t="s">
        <v>73</v>
      </c>
      <c r="H3002" s="38" t="n">
        <f aca="false">Sens!$H$2970</f>
        <v>11.6504447480027</v>
      </c>
      <c r="I3002" s="38" t="n">
        <f aca="false">Sens!$I$2970</f>
        <v>13.3566617155574</v>
      </c>
      <c r="J3002" s="38" t="n">
        <f aca="false">Sens!$J$2970</f>
        <v>14.9870172073462</v>
      </c>
      <c r="K3002" s="38" t="n">
        <f aca="false">Sens!$K$2970</f>
        <v>16.4783493856146</v>
      </c>
      <c r="L3002" s="38" t="n">
        <f aca="false">Sens!$L$2970</f>
        <v>18.0524772793601</v>
      </c>
      <c r="M3002" s="38" t="n">
        <f aca="false">Sens!$M$2970</f>
        <v>19.7166953433451</v>
      </c>
    </row>
    <row r="3003" customFormat="false" ht="17.15" hidden="false" customHeight="false" outlineLevel="0" collapsed="false">
      <c r="A3003" s="1" t="s">
        <v>858</v>
      </c>
      <c r="B3003" s="8" t="s">
        <v>73</v>
      </c>
      <c r="H3003" s="38" t="n">
        <f aca="false">Sens!$H$2998+Sens!$H$2999-Sens!$H$3000-Sens!$H$3001+Sens!$H$3002</f>
        <v>-67.7440632177474</v>
      </c>
      <c r="I3003" s="38" t="n">
        <f aca="false">Sens!$I$2998+Sens!$I$2999-Sens!$I$3000-Sens!$I$3001+Sens!$I$3002</f>
        <v>-26.0362722137884</v>
      </c>
      <c r="J3003" s="38" t="n">
        <f aca="false">Sens!$J$2998+Sens!$J$2999-Sens!$J$3000-Sens!$J$3001+Sens!$J$3002</f>
        <v>16.1085177811218</v>
      </c>
      <c r="K3003" s="38" t="n">
        <f aca="false">Sens!$K$2998+Sens!$K$2999-Sens!$K$3000-Sens!$K$3001+Sens!$K$3002</f>
        <v>56.5015515309791</v>
      </c>
      <c r="L3003" s="38" t="n">
        <f aca="false">Sens!$L$2998+Sens!$L$2999-Sens!$L$3000-Sens!$L$3001+Sens!$L$3002</f>
        <v>65.208727041935</v>
      </c>
      <c r="M3003" s="38" t="n">
        <f aca="false">Sens!$M$2998+Sens!$M$2999-Sens!$M$3000-Sens!$M$3001+Sens!$M$3002</f>
        <v>52.121986067015</v>
      </c>
    </row>
    <row r="3004" customFormat="false" ht="15" hidden="false" customHeight="false" outlineLevel="0" collapsed="false">
      <c r="A3004" s="5" t="s">
        <v>859</v>
      </c>
      <c r="B3004" s="0" t="s">
        <v>57</v>
      </c>
      <c r="H3004" s="51" t="n">
        <f aca="false">1/(1+wacc)^(2027-2026-0.5)</f>
        <v>0.942858177653364</v>
      </c>
      <c r="I3004" s="51" t="n">
        <f aca="false">1/(1+wacc)^(2028-2026-0.5)</f>
        <v>0.838183517758688</v>
      </c>
      <c r="J3004" s="51" t="n">
        <f aca="false">1/(1+wacc)^(2029-2026-0.5)</f>
        <v>0.745129677074952</v>
      </c>
      <c r="K3004" s="51" t="n">
        <f aca="false">1/(1+wacc)^(2030-2026-0.5)</f>
        <v>0.662406530186232</v>
      </c>
      <c r="L3004" s="51" t="n">
        <f aca="false">1/(1+wacc)^(2031-2026-0.5)</f>
        <v>0.588867179409399</v>
      </c>
      <c r="M3004" s="51" t="n">
        <f aca="false">1/(1+wacc)^(2032-2026-0.5)</f>
        <v>0.52349205387225</v>
      </c>
    </row>
    <row r="3005" customFormat="false" ht="15" hidden="false" customHeight="false" outlineLevel="0" collapsed="false">
      <c r="A3005" s="5" t="s">
        <v>860</v>
      </c>
      <c r="B3005" s="0" t="s">
        <v>73</v>
      </c>
      <c r="H3005" s="38" t="n">
        <f aca="false">Sens!$H$3003*Sens!$H$3004</f>
        <v>-63.8730439923196</v>
      </c>
      <c r="I3005" s="38" t="n">
        <f aca="false">Sens!$I$3003*Sens!$I$3004</f>
        <v>-21.823174233476</v>
      </c>
      <c r="J3005" s="38" t="n">
        <f aca="false">Sens!$J$3003*Sens!$J$3004</f>
        <v>12.0029346524034</v>
      </c>
      <c r="K3005" s="38" t="n">
        <f aca="false">Sens!$K$3003*Sens!$K$3004</f>
        <v>37.4269966997744</v>
      </c>
      <c r="L3005" s="38" t="n">
        <f aca="false">Sens!$L$3003*Sens!$L$3004</f>
        <v>38.3992791660617</v>
      </c>
      <c r="M3005" s="38" t="n">
        <f aca="false">Sens!$M$3003*Sens!$M$3004</f>
        <v>27.2854455381225</v>
      </c>
    </row>
    <row r="3006" customFormat="false" ht="15" hidden="false" customHeight="false" outlineLevel="0" collapsed="false">
      <c r="A3006" s="5" t="s">
        <v>861</v>
      </c>
      <c r="B3006" s="0" t="s">
        <v>73</v>
      </c>
      <c r="C3006" s="38" t="n">
        <f aca="false">SUM(Sens!$H$3005:$M$3005)</f>
        <v>29.4184378305665</v>
      </c>
    </row>
    <row r="3007" customFormat="false" ht="17.15" hidden="false" customHeight="false" outlineLevel="0" collapsed="false">
      <c r="A3007" s="5" t="s">
        <v>862</v>
      </c>
      <c r="B3007" s="0" t="s">
        <v>73</v>
      </c>
      <c r="C3007" s="38" t="n">
        <f aca="false">Sens!$M$2998*(1+tg)*(1-tg/ronic)/(wacc-tg)</f>
        <v>1741.20293992535</v>
      </c>
    </row>
    <row r="3008" customFormat="false" ht="15" hidden="false" customHeight="false" outlineLevel="0" collapsed="false">
      <c r="A3008" s="5" t="s">
        <v>863</v>
      </c>
      <c r="B3008" s="0" t="s">
        <v>73</v>
      </c>
      <c r="C3008" s="38" t="n">
        <f aca="false">Sens!$C$3007/(1+wacc)^6</f>
        <v>859.420794839646</v>
      </c>
    </row>
    <row r="3009" customFormat="false" ht="17.15" hidden="false" customHeight="false" outlineLevel="0" collapsed="false">
      <c r="A3009" s="5" t="s">
        <v>864</v>
      </c>
      <c r="B3009" s="0" t="s">
        <v>73</v>
      </c>
      <c r="C3009" s="38" t="n">
        <f aca="false">Sens!$C$3006+Sens!$C$3008</f>
        <v>888.839232670212</v>
      </c>
    </row>
    <row r="3010" customFormat="false" ht="17.15" hidden="false" customHeight="false" outlineLevel="0" collapsed="false">
      <c r="A3010" s="5" t="s">
        <v>865</v>
      </c>
      <c r="B3010" s="0" t="s">
        <v>52</v>
      </c>
      <c r="C3010" s="12" t="n">
        <f aca="false">Sens!$C$3008/Sens!$C$3009</f>
        <v>0.966902408501716</v>
      </c>
    </row>
    <row r="3011" customFormat="false" ht="17.15" hidden="false" customHeight="false" outlineLevel="0" collapsed="false">
      <c r="A3011" s="5" t="s">
        <v>866</v>
      </c>
      <c r="B3011" s="0" t="s">
        <v>73</v>
      </c>
      <c r="C3011" s="38" t="n">
        <f aca="false">Sens!$G$2988</f>
        <v>67.0428850873731</v>
      </c>
    </row>
    <row r="3012" customFormat="false" ht="17.15" hidden="false" customHeight="false" outlineLevel="0" collapsed="false">
      <c r="A3012" s="5" t="s">
        <v>867</v>
      </c>
      <c r="B3012" s="0" t="s">
        <v>73</v>
      </c>
      <c r="C3012" s="38" t="n">
        <f aca="false">(ant_val*ant_sh+oai_val*oai_sh)*(1-liq_disc)</f>
        <v>178.944</v>
      </c>
    </row>
    <row r="3013" customFormat="false" ht="15" hidden="false" customHeight="false" outlineLevel="0" collapsed="false">
      <c r="A3013" s="5" t="s">
        <v>868</v>
      </c>
      <c r="B3013" s="0" t="s">
        <v>73</v>
      </c>
      <c r="C3013" s="38" t="n">
        <f aca="false">Sens!$C$3009-Sens!$C$3011+Sens!$C$3012</f>
        <v>1000.74034758284</v>
      </c>
    </row>
    <row r="3014" customFormat="false" ht="17.15" hidden="false" customHeight="false" outlineLevel="0" collapsed="false">
      <c r="A3014" s="5" t="s">
        <v>869</v>
      </c>
      <c r="B3014" s="0" t="s">
        <v>27</v>
      </c>
      <c r="C3014" s="30" t="n">
        <f aca="false">Sens!$C$3013/sh_val</f>
        <v>90.7263698551863</v>
      </c>
    </row>
    <row r="3015" customFormat="false" ht="17.15" hidden="false" customHeight="false" outlineLevel="0" collapsed="false">
      <c r="A3015" s="1" t="s">
        <v>870</v>
      </c>
      <c r="B3015" s="8" t="s">
        <v>27</v>
      </c>
      <c r="C3015" s="30" t="n">
        <f aca="false">Sens!$C$3014*(1+ke)^tp_yf</f>
        <v>100.202278334911</v>
      </c>
    </row>
    <row r="3016" customFormat="false" ht="17.15" hidden="false" customHeight="false" outlineLevel="0" collapsed="false">
      <c r="A3016" s="3" t="s">
        <v>871</v>
      </c>
    </row>
    <row r="3017" customFormat="false" ht="17.15" hidden="false" customHeight="false" outlineLevel="0" collapsed="false">
      <c r="A3017" s="5" t="s">
        <v>872</v>
      </c>
      <c r="B3017" s="0" t="s">
        <v>73</v>
      </c>
      <c r="C3017" s="38" t="n">
        <f aca="false">0.25*Sens!$H$2947+0.75*Sens!$I$2947</f>
        <v>57.5541093268329</v>
      </c>
    </row>
    <row r="3018" customFormat="false" ht="15" hidden="false" customHeight="false" outlineLevel="0" collapsed="false">
      <c r="A3018" s="5" t="s">
        <v>873</v>
      </c>
      <c r="B3018" s="0" t="s">
        <v>57</v>
      </c>
      <c r="C3018" s="30" t="n">
        <f aca="false">m_ads*m_x</f>
        <v>9.11</v>
      </c>
    </row>
    <row r="3019" customFormat="false" ht="17.15" hidden="false" customHeight="false" outlineLevel="0" collapsed="false">
      <c r="A3019" s="5" t="s">
        <v>874</v>
      </c>
      <c r="B3019" s="0" t="s">
        <v>73</v>
      </c>
      <c r="C3019" s="38" t="n">
        <f aca="false">Sens!$C$3017*Sens!$C$3018</f>
        <v>524.317935967448</v>
      </c>
    </row>
    <row r="3020" customFormat="false" ht="17.15" hidden="false" customHeight="false" outlineLevel="0" collapsed="false">
      <c r="A3020" s="5" t="s">
        <v>875</v>
      </c>
      <c r="B3020" s="0" t="s">
        <v>73</v>
      </c>
      <c r="C3020" s="38" t="n">
        <f aca="false">0.25*Sens!$H$2948+0.75*Sens!$I$2948</f>
        <v>30.6290803533085</v>
      </c>
    </row>
    <row r="3021" customFormat="false" ht="15" hidden="false" customHeight="false" outlineLevel="0" collapsed="false">
      <c r="A3021" s="5" t="s">
        <v>876</v>
      </c>
      <c r="B3021" s="0" t="s">
        <v>57</v>
      </c>
      <c r="C3021" s="30" t="n">
        <f aca="false">m_retail*m_x</f>
        <v>17.72</v>
      </c>
    </row>
    <row r="3022" customFormat="false" ht="17.15" hidden="false" customHeight="false" outlineLevel="0" collapsed="false">
      <c r="A3022" s="5" t="s">
        <v>877</v>
      </c>
      <c r="B3022" s="0" t="s">
        <v>73</v>
      </c>
      <c r="C3022" s="38" t="n">
        <f aca="false">Sens!$C$3020*Sens!$C$3021</f>
        <v>542.747303860627</v>
      </c>
    </row>
    <row r="3023" customFormat="false" ht="17.15" hidden="false" customHeight="false" outlineLevel="0" collapsed="false">
      <c r="A3023" s="0" t="s">
        <v>878</v>
      </c>
      <c r="B3023" s="0" t="s">
        <v>73</v>
      </c>
      <c r="C3023" s="38" t="n">
        <f aca="false">0.25*Sens!$H$2949+0.75*Sens!$I$2949</f>
        <v>109.328008638628</v>
      </c>
    </row>
    <row r="3024" customFormat="false" ht="17.15" hidden="false" customHeight="false" outlineLevel="0" collapsed="false">
      <c r="A3024" s="0" t="s">
        <v>879</v>
      </c>
      <c r="B3024" s="0" t="s">
        <v>57</v>
      </c>
      <c r="C3024" s="30" t="n">
        <f aca="false">m_cloud*m_x</f>
        <v>13.82</v>
      </c>
    </row>
    <row r="3025" customFormat="false" ht="17.15" hidden="false" customHeight="false" outlineLevel="0" collapsed="false">
      <c r="A3025" s="0" t="s">
        <v>880</v>
      </c>
      <c r="B3025" s="0" t="s">
        <v>73</v>
      </c>
      <c r="C3025" s="38" t="n">
        <f aca="false">Sens!$C$3023*Sens!$C$3024</f>
        <v>1510.91307938584</v>
      </c>
    </row>
    <row r="3026" customFormat="false" ht="17.15" hidden="false" customHeight="false" outlineLevel="0" collapsed="false">
      <c r="A3026" s="0" t="s">
        <v>881</v>
      </c>
      <c r="B3026" s="0" t="s">
        <v>73</v>
      </c>
      <c r="C3026" s="38" t="n">
        <f aca="false">0.25*Sens!$H$2950+0.75*Sens!$I$2950</f>
        <v>72.2947701247864</v>
      </c>
    </row>
    <row r="3027" customFormat="false" ht="17.15" hidden="false" customHeight="false" outlineLevel="0" collapsed="false">
      <c r="A3027" s="0" t="s">
        <v>882</v>
      </c>
      <c r="B3027" s="0" t="s">
        <v>57</v>
      </c>
      <c r="C3027" s="30" t="n">
        <f aca="false">m_ai</f>
        <v>6</v>
      </c>
    </row>
    <row r="3028" customFormat="false" ht="17.15" hidden="false" customHeight="false" outlineLevel="0" collapsed="false">
      <c r="A3028" s="0" t="s">
        <v>883</v>
      </c>
      <c r="B3028" s="0" t="s">
        <v>73</v>
      </c>
      <c r="C3028" s="38" t="n">
        <f aca="false">Sens!$C$3026*Sens!$C$3027</f>
        <v>433.768620748718</v>
      </c>
    </row>
    <row r="3029" customFormat="false" ht="17.15" hidden="false" customHeight="false" outlineLevel="0" collapsed="false">
      <c r="A3029" s="5" t="s">
        <v>884</v>
      </c>
      <c r="B3029" s="0" t="s">
        <v>73</v>
      </c>
      <c r="C3029" s="38" t="n">
        <f aca="false">Sens!$C$3019+Sens!$C$3022+Sens!$C$3025+Sens!$C$3028</f>
        <v>3011.74693996263</v>
      </c>
    </row>
    <row r="3030" customFormat="false" ht="17.15" hidden="false" customHeight="false" outlineLevel="0" collapsed="false">
      <c r="A3030" s="5" t="s">
        <v>885</v>
      </c>
      <c r="B3030" s="0" t="s">
        <v>73</v>
      </c>
      <c r="C3030" s="38" t="n">
        <f aca="false">Sens!$H$2988</f>
        <v>113.402953418122</v>
      </c>
    </row>
    <row r="3031" customFormat="false" ht="15" hidden="false" customHeight="false" outlineLevel="0" collapsed="false">
      <c r="A3031" s="5" t="s">
        <v>886</v>
      </c>
      <c r="B3031" s="0" t="s">
        <v>73</v>
      </c>
      <c r="C3031" s="38" t="n">
        <f aca="false">Sens!$C$3029-Sens!$C$3030+Sens!$C$3012</f>
        <v>3077.28798654451</v>
      </c>
    </row>
    <row r="3032" customFormat="false" ht="15" hidden="false" customHeight="false" outlineLevel="0" collapsed="false">
      <c r="A3032" s="3" t="s">
        <v>887</v>
      </c>
      <c r="B3032" s="8" t="s">
        <v>27</v>
      </c>
      <c r="C3032" s="30" t="n">
        <f aca="false">Sens!$C$3031/sh_val</f>
        <v>278.984622427296</v>
      </c>
    </row>
    <row r="3033" customFormat="false" ht="17.15" hidden="false" customHeight="false" outlineLevel="0" collapsed="false">
      <c r="A3033" s="46" t="s">
        <v>888</v>
      </c>
      <c r="B3033" s="13" t="s">
        <v>27</v>
      </c>
      <c r="C3033" s="43" t="n">
        <f aca="false">w_dcf*Sens!$C$3015+(1-w_dcf)*Sens!$C$3032</f>
        <v>189.593450381103</v>
      </c>
      <c r="D3033" s="13"/>
      <c r="E3033" s="13"/>
      <c r="F3033" s="13"/>
      <c r="G3033" s="13"/>
      <c r="H3033" s="13"/>
      <c r="I3033" s="13"/>
      <c r="J3033" s="13"/>
      <c r="K3033" s="13"/>
      <c r="L3033" s="13"/>
      <c r="M3033" s="13"/>
      <c r="N3033" s="13"/>
      <c r="O3033" s="13"/>
    </row>
    <row r="3034" customFormat="false" ht="17.15" hidden="false" customHeight="false" outlineLevel="0" collapsed="false">
      <c r="A3034" s="5" t="s">
        <v>889</v>
      </c>
      <c r="B3034" s="0" t="s">
        <v>27</v>
      </c>
      <c r="C3034" s="30" t="n">
        <f aca="false">0.45*Sens!$C$3015+0.55*Sens!$C$3032</f>
        <v>198.532567585723</v>
      </c>
    </row>
    <row r="3037" customFormat="false" ht="19.4" hidden="false" customHeight="false" outlineLevel="0" collapsed="false">
      <c r="A3037" s="31" t="s">
        <v>1110</v>
      </c>
    </row>
    <row r="3038" customFormat="false" ht="17.15" hidden="false" customHeight="false" outlineLevel="0" collapsed="false">
      <c r="A3038" s="6" t="s">
        <v>16</v>
      </c>
      <c r="B3038" s="6" t="s">
        <v>17</v>
      </c>
      <c r="C3038" s="20" t="s">
        <v>457</v>
      </c>
      <c r="D3038" s="20" t="s">
        <v>458</v>
      </c>
      <c r="E3038" s="20" t="s">
        <v>540</v>
      </c>
      <c r="F3038" s="20" t="s">
        <v>541</v>
      </c>
      <c r="G3038" s="20" t="s">
        <v>542</v>
      </c>
      <c r="H3038" s="20" t="s">
        <v>543</v>
      </c>
      <c r="I3038" s="20" t="s">
        <v>544</v>
      </c>
      <c r="J3038" s="20" t="s">
        <v>545</v>
      </c>
      <c r="K3038" s="20" t="s">
        <v>546</v>
      </c>
      <c r="L3038" s="20" t="s">
        <v>547</v>
      </c>
      <c r="M3038" s="20" t="s">
        <v>548</v>
      </c>
      <c r="N3038" s="20" t="s">
        <v>549</v>
      </c>
      <c r="O3038" s="20" t="s">
        <v>550</v>
      </c>
      <c r="P3038" s="6" t="s">
        <v>23</v>
      </c>
      <c r="R3038" s="20" t="n">
        <v>2023</v>
      </c>
      <c r="S3038" s="20" t="n">
        <v>2024</v>
      </c>
      <c r="T3038" s="20" t="n">
        <v>2025</v>
      </c>
      <c r="U3038" s="20" t="n">
        <v>2026</v>
      </c>
      <c r="V3038" s="20" t="n">
        <v>2027</v>
      </c>
      <c r="W3038" s="20" t="n">
        <v>2028</v>
      </c>
      <c r="X3038" s="20" t="n">
        <v>2029</v>
      </c>
      <c r="Y3038" s="20" t="n">
        <v>2030</v>
      </c>
      <c r="Z3038" s="20" t="n">
        <v>2031</v>
      </c>
      <c r="AA3038" s="20" t="n">
        <v>2032</v>
      </c>
    </row>
    <row r="3039" customFormat="false" ht="17.15" hidden="false" customHeight="false" outlineLevel="0" collapsed="false">
      <c r="A3039" s="1" t="s">
        <v>621</v>
      </c>
    </row>
    <row r="3040" customFormat="false" ht="17.15" hidden="false" customHeight="false" outlineLevel="0" collapsed="false">
      <c r="A3040" s="0" t="s">
        <v>479</v>
      </c>
      <c r="B3040" s="0" t="s">
        <v>73</v>
      </c>
      <c r="C3040" s="38" t="n">
        <f aca="false">Q!$D$10</f>
        <v>247.029</v>
      </c>
      <c r="D3040" s="38" t="n">
        <f aca="false">Q!$E$10</f>
        <v>269.287</v>
      </c>
      <c r="E3040" s="38" t="n">
        <f aca="false">Q!$P$10</f>
        <v>134.686</v>
      </c>
      <c r="F3040" s="38" t="n">
        <f aca="false">Sens!$O$3040*(1+Sens!$F$3041)-pd_amt*Q!$O$10/(Q!$O$10+Q!$O$12)</f>
        <v>160.728085930082</v>
      </c>
      <c r="G3040" s="38" t="n">
        <f aca="false">Sens!$E$3040+Sens!$F$3040</f>
        <v>295.414085930082</v>
      </c>
      <c r="H3040" s="38" t="n">
        <f aca="false">Sens!$G$3040*(1+Sens!$H$3041)</f>
        <v>320.828163943375</v>
      </c>
      <c r="I3040" s="38" t="n">
        <f aca="false">Sens!$H$3040*(1+Sens!$I$3041)</f>
        <v>344.575578072228</v>
      </c>
      <c r="J3040" s="38" t="n">
        <f aca="false">Sens!$I$3040*(1+Sens!$J$3041)</f>
        <v>365.942555779681</v>
      </c>
      <c r="K3040" s="38" t="n">
        <f aca="false">Sens!$J$3040*(1+Sens!$K$3041)</f>
        <v>384.239683568665</v>
      </c>
      <c r="L3040" s="38" t="n">
        <f aca="false">Sens!$K$3040*(1+Sens!$L$3041)</f>
        <v>403.451667747098</v>
      </c>
      <c r="M3040" s="38" t="n">
        <f aca="false">Sens!$L$3040*(1+Sens!$M$3041)</f>
        <v>423.624251134453</v>
      </c>
      <c r="N3040" s="38" t="n">
        <f aca="false">Q!$N$10</f>
        <v>118.892</v>
      </c>
      <c r="O3040" s="38" t="n">
        <f aca="false">Q!$O$10</f>
        <v>150.395</v>
      </c>
      <c r="P3040" s="8" t="s">
        <v>622</v>
      </c>
    </row>
    <row r="3041" customFormat="false" ht="17.15" hidden="false" customHeight="false" outlineLevel="0" collapsed="false">
      <c r="A3041" s="0" t="s">
        <v>623</v>
      </c>
      <c r="B3041" s="0" t="s">
        <v>52</v>
      </c>
      <c r="E3041" s="12" t="n">
        <f aca="false">Sens!$E$3040/Sens!$N$3040-1</f>
        <v>0.132843252699929</v>
      </c>
      <c r="F3041" s="12" t="n">
        <f aca="false">Sens!$O$3040/(Q!$F$10+Q!$G$10)-1</f>
        <v>0.0980382135842941</v>
      </c>
      <c r="G3041" s="12" t="n">
        <f aca="false">Sens!$G$3040/Sens!$D$3040-1</f>
        <v>0.0970231980380869</v>
      </c>
      <c r="H3041" s="12" t="n">
        <f aca="false">Sens!$F$3041+(g_os-Sens!$F$3041)*1/4</f>
        <v>0.0860286601882206</v>
      </c>
      <c r="I3041" s="12" t="n">
        <f aca="false">Sens!$F$3041+(g_os-Sens!$F$3041)*2/4</f>
        <v>0.074019106792147</v>
      </c>
      <c r="J3041" s="12" t="n">
        <f aca="false">Sens!$F$3041+(g_os-Sens!$F$3041)*3/4</f>
        <v>0.0620095533960735</v>
      </c>
      <c r="K3041" s="12" t="n">
        <f aca="false">Sens!$F$3041+(g_os-Sens!$F$3041)*4/4</f>
        <v>0.05</v>
      </c>
      <c r="L3041" s="12" t="n">
        <f aca="false">g_os</f>
        <v>0.05</v>
      </c>
      <c r="M3041" s="12" t="n">
        <f aca="false">g_os</f>
        <v>0.05</v>
      </c>
      <c r="P3041" s="8" t="s">
        <v>624</v>
      </c>
    </row>
    <row r="3042" customFormat="false" ht="17.15" hidden="false" customHeight="false" outlineLevel="0" collapsed="false">
      <c r="A3042" s="0" t="s">
        <v>480</v>
      </c>
      <c r="B3042" s="0" t="s">
        <v>73</v>
      </c>
      <c r="C3042" s="38" t="n">
        <f aca="false">Q!$D$11</f>
        <v>21.215</v>
      </c>
      <c r="D3042" s="38" t="n">
        <f aca="false">Q!$E$11</f>
        <v>22.561</v>
      </c>
      <c r="E3042" s="38" t="n">
        <f aca="false">Q!$P$11</f>
        <v>11.579</v>
      </c>
      <c r="F3042" s="38" t="n">
        <f aca="false">Sens!$O$3042*(1+Sens!$F$3043)</f>
        <v>12.0952613121125</v>
      </c>
      <c r="G3042" s="38" t="n">
        <f aca="false">Sens!$E$3042+Sens!$F$3042</f>
        <v>23.6742613121125</v>
      </c>
      <c r="H3042" s="38" t="n">
        <f aca="false">Sens!$G$3042*(1+Sens!$H$3043)</f>
        <v>24.8803243963206</v>
      </c>
      <c r="I3042" s="38" t="n">
        <f aca="false">Sens!$H$3042*(1+Sens!$I$3043)</f>
        <v>25.9741308664154</v>
      </c>
      <c r="J3042" s="38" t="n">
        <f aca="false">Sens!$I$3042*(1+Sens!$J$3043)</f>
        <v>26.9346894124267</v>
      </c>
      <c r="K3042" s="38" t="n">
        <f aca="false">Sens!$J$3042*(1+Sens!$K$3043)</f>
        <v>27.7427300947995</v>
      </c>
      <c r="L3042" s="38" t="n">
        <f aca="false">Sens!$K$3042*(1+Sens!$L$3043)</f>
        <v>28.5750119976435</v>
      </c>
      <c r="M3042" s="38" t="n">
        <f aca="false">Sens!$L$3042*(1+Sens!$M$3043)</f>
        <v>29.4322623575728</v>
      </c>
      <c r="N3042" s="38" t="n">
        <f aca="false">Q!$N$11</f>
        <v>11.128</v>
      </c>
      <c r="O3042" s="38" t="n">
        <f aca="false">Q!$O$11</f>
        <v>11.433</v>
      </c>
      <c r="P3042" s="8" t="s">
        <v>622</v>
      </c>
    </row>
    <row r="3043" customFormat="false" ht="17.15" hidden="false" customHeight="false" outlineLevel="0" collapsed="false">
      <c r="A3043" s="0" t="s">
        <v>625</v>
      </c>
      <c r="B3043" s="0" t="s">
        <v>52</v>
      </c>
      <c r="E3043" s="12" t="n">
        <f aca="false">Sens!$E$3042/Sens!$N$3042-1</f>
        <v>0.0405283968368082</v>
      </c>
      <c r="F3043" s="12" t="n">
        <f aca="false">Sens!$O$3042/(Q!$F$11+Q!$G$11)-1</f>
        <v>0.0579254187100955</v>
      </c>
      <c r="G3043" s="12" t="n">
        <f aca="false">Sens!$G$3042/Sens!$D$3042-1</f>
        <v>0.0493445021103904</v>
      </c>
      <c r="H3043" s="12" t="n">
        <f aca="false">Sens!$F$3043+(g_ps-Sens!$F$3043)*1/4</f>
        <v>0.0509440640325716</v>
      </c>
      <c r="I3043" s="12" t="n">
        <f aca="false">Sens!$F$3043+(g_ps-Sens!$F$3043)*2/4</f>
        <v>0.0439627093550477</v>
      </c>
      <c r="J3043" s="12" t="n">
        <f aca="false">Sens!$F$3043+(g_ps-Sens!$F$3043)*3/4</f>
        <v>0.0369813546775239</v>
      </c>
      <c r="K3043" s="12" t="n">
        <f aca="false">Sens!$F$3043+(g_ps-Sens!$F$3043)*4/4</f>
        <v>0.03</v>
      </c>
      <c r="L3043" s="12" t="n">
        <f aca="false">g_ps</f>
        <v>0.03</v>
      </c>
      <c r="M3043" s="12" t="n">
        <f aca="false">g_ps</f>
        <v>0.03</v>
      </c>
      <c r="P3043" s="8" t="s">
        <v>626</v>
      </c>
    </row>
    <row r="3044" customFormat="false" ht="17.15" hidden="false" customHeight="false" outlineLevel="0" collapsed="false">
      <c r="A3044" s="0" t="s">
        <v>481</v>
      </c>
      <c r="B3044" s="0" t="s">
        <v>73</v>
      </c>
      <c r="C3044" s="38" t="n">
        <f aca="false">Q!$D$12</f>
        <v>156.146</v>
      </c>
      <c r="D3044" s="38" t="n">
        <f aca="false">Q!$E$12</f>
        <v>172.162</v>
      </c>
      <c r="E3044" s="38" t="n">
        <f aca="false">Q!$P$12</f>
        <v>88.358</v>
      </c>
      <c r="F3044" s="38" t="n">
        <f aca="false">Sens!$O$3044*(1+Sens!$F$3045)-pd_amt*Q!$O$12/(Q!$O$10+Q!$O$12)</f>
        <v>103.62028337149</v>
      </c>
      <c r="G3044" s="38" t="n">
        <f aca="false">Sens!$E$3044+Sens!$F$3044</f>
        <v>191.97828337149</v>
      </c>
      <c r="H3044" s="38" t="n">
        <f aca="false">Sens!$G$3044*(1+Sens!$H$3045)</f>
        <v>212.128608444755</v>
      </c>
      <c r="I3044" s="38" t="n">
        <f aca="false">Sens!$H$3044*(1+Sens!$I$3045)</f>
        <v>231.92183134134</v>
      </c>
      <c r="J3044" s="38" t="n">
        <f aca="false">Sens!$I$3044*(1+Sens!$J$3045)</f>
        <v>250.859136487863</v>
      </c>
      <c r="K3044" s="38" t="n">
        <f aca="false">Sens!$J$3044*(1+Sens!$K$3045)</f>
        <v>268.419276042014</v>
      </c>
      <c r="L3044" s="38" t="n">
        <f aca="false">Sens!$K$3044*(1+Sens!$L$3045)</f>
        <v>287.208625364954</v>
      </c>
      <c r="M3044" s="38" t="n">
        <f aca="false">Sens!$L$3044*(1+Sens!$M$3045)</f>
        <v>307.313229140501</v>
      </c>
      <c r="N3044" s="38" t="n">
        <f aca="false">Q!$N$12</f>
        <v>76.86</v>
      </c>
      <c r="O3044" s="38" t="n">
        <f aca="false">Q!$O$12</f>
        <v>95.302</v>
      </c>
      <c r="P3044" s="8" t="s">
        <v>622</v>
      </c>
    </row>
    <row r="3045" customFormat="false" ht="17.15" hidden="false" customHeight="false" outlineLevel="0" collapsed="false">
      <c r="A3045" s="0" t="s">
        <v>627</v>
      </c>
      <c r="B3045" s="0" t="s">
        <v>52</v>
      </c>
      <c r="E3045" s="12" t="n">
        <f aca="false">Sens!$E$3044/Sens!$N$3044-1</f>
        <v>0.1495966692688</v>
      </c>
      <c r="F3045" s="12" t="n">
        <f aca="false">Sens!$O$3044/(Q!$F$12+Q!$G$12)-1</f>
        <v>0.11661530890813</v>
      </c>
      <c r="G3045" s="12" t="n">
        <f aca="false">Sens!$G$3044/Sens!$D$3044-1</f>
        <v>0.115102539303041</v>
      </c>
      <c r="H3045" s="12" t="n">
        <f aca="false">Sens!$F$3045+(g_sp-Sens!$F$3045)*1/4</f>
        <v>0.104961481681098</v>
      </c>
      <c r="I3045" s="12" t="n">
        <f aca="false">Sens!$F$3045+(g_sp-Sens!$F$3045)*2/4</f>
        <v>0.0933076544540651</v>
      </c>
      <c r="J3045" s="12" t="n">
        <f aca="false">Sens!$F$3045+(g_sp-Sens!$F$3045)*3/4</f>
        <v>0.0816538272270325</v>
      </c>
      <c r="K3045" s="12" t="n">
        <f aca="false">Sens!$F$3045+(g_sp-Sens!$F$3045)*4/4</f>
        <v>0.07</v>
      </c>
      <c r="L3045" s="12" t="n">
        <f aca="false">g_sp</f>
        <v>0.07</v>
      </c>
      <c r="M3045" s="12" t="n">
        <f aca="false">g_sp</f>
        <v>0.07</v>
      </c>
      <c r="P3045" s="8" t="s">
        <v>628</v>
      </c>
    </row>
    <row r="3046" customFormat="false" ht="17.15" hidden="false" customHeight="false" outlineLevel="0" collapsed="false">
      <c r="A3046" s="0" t="s">
        <v>482</v>
      </c>
      <c r="B3046" s="0" t="s">
        <v>73</v>
      </c>
      <c r="C3046" s="38" t="n">
        <f aca="false">Q!$D$13</f>
        <v>56.214</v>
      </c>
      <c r="D3046" s="38" t="n">
        <f aca="false">Q!$E$13</f>
        <v>68.635</v>
      </c>
      <c r="E3046" s="38" t="n">
        <f aca="false">Q!$P$13</f>
        <v>37.052</v>
      </c>
      <c r="F3046" s="38" t="n">
        <f aca="false">Sens!$O$3046*(1+Sens!$F$3047)</f>
        <v>48.1533381827382</v>
      </c>
      <c r="G3046" s="38" t="n">
        <f aca="false">Sens!$E$3046+Sens!$F$3046</f>
        <v>85.2053381827382</v>
      </c>
      <c r="H3046" s="38" t="n">
        <f aca="false">Sens!$G$3046*(1+Sens!$H$3047)</f>
        <v>102.29336185894</v>
      </c>
      <c r="I3046" s="38" t="n">
        <f aca="false">Sens!$H$3046*(1+Sens!$I$3047)</f>
        <v>119.379837585241</v>
      </c>
      <c r="J3046" s="38" t="n">
        <f aca="false">Sens!$I$3046*(1+Sens!$J$3047)</f>
        <v>135.319079048844</v>
      </c>
      <c r="K3046" s="38" t="n">
        <f aca="false">Sens!$J$3046*(1+Sens!$K$3047)</f>
        <v>148.850986953729</v>
      </c>
      <c r="L3046" s="38" t="n">
        <f aca="false">Sens!$K$3046*(1+Sens!$L$3047)</f>
        <v>163.736085649102</v>
      </c>
      <c r="M3046" s="38" t="n">
        <f aca="false">Sens!$L$3046*(1+Sens!$M$3047)</f>
        <v>180.109694214012</v>
      </c>
      <c r="N3046" s="38" t="n">
        <f aca="false">Q!$N$13</f>
        <v>29.615</v>
      </c>
      <c r="O3046" s="38" t="n">
        <f aca="false">Q!$O$13</f>
        <v>39.02</v>
      </c>
      <c r="P3046" s="8" t="s">
        <v>622</v>
      </c>
    </row>
    <row r="3047" customFormat="false" ht="17.15" hidden="false" customHeight="false" outlineLevel="0" collapsed="false">
      <c r="A3047" s="0" t="s">
        <v>629</v>
      </c>
      <c r="B3047" s="0" t="s">
        <v>52</v>
      </c>
      <c r="E3047" s="12" t="n">
        <f aca="false">Sens!$E$3046/Sens!$N$3046-1</f>
        <v>0.25112274185379</v>
      </c>
      <c r="F3047" s="12" t="n">
        <f aca="false">Sens!$O$3046/(Q!$F$13+Q!$G$13)-1</f>
        <v>0.234068123596572</v>
      </c>
      <c r="G3047" s="12" t="n">
        <f aca="false">Sens!$G$3046/Sens!$D$3046-1</f>
        <v>0.241426942270536</v>
      </c>
      <c r="H3047" s="12" t="n">
        <f aca="false">Sens!$F$3047+(g_ad-Sens!$F$3047)*1/4</f>
        <v>0.200551092697429</v>
      </c>
      <c r="I3047" s="12" t="n">
        <f aca="false">Sens!$F$3047+(g_ad-Sens!$F$3047)*2/4</f>
        <v>0.167034061798286</v>
      </c>
      <c r="J3047" s="12" t="n">
        <f aca="false">Sens!$F$3047+(g_ad-Sens!$F$3047)*3/4</f>
        <v>0.133517030899143</v>
      </c>
      <c r="K3047" s="12" t="n">
        <f aca="false">Sens!$F$3047+(g_ad-Sens!$F$3047)*4/4</f>
        <v>0.1</v>
      </c>
      <c r="L3047" s="12" t="n">
        <f aca="false">g_ad</f>
        <v>0.1</v>
      </c>
      <c r="M3047" s="12" t="n">
        <f aca="false">g_ad</f>
        <v>0.1</v>
      </c>
      <c r="P3047" s="8" t="s">
        <v>630</v>
      </c>
    </row>
    <row r="3048" customFormat="false" ht="17.15" hidden="false" customHeight="false" outlineLevel="0" collapsed="false">
      <c r="A3048" s="0" t="s">
        <v>483</v>
      </c>
      <c r="B3048" s="0" t="s">
        <v>73</v>
      </c>
      <c r="C3048" s="38" t="n">
        <f aca="false">Q!$D$14</f>
        <v>44.374</v>
      </c>
      <c r="D3048" s="38" t="n">
        <f aca="false">Q!$E$14</f>
        <v>49.619</v>
      </c>
      <c r="E3048" s="38" t="n">
        <f aca="false">Q!$P$14</f>
        <v>27.157</v>
      </c>
      <c r="F3048" s="38" t="n">
        <f aca="false">Sens!$O$3048*(1+Sens!$F$3049)</f>
        <v>28.9776360923374</v>
      </c>
      <c r="G3048" s="38" t="n">
        <f aca="false">Sens!$E$3048+Sens!$F$3048</f>
        <v>56.1346360923374</v>
      </c>
      <c r="H3048" s="38" t="n">
        <f aca="false">Sens!$G$3048*(1+Sens!$H$3049)</f>
        <v>62.4937078946075</v>
      </c>
      <c r="I3048" s="38" t="n">
        <f aca="false">Sens!$H$3048*(1+Sens!$I$3049)</f>
        <v>68.6715233062498</v>
      </c>
      <c r="J3048" s="38" t="n">
        <f aca="false">Sens!$I$3048*(1+Sens!$J$3049)</f>
        <v>74.4692882949818</v>
      </c>
      <c r="K3048" s="38" t="n">
        <f aca="false">Sens!$J$3048*(1+Sens!$K$3049)</f>
        <v>79.6821384756306</v>
      </c>
      <c r="L3048" s="38" t="n">
        <f aca="false">Sens!$K$3048*(1+Sens!$L$3049)</f>
        <v>85.2598881689247</v>
      </c>
      <c r="M3048" s="38" t="n">
        <f aca="false">Sens!$L$3048*(1+Sens!$M$3049)</f>
        <v>91.2280803407494</v>
      </c>
      <c r="N3048" s="38" t="n">
        <f aca="false">Q!$N$14</f>
        <v>23.923</v>
      </c>
      <c r="O3048" s="38" t="n">
        <f aca="false">Q!$O$14</f>
        <v>25.696</v>
      </c>
      <c r="P3048" s="8" t="s">
        <v>622</v>
      </c>
    </row>
    <row r="3049" customFormat="false" ht="17.15" hidden="false" customHeight="false" outlineLevel="0" collapsed="false">
      <c r="A3049" s="0" t="s">
        <v>631</v>
      </c>
      <c r="B3049" s="0" t="s">
        <v>52</v>
      </c>
      <c r="E3049" s="12" t="n">
        <f aca="false">Sens!$E$3048/Sens!$N$3048-1</f>
        <v>0.135183714417088</v>
      </c>
      <c r="F3049" s="12" t="n">
        <f aca="false">Sens!$O$3048/(Q!$F$14+Q!$G$14)-1</f>
        <v>0.127709997366804</v>
      </c>
      <c r="G3049" s="12" t="n">
        <f aca="false">Sens!$G$3048/Sens!$D$3048-1</f>
        <v>0.131313329416905</v>
      </c>
      <c r="H3049" s="12" t="n">
        <f aca="false">Sens!$F$3049+(g_sub-Sens!$F$3049)*1/4</f>
        <v>0.113282498025103</v>
      </c>
      <c r="I3049" s="12" t="n">
        <f aca="false">Sens!$F$3049+(g_sub-Sens!$F$3049)*2/4</f>
        <v>0.0988549986834021</v>
      </c>
      <c r="J3049" s="12" t="n">
        <f aca="false">Sens!$F$3049+(g_sub-Sens!$F$3049)*3/4</f>
        <v>0.084427499341701</v>
      </c>
      <c r="K3049" s="12" t="n">
        <f aca="false">Sens!$F$3049+(g_sub-Sens!$F$3049)*4/4</f>
        <v>0.07</v>
      </c>
      <c r="L3049" s="12" t="n">
        <f aca="false">g_sub</f>
        <v>0.07</v>
      </c>
      <c r="M3049" s="12" t="n">
        <f aca="false">g_sub</f>
        <v>0.07</v>
      </c>
      <c r="P3049" s="8" t="s">
        <v>632</v>
      </c>
    </row>
    <row r="3050" customFormat="false" ht="17.15" hidden="false" customHeight="false" outlineLevel="0" collapsed="false">
      <c r="A3050" s="0" t="s">
        <v>484</v>
      </c>
      <c r="B3050" s="0" t="s">
        <v>73</v>
      </c>
      <c r="C3050" s="38" t="n">
        <f aca="false">Q!$D$15</f>
        <v>5.425</v>
      </c>
      <c r="D3050" s="38" t="n">
        <f aca="false">Q!$E$15</f>
        <v>5.935</v>
      </c>
      <c r="E3050" s="38" t="n">
        <f aca="false">Q!$P$15</f>
        <v>3.474</v>
      </c>
      <c r="F3050" s="38" t="n">
        <f aca="false">Sens!$O$3050*(1+Sens!$F$3051)</f>
        <v>3.36182431966931</v>
      </c>
      <c r="G3050" s="38" t="n">
        <f aca="false">Sens!$E$3050+Sens!$F$3050</f>
        <v>6.83582431966931</v>
      </c>
      <c r="H3050" s="38" t="n">
        <f aca="false">Sens!$G$3050*(1+Sens!$H$3051)</f>
        <v>7.31157108370141</v>
      </c>
      <c r="I3050" s="38" t="n">
        <f aca="false">Sens!$H$3050*(1+Sens!$I$3051)</f>
        <v>7.77266852639815</v>
      </c>
      <c r="J3050" s="38" t="n">
        <f aca="false">Sens!$I$3050*(1+Sens!$J$3051)</f>
        <v>8.2120733019884</v>
      </c>
      <c r="K3050" s="38" t="n">
        <f aca="false">Sens!$J$3050*(1+Sens!$K$3051)</f>
        <v>8.62267696708783</v>
      </c>
      <c r="L3050" s="38" t="n">
        <f aca="false">Sens!$K$3050*(1+Sens!$L$3051)</f>
        <v>9.05381081544222</v>
      </c>
      <c r="M3050" s="38" t="n">
        <f aca="false">Sens!$L$3050*(1+Sens!$M$3051)</f>
        <v>9.50650135621433</v>
      </c>
      <c r="N3050" s="38" t="n">
        <f aca="false">Q!$N$15</f>
        <v>2.811</v>
      </c>
      <c r="O3050" s="38" t="n">
        <f aca="false">Q!$O$15</f>
        <v>3.124</v>
      </c>
      <c r="P3050" s="8" t="s">
        <v>622</v>
      </c>
    </row>
    <row r="3051" customFormat="false" ht="17.15" hidden="false" customHeight="false" outlineLevel="0" collapsed="false">
      <c r="A3051" s="0" t="s">
        <v>633</v>
      </c>
      <c r="B3051" s="0" t="s">
        <v>52</v>
      </c>
      <c r="E3051" s="12" t="n">
        <f aca="false">Sens!$E$3050/Sens!$N$3050-1</f>
        <v>0.235859124866596</v>
      </c>
      <c r="F3051" s="12" t="n">
        <f aca="false">Sens!$O$3050/(Q!$F$15+Q!$G$15)-1</f>
        <v>0.0761281433000345</v>
      </c>
      <c r="G3051" s="12" t="n">
        <f aca="false">Sens!$G$3050/Sens!$D$3050-1</f>
        <v>0.151781688234087</v>
      </c>
      <c r="H3051" s="12" t="n">
        <f aca="false">Sens!$F$3051+(g_ot-Sens!$F$3051)*1/4</f>
        <v>0.0695961074750259</v>
      </c>
      <c r="I3051" s="12" t="n">
        <f aca="false">Sens!$F$3051+(g_ot-Sens!$F$3051)*2/4</f>
        <v>0.0630640716500172</v>
      </c>
      <c r="J3051" s="12" t="n">
        <f aca="false">Sens!$F$3051+(g_ot-Sens!$F$3051)*3/4</f>
        <v>0.0565320358250086</v>
      </c>
      <c r="K3051" s="12" t="n">
        <f aca="false">Sens!$F$3051+(g_ot-Sens!$F$3051)*4/4</f>
        <v>0.05</v>
      </c>
      <c r="L3051" s="12" t="n">
        <f aca="false">g_ot</f>
        <v>0.05</v>
      </c>
      <c r="M3051" s="12" t="n">
        <f aca="false">g_ot</f>
        <v>0.05</v>
      </c>
      <c r="P3051" s="8" t="s">
        <v>634</v>
      </c>
    </row>
    <row r="3052" customFormat="false" ht="17.15" hidden="false" customHeight="false" outlineLevel="0" collapsed="false">
      <c r="A3052" s="3" t="s">
        <v>635</v>
      </c>
      <c r="B3052" s="8" t="s">
        <v>73</v>
      </c>
      <c r="C3052" s="38" t="n">
        <f aca="false">Sens!$C$3040+Sens!$C$3042+Sens!$C$3044+Sens!$C$3046+Sens!$C$3048+Sens!$C$3050</f>
        <v>530.403</v>
      </c>
      <c r="D3052" s="38" t="n">
        <f aca="false">Sens!$D$3040+Sens!$D$3042+Sens!$D$3044+Sens!$D$3046+Sens!$D$3048+Sens!$D$3050</f>
        <v>588.199</v>
      </c>
      <c r="E3052" s="38" t="n">
        <f aca="false">Sens!$E$3040+Sens!$E$3042+Sens!$E$3044+Sens!$E$3046+Sens!$E$3048+Sens!$E$3050</f>
        <v>302.306</v>
      </c>
      <c r="F3052" s="38" t="n">
        <f aca="false">Sens!$F$3040+Sens!$F$3042+Sens!$F$3044+Sens!$F$3046+Sens!$F$3048+Sens!$F$3050</f>
        <v>356.93642920843</v>
      </c>
      <c r="G3052" s="38" t="n">
        <f aca="false">Sens!$G$3040+Sens!$G$3042+Sens!$G$3044+Sens!$G$3046+Sens!$G$3048+Sens!$G$3050</f>
        <v>659.24242920843</v>
      </c>
      <c r="H3052" s="38" t="n">
        <f aca="false">Sens!$H$3040+Sens!$H$3042+Sens!$H$3044+Sens!$H$3046+Sens!$H$3048+Sens!$H$3050</f>
        <v>729.935737621701</v>
      </c>
      <c r="I3052" s="38" t="n">
        <f aca="false">Sens!$I$3040+Sens!$I$3042+Sens!$I$3044+Sens!$I$3046+Sens!$I$3048+Sens!$I$3050</f>
        <v>798.295569697873</v>
      </c>
      <c r="J3052" s="38" t="n">
        <f aca="false">Sens!$J$3040+Sens!$J$3042+Sens!$J$3044+Sens!$J$3046+Sens!$J$3048+Sens!$J$3050</f>
        <v>861.736822325785</v>
      </c>
      <c r="K3052" s="38" t="n">
        <f aca="false">Sens!$K$3040+Sens!$K$3042+Sens!$K$3044+Sens!$K$3046+Sens!$K$3048+Sens!$K$3050</f>
        <v>917.557492101925</v>
      </c>
      <c r="L3052" s="38" t="n">
        <f aca="false">Sens!$L$3040+Sens!$L$3042+Sens!$L$3044+Sens!$L$3046+Sens!$L$3048+Sens!$L$3050</f>
        <v>977.285089743165</v>
      </c>
      <c r="M3052" s="38" t="n">
        <f aca="false">Sens!$M$3040+Sens!$M$3042+Sens!$M$3044+Sens!$M$3046+Sens!$M$3048+Sens!$M$3050</f>
        <v>1041.2140185435</v>
      </c>
      <c r="N3052" s="38" t="n">
        <f aca="false">Sens!$N$3040+Sens!$N$3042+Sens!$N$3044+Sens!$N$3046+Sens!$N$3048+Sens!$N$3050</f>
        <v>263.229</v>
      </c>
      <c r="O3052" s="38" t="n">
        <f aca="false">Sens!$O$3040+Sens!$O$3042+Sens!$O$3044+Sens!$O$3046+Sens!$O$3048+Sens!$O$3050</f>
        <v>324.97</v>
      </c>
    </row>
    <row r="3053" customFormat="false" ht="17.15" hidden="false" customHeight="false" outlineLevel="0" collapsed="false">
      <c r="A3053" s="5" t="s">
        <v>636</v>
      </c>
      <c r="B3053" s="0" t="s">
        <v>52</v>
      </c>
      <c r="C3053" s="12" t="n">
        <f aca="false">Q!$D$5/(Q!$D$5+Q!$D$6)</f>
        <v>0.730570905519011</v>
      </c>
      <c r="D3053" s="12" t="n">
        <f aca="false">Q!$E$5/(Q!$E$5+Q!$E$6)</f>
        <v>0.724763217890544</v>
      </c>
      <c r="E3053" s="12" t="n">
        <f aca="false">Q!$P$5/(Q!$P$5+Q!$P$6)</f>
        <v>0.728797972914861</v>
      </c>
      <c r="F3053" s="12" t="n">
        <f aca="false">Sens!$O$3053</f>
        <v>0.718066283041511</v>
      </c>
      <c r="G3053" s="12" t="n">
        <f aca="false">Sens!$G$3054/Sens!$G$3052</f>
        <v>0.722987468473627</v>
      </c>
      <c r="H3053" s="12" t="n">
        <f aca="false">Sens!$G$3053</f>
        <v>0.722987468473627</v>
      </c>
      <c r="I3053" s="12" t="n">
        <f aca="false">Sens!$G$3053</f>
        <v>0.722987468473627</v>
      </c>
      <c r="J3053" s="12" t="n">
        <f aca="false">Sens!$G$3053</f>
        <v>0.722987468473627</v>
      </c>
      <c r="K3053" s="12" t="n">
        <f aca="false">Sens!$G$3053</f>
        <v>0.722987468473627</v>
      </c>
      <c r="L3053" s="12" t="n">
        <f aca="false">Sens!$G$3053</f>
        <v>0.722987468473627</v>
      </c>
      <c r="M3053" s="12" t="n">
        <f aca="false">Sens!$G$3053</f>
        <v>0.722987468473627</v>
      </c>
      <c r="N3053" s="12" t="n">
        <f aca="false">Q!$N$5/(Q!$N$5+Q!$N$6)</f>
        <v>0.733030935041352</v>
      </c>
      <c r="O3053" s="12" t="n">
        <f aca="false">Q!$O$5/(Q!$O$5+Q!$O$6)</f>
        <v>0.718066283041511</v>
      </c>
      <c r="P3053" s="8" t="s">
        <v>637</v>
      </c>
    </row>
    <row r="3054" customFormat="false" ht="17.15" hidden="false" customHeight="false" outlineLevel="0" collapsed="false">
      <c r="A3054" s="1" t="s">
        <v>472</v>
      </c>
      <c r="B3054" s="8" t="s">
        <v>73</v>
      </c>
      <c r="C3054" s="38" t="n">
        <f aca="false">Q!$D$5</f>
        <v>387.497</v>
      </c>
      <c r="D3054" s="38" t="n">
        <f aca="false">Q!$E$5</f>
        <v>426.305</v>
      </c>
      <c r="E3054" s="38" t="n">
        <f aca="false">Q!$P$5</f>
        <v>220.32</v>
      </c>
      <c r="F3054" s="38" t="n">
        <f aca="false">Sens!$F$3052*Sens!$F$3053</f>
        <v>256.304015003807</v>
      </c>
      <c r="G3054" s="38" t="n">
        <f aca="false">Sens!$E$3054+Sens!$F$3054</f>
        <v>476.624015003807</v>
      </c>
      <c r="H3054" s="38" t="n">
        <f aca="false">Sens!$H$3052*Sens!$H$3053</f>
        <v>527.734391091543</v>
      </c>
      <c r="I3054" s="38" t="n">
        <f aca="false">Sens!$I$3052*Sens!$I$3053</f>
        <v>577.157693029577</v>
      </c>
      <c r="J3054" s="38" t="n">
        <f aca="false">Sens!$J$3052*Sens!$J$3053</f>
        <v>623.024923663827</v>
      </c>
      <c r="K3054" s="38" t="n">
        <f aca="false">Sens!$K$3052*Sens!$K$3053</f>
        <v>663.382568393781</v>
      </c>
      <c r="L3054" s="38" t="n">
        <f aca="false">Sens!$L$3052*Sens!$L$3053</f>
        <v>706.564873010432</v>
      </c>
      <c r="M3054" s="38" t="n">
        <f aca="false">Sens!$M$3052*Sens!$M$3053</f>
        <v>752.784687406019</v>
      </c>
      <c r="N3054" s="38" t="n">
        <f aca="false">Q!$N$5</f>
        <v>192.955</v>
      </c>
      <c r="O3054" s="38" t="n">
        <f aca="false">Q!$O$5</f>
        <v>233.35</v>
      </c>
      <c r="P3054" s="5" t="s">
        <v>638</v>
      </c>
    </row>
    <row r="3055" customFormat="false" ht="17.15" hidden="false" customHeight="false" outlineLevel="0" collapsed="false">
      <c r="A3055" s="1" t="s">
        <v>475</v>
      </c>
      <c r="B3055" s="8" t="s">
        <v>73</v>
      </c>
      <c r="C3055" s="38" t="n">
        <f aca="false">Q!$D$6</f>
        <v>142.906</v>
      </c>
      <c r="D3055" s="38" t="n">
        <f aca="false">Q!$E$6</f>
        <v>161.894</v>
      </c>
      <c r="E3055" s="38" t="n">
        <f aca="false">Q!$P$6</f>
        <v>81.986</v>
      </c>
      <c r="F3055" s="38" t="n">
        <f aca="false">Sens!$F$3052*(1-Sens!$F$3053)</f>
        <v>100.632414204623</v>
      </c>
      <c r="G3055" s="38" t="n">
        <f aca="false">Sens!$E$3055+Sens!$F$3055</f>
        <v>182.618414204623</v>
      </c>
      <c r="H3055" s="38" t="n">
        <f aca="false">Sens!$H$3052*(1-Sens!$H$3053)</f>
        <v>202.201346530158</v>
      </c>
      <c r="I3055" s="38" t="n">
        <f aca="false">Sens!$I$3052*(1-Sens!$I$3053)</f>
        <v>221.137876668296</v>
      </c>
      <c r="J3055" s="38" t="n">
        <f aca="false">Sens!$J$3052*(1-Sens!$J$3053)</f>
        <v>238.711898661958</v>
      </c>
      <c r="K3055" s="38" t="n">
        <f aca="false">Sens!$K$3052*(1-Sens!$K$3053)</f>
        <v>254.174923708144</v>
      </c>
      <c r="L3055" s="38" t="n">
        <f aca="false">Sens!$L$3052*(1-Sens!$L$3053)</f>
        <v>270.720216732733</v>
      </c>
      <c r="M3055" s="38" t="n">
        <f aca="false">Sens!$M$3052*(1-Sens!$M$3053)</f>
        <v>288.429331137484</v>
      </c>
      <c r="N3055" s="38" t="n">
        <f aca="false">Q!$N$6</f>
        <v>70.274</v>
      </c>
      <c r="O3055" s="38" t="n">
        <f aca="false">Q!$O$6</f>
        <v>91.62</v>
      </c>
      <c r="P3055" s="5" t="s">
        <v>639</v>
      </c>
    </row>
    <row r="3056" customFormat="false" ht="17.15" hidden="false" customHeight="false" outlineLevel="0" collapsed="false">
      <c r="A3056" s="5" t="s">
        <v>640</v>
      </c>
      <c r="B3056" s="0" t="s">
        <v>73</v>
      </c>
      <c r="C3056" s="38" t="n">
        <f aca="false">Sens!$C$3046*Sens!$C$3053</f>
        <v>41.0683128828457</v>
      </c>
      <c r="D3056" s="38" t="n">
        <f aca="false">Sens!$D$3046*Sens!$D$3053</f>
        <v>49.7441234599175</v>
      </c>
      <c r="E3056" s="38" t="n">
        <f aca="false">Sens!$E$3046*Sens!$E$3053</f>
        <v>27.0034224924414</v>
      </c>
      <c r="F3056" s="38" t="n">
        <f aca="false">Sens!$F$3046*Sens!$F$3053</f>
        <v>34.5772885649197</v>
      </c>
      <c r="G3056" s="38" t="n">
        <f aca="false">Sens!$G$3046*Sens!$G$3053</f>
        <v>61.6023917531772</v>
      </c>
      <c r="H3056" s="38" t="n">
        <f aca="false">Sens!$H$3046*Sens!$H$3053</f>
        <v>73.9568187320519</v>
      </c>
      <c r="I3056" s="38" t="n">
        <f aca="false">Sens!$I$3046*Sens!$I$3053</f>
        <v>86.3101265625461</v>
      </c>
      <c r="J3056" s="38" t="n">
        <f aca="false">Sens!$J$3046*Sens!$J$3053</f>
        <v>97.8339983977065</v>
      </c>
      <c r="K3056" s="38" t="n">
        <f aca="false">Sens!$K$3046*Sens!$K$3053</f>
        <v>107.617398237477</v>
      </c>
      <c r="L3056" s="38" t="n">
        <f aca="false">Sens!$L$3046*Sens!$L$3053</f>
        <v>118.379138061225</v>
      </c>
      <c r="M3056" s="38" t="n">
        <f aca="false">Sens!$M$3046*Sens!$M$3053</f>
        <v>130.217051867347</v>
      </c>
      <c r="N3056" s="38" t="n">
        <f aca="false">Sens!$N$3046*Sens!$N$3053</f>
        <v>21.7087111412496</v>
      </c>
      <c r="O3056" s="38" t="n">
        <f aca="false">Sens!$O$3046*Sens!$O$3053</f>
        <v>28.0189463642798</v>
      </c>
      <c r="P3056" s="5" t="s">
        <v>641</v>
      </c>
    </row>
    <row r="3057" customFormat="false" ht="15" hidden="false" customHeight="false" outlineLevel="0" collapsed="false">
      <c r="A3057" s="5" t="s">
        <v>642</v>
      </c>
      <c r="B3057" s="0" t="s">
        <v>73</v>
      </c>
      <c r="C3057" s="38" t="n">
        <f aca="false">Sens!$C$3046-Sens!$C$3056</f>
        <v>15.1456871171543</v>
      </c>
      <c r="D3057" s="38" t="n">
        <f aca="false">Sens!$D$3046-Sens!$D$3056</f>
        <v>18.8908765400825</v>
      </c>
      <c r="E3057" s="38" t="n">
        <f aca="false">Sens!$E$3046-Sens!$E$3056</f>
        <v>10.0485775075586</v>
      </c>
      <c r="F3057" s="38" t="n">
        <f aca="false">Sens!$F$3046-Sens!$F$3056</f>
        <v>13.5760496178185</v>
      </c>
      <c r="G3057" s="38" t="n">
        <f aca="false">Sens!$G$3046-Sens!$G$3056</f>
        <v>23.6029464295611</v>
      </c>
      <c r="H3057" s="38" t="n">
        <f aca="false">Sens!$H$3046-Sens!$H$3056</f>
        <v>28.3365431268884</v>
      </c>
      <c r="I3057" s="38" t="n">
        <f aca="false">Sens!$I$3046-Sens!$I$3056</f>
        <v>33.0697110226949</v>
      </c>
      <c r="J3057" s="38" t="n">
        <f aca="false">Sens!$J$3046-Sens!$J$3056</f>
        <v>37.4850806511378</v>
      </c>
      <c r="K3057" s="38" t="n">
        <f aca="false">Sens!$K$3046-Sens!$K$3056</f>
        <v>41.2335887162515</v>
      </c>
      <c r="L3057" s="38" t="n">
        <f aca="false">Sens!$L$3046-Sens!$L$3056</f>
        <v>45.3569475878767</v>
      </c>
      <c r="M3057" s="38" t="n">
        <f aca="false">Sens!$M$3046-Sens!$M$3056</f>
        <v>49.8926423466644</v>
      </c>
      <c r="N3057" s="38" t="n">
        <f aca="false">Sens!$N$3046-Sens!$N$3056</f>
        <v>7.90628885875037</v>
      </c>
      <c r="O3057" s="38" t="n">
        <f aca="false">Sens!$O$3046-Sens!$O$3056</f>
        <v>11.0010536357202</v>
      </c>
    </row>
    <row r="3058" customFormat="false" ht="19.4" hidden="false" customHeight="false" outlineLevel="0" collapsed="false">
      <c r="A3058" s="31" t="s">
        <v>1111</v>
      </c>
    </row>
    <row r="3059" customFormat="false" ht="17.15" hidden="false" customHeight="false" outlineLevel="0" collapsed="false">
      <c r="A3059" s="6" t="s">
        <v>16</v>
      </c>
      <c r="B3059" s="6" t="s">
        <v>17</v>
      </c>
      <c r="C3059" s="20" t="s">
        <v>457</v>
      </c>
      <c r="D3059" s="20" t="s">
        <v>458</v>
      </c>
      <c r="E3059" s="20" t="s">
        <v>540</v>
      </c>
      <c r="F3059" s="20" t="s">
        <v>541</v>
      </c>
      <c r="G3059" s="20" t="s">
        <v>542</v>
      </c>
      <c r="H3059" s="20" t="s">
        <v>543</v>
      </c>
      <c r="I3059" s="20" t="s">
        <v>544</v>
      </c>
      <c r="J3059" s="20" t="s">
        <v>545</v>
      </c>
      <c r="K3059" s="20" t="s">
        <v>546</v>
      </c>
      <c r="L3059" s="20" t="s">
        <v>547</v>
      </c>
      <c r="M3059" s="20" t="s">
        <v>548</v>
      </c>
      <c r="N3059" s="20" t="s">
        <v>549</v>
      </c>
      <c r="O3059" s="20" t="s">
        <v>550</v>
      </c>
      <c r="P3059" s="6" t="s">
        <v>23</v>
      </c>
      <c r="R3059" s="20" t="n">
        <v>2023</v>
      </c>
      <c r="S3059" s="20" t="n">
        <v>2024</v>
      </c>
      <c r="T3059" s="20" t="n">
        <v>2025</v>
      </c>
      <c r="U3059" s="20" t="n">
        <v>2026</v>
      </c>
      <c r="V3059" s="20" t="n">
        <v>2027</v>
      </c>
      <c r="W3059" s="20" t="n">
        <v>2028</v>
      </c>
      <c r="X3059" s="20" t="n">
        <v>2029</v>
      </c>
      <c r="Y3059" s="20" t="n">
        <v>2030</v>
      </c>
      <c r="Z3059" s="20" t="n">
        <v>2031</v>
      </c>
      <c r="AA3059" s="20" t="n">
        <v>2032</v>
      </c>
    </row>
    <row r="3060" customFormat="false" ht="17.15" hidden="false" customHeight="false" outlineLevel="0" collapsed="false">
      <c r="A3060" s="1" t="s">
        <v>551</v>
      </c>
    </row>
    <row r="3061" customFormat="false" ht="17.15" hidden="false" customHeight="false" outlineLevel="0" collapsed="false">
      <c r="A3061" s="14" t="s">
        <v>552</v>
      </c>
      <c r="B3061" s="13" t="s">
        <v>108</v>
      </c>
      <c r="C3061" s="32" t="n">
        <f aca="false">mw_ye24</f>
        <v>360</v>
      </c>
      <c r="D3061" s="32" t="n">
        <f aca="false">mw_ye25</f>
        <v>1440</v>
      </c>
      <c r="E3061" s="32" t="n">
        <f aca="false">mw_open</f>
        <v>2080</v>
      </c>
      <c r="F3061" s="32" t="n">
        <f aca="false">Sens!$E$3061+pace_B*0.5</f>
        <v>3897.15</v>
      </c>
      <c r="G3061" s="32" t="n">
        <f aca="false">Sens!$F$3061</f>
        <v>3897.15</v>
      </c>
      <c r="H3061" s="32" t="n">
        <f aca="false">Sens!$G$3061+pace_B</f>
        <v>7531.45</v>
      </c>
      <c r="I3061" s="32" t="n">
        <f aca="false">Sens!$H$3061+pace_B</f>
        <v>11165.75</v>
      </c>
      <c r="J3061" s="32" t="n">
        <f aca="false">Sens!$I$3061+pace_B</f>
        <v>14800.05</v>
      </c>
      <c r="K3061" s="32" t="n">
        <f aca="false">Sens!$J$3061+pace_B</f>
        <v>18434.35</v>
      </c>
      <c r="L3061" s="32" t="n">
        <f aca="false">Sens!$K$3061+pace_B</f>
        <v>22068.65</v>
      </c>
      <c r="M3061" s="32" t="n">
        <f aca="false">Sens!$L$3061+pace_B</f>
        <v>25702.95</v>
      </c>
      <c r="N3061" s="32" t="n">
        <f aca="false">(mw_ye24+mw_ye25)/2</f>
        <v>900</v>
      </c>
      <c r="O3061" s="32" t="n">
        <f aca="false">mw_ye25</f>
        <v>1440</v>
      </c>
      <c r="P3061" s="5" t="s">
        <v>553</v>
      </c>
    </row>
    <row r="3062" customFormat="false" ht="17.15" hidden="false" customHeight="false" outlineLevel="0" collapsed="false">
      <c r="A3062" s="5" t="s">
        <v>554</v>
      </c>
      <c r="B3062" s="0" t="s">
        <v>108</v>
      </c>
      <c r="C3062" s="33" t="n">
        <f aca="false">(mw_ye23+mw_ye24)/2</f>
        <v>240</v>
      </c>
      <c r="D3062" s="33" t="n">
        <f aca="false">(Sens!$C$3061+Sens!$D$3061)/2</f>
        <v>900</v>
      </c>
      <c r="E3062" s="33" t="n">
        <f aca="false">(Sens!$D$3061+Sens!$E$3061)/2</f>
        <v>1760</v>
      </c>
      <c r="F3062" s="33" t="n">
        <f aca="false">(Sens!$E$3061+Sens!$F$3061)/2</f>
        <v>2988.575</v>
      </c>
      <c r="G3062" s="33" t="n">
        <f aca="false">(Sens!$E$3062+Sens!$F$3062)/2</f>
        <v>2374.2875</v>
      </c>
      <c r="H3062" s="33" t="n">
        <f aca="false">(Sens!$G$3061+Sens!$H$3061)/2</f>
        <v>5714.3</v>
      </c>
      <c r="I3062" s="33" t="n">
        <f aca="false">(Sens!$H$3061+Sens!$I$3061)/2</f>
        <v>9348.6</v>
      </c>
      <c r="J3062" s="33" t="n">
        <f aca="false">(Sens!$I$3061+Sens!$J$3061)/2</f>
        <v>12982.9</v>
      </c>
      <c r="K3062" s="33" t="n">
        <f aca="false">(Sens!$J$3061+Sens!$K$3061)/2</f>
        <v>16617.2</v>
      </c>
      <c r="L3062" s="33" t="n">
        <f aca="false">(Sens!$K$3061+Sens!$L$3061)/2</f>
        <v>20251.5</v>
      </c>
      <c r="M3062" s="33" t="n">
        <f aca="false">(Sens!$L$3061+Sens!$M$3061)/2</f>
        <v>23885.8</v>
      </c>
      <c r="N3062" s="33" t="n">
        <f aca="false">(Sens!$C$3061+Sens!$N$3061)/2</f>
        <v>630</v>
      </c>
      <c r="O3062" s="33" t="n">
        <f aca="false">(Sens!$N$3061+Sens!$O$3061)/2</f>
        <v>1170</v>
      </c>
    </row>
    <row r="3063" customFormat="false" ht="15" hidden="false" customHeight="false" outlineLevel="0" collapsed="false">
      <c r="A3063" s="5" t="s">
        <v>555</v>
      </c>
      <c r="B3063" s="5" t="s">
        <v>102</v>
      </c>
      <c r="C3063" s="34" t="n">
        <v>1</v>
      </c>
      <c r="D3063" s="34" t="n">
        <v>1</v>
      </c>
      <c r="E3063" s="34" t="n">
        <v>0.5</v>
      </c>
      <c r="F3063" s="34" t="n">
        <v>0.5</v>
      </c>
      <c r="G3063" s="34" t="n">
        <v>1</v>
      </c>
      <c r="H3063" s="34" t="n">
        <v>1</v>
      </c>
      <c r="I3063" s="34" t="n">
        <v>1</v>
      </c>
      <c r="J3063" s="34" t="n">
        <v>1</v>
      </c>
      <c r="K3063" s="34" t="n">
        <v>1</v>
      </c>
      <c r="L3063" s="34" t="n">
        <v>1</v>
      </c>
      <c r="M3063" s="34" t="n">
        <v>1</v>
      </c>
      <c r="N3063" s="34" t="n">
        <v>0.5</v>
      </c>
      <c r="O3063" s="34" t="n">
        <v>0.5</v>
      </c>
    </row>
    <row r="3064" customFormat="false" ht="17.15" hidden="false" customHeight="false" outlineLevel="0" collapsed="false">
      <c r="A3064" s="5" t="s">
        <v>556</v>
      </c>
      <c r="B3064" s="0" t="s">
        <v>108</v>
      </c>
      <c r="C3064" s="33" t="n">
        <f aca="false">Sens!$C$3061-mw_ye23</f>
        <v>240</v>
      </c>
      <c r="D3064" s="33" t="n">
        <f aca="false">Sens!$D$3061-Sens!$C$3061</f>
        <v>1080</v>
      </c>
      <c r="E3064" s="33" t="n">
        <f aca="false">Sens!$E$3061-Sens!$D$3061</f>
        <v>640</v>
      </c>
      <c r="F3064" s="33" t="n">
        <f aca="false">Sens!$F$3061-Sens!$E$3061</f>
        <v>1817.15</v>
      </c>
      <c r="G3064" s="33" t="n">
        <f aca="false">Sens!$E$3064+Sens!$F$3064</f>
        <v>2457.15</v>
      </c>
      <c r="H3064" s="33" t="n">
        <f aca="false">Sens!$H$3061-Sens!$G$3061</f>
        <v>3634.3</v>
      </c>
      <c r="I3064" s="33" t="n">
        <f aca="false">Sens!$I$3061-Sens!$H$3061</f>
        <v>3634.3</v>
      </c>
      <c r="J3064" s="33" t="n">
        <f aca="false">Sens!$J$3061-Sens!$I$3061</f>
        <v>3634.3</v>
      </c>
      <c r="K3064" s="33" t="n">
        <f aca="false">Sens!$K$3061-Sens!$J$3061</f>
        <v>3634.3</v>
      </c>
      <c r="L3064" s="33" t="n">
        <f aca="false">Sens!$L$3061-Sens!$K$3061</f>
        <v>3634.3</v>
      </c>
      <c r="M3064" s="33" t="n">
        <f aca="false">Sens!$M$3061-Sens!$L$3061</f>
        <v>3634.3</v>
      </c>
      <c r="N3064" s="33" t="n">
        <f aca="false">Sens!$N$3061-Sens!$C$3061</f>
        <v>540</v>
      </c>
      <c r="O3064" s="33" t="n">
        <f aca="false">Sens!$O$3061-Sens!$N$3061</f>
        <v>540</v>
      </c>
    </row>
    <row r="3065" customFormat="false" ht="17.15" hidden="false" customHeight="false" outlineLevel="0" collapsed="false">
      <c r="A3065" s="5" t="s">
        <v>557</v>
      </c>
      <c r="B3065" s="0" t="s">
        <v>108</v>
      </c>
      <c r="C3065" s="33" t="n">
        <f aca="false">Sens!$C$3064/ext_sh</f>
        <v>300</v>
      </c>
      <c r="D3065" s="33" t="n">
        <f aca="false">Sens!$D$3064/ext_sh</f>
        <v>1350</v>
      </c>
      <c r="E3065" s="33" t="n">
        <f aca="false">Sens!$E$3064/ext_sh</f>
        <v>800</v>
      </c>
      <c r="F3065" s="33" t="n">
        <f aca="false">Sens!$F$3064/ext_sh</f>
        <v>2271.4375</v>
      </c>
      <c r="G3065" s="33" t="n">
        <f aca="false">Sens!$G$3064/ext_sh</f>
        <v>3071.4375</v>
      </c>
      <c r="H3065" s="33" t="n">
        <f aca="false">Sens!$H$3064/ext_sh</f>
        <v>4542.875</v>
      </c>
      <c r="I3065" s="33" t="n">
        <f aca="false">Sens!$I$3064/ext_sh</f>
        <v>4542.875</v>
      </c>
      <c r="J3065" s="33" t="n">
        <f aca="false">Sens!$J$3064/ext_sh</f>
        <v>4542.875</v>
      </c>
      <c r="K3065" s="33" t="n">
        <f aca="false">Sens!$K$3064/ext_sh</f>
        <v>4542.875</v>
      </c>
      <c r="L3065" s="33" t="n">
        <f aca="false">Sens!$L$3064/ext_sh</f>
        <v>4542.875</v>
      </c>
      <c r="M3065" s="33" t="n">
        <f aca="false">Sens!$M$3064/ext_sh</f>
        <v>4542.875</v>
      </c>
      <c r="N3065" s="33" t="n">
        <f aca="false">Sens!$N$3064/ext_sh</f>
        <v>675</v>
      </c>
      <c r="O3065" s="33" t="n">
        <f aca="false">Sens!$O$3064/ext_sh</f>
        <v>675</v>
      </c>
      <c r="P3065" s="8" t="s">
        <v>558</v>
      </c>
      <c r="R3065" s="33" t="n">
        <f aca="false">mw_ye23/ext_sh</f>
        <v>150</v>
      </c>
      <c r="S3065" s="33" t="n">
        <f aca="false">Sens!$C$3065</f>
        <v>300</v>
      </c>
      <c r="T3065" s="33" t="n">
        <f aca="false">Sens!$D$3065</f>
        <v>1350</v>
      </c>
      <c r="U3065" s="33" t="n">
        <f aca="false">Sens!$G$3065</f>
        <v>3071.4375</v>
      </c>
      <c r="V3065" s="33" t="n">
        <f aca="false">Sens!$H$3065</f>
        <v>4542.875</v>
      </c>
      <c r="W3065" s="33" t="n">
        <f aca="false">Sens!$I$3065</f>
        <v>4542.875</v>
      </c>
      <c r="X3065" s="33" t="n">
        <f aca="false">Sens!$J$3065</f>
        <v>4542.875</v>
      </c>
      <c r="Y3065" s="33" t="n">
        <f aca="false">Sens!$K$3065</f>
        <v>4542.875</v>
      </c>
      <c r="Z3065" s="33" t="n">
        <f aca="false">Sens!$L$3065</f>
        <v>4542.875</v>
      </c>
      <c r="AA3065" s="33" t="n">
        <f aca="false">Sens!$M$3065</f>
        <v>4542.875</v>
      </c>
    </row>
    <row r="3066" customFormat="false" ht="17.15" hidden="false" customHeight="false" outlineLevel="0" collapsed="false">
      <c r="A3066" s="1" t="s">
        <v>559</v>
      </c>
    </row>
    <row r="3067" customFormat="false" ht="17.15" hidden="false" customHeight="false" outlineLevel="0" collapsed="false">
      <c r="A3067" s="0" t="s">
        <v>560</v>
      </c>
      <c r="B3067" s="0" t="s">
        <v>52</v>
      </c>
      <c r="F3067" s="35" t="n">
        <f aca="false">na_vr26</f>
        <v>0</v>
      </c>
      <c r="G3067" s="35" t="n">
        <f aca="false">na_vr26</f>
        <v>0</v>
      </c>
      <c r="H3067" s="35" t="n">
        <f aca="false">na_vr27</f>
        <v>0.5</v>
      </c>
      <c r="I3067" s="35" t="n">
        <f aca="false">na_vr28</f>
        <v>1</v>
      </c>
      <c r="J3067" s="35" t="n">
        <f aca="false">na_vr28</f>
        <v>1</v>
      </c>
      <c r="K3067" s="35" t="n">
        <f aca="false">na_vr28</f>
        <v>1</v>
      </c>
      <c r="L3067" s="35" t="n">
        <f aca="false">na_vr28</f>
        <v>1</v>
      </c>
      <c r="M3067" s="35" t="n">
        <f aca="false">na_vr28</f>
        <v>1</v>
      </c>
    </row>
    <row r="3068" customFormat="false" ht="17.15" hidden="false" customHeight="false" outlineLevel="0" collapsed="false">
      <c r="A3068" s="5" t="s">
        <v>561</v>
      </c>
      <c r="B3068" s="0" t="s">
        <v>151</v>
      </c>
      <c r="F3068" s="36" t="n">
        <f aca="false">cust_sh*tk_he_gb300*cf_chip+(1-cust_sh)*((1-Sens!$F$3067)*tk_he_gb300+Sens!$F$3067*tk_he_vr200)</f>
        <v>10.8864110021101</v>
      </c>
      <c r="G3068" s="36" t="n">
        <f aca="false">cust_sh*tk_he_gb300*cf_chip+(1-cust_sh)*((1-Sens!$G$3067)*tk_he_gb300+Sens!$G$3067*tk_he_vr200)</f>
        <v>10.8864110021101</v>
      </c>
      <c r="H3068" s="36" t="n">
        <f aca="false">cust_sh*tk_he_gb300*cf_chip+(1-cust_sh)*((1-Sens!$H$3067)*tk_he_gb300+Sens!$H$3067*tk_he_vr200)</f>
        <v>11.2211760027286</v>
      </c>
      <c r="I3068" s="36" t="n">
        <f aca="false">cust_sh*tk_he_gb300*cf_chip+(1-cust_sh)*((1-Sens!$I$3067)*tk_he_gb300+Sens!$I$3067*tk_he_vr200)</f>
        <v>11.5559410033471</v>
      </c>
      <c r="J3068" s="36" t="n">
        <f aca="false">cust_sh*tk_he_gb300*cf_chip+(1-cust_sh)*((1-Sens!$J$3067)*tk_he_gb300+Sens!$J$3067*tk_he_vr200)</f>
        <v>11.5559410033471</v>
      </c>
      <c r="K3068" s="36" t="n">
        <f aca="false">cust_sh*tk_he_gb300*cf_chip+(1-cust_sh)*((1-Sens!$K$3067)*tk_he_gb300+Sens!$K$3067*tk_he_vr200)</f>
        <v>11.5559410033471</v>
      </c>
      <c r="L3068" s="36" t="n">
        <f aca="false">cust_sh*tk_he_gb300*cf_chip+(1-cust_sh)*((1-Sens!$L$3067)*tk_he_gb300+Sens!$L$3067*tk_he_vr200)</f>
        <v>11.5559410033471</v>
      </c>
      <c r="M3068" s="36" t="n">
        <f aca="false">cust_sh*tk_he_gb300*cf_chip+(1-cust_sh)*((1-Sens!$M$3067)*tk_he_gb300+Sens!$M$3067*tk_he_vr200)</f>
        <v>11.5559410033471</v>
      </c>
    </row>
    <row r="3069" customFormat="false" ht="17.15" hidden="false" customHeight="false" outlineLevel="0" collapsed="false">
      <c r="A3069" s="5" t="s">
        <v>562</v>
      </c>
      <c r="B3069" s="0" t="s">
        <v>151</v>
      </c>
      <c r="F3069" s="36" t="n">
        <f aca="false">cust_sh*tk_ox_gb300+(1-cust_sh)*((1-Sens!$F$3067)*tk_ox_gb300+Sens!$F$3067*tk_ox_vr200)</f>
        <v>1.98263481314457</v>
      </c>
      <c r="G3069" s="36" t="n">
        <f aca="false">cust_sh*tk_ox_gb300+(1-cust_sh)*((1-Sens!$G$3067)*tk_ox_gb300+Sens!$G$3067*tk_ox_vr200)</f>
        <v>1.98263481314457</v>
      </c>
      <c r="H3069" s="36" t="n">
        <f aca="false">cust_sh*tk_ox_gb300+(1-cust_sh)*((1-Sens!$H$3067)*tk_ox_gb300+Sens!$H$3067*tk_ox_vr200)</f>
        <v>2.01034999693694</v>
      </c>
      <c r="I3069" s="36" t="n">
        <f aca="false">cust_sh*tk_ox_gb300+(1-cust_sh)*((1-Sens!$I$3067)*tk_ox_gb300+Sens!$I$3067*tk_ox_vr200)</f>
        <v>2.0380651807293</v>
      </c>
      <c r="J3069" s="36" t="n">
        <f aca="false">cust_sh*tk_ox_gb300+(1-cust_sh)*((1-Sens!$J$3067)*tk_ox_gb300+Sens!$J$3067*tk_ox_vr200)</f>
        <v>2.0380651807293</v>
      </c>
      <c r="K3069" s="36" t="n">
        <f aca="false">cust_sh*tk_ox_gb300+(1-cust_sh)*((1-Sens!$K$3067)*tk_ox_gb300+Sens!$K$3067*tk_ox_vr200)</f>
        <v>2.0380651807293</v>
      </c>
      <c r="L3069" s="36" t="n">
        <f aca="false">cust_sh*tk_ox_gb300+(1-cust_sh)*((1-Sens!$L$3067)*tk_ox_gb300+Sens!$L$3067*tk_ox_vr200)</f>
        <v>2.0380651807293</v>
      </c>
      <c r="M3069" s="36" t="n">
        <f aca="false">cust_sh*tk_ox_gb300+(1-cust_sh)*((1-Sens!$M$3067)*tk_ox_gb300+Sens!$M$3067*tk_ox_vr200)</f>
        <v>2.0380651807293</v>
      </c>
    </row>
    <row r="3070" customFormat="false" ht="17.15" hidden="false" customHeight="false" outlineLevel="0" collapsed="false">
      <c r="A3070" s="5" t="s">
        <v>563</v>
      </c>
      <c r="B3070" s="0" t="s">
        <v>170</v>
      </c>
      <c r="F3070" s="36" t="n">
        <f aca="false">cust_sh*tk_cx_gb300*cf_cx+(1-cust_sh)*((1-Sens!$F$3067)*tk_cx_gb300+Sens!$F$3067*tk_cx_vr200)</f>
        <v>32.237224</v>
      </c>
      <c r="G3070" s="36" t="n">
        <f aca="false">cust_sh*tk_cx_gb300*cf_cx+(1-cust_sh)*((1-Sens!$G$3067)*tk_cx_gb300+Sens!$G$3067*tk_cx_vr200)</f>
        <v>32.237224</v>
      </c>
      <c r="H3070" s="36" t="n">
        <f aca="false">cust_sh*tk_cx_gb300*cf_cx+(1-cust_sh)*((1-Sens!$H$3067)*tk_cx_gb300+Sens!$H$3067*tk_cx_vr200)</f>
        <v>33.574506</v>
      </c>
      <c r="I3070" s="36" t="n">
        <f aca="false">cust_sh*tk_cx_gb300*cf_cx+(1-cust_sh)*((1-Sens!$I$3067)*tk_cx_gb300+Sens!$I$3067*tk_cx_vr200)</f>
        <v>34.911788</v>
      </c>
      <c r="J3070" s="36" t="n">
        <f aca="false">cust_sh*tk_cx_gb300*cf_cx+(1-cust_sh)*((1-Sens!$J$3067)*tk_cx_gb300+Sens!$J$3067*tk_cx_vr200)</f>
        <v>34.911788</v>
      </c>
      <c r="K3070" s="36" t="n">
        <f aca="false">cust_sh*tk_cx_gb300*cf_cx+(1-cust_sh)*((1-Sens!$K$3067)*tk_cx_gb300+Sens!$K$3067*tk_cx_vr200)</f>
        <v>34.911788</v>
      </c>
      <c r="L3070" s="36" t="n">
        <f aca="false">cust_sh*tk_cx_gb300*cf_cx+(1-cust_sh)*((1-Sens!$L$3067)*tk_cx_gb300+Sens!$L$3067*tk_cx_vr200)</f>
        <v>34.911788</v>
      </c>
      <c r="M3070" s="36" t="n">
        <f aca="false">cust_sh*tk_cx_gb300*cf_cx+(1-cust_sh)*((1-Sens!$M$3067)*tk_cx_gb300+Sens!$M$3067*tk_cx_vr200)</f>
        <v>34.911788</v>
      </c>
    </row>
    <row r="3071" customFormat="false" ht="17.15" hidden="false" customHeight="false" outlineLevel="0" collapsed="false">
      <c r="A3071" s="5" t="s">
        <v>564</v>
      </c>
      <c r="B3071" s="0" t="s">
        <v>108</v>
      </c>
      <c r="F3071" s="33" t="n">
        <f aca="false">Sens!$F$3061-mw_open</f>
        <v>1817.15</v>
      </c>
      <c r="G3071" s="33" t="n">
        <f aca="false">Sens!$F$3071</f>
        <v>1817.15</v>
      </c>
      <c r="H3071" s="33" t="n">
        <f aca="false">Sens!$H$3061-mw_open</f>
        <v>5451.45</v>
      </c>
      <c r="I3071" s="33" t="n">
        <f aca="false">Sens!$I$3061-mw_open</f>
        <v>9085.75</v>
      </c>
      <c r="J3071" s="33" t="n">
        <f aca="false">Sens!$J$3061-mw_open</f>
        <v>12720.05</v>
      </c>
      <c r="K3071" s="33" t="n">
        <f aca="false">Sens!$K$3061-mw_open</f>
        <v>16354.35</v>
      </c>
      <c r="L3071" s="33" t="n">
        <f aca="false">Sens!$L$3061-mw_open</f>
        <v>19988.65</v>
      </c>
      <c r="M3071" s="33" t="n">
        <f aca="false">Sens!$M$3061-mw_open</f>
        <v>23622.95</v>
      </c>
    </row>
    <row r="3072" customFormat="false" ht="17.15" hidden="false" customHeight="false" outlineLevel="0" collapsed="false">
      <c r="A3072" s="0" t="s">
        <v>565</v>
      </c>
      <c r="B3072" s="0" t="s">
        <v>566</v>
      </c>
      <c r="F3072" s="33" t="n">
        <f aca="false">Sens!$F$3064*Sens!$F$3068</f>
        <v>19782.2417524844</v>
      </c>
      <c r="G3072" s="33" t="n">
        <f aca="false">Sens!$F$3072</f>
        <v>19782.2417524844</v>
      </c>
      <c r="H3072" s="33" t="n">
        <f aca="false">Sens!$G$3072+Sens!$H$3064*Sens!$H$3068</f>
        <v>60563.3616992009</v>
      </c>
      <c r="I3072" s="33" t="n">
        <f aca="false">Sens!$H$3072+Sens!$I$3064*Sens!$I$3068</f>
        <v>102561.118087665</v>
      </c>
      <c r="J3072" s="33" t="n">
        <f aca="false">Sens!$I$3072+Sens!$J$3064*Sens!$J$3068</f>
        <v>144558.87447613</v>
      </c>
      <c r="K3072" s="33" t="n">
        <f aca="false">Sens!$J$3072+Sens!$K$3064*Sens!$K$3068</f>
        <v>186556.630864594</v>
      </c>
      <c r="L3072" s="33" t="n">
        <f aca="false">Sens!$K$3072+Sens!$L$3064*Sens!$L$3068</f>
        <v>228554.387253058</v>
      </c>
      <c r="M3072" s="33" t="n">
        <f aca="false">Sens!$L$3072+Sens!$M$3064*Sens!$M$3068</f>
        <v>270552.143641523</v>
      </c>
    </row>
    <row r="3073" customFormat="false" ht="17.15" hidden="false" customHeight="false" outlineLevel="0" collapsed="false">
      <c r="A3073" s="0" t="s">
        <v>567</v>
      </c>
      <c r="B3073" s="0" t="s">
        <v>566</v>
      </c>
      <c r="F3073" s="33" t="n">
        <f aca="false">Sens!$F$3064*Sens!$F$3069</f>
        <v>3602.74485070566</v>
      </c>
      <c r="G3073" s="33" t="n">
        <f aca="false">Sens!$F$3073</f>
        <v>3602.74485070566</v>
      </c>
      <c r="H3073" s="33" t="n">
        <f aca="false">Sens!$G$3073+Sens!$H$3064*Sens!$H$3069</f>
        <v>10908.9598445736</v>
      </c>
      <c r="I3073" s="33" t="n">
        <f aca="false">Sens!$H$3073+Sens!$I$3064*Sens!$I$3069</f>
        <v>18315.9001308981</v>
      </c>
      <c r="J3073" s="33" t="n">
        <f aca="false">Sens!$I$3073+Sens!$J$3064*Sens!$J$3069</f>
        <v>25722.8404172225</v>
      </c>
      <c r="K3073" s="33" t="n">
        <f aca="false">Sens!$J$3073+Sens!$K$3064*Sens!$K$3069</f>
        <v>33129.780703547</v>
      </c>
      <c r="L3073" s="33" t="n">
        <f aca="false">Sens!$K$3073+Sens!$L$3064*Sens!$L$3069</f>
        <v>40536.7209898715</v>
      </c>
      <c r="M3073" s="33" t="n">
        <f aca="false">Sens!$L$3073+Sens!$M$3064*Sens!$M$3069</f>
        <v>47943.661276196</v>
      </c>
    </row>
    <row r="3074" customFormat="false" ht="17.15" hidden="false" customHeight="false" outlineLevel="0" collapsed="false">
      <c r="A3074" s="5" t="s">
        <v>568</v>
      </c>
      <c r="B3074" s="0" t="s">
        <v>151</v>
      </c>
      <c r="F3074" s="36" t="n">
        <f aca="false">IF(Sens!$F$3071&gt;0,Sens!$F$3072/Sens!$F$3071,Sens!$F$3068)</f>
        <v>10.8864110021101</v>
      </c>
      <c r="G3074" s="36" t="n">
        <f aca="false">IF(Sens!$G$3071&gt;0,Sens!$G$3072/Sens!$G$3071,Sens!$G$3068)</f>
        <v>10.8864110021101</v>
      </c>
      <c r="H3074" s="36" t="n">
        <f aca="false">IF(Sens!$H$3071&gt;0,Sens!$H$3072/Sens!$H$3071,Sens!$H$3068)</f>
        <v>11.1095876691891</v>
      </c>
      <c r="I3074" s="36" t="n">
        <f aca="false">IF(Sens!$I$3071&gt;0,Sens!$I$3072/Sens!$I$3071,Sens!$I$3068)</f>
        <v>11.2881290028523</v>
      </c>
      <c r="J3074" s="36" t="n">
        <f aca="false">IF(Sens!$J$3071&gt;0,Sens!$J$3072/Sens!$J$3071,Sens!$J$3068)</f>
        <v>11.3646467172794</v>
      </c>
      <c r="K3074" s="36" t="n">
        <f aca="false">IF(Sens!$K$3071&gt;0,Sens!$K$3072/Sens!$K$3071,Sens!$K$3068)</f>
        <v>11.4071565586278</v>
      </c>
      <c r="L3074" s="36" t="n">
        <f aca="false">IF(Sens!$L$3071&gt;0,Sens!$L$3072/Sens!$L$3071,Sens!$L$3068)</f>
        <v>11.4342082758495</v>
      </c>
      <c r="M3074" s="36" t="n">
        <f aca="false">IF(Sens!$M$3071&gt;0,Sens!$M$3072/Sens!$M$3071,Sens!$M$3068)</f>
        <v>11.4529363877722</v>
      </c>
    </row>
    <row r="3075" customFormat="false" ht="17.15" hidden="false" customHeight="false" outlineLevel="0" collapsed="false">
      <c r="A3075" s="5" t="s">
        <v>569</v>
      </c>
      <c r="B3075" s="0" t="s">
        <v>151</v>
      </c>
      <c r="F3075" s="36" t="n">
        <f aca="false">IF(Sens!$F$3071&gt;0,Sens!$F$3073/Sens!$F$3071,Sens!$F$3069)</f>
        <v>1.98263481314457</v>
      </c>
      <c r="G3075" s="36" t="n">
        <f aca="false">IF(Sens!$G$3071&gt;0,Sens!$G$3073/Sens!$G$3071,Sens!$G$3069)</f>
        <v>1.98263481314457</v>
      </c>
      <c r="H3075" s="36" t="n">
        <f aca="false">IF(Sens!$H$3071&gt;0,Sens!$H$3073/Sens!$H$3071,Sens!$H$3069)</f>
        <v>2.00111160233948</v>
      </c>
      <c r="I3075" s="36" t="n">
        <f aca="false">IF(Sens!$I$3071&gt;0,Sens!$I$3073/Sens!$I$3071,Sens!$I$3069)</f>
        <v>2.01589303369541</v>
      </c>
      <c r="J3075" s="36" t="n">
        <f aca="false">IF(Sens!$J$3071&gt;0,Sens!$J$3073/Sens!$J$3071,Sens!$J$3069)</f>
        <v>2.02222793284795</v>
      </c>
      <c r="K3075" s="36" t="n">
        <f aca="false">IF(Sens!$K$3071&gt;0,Sens!$K$3073/Sens!$K$3071,Sens!$K$3069)</f>
        <v>2.02574732126603</v>
      </c>
      <c r="L3075" s="36" t="n">
        <f aca="false">IF(Sens!$L$3071&gt;0,Sens!$L$3073/Sens!$L$3071,Sens!$L$3069)</f>
        <v>2.02798693207753</v>
      </c>
      <c r="M3075" s="36" t="n">
        <f aca="false">IF(Sens!$M$3071&gt;0,Sens!$M$3073/Sens!$M$3071,Sens!$M$3069)</f>
        <v>2.02953743187011</v>
      </c>
    </row>
    <row r="3076" customFormat="false" ht="17.15" hidden="false" customHeight="false" outlineLevel="0" collapsed="false">
      <c r="A3076" s="14" t="s">
        <v>570</v>
      </c>
      <c r="B3076" s="13" t="s">
        <v>151</v>
      </c>
      <c r="C3076" s="13"/>
      <c r="D3076" s="13"/>
      <c r="E3076" s="13"/>
      <c r="F3076" s="37" t="n">
        <f aca="false">Sens!$F$3074*k_B</f>
        <v>10.7987645808025</v>
      </c>
      <c r="G3076" s="37" t="n">
        <f aca="false">Sens!$G$3074*k_B</f>
        <v>10.7987645808025</v>
      </c>
      <c r="H3076" s="37" t="n">
        <f aca="false">Sens!$H$3074*k_B</f>
        <v>11.0201444540452</v>
      </c>
      <c r="I3076" s="37" t="n">
        <f aca="false">Sens!$I$3074*k_B</f>
        <v>11.1972483526393</v>
      </c>
      <c r="J3076" s="37" t="n">
        <f aca="false">Sens!$J$3074*k_B</f>
        <v>11.2731500234653</v>
      </c>
      <c r="K3076" s="37" t="n">
        <f aca="false">Sens!$K$3074*k_B</f>
        <v>11.3153176183687</v>
      </c>
      <c r="L3076" s="37" t="n">
        <f aca="false">Sens!$L$3074*k_B</f>
        <v>11.3421515423981</v>
      </c>
      <c r="M3076" s="37" t="n">
        <f aca="false">Sens!$M$3074*k_B</f>
        <v>11.3607288744184</v>
      </c>
      <c r="N3076" s="13"/>
      <c r="O3076" s="13"/>
      <c r="P3076" s="5" t="s">
        <v>571</v>
      </c>
    </row>
    <row r="3077" customFormat="false" ht="17.15" hidden="false" customHeight="false" outlineLevel="0" collapsed="false">
      <c r="A3077" s="5" t="s">
        <v>572</v>
      </c>
      <c r="B3077" s="0" t="s">
        <v>108</v>
      </c>
      <c r="F3077" s="33" t="n">
        <f aca="false">Sens!$F$3071/2</f>
        <v>908.575</v>
      </c>
      <c r="H3077" s="33" t="n">
        <f aca="false">(Sens!$G$3071+Sens!$H$3071)/2</f>
        <v>3634.3</v>
      </c>
      <c r="I3077" s="33" t="n">
        <f aca="false">(Sens!$H$3071+Sens!$I$3071)/2</f>
        <v>7268.6</v>
      </c>
      <c r="J3077" s="33" t="n">
        <f aca="false">(Sens!$I$3071+Sens!$J$3071)/2</f>
        <v>10902.9</v>
      </c>
      <c r="K3077" s="33" t="n">
        <f aca="false">(Sens!$J$3071+Sens!$K$3071)/2</f>
        <v>14537.2</v>
      </c>
      <c r="L3077" s="33" t="n">
        <f aca="false">(Sens!$K$3071+Sens!$L$3071)/2</f>
        <v>18171.5</v>
      </c>
      <c r="M3077" s="33" t="n">
        <f aca="false">(Sens!$L$3071+Sens!$M$3071)/2</f>
        <v>21805.8</v>
      </c>
    </row>
    <row r="3078" customFormat="false" ht="17.15" hidden="false" customHeight="false" outlineLevel="0" collapsed="false">
      <c r="A3078" s="1" t="s">
        <v>573</v>
      </c>
    </row>
    <row r="3079" customFormat="false" ht="17.15" hidden="false" customHeight="false" outlineLevel="0" collapsed="false">
      <c r="A3079" s="1" t="s">
        <v>574</v>
      </c>
      <c r="B3079" s="8" t="s">
        <v>73</v>
      </c>
      <c r="C3079" s="38" t="n">
        <f aca="false">Sens!$C$3062*rpm_open*Sens!$C$3063/1000</f>
        <v>2.32100535697364</v>
      </c>
      <c r="D3079" s="38" t="n">
        <f aca="false">Sens!$D$3062*rpm_open*Sens!$D$3063/1000</f>
        <v>8.70377008865116</v>
      </c>
      <c r="E3079" s="38" t="n">
        <f aca="false">Sens!$E$3062*rpm_open*Sens!$E$3063/1000</f>
        <v>8.51035297557002</v>
      </c>
      <c r="F3079" s="38" t="n">
        <f aca="false">(mw_open*rpm_open+Sens!$F$3077*Sens!$F$3076)*Sens!$F$3063/1000</f>
        <v>14.9634336447205</v>
      </c>
      <c r="G3079" s="38" t="n">
        <f aca="false">Sens!$E$3079+Sens!$F$3079</f>
        <v>23.4737866202905</v>
      </c>
      <c r="H3079" s="38" t="n">
        <f aca="false">(mw_open*rpm_open+Sens!$H$3077*Sens!$H$3076)/1000</f>
        <v>60.1658907497746</v>
      </c>
      <c r="I3079" s="38" t="n">
        <f aca="false">(mw_open*rpm_open+Sens!$I$3077*Sens!$I$3076)/1000</f>
        <v>101.503699136432</v>
      </c>
      <c r="J3079" s="38" t="n">
        <f aca="false">(mw_open*rpm_open+Sens!$J$3077*Sens!$J$3076)/1000</f>
        <v>143.025407151278</v>
      </c>
      <c r="K3079" s="38" t="n">
        <f aca="false">(mw_open*rpm_open+Sens!$K$3077*Sens!$K$3076)/1000</f>
        <v>184.608415042187</v>
      </c>
      <c r="L3079" s="38" t="n">
        <f aca="false">(mw_open*rpm_open+Sens!$L$3077*Sens!$L$3076)/1000</f>
        <v>226.219286513125</v>
      </c>
      <c r="M3079" s="38" t="n">
        <f aca="false">(mw_open*rpm_open+Sens!$M$3077*Sens!$M$3076)/1000</f>
        <v>267.845161450232</v>
      </c>
      <c r="N3079" s="38" t="n">
        <f aca="false">Sens!$N$3062*rpm_open*Sens!$N$3063/1000</f>
        <v>3.04631953102791</v>
      </c>
      <c r="O3079" s="38" t="n">
        <f aca="false">Sens!$O$3062*rpm_open*Sens!$O$3063/1000</f>
        <v>5.65745055762326</v>
      </c>
      <c r="P3079" s="5" t="s">
        <v>575</v>
      </c>
    </row>
    <row r="3080" customFormat="false" ht="17.15" hidden="false" customHeight="false" outlineLevel="0" collapsed="false">
      <c r="A3080" s="5" t="s">
        <v>576</v>
      </c>
      <c r="B3080" s="0" t="s">
        <v>151</v>
      </c>
      <c r="C3080" s="36" t="n">
        <f aca="false">Sens!$C$3079*1000/(Sens!$C$3062*Sens!$C$3063)</f>
        <v>9.67085565405685</v>
      </c>
      <c r="D3080" s="36" t="n">
        <f aca="false">Sens!$D$3079*1000/(Sens!$D$3062*Sens!$D$3063)</f>
        <v>9.67085565405685</v>
      </c>
      <c r="E3080" s="36" t="n">
        <f aca="false">Sens!$E$3079*1000/(Sens!$E$3062*Sens!$E$3063)</f>
        <v>9.67085565405685</v>
      </c>
      <c r="F3080" s="36" t="n">
        <f aca="false">Sens!$F$3079*1000/(Sens!$F$3062*Sens!$F$3063)</f>
        <v>10.0137581588017</v>
      </c>
      <c r="G3080" s="36" t="n">
        <f aca="false">Sens!$G$3079*1000/(Sens!$G$3062*Sens!$G$3063)</f>
        <v>9.88666562928478</v>
      </c>
      <c r="H3080" s="36" t="n">
        <f aca="false">Sens!$H$3079*1000/(Sens!$H$3062*Sens!$H$3063)</f>
        <v>10.5290045586992</v>
      </c>
      <c r="I3080" s="36" t="n">
        <f aca="false">Sens!$I$3079*1000/(Sens!$I$3062*Sens!$I$3063)</f>
        <v>10.8576363451674</v>
      </c>
      <c r="J3080" s="36" t="n">
        <f aca="false">Sens!$J$3079*1000/(Sens!$J$3062*Sens!$J$3063)</f>
        <v>11.0164452588619</v>
      </c>
      <c r="K3080" s="36" t="n">
        <f aca="false">Sens!$K$3079*1000/(Sens!$K$3062*Sens!$K$3063)</f>
        <v>11.1094778327388</v>
      </c>
      <c r="L3080" s="36" t="n">
        <f aca="false">Sens!$L$3079*1000/(Sens!$L$3062*Sens!$L$3063)</f>
        <v>11.1704953466718</v>
      </c>
      <c r="M3080" s="36" t="n">
        <f aca="false">Sens!$M$3079*1000/(Sens!$M$3062*Sens!$M$3063)</f>
        <v>11.2135729785158</v>
      </c>
      <c r="N3080" s="36" t="n">
        <f aca="false">Sens!$N$3079*1000/(Sens!$N$3062*Sens!$N$3063)</f>
        <v>9.67085565405685</v>
      </c>
      <c r="O3080" s="36" t="n">
        <f aca="false">Sens!$O$3079*1000/(Sens!$O$3062*Sens!$O$3063)</f>
        <v>9.67085565405685</v>
      </c>
    </row>
    <row r="3081" customFormat="false" ht="17.15" hidden="false" customHeight="false" outlineLevel="0" collapsed="false">
      <c r="A3081" s="0" t="s">
        <v>577</v>
      </c>
      <c r="B3081" s="0" t="s">
        <v>73</v>
      </c>
      <c r="C3081" s="38" t="n">
        <f aca="false">Sens!$C$3062/ext_sh*(ox_open+rent_mw)*Sens!$C$3063/1000</f>
        <v>0.642569210675032</v>
      </c>
      <c r="D3081" s="38" t="n">
        <f aca="false">Sens!$D$3062/ext_sh*(ox_open+rent_mw)*Sens!$D$3063/1000</f>
        <v>2.40963454003137</v>
      </c>
      <c r="E3081" s="38" t="n">
        <f aca="false">Sens!$E$3062/ext_sh*(ox_open+rent_mw)*Sens!$E$3063/1000</f>
        <v>2.35608710580845</v>
      </c>
      <c r="F3081" s="38" t="n">
        <f aca="false">((mw_open*ox_open+Sens!$F$3077*Sens!$F$3075)/ext_sh+Sens!$F$3062/ext_sh*rent_mw)*Sens!$F$3063/1000</f>
        <v>4.05421991106232</v>
      </c>
      <c r="G3081" s="38" t="n">
        <f aca="false">Sens!$E$3081+Sens!$F$3081</f>
        <v>6.41030701687077</v>
      </c>
      <c r="H3081" s="38" t="n">
        <f aca="false">((mw_open*ox_open+Sens!$H$3077*Sens!$H$3075)/ext_sh+Sens!$H$3062/ext_sh*rent_mw)*Sens!$H$3063/1000</f>
        <v>15.8108975546616</v>
      </c>
      <c r="I3081" s="38" t="n">
        <f aca="false">((mw_open*ox_open+Sens!$I$3077*Sens!$I$3075)/ext_sh+Sens!$I$3062/ext_sh*rent_mw)*Sens!$I$3063/1000</f>
        <v>26.1871623400817</v>
      </c>
      <c r="J3081" s="38" t="n">
        <f aca="false">((mw_open*ox_open+Sens!$J$3077*Sens!$J$3075)/ext_sh+Sens!$J$3062/ext_sh*rent_mw)*Sens!$J$3063/1000</f>
        <v>36.5826128954935</v>
      </c>
      <c r="K3081" s="38" t="n">
        <f aca="false">((mw_open*ox_open+Sens!$K$3077*Sens!$K$3075)/ext_sh+Sens!$K$3062/ext_sh*rent_mw)*Sens!$K$3063/1000</f>
        <v>46.9844587075692</v>
      </c>
      <c r="L3081" s="38" t="n">
        <f aca="false">((mw_open*ox_open+Sens!$L$3077*Sens!$L$3075)/ext_sh+Sens!$L$3062/ext_sh*rent_mw)*Sens!$L$3063/1000</f>
        <v>57.3892114544922</v>
      </c>
      <c r="M3081" s="38" t="n">
        <f aca="false">((mw_open*ox_open+Sens!$M$3077*Sens!$M$3075)/ext_sh+Sens!$M$3062/ext_sh*rent_mw)*Sens!$M$3063/1000</f>
        <v>67.7955294740252</v>
      </c>
      <c r="N3081" s="38" t="n">
        <f aca="false">Sens!$N$3062/ext_sh*(ox_open+rent_mw)*Sens!$N$3063/1000</f>
        <v>0.84337208901098</v>
      </c>
      <c r="O3081" s="38" t="n">
        <f aca="false">Sens!$O$3062/ext_sh*(ox_open+rent_mw)*Sens!$O$3063/1000</f>
        <v>1.56626245102039</v>
      </c>
    </row>
    <row r="3082" customFormat="false" ht="17.15" hidden="false" customHeight="false" outlineLevel="0" collapsed="false">
      <c r="A3082" s="0" t="s">
        <v>578</v>
      </c>
      <c r="B3082" s="0" t="s">
        <v>73</v>
      </c>
      <c r="C3082" s="38" t="n">
        <f aca="false">Q!$D$7</f>
        <v>107.556</v>
      </c>
      <c r="D3082" s="38" t="n">
        <f aca="false">Q!$E$7</f>
        <v>128.725</v>
      </c>
      <c r="E3082" s="38" t="n">
        <f aca="false">Q!$P$7</f>
        <v>79.819</v>
      </c>
      <c r="N3082" s="38" t="n">
        <f aca="false">Q!$N$7</f>
        <v>60.14</v>
      </c>
      <c r="O3082" s="38" t="n">
        <f aca="false">Q!$O$7</f>
        <v>68.585</v>
      </c>
    </row>
    <row r="3083" customFormat="false" ht="17.15" hidden="false" customHeight="false" outlineLevel="0" collapsed="false">
      <c r="A3083" s="1" t="s">
        <v>579</v>
      </c>
      <c r="B3083" s="8" t="s">
        <v>73</v>
      </c>
      <c r="C3083" s="38" t="n">
        <f aca="false">Sens!$C$3082-Sens!$C$3079</f>
        <v>105.234994643026</v>
      </c>
      <c r="D3083" s="38" t="n">
        <f aca="false">Sens!$D$3082-Sens!$D$3079</f>
        <v>120.021229911349</v>
      </c>
      <c r="E3083" s="38" t="n">
        <f aca="false">Sens!$E$3082-Sens!$E$3079</f>
        <v>71.30864702443</v>
      </c>
      <c r="F3083" s="38" t="n">
        <f aca="false">Sens!$O$3083*(1+Sens!$F$3084)</f>
        <v>78.5950104186653</v>
      </c>
      <c r="G3083" s="38" t="n">
        <f aca="false">Sens!$E$3083+Sens!$F$3083</f>
        <v>149.903657443095</v>
      </c>
      <c r="H3083" s="38" t="n">
        <f aca="false">Sens!$G$3083*(1+Sens!$H$3084)</f>
        <v>180.893560768142</v>
      </c>
      <c r="I3083" s="38" t="n">
        <f aca="false">Sens!$H$3083*(1+Sens!$I$3084)</f>
        <v>210.64839721501</v>
      </c>
      <c r="J3083" s="38" t="n">
        <f aca="false">Sens!$I$3083*(1+Sens!$J$3084)</f>
        <v>236.398909446495</v>
      </c>
      <c r="K3083" s="38" t="n">
        <f aca="false">Sens!$J$3083*(1+Sens!$K$3084)</f>
        <v>255.310822202215</v>
      </c>
      <c r="L3083" s="38" t="n">
        <f aca="false">Sens!$K$3083*(1+Sens!$L$3084)</f>
        <v>275.735687978392</v>
      </c>
      <c r="M3083" s="38" t="n">
        <f aca="false">Sens!$L$3083*(1+Sens!$M$3084)</f>
        <v>297.794543016663</v>
      </c>
      <c r="N3083" s="38" t="n">
        <f aca="false">Sens!$N$3082-Sens!$N$3079</f>
        <v>57.0936804689721</v>
      </c>
      <c r="O3083" s="38" t="n">
        <f aca="false">Sens!$O$3082-Sens!$O$3079</f>
        <v>62.9275494423768</v>
      </c>
      <c r="P3083" s="5" t="s">
        <v>580</v>
      </c>
    </row>
    <row r="3084" customFormat="false" ht="17.15" hidden="false" customHeight="false" outlineLevel="0" collapsed="false">
      <c r="A3084" s="0" t="s">
        <v>581</v>
      </c>
      <c r="B3084" s="0" t="s">
        <v>52</v>
      </c>
      <c r="E3084" s="12" t="n">
        <f aca="false">Sens!$E$3083/Sens!$N$3083-1</f>
        <v>0.248976181579029</v>
      </c>
      <c r="F3084" s="12" t="n">
        <f aca="false">Sens!$E$3084</f>
        <v>0.248976181579029</v>
      </c>
      <c r="G3084" s="12" t="n">
        <f aca="false">Sens!$G$3083/Sens!$D$3083-1</f>
        <v>0.248976181579029</v>
      </c>
      <c r="H3084" s="12" t="n">
        <f aca="false">Sens!$E$3084+(g_awso_lt-Sens!$E$3084)*1/4</f>
        <v>0.206732136184272</v>
      </c>
      <c r="I3084" s="12" t="n">
        <f aca="false">Sens!$E$3084+(g_awso_lt-Sens!$E$3084)*2/4</f>
        <v>0.164488090789515</v>
      </c>
      <c r="J3084" s="12" t="n">
        <f aca="false">Sens!$E$3084+(g_awso_lt-Sens!$E$3084)*3/4</f>
        <v>0.122244045394757</v>
      </c>
      <c r="K3084" s="12" t="n">
        <f aca="false">Sens!$E$3084+(g_awso_lt-Sens!$E$3084)*4/4</f>
        <v>0.08</v>
      </c>
      <c r="L3084" s="12" t="n">
        <f aca="false">g_awso_lt</f>
        <v>0.08</v>
      </c>
      <c r="M3084" s="12" t="n">
        <f aca="false">g_awso_lt</f>
        <v>0.08</v>
      </c>
      <c r="P3084" s="8" t="s">
        <v>582</v>
      </c>
    </row>
    <row r="3085" customFormat="false" ht="17.15" hidden="false" customHeight="false" outlineLevel="0" collapsed="false">
      <c r="A3085" s="1" t="s">
        <v>583</v>
      </c>
    </row>
    <row r="3086" customFormat="false" ht="17.15" hidden="false" customHeight="false" outlineLevel="0" collapsed="false">
      <c r="A3086" s="0" t="s">
        <v>584</v>
      </c>
      <c r="B3086" s="0" t="s">
        <v>73</v>
      </c>
      <c r="F3086" s="38" t="n">
        <f aca="false">cx_rt*Sens!$F$3052+cx_awso*Sens!$F$3083</f>
        <v>36.8045765066526</v>
      </c>
    </row>
    <row r="3087" customFormat="false" ht="17.15" hidden="false" customHeight="false" outlineLevel="0" collapsed="false">
      <c r="A3087" s="0" t="s">
        <v>585</v>
      </c>
      <c r="B3087" s="0" t="s">
        <v>52</v>
      </c>
      <c r="C3087" s="12" t="n">
        <f aca="false">tk_cx_h100/(tk_cx_h100+tk_fac*(1-colo_sh))</f>
        <v>0.730756458006641</v>
      </c>
      <c r="D3087" s="12" t="n">
        <f aca="false">tk_cx_h100/(tk_cx_h100+tk_fac*(1-colo_sh))</f>
        <v>0.730756458006641</v>
      </c>
      <c r="E3087" s="12" t="n">
        <f aca="false">Sens!$F$3087</f>
        <v>0.760792334328868</v>
      </c>
      <c r="F3087" s="12" t="n">
        <f aca="false">Sens!$F$3070/(Sens!$F$3070+tk_fac*(1-colo_sh))</f>
        <v>0.760792334328868</v>
      </c>
      <c r="G3087" s="12" t="n">
        <f aca="false">Sens!$G$3070/(Sens!$G$3070+tk_fac*(1-colo_sh))</f>
        <v>0.760792334328868</v>
      </c>
      <c r="H3087" s="12" t="n">
        <f aca="false">Sens!$H$3070/(Sens!$H$3070+tk_fac*(1-colo_sh))</f>
        <v>0.768110668862996</v>
      </c>
      <c r="I3087" s="12" t="n">
        <f aca="false">Sens!$I$3070/(Sens!$I$3070+tk_fac*(1-colo_sh))</f>
        <v>0.77499450139483</v>
      </c>
      <c r="J3087" s="12" t="n">
        <f aca="false">Sens!$J$3070/(Sens!$J$3070+tk_fac*(1-colo_sh))</f>
        <v>0.77499450139483</v>
      </c>
      <c r="K3087" s="12" t="n">
        <f aca="false">Sens!$K$3070/(Sens!$K$3070+tk_fac*(1-colo_sh))</f>
        <v>0.77499450139483</v>
      </c>
      <c r="L3087" s="12" t="n">
        <f aca="false">Sens!$L$3070/(Sens!$L$3070+tk_fac*(1-colo_sh))</f>
        <v>0.77499450139483</v>
      </c>
      <c r="M3087" s="12" t="n">
        <f aca="false">Sens!$M$3070/(Sens!$M$3070+tk_fac*(1-colo_sh))</f>
        <v>0.77499450139483</v>
      </c>
    </row>
    <row r="3088" customFormat="false" ht="17.15" hidden="false" customHeight="false" outlineLevel="0" collapsed="false">
      <c r="A3088" s="1" t="s">
        <v>586</v>
      </c>
      <c r="B3088" s="8" t="s">
        <v>73</v>
      </c>
      <c r="C3088" s="38" t="n">
        <f aca="false">Q!$D$46-cx_rt*Q!$D$16-cx_awso*Sens!$C$3083</f>
        <v>25.2781053077374</v>
      </c>
      <c r="D3088" s="38" t="n">
        <f aca="false">Q!$E$46-cx_rt*Q!$E$16-cx_awso*Sens!$D$3083</f>
        <v>69.5686316310026</v>
      </c>
      <c r="E3088" s="38" t="n">
        <f aca="false">Q!$P$46-cx_rt*Q!$P$16-cx_awso*Sens!$E$3083</f>
        <v>64.1899206485108</v>
      </c>
      <c r="F3088" s="38" t="n">
        <f aca="false">MAX(Sens!$F$3065*(Sens!$F$3070+tk_fac*(1-colo_sh))/1000,capex_g26-Q!$P$46-Sens!$F$3086)</f>
        <v>96.2481299895</v>
      </c>
      <c r="G3088" s="38" t="n">
        <f aca="false">Sens!$E$3088+Sens!$F$3088</f>
        <v>160.438050638011</v>
      </c>
      <c r="H3088" s="38" t="n">
        <f aca="false">Sens!$H$3065*(Sens!$H$3070+tk_fac*(1-colo_sh))/1000+Sens!$H$3089</f>
        <v>198.57136494475</v>
      </c>
      <c r="I3088" s="38" t="n">
        <f aca="false">Sens!$I$3065*(Sens!$I$3070+tk_fac*(1-colo_sh))/1000+Sens!$I$3089</f>
        <v>204.6464699105</v>
      </c>
      <c r="J3088" s="38" t="n">
        <f aca="false">Sens!$J$3065*(Sens!$J$3070+tk_fac*(1-colo_sh))/1000+Sens!$J$3089</f>
        <v>209.8832381105</v>
      </c>
      <c r="K3088" s="38" t="n">
        <f aca="false">Sens!$K$3065*(Sens!$K$3070+tk_fac*(1-colo_sh))/1000+Sens!$K$3089</f>
        <v>215.1200063105</v>
      </c>
      <c r="L3088" s="38" t="n">
        <f aca="false">Sens!$L$3065*(Sens!$L$3070+tk_fac*(1-colo_sh))/1000+Sens!$L$3089</f>
        <v>251.7773837105</v>
      </c>
      <c r="M3088" s="38" t="n">
        <f aca="false">Sens!$M$3065*(Sens!$M$3070+tk_fac*(1-colo_sh))/1000+Sens!$M$3089</f>
        <v>311.87584476575</v>
      </c>
      <c r="P3088" s="5" t="s">
        <v>587</v>
      </c>
      <c r="R3088" s="38" t="n">
        <f aca="false">Q!$C$46-cx_rt*Q!$C$16-cx_awso*(Q!$C$7-mw_ye23/2*rpm_open/1000)</f>
        <v>1.50429979529945</v>
      </c>
      <c r="S3088" s="38" t="n">
        <f aca="false">Sens!$C$3088</f>
        <v>25.2781053077374</v>
      </c>
      <c r="T3088" s="38" t="n">
        <f aca="false">Sens!$D$3088</f>
        <v>69.5686316310026</v>
      </c>
      <c r="U3088" s="38" t="n">
        <f aca="false">Sens!$G$3088</f>
        <v>160.438050638011</v>
      </c>
      <c r="V3088" s="38" t="n">
        <f aca="false">Sens!$H$3088</f>
        <v>198.57136494475</v>
      </c>
      <c r="W3088" s="38" t="n">
        <f aca="false">Sens!$I$3088</f>
        <v>204.6464699105</v>
      </c>
      <c r="X3088" s="38" t="n">
        <f aca="false">Sens!$J$3088</f>
        <v>209.8832381105</v>
      </c>
      <c r="Y3088" s="38" t="n">
        <f aca="false">Sens!$K$3088</f>
        <v>215.1200063105</v>
      </c>
      <c r="Z3088" s="38" t="n">
        <f aca="false">Sens!$L$3088</f>
        <v>251.7773837105</v>
      </c>
      <c r="AA3088" s="38" t="n">
        <f aca="false">Sens!$M$3088</f>
        <v>311.87584476575</v>
      </c>
    </row>
    <row r="3089" customFormat="false" ht="17.15" hidden="false" customHeight="false" outlineLevel="0" collapsed="false">
      <c r="A3089" s="0" t="s">
        <v>588</v>
      </c>
      <c r="B3089" s="0" t="s">
        <v>73</v>
      </c>
      <c r="H3089" s="38" t="n">
        <f aca="false">SUMPRODUCT(--(Sens!$R$3059:$AA$3059=2027-tk_life),Sens!$R$3065:$AA$3065)*Sens!$H$3070/1000</f>
        <v>0</v>
      </c>
      <c r="I3089" s="38" t="n">
        <f aca="false">SUMPRODUCT(--(Sens!$R$3059:$AA$3059=2028-tk_life),Sens!$R$3065:$AA$3065)*Sens!$I$3070/1000</f>
        <v>0</v>
      </c>
      <c r="J3089" s="38" t="n">
        <f aca="false">SUMPRODUCT(--(Sens!$R$3059:$AA$3059=2029-tk_life),Sens!$R$3065:$AA$3065)*Sens!$J$3070/1000</f>
        <v>5.2367682</v>
      </c>
      <c r="K3089" s="38" t="n">
        <f aca="false">SUMPRODUCT(--(Sens!$R$3059:$AA$3059=2030-tk_life),Sens!$R$3065:$AA$3065)*Sens!$K$3070/1000</f>
        <v>10.4735364</v>
      </c>
      <c r="L3089" s="38" t="n">
        <f aca="false">SUMPRODUCT(--(Sens!$R$3059:$AA$3059=2031-tk_life),Sens!$R$3065:$AA$3065)*Sens!$L$3070/1000</f>
        <v>47.1309138</v>
      </c>
      <c r="M3089" s="38" t="n">
        <f aca="false">SUMPRODUCT(--(Sens!$R$3059:$AA$3059=2032-tk_life),Sens!$R$3065:$AA$3065)*Sens!$M$3070/1000</f>
        <v>107.22937485525</v>
      </c>
    </row>
    <row r="3090" customFormat="false" ht="17.15" hidden="false" customHeight="false" outlineLevel="0" collapsed="false">
      <c r="A3090" s="5" t="s">
        <v>589</v>
      </c>
      <c r="B3090" s="0" t="s">
        <v>73</v>
      </c>
      <c r="C3090" s="38" t="n">
        <f aca="false">Sens!$C$3088*Sens!$C$3087</f>
        <v>18.472138699801</v>
      </c>
      <c r="D3090" s="38" t="n">
        <f aca="false">Sens!$D$3088*Sens!$D$3087</f>
        <v>50.8377268390402</v>
      </c>
      <c r="E3090" s="38" t="n">
        <f aca="false">Sens!$E$3088*Sens!$E$3087</f>
        <v>48.8351995705653</v>
      </c>
      <c r="F3090" s="38" t="n">
        <f aca="false">Sens!$F$3088*Sens!$F$3087</f>
        <v>73.2248394895</v>
      </c>
      <c r="G3090" s="38" t="n">
        <f aca="false">Sens!$E$3090+Sens!$F$3090</f>
        <v>122.060039060065</v>
      </c>
      <c r="H3090" s="38" t="n">
        <f aca="false">(Sens!$H$3088-Sens!$H$3089)*Sens!$H$3087+Sens!$H$3089</f>
        <v>152.52478394475</v>
      </c>
      <c r="I3090" s="38" t="n">
        <f aca="false">(Sens!$I$3088-Sens!$I$3089)*Sens!$I$3087+Sens!$I$3089</f>
        <v>158.5998889105</v>
      </c>
      <c r="J3090" s="38" t="n">
        <f aca="false">(Sens!$J$3088-Sens!$J$3089)*Sens!$J$3087+Sens!$J$3089</f>
        <v>163.8366571105</v>
      </c>
      <c r="K3090" s="38" t="n">
        <f aca="false">(Sens!$K$3088-Sens!$K$3089)*Sens!$K$3087+Sens!$K$3089</f>
        <v>169.0734253105</v>
      </c>
      <c r="L3090" s="38" t="n">
        <f aca="false">(Sens!$L$3088-Sens!$L$3089)*Sens!$L$3087+Sens!$L$3089</f>
        <v>205.7308027105</v>
      </c>
      <c r="M3090" s="38" t="n">
        <f aca="false">(Sens!$M$3088-Sens!$M$3089)*Sens!$M$3087+Sens!$M$3089</f>
        <v>265.82926376575</v>
      </c>
      <c r="R3090" s="38" t="n">
        <f aca="false">Sens!$R$3088*Sens!$C$3087</f>
        <v>1.09927679019314</v>
      </c>
      <c r="S3090" s="38" t="n">
        <f aca="false">Sens!$C$3090</f>
        <v>18.472138699801</v>
      </c>
      <c r="T3090" s="38" t="n">
        <f aca="false">Sens!$D$3090</f>
        <v>50.8377268390402</v>
      </c>
      <c r="U3090" s="38" t="n">
        <f aca="false">Sens!$G$3090</f>
        <v>122.060039060065</v>
      </c>
      <c r="V3090" s="38" t="n">
        <f aca="false">Sens!$H$3090</f>
        <v>152.52478394475</v>
      </c>
      <c r="W3090" s="38" t="n">
        <f aca="false">Sens!$I$3090</f>
        <v>158.5998889105</v>
      </c>
      <c r="X3090" s="38" t="n">
        <f aca="false">Sens!$J$3090</f>
        <v>163.8366571105</v>
      </c>
      <c r="Y3090" s="38" t="n">
        <f aca="false">Sens!$K$3090</f>
        <v>169.0734253105</v>
      </c>
      <c r="Z3090" s="38" t="n">
        <f aca="false">Sens!$L$3090</f>
        <v>205.7308027105</v>
      </c>
      <c r="AA3090" s="38" t="n">
        <f aca="false">Sens!$M$3090</f>
        <v>265.82926376575</v>
      </c>
    </row>
    <row r="3091" customFormat="false" ht="15" hidden="false" customHeight="false" outlineLevel="0" collapsed="false">
      <c r="A3091" s="5" t="s">
        <v>590</v>
      </c>
      <c r="B3091" s="0" t="s">
        <v>73</v>
      </c>
      <c r="C3091" s="38" t="n">
        <f aca="false">Sens!$C$3088-Sens!$C$3090</f>
        <v>6.80596660793636</v>
      </c>
      <c r="D3091" s="38" t="n">
        <f aca="false">Sens!$D$3088-Sens!$D$3090</f>
        <v>18.7309047919624</v>
      </c>
      <c r="E3091" s="38" t="n">
        <f aca="false">Sens!$E$3088-Sens!$E$3090</f>
        <v>15.3547210779455</v>
      </c>
      <c r="F3091" s="38" t="n">
        <f aca="false">Sens!$F$3088-Sens!$F$3090</f>
        <v>23.0232905</v>
      </c>
      <c r="G3091" s="38" t="n">
        <f aca="false">Sens!$G$3088-Sens!$G$3090</f>
        <v>38.3780115779455</v>
      </c>
      <c r="H3091" s="38" t="n">
        <f aca="false">Sens!$H$3088-Sens!$H$3090</f>
        <v>46.046581</v>
      </c>
      <c r="I3091" s="38" t="n">
        <f aca="false">Sens!$I$3088-Sens!$I$3090</f>
        <v>46.046581</v>
      </c>
      <c r="J3091" s="38" t="n">
        <f aca="false">Sens!$J$3088-Sens!$J$3090</f>
        <v>46.046581</v>
      </c>
      <c r="K3091" s="38" t="n">
        <f aca="false">Sens!$K$3088-Sens!$K$3090</f>
        <v>46.046581</v>
      </c>
      <c r="L3091" s="38" t="n">
        <f aca="false">Sens!$L$3088-Sens!$L$3090</f>
        <v>46.046581</v>
      </c>
      <c r="M3091" s="38" t="n">
        <f aca="false">Sens!$M$3088-Sens!$M$3090</f>
        <v>46.046581</v>
      </c>
      <c r="R3091" s="38" t="n">
        <f aca="false">Sens!$R$3088-Sens!$R$3090</f>
        <v>0.405023005106309</v>
      </c>
      <c r="S3091" s="38" t="n">
        <f aca="false">Sens!$S$3088-Sens!$S$3090</f>
        <v>6.80596660793636</v>
      </c>
      <c r="T3091" s="38" t="n">
        <f aca="false">Sens!$T$3088-Sens!$T$3090</f>
        <v>18.7309047919624</v>
      </c>
      <c r="U3091" s="38" t="n">
        <f aca="false">Sens!$U$3088-Sens!$U$3090</f>
        <v>38.3780115779455</v>
      </c>
      <c r="V3091" s="38" t="n">
        <f aca="false">Sens!$V$3088-Sens!$V$3090</f>
        <v>46.046581</v>
      </c>
      <c r="W3091" s="38" t="n">
        <f aca="false">Sens!$W$3088-Sens!$W$3090</f>
        <v>46.046581</v>
      </c>
      <c r="X3091" s="38" t="n">
        <f aca="false">Sens!$X$3088-Sens!$X$3090</f>
        <v>46.046581</v>
      </c>
      <c r="Y3091" s="38" t="n">
        <f aca="false">Sens!$Y$3088-Sens!$Y$3090</f>
        <v>46.046581</v>
      </c>
      <c r="Z3091" s="38" t="n">
        <f aca="false">Sens!$Z$3088-Sens!$Z$3090</f>
        <v>46.046581</v>
      </c>
      <c r="AA3091" s="38" t="n">
        <f aca="false">Sens!$AA$3088-Sens!$AA$3090</f>
        <v>46.046581</v>
      </c>
    </row>
    <row r="3092" customFormat="false" ht="17.15" hidden="false" customHeight="false" outlineLevel="0" collapsed="false">
      <c r="A3092" s="0" t="s">
        <v>591</v>
      </c>
      <c r="B3092" s="0" t="s">
        <v>52</v>
      </c>
      <c r="C3092" s="12" t="n">
        <f aca="false">Sens!$C$3088/Sens!$C$3204</f>
        <v>0.325505489553393</v>
      </c>
      <c r="D3092" s="12" t="n">
        <f aca="false">Sens!$D$3088/Sens!$D$3204</f>
        <v>0.54214956071542</v>
      </c>
      <c r="E3092" s="12" t="n">
        <f aca="false">Sens!$E$3088/Sens!$E$3204</f>
        <v>0.666492790452817</v>
      </c>
      <c r="F3092" s="12" t="n">
        <f aca="false">Sens!$F$3088/Sens!$F$3204</f>
        <v>0.723383481058938</v>
      </c>
      <c r="G3092" s="12" t="n">
        <f aca="false">Sens!$G$3088/Sens!$G$3204</f>
        <v>0.699494931364102</v>
      </c>
      <c r="H3092" s="12" t="n">
        <f aca="false">Sens!$H$3088/Sens!$H$3204</f>
        <v>0.714619350171483</v>
      </c>
      <c r="I3092" s="12" t="n">
        <f aca="false">Sens!$I$3088/Sens!$I$3204</f>
        <v>0.696231624961614</v>
      </c>
      <c r="J3092" s="12" t="n">
        <f aca="false">Sens!$J$3088/Sens!$J$3204</f>
        <v>0.681286352509885</v>
      </c>
      <c r="K3092" s="12" t="n">
        <f aca="false">Sens!$K$3088/Sens!$K$3204</f>
        <v>0.671440649805508</v>
      </c>
      <c r="L3092" s="12" t="n">
        <f aca="false">Sens!$L$3088/Sens!$L$3204</f>
        <v>0.6904509846562</v>
      </c>
      <c r="M3092" s="12" t="n">
        <f aca="false">Sens!$M$3088/Sens!$M$3204</f>
        <v>0.720362080285865</v>
      </c>
    </row>
    <row r="3093" customFormat="false" ht="17.15" hidden="false" customHeight="false" outlineLevel="0" collapsed="false">
      <c r="A3093" s="0" t="s">
        <v>592</v>
      </c>
      <c r="B3093" s="0" t="s">
        <v>73</v>
      </c>
      <c r="C3093" s="38" t="n">
        <f aca="false">Sens!$S$3093</f>
        <v>0.183212798365523</v>
      </c>
      <c r="D3093" s="38" t="n">
        <f aca="false">Sens!$T$3093</f>
        <v>3.2619025816657</v>
      </c>
      <c r="E3093" s="38" t="n">
        <f aca="false">Sens!$G$3093/2</f>
        <v>5.86742852741953</v>
      </c>
      <c r="F3093" s="38" t="n">
        <f aca="false">Sens!$G$3093/2</f>
        <v>5.86742852741953</v>
      </c>
      <c r="G3093" s="38" t="n">
        <f aca="false">Sens!$U$3093</f>
        <v>11.7348570548391</v>
      </c>
      <c r="H3093" s="38" t="n">
        <f aca="false">Sens!$V$3093</f>
        <v>32.0781968981833</v>
      </c>
      <c r="I3093" s="38" t="n">
        <f aca="false">Sens!$W$3093</f>
        <v>57.4989942223083</v>
      </c>
      <c r="J3093" s="38" t="n">
        <f aca="false">Sens!$X$3093</f>
        <v>83.932309040725</v>
      </c>
      <c r="K3093" s="38" t="n">
        <f aca="false">Sens!$Y$3093</f>
        <v>111.055205760776</v>
      </c>
      <c r="L3093" s="38" t="n">
        <f aca="false">Sens!$Z$3093</f>
        <v>136.155420195893</v>
      </c>
      <c r="M3093" s="38" t="n">
        <f aca="false">Sens!$AA$3093</f>
        <v>161.970932841136</v>
      </c>
      <c r="N3093" s="38" t="n">
        <f aca="false">Sens!$D$3093/2</f>
        <v>1.63095129083285</v>
      </c>
      <c r="O3093" s="38" t="n">
        <f aca="false">Sens!$D$3093/2</f>
        <v>1.63095129083285</v>
      </c>
      <c r="R3093" s="38" t="n">
        <f aca="false">SUMPRODUCT(--(Sens!$R$3059:$AA$3059&lt;Sens!R$3059),--(Sens!$R$3059:$AA$3059&gt;=Sens!R$3059-tk_life),Sens!$R$3090:$AA$3090)/tk_life</f>
        <v>0</v>
      </c>
      <c r="S3093" s="38" t="n">
        <f aca="false">SUMPRODUCT(--(Sens!$R$3059:$AA$3059&lt;Sens!S$3059),--(Sens!$R$3059:$AA$3059&gt;=Sens!S$3059-tk_life),Sens!$R$3090:$AA$3090)/tk_life</f>
        <v>0.183212798365523</v>
      </c>
      <c r="T3093" s="38" t="n">
        <f aca="false">SUMPRODUCT(--(Sens!$R$3059:$AA$3059&lt;Sens!T$3059),--(Sens!$R$3059:$AA$3059&gt;=Sens!T$3059-tk_life),Sens!$R$3090:$AA$3090)/tk_life</f>
        <v>3.2619025816657</v>
      </c>
      <c r="U3093" s="38" t="n">
        <f aca="false">SUMPRODUCT(--(Sens!$R$3059:$AA$3059&lt;Sens!U$3059),--(Sens!$R$3059:$AA$3059&gt;=Sens!U$3059-tk_life),Sens!$R$3090:$AA$3090)/tk_life</f>
        <v>11.7348570548391</v>
      </c>
      <c r="V3093" s="38" t="n">
        <f aca="false">SUMPRODUCT(--(Sens!$R$3059:$AA$3059&lt;Sens!V$3059),--(Sens!$R$3059:$AA$3059&gt;=Sens!V$3059-tk_life),Sens!$R$3090:$AA$3090)/tk_life</f>
        <v>32.0781968981833</v>
      </c>
      <c r="W3093" s="38" t="n">
        <f aca="false">SUMPRODUCT(--(Sens!$R$3059:$AA$3059&lt;Sens!W$3059),--(Sens!$R$3059:$AA$3059&gt;=Sens!W$3059-tk_life),Sens!$R$3090:$AA$3090)/tk_life</f>
        <v>57.4989942223083</v>
      </c>
      <c r="X3093" s="38" t="n">
        <f aca="false">SUMPRODUCT(--(Sens!$R$3059:$AA$3059&lt;Sens!X$3059),--(Sens!$R$3059:$AA$3059&gt;=Sens!X$3059-tk_life),Sens!$R$3090:$AA$3090)/tk_life</f>
        <v>83.932309040725</v>
      </c>
      <c r="Y3093" s="38" t="n">
        <f aca="false">SUMPRODUCT(--(Sens!$R$3059:$AA$3059&lt;Sens!Y$3059),--(Sens!$R$3059:$AA$3059&gt;=Sens!Y$3059-tk_life),Sens!$R$3090:$AA$3090)/tk_life</f>
        <v>111.055205760776</v>
      </c>
      <c r="Z3093" s="38" t="n">
        <f aca="false">SUMPRODUCT(--(Sens!$R$3059:$AA$3059&lt;Sens!Z$3059),--(Sens!$R$3059:$AA$3059&gt;=Sens!Z$3059-tk_life),Sens!$R$3090:$AA$3090)/tk_life</f>
        <v>136.155420195893</v>
      </c>
      <c r="AA3093" s="38" t="n">
        <f aca="false">SUMPRODUCT(--(Sens!$R$3059:$AA$3059&lt;Sens!AA$3059),--(Sens!$R$3059:$AA$3059&gt;=Sens!AA$3059-tk_life),Sens!$R$3090:$AA$3090)/tk_life</f>
        <v>161.970932841136</v>
      </c>
    </row>
    <row r="3094" customFormat="false" ht="17.15" hidden="false" customHeight="false" outlineLevel="0" collapsed="false">
      <c r="A3094" s="0" t="s">
        <v>593</v>
      </c>
      <c r="B3094" s="0" t="s">
        <v>73</v>
      </c>
      <c r="C3094" s="38" t="n">
        <f aca="false">Sens!$S$3094</f>
        <v>0.0202511502553155</v>
      </c>
      <c r="D3094" s="38" t="n">
        <f aca="false">Sens!$T$3094</f>
        <v>0.360549480652134</v>
      </c>
      <c r="E3094" s="38" t="n">
        <f aca="false">Sens!$G$3094/2</f>
        <v>0.648547360125127</v>
      </c>
      <c r="F3094" s="38" t="n">
        <f aca="false">Sens!$G$3094/2</f>
        <v>0.648547360125127</v>
      </c>
      <c r="G3094" s="38" t="n">
        <f aca="false">Sens!$U$3094</f>
        <v>1.29709472025025</v>
      </c>
      <c r="H3094" s="38" t="n">
        <f aca="false">Sens!$V$3094</f>
        <v>3.21599529914753</v>
      </c>
      <c r="I3094" s="38" t="n">
        <f aca="false">Sens!$W$3094</f>
        <v>5.51832434914753</v>
      </c>
      <c r="J3094" s="38" t="n">
        <f aca="false">Sens!$X$3094</f>
        <v>7.82065339914753</v>
      </c>
      <c r="K3094" s="38" t="n">
        <f aca="false">Sens!$Y$3094</f>
        <v>10.1229824491475</v>
      </c>
      <c r="L3094" s="38" t="n">
        <f aca="false">Sens!$Z$3094</f>
        <v>12.4253114991475</v>
      </c>
      <c r="M3094" s="38" t="n">
        <f aca="false">Sens!$AA$3094</f>
        <v>14.7276405491475</v>
      </c>
      <c r="N3094" s="38" t="n">
        <f aca="false">Sens!$D$3094/2</f>
        <v>0.180274740326067</v>
      </c>
      <c r="O3094" s="38" t="n">
        <f aca="false">Sens!$D$3094/2</f>
        <v>0.180274740326067</v>
      </c>
      <c r="R3094" s="38" t="n">
        <f aca="false">SUMPRODUCT(--(Sens!$R$3059:$AA$3059&lt;Sens!R$3059),Sens!$R$3091:$AA$3091)/fac_life</f>
        <v>0</v>
      </c>
      <c r="S3094" s="38" t="n">
        <f aca="false">SUMPRODUCT(--(Sens!$R$3059:$AA$3059&lt;Sens!S$3059),Sens!$R$3091:$AA$3091)/fac_life</f>
        <v>0.0202511502553155</v>
      </c>
      <c r="T3094" s="38" t="n">
        <f aca="false">SUMPRODUCT(--(Sens!$R$3059:$AA$3059&lt;Sens!T$3059),Sens!$R$3091:$AA$3091)/fac_life</f>
        <v>0.360549480652134</v>
      </c>
      <c r="U3094" s="38" t="n">
        <f aca="false">SUMPRODUCT(--(Sens!$R$3059:$AA$3059&lt;Sens!U$3059),Sens!$R$3091:$AA$3091)/fac_life</f>
        <v>1.29709472025025</v>
      </c>
      <c r="V3094" s="38" t="n">
        <f aca="false">SUMPRODUCT(--(Sens!$R$3059:$AA$3059&lt;Sens!V$3059),Sens!$R$3091:$AA$3091)/fac_life</f>
        <v>3.21599529914753</v>
      </c>
      <c r="W3094" s="38" t="n">
        <f aca="false">SUMPRODUCT(--(Sens!$R$3059:$AA$3059&lt;Sens!W$3059),Sens!$R$3091:$AA$3091)/fac_life</f>
        <v>5.51832434914753</v>
      </c>
      <c r="X3094" s="38" t="n">
        <f aca="false">SUMPRODUCT(--(Sens!$R$3059:$AA$3059&lt;Sens!X$3059),Sens!$R$3091:$AA$3091)/fac_life</f>
        <v>7.82065339914753</v>
      </c>
      <c r="Y3094" s="38" t="n">
        <f aca="false">SUMPRODUCT(--(Sens!$R$3059:$AA$3059&lt;Sens!Y$3059),Sens!$R$3091:$AA$3091)/fac_life</f>
        <v>10.1229824491475</v>
      </c>
      <c r="Z3094" s="38" t="n">
        <f aca="false">SUMPRODUCT(--(Sens!$R$3059:$AA$3059&lt;Sens!Z$3059),Sens!$R$3091:$AA$3091)/fac_life</f>
        <v>12.4253114991475</v>
      </c>
      <c r="AA3094" s="38" t="n">
        <f aca="false">SUMPRODUCT(--(Sens!$R$3059:$AA$3059&lt;Sens!AA$3059),Sens!$R$3091:$AA$3091)/fac_life</f>
        <v>14.7276405491475</v>
      </c>
    </row>
    <row r="3095" customFormat="false" ht="17.15" hidden="false" customHeight="false" outlineLevel="0" collapsed="false">
      <c r="A3095" s="1" t="s">
        <v>594</v>
      </c>
      <c r="B3095" s="8" t="s">
        <v>73</v>
      </c>
      <c r="C3095" s="38" t="n">
        <f aca="false">Sens!$C$3093+Sens!$C$3094</f>
        <v>0.203463948620839</v>
      </c>
      <c r="D3095" s="38" t="n">
        <f aca="false">Sens!$D$3093+Sens!$D$3094</f>
        <v>3.62245206231783</v>
      </c>
      <c r="E3095" s="38" t="n">
        <f aca="false">Sens!$E$3093+Sens!$E$3094</f>
        <v>6.51597588754466</v>
      </c>
      <c r="F3095" s="38" t="n">
        <f aca="false">Sens!$F$3093+Sens!$F$3094</f>
        <v>6.51597588754466</v>
      </c>
      <c r="G3095" s="38" t="n">
        <f aca="false">Sens!$G$3093+Sens!$G$3094</f>
        <v>13.0319517750893</v>
      </c>
      <c r="H3095" s="38" t="n">
        <f aca="false">Sens!$H$3093+Sens!$H$3094</f>
        <v>35.2941921973308</v>
      </c>
      <c r="I3095" s="38" t="n">
        <f aca="false">Sens!$I$3093+Sens!$I$3094</f>
        <v>63.0173185714558</v>
      </c>
      <c r="J3095" s="38" t="n">
        <f aca="false">Sens!$J$3093+Sens!$J$3094</f>
        <v>91.7529624398725</v>
      </c>
      <c r="K3095" s="38" t="n">
        <f aca="false">Sens!$K$3093+Sens!$K$3094</f>
        <v>121.178188209924</v>
      </c>
      <c r="L3095" s="38" t="n">
        <f aca="false">Sens!$L$3093+Sens!$L$3094</f>
        <v>148.58073169504</v>
      </c>
      <c r="M3095" s="38" t="n">
        <f aca="false">Sens!$M$3093+Sens!$M$3094</f>
        <v>176.698573390283</v>
      </c>
      <c r="N3095" s="38" t="n">
        <f aca="false">Sens!$N$3093+Sens!$N$3094</f>
        <v>1.81122603115892</v>
      </c>
      <c r="O3095" s="38" t="n">
        <f aca="false">Sens!$O$3093+Sens!$O$3094</f>
        <v>1.81122603115892</v>
      </c>
      <c r="R3095" s="38" t="n">
        <f aca="false">Sens!$R$3093+Sens!$R$3094</f>
        <v>0</v>
      </c>
      <c r="S3095" s="38" t="n">
        <f aca="false">Sens!$S$3093+Sens!$S$3094</f>
        <v>0.203463948620839</v>
      </c>
      <c r="T3095" s="38" t="n">
        <f aca="false">Sens!$T$3093+Sens!$T$3094</f>
        <v>3.62245206231783</v>
      </c>
      <c r="U3095" s="38" t="n">
        <f aca="false">Sens!$U$3093+Sens!$U$3094</f>
        <v>13.0319517750893</v>
      </c>
      <c r="V3095" s="38" t="n">
        <f aca="false">Sens!$V$3093+Sens!$V$3094</f>
        <v>35.2941921973308</v>
      </c>
      <c r="W3095" s="38" t="n">
        <f aca="false">Sens!$W$3093+Sens!$W$3094</f>
        <v>63.0173185714558</v>
      </c>
      <c r="X3095" s="38" t="n">
        <f aca="false">Sens!$X$3093+Sens!$X$3094</f>
        <v>91.7529624398725</v>
      </c>
      <c r="Y3095" s="38" t="n">
        <f aca="false">Sens!$Y$3093+Sens!$Y$3094</f>
        <v>121.178188209924</v>
      </c>
      <c r="Z3095" s="38" t="n">
        <f aca="false">Sens!$Z$3093+Sens!$Z$3094</f>
        <v>148.58073169504</v>
      </c>
      <c r="AA3095" s="38" t="n">
        <f aca="false">Sens!$AA$3093+Sens!$AA$3094</f>
        <v>176.698573390283</v>
      </c>
    </row>
    <row r="3096" customFormat="false" ht="17.15" hidden="false" customHeight="false" outlineLevel="0" collapsed="false">
      <c r="A3096" s="0" t="s">
        <v>595</v>
      </c>
      <c r="B3096" s="0" t="s">
        <v>73</v>
      </c>
      <c r="C3096" s="38" t="n">
        <f aca="false">Sens!$S$3096</f>
        <v>26.578941154416</v>
      </c>
      <c r="D3096" s="38" t="n">
        <f aca="false">Sens!$T$3096</f>
        <v>92.5251207231008</v>
      </c>
      <c r="G3096" s="38" t="n">
        <f aca="false">Sens!$U$3096</f>
        <v>239.931219586022</v>
      </c>
      <c r="H3096" s="38" t="n">
        <f aca="false">Sens!$V$3096</f>
        <v>403.208392333442</v>
      </c>
      <c r="I3096" s="38" t="n">
        <f aca="false">Sens!$W$3096</f>
        <v>544.837543672486</v>
      </c>
      <c r="J3096" s="38" t="n">
        <f aca="false">Sens!$X$3096</f>
        <v>662.967819343113</v>
      </c>
      <c r="K3096" s="38" t="n">
        <f aca="false">Sens!$Y$3096</f>
        <v>756.90963744369</v>
      </c>
      <c r="L3096" s="38" t="n">
        <f aca="false">Sens!$Z$3096</f>
        <v>860.10628945915</v>
      </c>
      <c r="M3096" s="38" t="n">
        <f aca="false">Sens!$AA$3096</f>
        <v>995.283560834616</v>
      </c>
      <c r="R3096" s="38" t="n">
        <f aca="false">SUM(Sens!$R$3088:$R$3088)-SUM(Sens!$R$3095:$R$3095)</f>
        <v>1.50429979529945</v>
      </c>
      <c r="S3096" s="38" t="n">
        <f aca="false">SUM(Sens!$R$3088:$S$3088)-SUM(Sens!$R$3095:$S$3095)</f>
        <v>26.578941154416</v>
      </c>
      <c r="T3096" s="38" t="n">
        <f aca="false">SUM(Sens!$R$3088:$T$3088)-SUM(Sens!$R$3095:$T$3095)</f>
        <v>92.5251207231008</v>
      </c>
      <c r="U3096" s="38" t="n">
        <f aca="false">SUM(Sens!$R$3088:$U$3088)-SUM(Sens!$R$3095:$U$3095)</f>
        <v>239.931219586022</v>
      </c>
      <c r="V3096" s="38" t="n">
        <f aca="false">SUM(Sens!$R$3088:$V$3088)-SUM(Sens!$R$3095:$V$3095)</f>
        <v>403.208392333442</v>
      </c>
      <c r="W3096" s="38" t="n">
        <f aca="false">SUM(Sens!$R$3088:$W$3088)-SUM(Sens!$R$3095:$W$3095)</f>
        <v>544.837543672486</v>
      </c>
      <c r="X3096" s="38" t="n">
        <f aca="false">SUM(Sens!$R$3088:$X$3088)-SUM(Sens!$R$3095:$X$3095)</f>
        <v>662.967819343113</v>
      </c>
      <c r="Y3096" s="38" t="n">
        <f aca="false">SUM(Sens!$R$3088:$Y$3088)-SUM(Sens!$R$3095:$Y$3095)</f>
        <v>756.90963744369</v>
      </c>
      <c r="Z3096" s="38" t="n">
        <f aca="false">SUM(Sens!$R$3088:$Z$3088)-SUM(Sens!$R$3095:$Z$3095)</f>
        <v>860.10628945915</v>
      </c>
      <c r="AA3096" s="38" t="n">
        <f aca="false">SUM(Sens!$R$3088:$AA$3088)-SUM(Sens!$R$3095:$AA$3095)</f>
        <v>995.283560834616</v>
      </c>
    </row>
    <row r="3097" customFormat="false" ht="17.15" hidden="false" customHeight="false" outlineLevel="0" collapsed="false">
      <c r="A3097" s="1" t="s">
        <v>596</v>
      </c>
    </row>
    <row r="3098" customFormat="false" ht="17.15" hidden="false" customHeight="false" outlineLevel="0" collapsed="false">
      <c r="A3098" s="0" t="s">
        <v>597</v>
      </c>
      <c r="B3098" s="0" t="s">
        <v>73</v>
      </c>
      <c r="C3098" s="38" t="n">
        <f aca="false">Sens!$C$3079-ext_sh*Sens!$C$3081</f>
        <v>1.80694998843362</v>
      </c>
      <c r="D3098" s="38" t="n">
        <f aca="false">Sens!$D$3079-ext_sh*Sens!$D$3081</f>
        <v>6.77606245662607</v>
      </c>
      <c r="E3098" s="38" t="n">
        <f aca="false">Sens!$E$3079-ext_sh*Sens!$E$3081</f>
        <v>6.62548329092326</v>
      </c>
      <c r="F3098" s="38" t="n">
        <f aca="false">Sens!$F$3079-ext_sh*Sens!$F$3081</f>
        <v>11.7200577158706</v>
      </c>
      <c r="G3098" s="38" t="n">
        <f aca="false">Sens!$G$3079-ext_sh*Sens!$G$3081</f>
        <v>18.3455410067939</v>
      </c>
      <c r="H3098" s="38" t="n">
        <f aca="false">Sens!$H$3079-ext_sh*Sens!$H$3081</f>
        <v>47.5171727060453</v>
      </c>
      <c r="I3098" s="38" t="n">
        <f aca="false">Sens!$I$3079-ext_sh*Sens!$I$3081</f>
        <v>80.5539692643667</v>
      </c>
      <c r="J3098" s="38" t="n">
        <f aca="false">Sens!$J$3079-ext_sh*Sens!$J$3081</f>
        <v>113.759316834883</v>
      </c>
      <c r="K3098" s="38" t="n">
        <f aca="false">Sens!$K$3079-ext_sh*Sens!$K$3081</f>
        <v>147.020848076132</v>
      </c>
      <c r="L3098" s="38" t="n">
        <f aca="false">Sens!$L$3079-ext_sh*Sens!$L$3081</f>
        <v>180.307917349531</v>
      </c>
      <c r="M3098" s="38" t="n">
        <f aca="false">Sens!$M$3079-ext_sh*Sens!$M$3081</f>
        <v>213.608737871012</v>
      </c>
      <c r="N3098" s="38" t="n">
        <f aca="false">Sens!$N$3079-ext_sh*Sens!$N$3081</f>
        <v>2.37162185981912</v>
      </c>
      <c r="O3098" s="38" t="n">
        <f aca="false">Sens!$O$3079-ext_sh*Sens!$O$3081</f>
        <v>4.40444059680694</v>
      </c>
    </row>
    <row r="3099" customFormat="false" ht="17.15" hidden="false" customHeight="false" outlineLevel="0" collapsed="false">
      <c r="A3099" s="1" t="s">
        <v>598</v>
      </c>
      <c r="B3099" s="8" t="s">
        <v>73</v>
      </c>
      <c r="C3099" s="38" t="n">
        <f aca="false">Sens!$C$3098-ext_sh*Sens!$C$3095</f>
        <v>1.64417882953695</v>
      </c>
      <c r="D3099" s="38" t="n">
        <f aca="false">Sens!$D$3098-ext_sh*Sens!$D$3095</f>
        <v>3.8781008067718</v>
      </c>
      <c r="E3099" s="38" t="n">
        <f aca="false">Sens!$E$3098-ext_sh*Sens!$E$3095</f>
        <v>1.41270258088753</v>
      </c>
      <c r="F3099" s="38" t="n">
        <f aca="false">Sens!$F$3098-ext_sh*Sens!$F$3095</f>
        <v>6.50727700583486</v>
      </c>
      <c r="G3099" s="38" t="n">
        <f aca="false">Sens!$G$3098-ext_sh*Sens!$G$3095</f>
        <v>7.9199795867224</v>
      </c>
      <c r="H3099" s="38" t="n">
        <f aca="false">Sens!$H$3098-ext_sh*Sens!$H$3095</f>
        <v>19.2818189481807</v>
      </c>
      <c r="I3099" s="38" t="n">
        <f aca="false">Sens!$I$3098-ext_sh*Sens!$I$3095</f>
        <v>30.140114407202</v>
      </c>
      <c r="J3099" s="38" t="n">
        <f aca="false">Sens!$J$3098-ext_sh*Sens!$J$3095</f>
        <v>40.3569468829854</v>
      </c>
      <c r="K3099" s="38" t="n">
        <f aca="false">Sens!$K$3098-ext_sh*Sens!$K$3095</f>
        <v>50.0782975081929</v>
      </c>
      <c r="L3099" s="38" t="n">
        <f aca="false">Sens!$L$3098-ext_sh*Sens!$L$3095</f>
        <v>61.443331993499</v>
      </c>
      <c r="M3099" s="38" t="n">
        <f aca="false">Sens!$M$3098-ext_sh*Sens!$M$3095</f>
        <v>72.2498791587849</v>
      </c>
      <c r="N3099" s="38" t="n">
        <f aca="false">Sens!$N$3098-ext_sh*Sens!$N$3095</f>
        <v>0.92264103489199</v>
      </c>
      <c r="O3099" s="38" t="n">
        <f aca="false">Sens!$O$3098-ext_sh*Sens!$O$3095</f>
        <v>2.95545977187981</v>
      </c>
    </row>
    <row r="3100" customFormat="false" ht="17.15" hidden="false" customHeight="false" outlineLevel="0" collapsed="false">
      <c r="A3100" s="0" t="s">
        <v>599</v>
      </c>
      <c r="B3100" s="0" t="s">
        <v>52</v>
      </c>
      <c r="C3100" s="12" t="n">
        <f aca="false">Sens!$C$3099/Sens!$C$3079</f>
        <v>0.708390794789371</v>
      </c>
      <c r="D3100" s="12" t="n">
        <f aca="false">Sens!$D$3099/Sens!$D$3079</f>
        <v>0.445565630441968</v>
      </c>
      <c r="E3100" s="12" t="n">
        <f aca="false">Sens!$E$3099/Sens!$E$3079</f>
        <v>0.165998118402711</v>
      </c>
      <c r="F3100" s="12" t="n">
        <f aca="false">Sens!$F$3099/Sens!$F$3079</f>
        <v>0.434878595403858</v>
      </c>
      <c r="G3100" s="12" t="n">
        <f aca="false">Sens!$G$3099/Sens!$G$3079</f>
        <v>0.3373967615381</v>
      </c>
      <c r="H3100" s="12" t="n">
        <f aca="false">Sens!$H$3099/Sens!$H$3079</f>
        <v>0.320477578041224</v>
      </c>
      <c r="I3100" s="12" t="n">
        <f aca="false">Sens!$I$3099/Sens!$I$3079</f>
        <v>0.296936118226494</v>
      </c>
      <c r="J3100" s="12" t="n">
        <f aca="false">Sens!$J$3099/Sens!$J$3079</f>
        <v>0.282166278613001</v>
      </c>
      <c r="K3100" s="12" t="n">
        <f aca="false">Sens!$K$3099/Sens!$K$3079</f>
        <v>0.271267685694333</v>
      </c>
      <c r="L3100" s="12" t="n">
        <f aca="false">Sens!$L$3099/Sens!$L$3079</f>
        <v>0.27160960915653</v>
      </c>
      <c r="M3100" s="12" t="n">
        <f aca="false">Sens!$M$3099/Sens!$M$3079</f>
        <v>0.26974494804234</v>
      </c>
      <c r="N3100" s="12" t="n">
        <f aca="false">Sens!$N$3099/Sens!$N$3079</f>
        <v>0.302870734830849</v>
      </c>
      <c r="O3100" s="12" t="n">
        <f aca="false">Sens!$O$3099/Sens!$O$3079</f>
        <v>0.52240134346334</v>
      </c>
    </row>
    <row r="3101" customFormat="false" ht="17.15" hidden="false" customHeight="false" outlineLevel="0" collapsed="false">
      <c r="A3101" s="5" t="s">
        <v>600</v>
      </c>
      <c r="B3101" s="0" t="s">
        <v>73</v>
      </c>
      <c r="C3101" s="38" t="n">
        <f aca="false">rd2*(1-ext_sh)/ext_sh*Sens!$C$3062*he_open*Sens!$C$3063/1000</f>
        <v>0</v>
      </c>
      <c r="D3101" s="38" t="n">
        <f aca="false">rd2*(1-ext_sh)/ext_sh*Sens!$D$3062*he_open*Sens!$D$3063/1000</f>
        <v>0</v>
      </c>
      <c r="E3101" s="38" t="n">
        <f aca="false">rd2*(1-ext_sh)/ext_sh*Sens!$E$3062*he_open*Sens!$E$3063/1000</f>
        <v>0</v>
      </c>
      <c r="F3101" s="38" t="n">
        <f aca="false">rd2*(1-ext_sh)/ext_sh*(mw_open*he_open+Sens!$F$3077*Sens!$F$3074)*Sens!$F$3063/1000</f>
        <v>0</v>
      </c>
      <c r="G3101" s="38" t="n">
        <f aca="false">Sens!$E$3101+Sens!$F$3101</f>
        <v>0</v>
      </c>
      <c r="H3101" s="38" t="n">
        <f aca="false">rd2*(1-ext_sh)/ext_sh*(mw_open*he_open+Sens!$H$3077*Sens!$H$3074)*Sens!$H$3063/1000</f>
        <v>0</v>
      </c>
      <c r="I3101" s="38" t="n">
        <f aca="false">rd2*(1-ext_sh)/ext_sh*(mw_open*he_open+Sens!$I$3077*Sens!$I$3074)*Sens!$I$3063/1000</f>
        <v>0</v>
      </c>
      <c r="J3101" s="38" t="n">
        <f aca="false">rd2*(1-ext_sh)/ext_sh*(mw_open*he_open+Sens!$J$3077*Sens!$J$3074)*Sens!$J$3063/1000</f>
        <v>0</v>
      </c>
      <c r="K3101" s="38" t="n">
        <f aca="false">rd2*(1-ext_sh)/ext_sh*(mw_open*he_open+Sens!$K$3077*Sens!$K$3074)*Sens!$K$3063/1000</f>
        <v>0</v>
      </c>
      <c r="L3101" s="38" t="n">
        <f aca="false">rd2*(1-ext_sh)/ext_sh*(mw_open*he_open+Sens!$L$3077*Sens!$L$3074)*Sens!$L$3063/1000</f>
        <v>0</v>
      </c>
      <c r="M3101" s="38" t="n">
        <f aca="false">rd2*(1-ext_sh)/ext_sh*(mw_open*he_open+Sens!$M$3077*Sens!$M$3074)*Sens!$M$3063/1000</f>
        <v>0</v>
      </c>
      <c r="N3101" s="38" t="n">
        <f aca="false">rd2*(1-ext_sh)/ext_sh*Sens!$N$3062*he_open*Sens!$N$3063/1000</f>
        <v>0</v>
      </c>
      <c r="O3101" s="38" t="n">
        <f aca="false">rd2*(1-ext_sh)/ext_sh*Sens!$O$3062*he_open*Sens!$O$3063/1000</f>
        <v>0</v>
      </c>
      <c r="P3101" s="8" t="s">
        <v>601</v>
      </c>
    </row>
    <row r="3102" customFormat="false" ht="17.15" hidden="false" customHeight="false" outlineLevel="0" collapsed="false">
      <c r="A3102" s="5" t="s">
        <v>602</v>
      </c>
      <c r="B3102" s="0" t="s">
        <v>73</v>
      </c>
      <c r="C3102" s="38" t="n">
        <f aca="false">(1-ext_sh)*(Sens!$C$3081+Sens!$C$3095)-Sens!$C$3101</f>
        <v>0.169206631859174</v>
      </c>
      <c r="D3102" s="38" t="n">
        <f aca="false">(1-ext_sh)*(Sens!$D$3081+Sens!$D$3095)-Sens!$D$3101</f>
        <v>1.20641732046984</v>
      </c>
      <c r="E3102" s="38" t="n">
        <f aca="false">(1-ext_sh)*(Sens!$E$3081+Sens!$E$3095)-Sens!$E$3101</f>
        <v>1.77441259867062</v>
      </c>
      <c r="F3102" s="38" t="n">
        <f aca="false">(1-ext_sh)*(Sens!$F$3081+Sens!$F$3095)-Sens!$F$3101</f>
        <v>2.1140391597214</v>
      </c>
      <c r="G3102" s="38" t="n">
        <f aca="false">(1-ext_sh)*(Sens!$G$3081+Sens!$G$3095)-Sens!$G$3101</f>
        <v>3.88845175839202</v>
      </c>
      <c r="H3102" s="38" t="n">
        <f aca="false">(1-ext_sh)*(Sens!$H$3081+Sens!$H$3095)-Sens!$H$3101</f>
        <v>10.2210179503985</v>
      </c>
      <c r="I3102" s="38" t="n">
        <f aca="false">(1-ext_sh)*(Sens!$I$3081+Sens!$I$3095)-Sens!$I$3101</f>
        <v>17.8408961823075</v>
      </c>
      <c r="J3102" s="38" t="n">
        <f aca="false">(1-ext_sh)*(Sens!$J$3081+Sens!$J$3095)-Sens!$J$3101</f>
        <v>25.6671150670732</v>
      </c>
      <c r="K3102" s="38" t="n">
        <f aca="false">(1-ext_sh)*(Sens!$K$3081+Sens!$K$3095)-Sens!$K$3101</f>
        <v>33.6325293834986</v>
      </c>
      <c r="L3102" s="38" t="n">
        <f aca="false">(1-ext_sh)*(Sens!$L$3081+Sens!$L$3095)-Sens!$L$3101</f>
        <v>41.1939886299065</v>
      </c>
      <c r="M3102" s="38" t="n">
        <f aca="false">(1-ext_sh)*(Sens!$M$3081+Sens!$M$3095)-Sens!$M$3101</f>
        <v>48.8988205728617</v>
      </c>
      <c r="N3102" s="38" t="n">
        <f aca="false">(1-ext_sh)*(Sens!$N$3081+Sens!$N$3095)-Sens!$N$3101</f>
        <v>0.530919624033979</v>
      </c>
      <c r="O3102" s="38" t="n">
        <f aca="false">(1-ext_sh)*(Sens!$O$3081+Sens!$O$3095)-Sens!$O$3101</f>
        <v>0.675497696435861</v>
      </c>
    </row>
    <row r="3103" customFormat="false" ht="17.15" hidden="false" customHeight="false" outlineLevel="0" collapsed="false">
      <c r="A3103" s="0" t="s">
        <v>603</v>
      </c>
      <c r="B3103" s="0" t="s">
        <v>73</v>
      </c>
      <c r="C3103" s="38" t="n">
        <f aca="false">Q!$D$24</f>
        <v>39.834</v>
      </c>
      <c r="D3103" s="38" t="n">
        <f aca="false">Q!$E$24</f>
        <v>45.606</v>
      </c>
      <c r="E3103" s="38" t="n">
        <f aca="false">Q!$P$24</f>
        <v>30.782</v>
      </c>
      <c r="N3103" s="38" t="n">
        <f aca="false">Q!$N$24</f>
        <v>21.707</v>
      </c>
      <c r="O3103" s="38" t="n">
        <f aca="false">Q!$O$24</f>
        <v>23.899</v>
      </c>
    </row>
    <row r="3104" customFormat="false" ht="17.15" hidden="false" customHeight="false" outlineLevel="0" collapsed="false">
      <c r="A3104" s="0" t="s">
        <v>604</v>
      </c>
      <c r="B3104" s="0" t="s">
        <v>73</v>
      </c>
      <c r="C3104" s="38" t="n">
        <f aca="false">Sens!$C$3103-Sens!$C$3099</f>
        <v>38.1898211704631</v>
      </c>
      <c r="D3104" s="38" t="n">
        <f aca="false">Sens!$D$3103-Sens!$D$3099</f>
        <v>41.7278991932282</v>
      </c>
      <c r="E3104" s="38" t="n">
        <f aca="false">Sens!$E$3103-Sens!$E$3099</f>
        <v>29.3692974191125</v>
      </c>
      <c r="F3104" s="38" t="n">
        <f aca="false">Sens!$F$3083*Sens!$F$3105</f>
        <v>29.458060516894</v>
      </c>
      <c r="G3104" s="38" t="n">
        <f aca="false">Sens!$E$3104+Sens!$F$3104</f>
        <v>58.8273579360065</v>
      </c>
      <c r="H3104" s="38" t="n">
        <f aca="false">Sens!$H$3083*Sens!$H$3105</f>
        <v>67.8004040185081</v>
      </c>
      <c r="I3104" s="38" t="n">
        <f aca="false">Sens!$I$3083*Sens!$I$3105</f>
        <v>78.9527630302702</v>
      </c>
      <c r="J3104" s="38" t="n">
        <f aca="false">Sens!$J$3083*Sens!$J$3105</f>
        <v>88.6042681781841</v>
      </c>
      <c r="K3104" s="38" t="n">
        <f aca="false">Sens!$K$3083*Sens!$K$3105</f>
        <v>95.6926096324389</v>
      </c>
      <c r="L3104" s="38" t="n">
        <f aca="false">Sens!$L$3083*Sens!$L$3105</f>
        <v>103.348018403034</v>
      </c>
      <c r="M3104" s="38" t="n">
        <f aca="false">Sens!$M$3083*Sens!$M$3105</f>
        <v>111.615859875277</v>
      </c>
      <c r="N3104" s="38" t="n">
        <f aca="false">Sens!$N$3103-Sens!$N$3099</f>
        <v>20.784358965108</v>
      </c>
      <c r="O3104" s="38" t="n">
        <f aca="false">Sens!$O$3103-Sens!$O$3099</f>
        <v>20.9435402281202</v>
      </c>
      <c r="P3104" s="5" t="s">
        <v>605</v>
      </c>
    </row>
    <row r="3105" customFormat="false" ht="17.15" hidden="false" customHeight="false" outlineLevel="0" collapsed="false">
      <c r="A3105" s="0" t="s">
        <v>606</v>
      </c>
      <c r="B3105" s="0" t="s">
        <v>52</v>
      </c>
      <c r="C3105" s="12" t="n">
        <f aca="false">Sens!$C$3104/Sens!$C$3083</f>
        <v>0.362900395443635</v>
      </c>
      <c r="D3105" s="12" t="n">
        <f aca="false">Sens!$D$3104/Sens!$D$3083</f>
        <v>0.34767098474203</v>
      </c>
      <c r="E3105" s="12" t="n">
        <f aca="false">Sens!$E$3104/Sens!$E$3083</f>
        <v>0.411861655558416</v>
      </c>
      <c r="F3105" s="12" t="n">
        <f aca="false">(Sens!$O$3104+Sens!$E$3104)/(Sens!$O$3083+Sens!$E$3083)</f>
        <v>0.37480827803158</v>
      </c>
      <c r="G3105" s="12" t="n">
        <f aca="false">Sens!$G$3104/Sens!$G$3083</f>
        <v>0.392434440489471</v>
      </c>
      <c r="H3105" s="12" t="n">
        <f aca="false">Sens!$F$3105</f>
        <v>0.37480827803158</v>
      </c>
      <c r="I3105" s="12" t="n">
        <f aca="false">Sens!$F$3105</f>
        <v>0.37480827803158</v>
      </c>
      <c r="J3105" s="12" t="n">
        <f aca="false">Sens!$F$3105</f>
        <v>0.37480827803158</v>
      </c>
      <c r="K3105" s="12" t="n">
        <f aca="false">Sens!$F$3105</f>
        <v>0.37480827803158</v>
      </c>
      <c r="L3105" s="12" t="n">
        <f aca="false">Sens!$F$3105</f>
        <v>0.37480827803158</v>
      </c>
      <c r="M3105" s="12" t="n">
        <f aca="false">Sens!$F$3105</f>
        <v>0.37480827803158</v>
      </c>
      <c r="N3105" s="12" t="n">
        <f aca="false">Sens!$N$3104/Sens!$N$3083</f>
        <v>0.364039571356823</v>
      </c>
      <c r="O3105" s="12" t="n">
        <f aca="false">Sens!$O$3104/Sens!$O$3083</f>
        <v>0.332819892300086</v>
      </c>
      <c r="P3105" s="8" t="s">
        <v>607</v>
      </c>
    </row>
    <row r="3106" customFormat="false" ht="17.15" hidden="false" customHeight="false" outlineLevel="0" collapsed="false">
      <c r="A3106" s="0" t="s">
        <v>608</v>
      </c>
      <c r="B3106" s="0" t="s">
        <v>52</v>
      </c>
      <c r="D3106" s="12" t="n">
        <f aca="false">(Q!$E$31-ext_sh*Sens!$D$3095)/Sens!$D$3083</f>
        <v>0.154572973163571</v>
      </c>
    </row>
    <row r="3107" customFormat="false" ht="17.15" hidden="false" customHeight="false" outlineLevel="0" collapsed="false">
      <c r="A3107" s="0" t="s">
        <v>609</v>
      </c>
      <c r="B3107" s="0" t="s">
        <v>73</v>
      </c>
      <c r="C3107" s="38" t="n">
        <f aca="false">Q!$D$31</f>
        <v>13.32</v>
      </c>
      <c r="D3107" s="38" t="n">
        <f aca="false">Q!$E$31</f>
        <v>21.45</v>
      </c>
      <c r="E3107" s="38" t="n">
        <f aca="false">Q!$P$31</f>
        <v>15.353</v>
      </c>
      <c r="F3107" s="38" t="n">
        <f aca="false">ext_sh*Sens!$F$3095+Sens!$D$3106*Sens!$F$3083</f>
        <v>17.3614451462707</v>
      </c>
      <c r="G3107" s="38" t="n">
        <f aca="false">Sens!$E$3107+Sens!$F$3107</f>
        <v>32.7144451462707</v>
      </c>
      <c r="H3107" s="38" t="n">
        <f aca="false">ext_sh*Sens!$H$3095+Sens!$D$3106*Sens!$H$3083</f>
        <v>56.1966092719415</v>
      </c>
      <c r="I3107" s="38" t="n">
        <f aca="false">ext_sh*Sens!$I$3095+Sens!$D$3106*Sens!$I$3083</f>
        <v>82.9744039068297</v>
      </c>
      <c r="J3107" s="38" t="n">
        <f aca="false">ext_sh*Sens!$J$3095+Sens!$D$3106*Sens!$J$3083</f>
        <v>109.943252237669</v>
      </c>
      <c r="K3107" s="38" t="n">
        <f aca="false">ext_sh*Sens!$K$3095+Sens!$D$3106*Sens!$K$3083</f>
        <v>136.406703436571</v>
      </c>
      <c r="L3107" s="38" t="n">
        <f aca="false">ext_sh*Sens!$L$3095+Sens!$D$3106*Sens!$L$3083</f>
        <v>161.485870454155</v>
      </c>
      <c r="M3107" s="38" t="n">
        <f aca="false">ext_sh*Sens!$M$3095+Sens!$D$3106*Sens!$M$3083</f>
        <v>187.389846618199</v>
      </c>
      <c r="N3107" s="38" t="n">
        <f aca="false">Q!$N$31</f>
        <v>9.234</v>
      </c>
      <c r="O3107" s="38" t="n">
        <f aca="false">Q!$O$31</f>
        <v>12.216</v>
      </c>
    </row>
    <row r="3108" customFormat="false" ht="17.15" hidden="false" customHeight="false" outlineLevel="0" collapsed="false">
      <c r="A3108" s="1" t="s">
        <v>610</v>
      </c>
    </row>
    <row r="3109" customFormat="false" ht="17.15" hidden="false" customHeight="false" outlineLevel="0" collapsed="false">
      <c r="A3109" s="14" t="s">
        <v>611</v>
      </c>
      <c r="B3109" s="13" t="s">
        <v>52</v>
      </c>
      <c r="C3109" s="13"/>
      <c r="D3109" s="13"/>
      <c r="E3109" s="13"/>
      <c r="F3109" s="13"/>
      <c r="G3109" s="16" t="n">
        <f aca="false">Sens!$G$3099*(1-tax)/(ext_sh*(Sens!$D$3096+Sens!$G$3096)/2)</f>
        <v>0.0492184452944045</v>
      </c>
      <c r="H3109" s="16" t="n">
        <f aca="false">Sens!$H$3099*(1-tax)/(ext_sh*(Sens!$G$3096+Sens!$H$3096)/2)</f>
        <v>0.0619414246858107</v>
      </c>
      <c r="I3109" s="16" t="n">
        <f aca="false">Sens!$I$3099*(1-tax)/(ext_sh*(Sens!$H$3096+Sens!$I$3096)/2)</f>
        <v>0.0656831488051666</v>
      </c>
      <c r="J3109" s="16" t="n">
        <f aca="false">Sens!$J$3099*(1-tax)/(ext_sh*(Sens!$I$3096+Sens!$J$3096)/2)</f>
        <v>0.0690334849962116</v>
      </c>
      <c r="K3109" s="16" t="n">
        <f aca="false">Sens!$K$3099*(1-tax)/(ext_sh*(Sens!$J$3096+Sens!$K$3096)/2)</f>
        <v>0.0728680488295485</v>
      </c>
      <c r="L3109" s="16" t="n">
        <f aca="false">Sens!$L$3099*(1-tax)/(ext_sh*(Sens!$K$3096+Sens!$L$3096)/2)</f>
        <v>0.0785052878122331</v>
      </c>
      <c r="M3109" s="16" t="n">
        <f aca="false">Sens!$M$3099*(1-tax)/(ext_sh*(Sens!$L$3096+Sens!$M$3096)/2)</f>
        <v>0.0804526580722741</v>
      </c>
      <c r="N3109" s="13"/>
      <c r="O3109" s="13"/>
      <c r="P3109" s="8" t="s">
        <v>612</v>
      </c>
    </row>
    <row r="3110" customFormat="false" ht="17.15" hidden="false" customHeight="false" outlineLevel="0" collapsed="false">
      <c r="A3110" s="5" t="s">
        <v>613</v>
      </c>
      <c r="B3110" s="0" t="s">
        <v>57</v>
      </c>
      <c r="H3110" s="36" t="n">
        <f aca="false">Sens!$H$3079*1000/(mw_open*he_open+Sens!$H$3077*Sens!$H$3074)</f>
        <v>0.991949006767191</v>
      </c>
      <c r="I3110" s="36" t="n">
        <f aca="false">Sens!$I$3079*1000/(mw_open*he_open+Sens!$I$3077*Sens!$I$3074)</f>
        <v>0.991949006767191</v>
      </c>
      <c r="J3110" s="36" t="n">
        <f aca="false">Sens!$J$3079*1000/(mw_open*he_open+Sens!$J$3077*Sens!$J$3074)</f>
        <v>0.991949006767191</v>
      </c>
      <c r="K3110" s="36" t="n">
        <f aca="false">Sens!$K$3079*1000/(mw_open*he_open+Sens!$K$3077*Sens!$K$3074)</f>
        <v>0.991949006767191</v>
      </c>
      <c r="L3110" s="36" t="n">
        <f aca="false">Sens!$L$3079*1000/(mw_open*he_open+Sens!$L$3077*Sens!$L$3074)</f>
        <v>0.991949006767191</v>
      </c>
      <c r="M3110" s="36" t="n">
        <f aca="false">Sens!$M$3079*1000/(mw_open*he_open+Sens!$M$3077*Sens!$M$3074)</f>
        <v>0.991949006767192</v>
      </c>
    </row>
    <row r="3111" customFormat="false" ht="17.15" hidden="false" customHeight="false" outlineLevel="0" collapsed="false">
      <c r="A3111" s="5" t="s">
        <v>614</v>
      </c>
      <c r="B3111" s="0" t="s">
        <v>57</v>
      </c>
      <c r="H3111" s="36" t="n">
        <f aca="false">Sens!$H$3110*(Sens!$H$3079+wacc*ext_sh*(Sens!$G$3096+Sens!$H$3096)/2/(1-tax)-Sens!$H$3099)/Sens!$H$3079</f>
        <v>1.3149781212103</v>
      </c>
      <c r="I3111" s="36" t="n">
        <f aca="false">Sens!$I$3110*(Sens!$I$3079+wacc*ext_sh*(Sens!$H$3096+Sens!$I$3096)/2/(1-tax)-Sens!$I$3099)/Sens!$I$3079</f>
        <v>1.25742005569107</v>
      </c>
      <c r="J3111" s="36" t="n">
        <f aca="false">Sens!$J$3110*(Sens!$J$3079+wacc*ext_sh*(Sens!$I$3096+Sens!$J$3096)/2/(1-tax)-Sens!$J$3099)/Sens!$J$3079</f>
        <v>1.21838845868559</v>
      </c>
      <c r="K3111" s="36" t="n">
        <f aca="false">Sens!$K$3110*(Sens!$K$3079+wacc*ext_sh*(Sens!$J$3096+Sens!$K$3096)/2/(1-tax)-Sens!$K$3099)/Sens!$K$3079</f>
        <v>1.18402644209548</v>
      </c>
      <c r="L3111" s="36" t="n">
        <f aca="false">Sens!$L$3110*(Sens!$L$3079+wacc*ext_sh*(Sens!$K$3096+Sens!$L$3096)/2/(1-tax)-Sens!$L$3099)/Sens!$L$3079</f>
        <v>1.15111215322059</v>
      </c>
      <c r="M3111" s="36" t="n">
        <f aca="false">Sens!$M$3110*(Sens!$M$3079+wacc*ext_sh*(Sens!$L$3096+Sens!$M$3096)/2/(1-tax)-Sens!$M$3099)/Sens!$M$3079</f>
        <v>1.1397166845677</v>
      </c>
    </row>
    <row r="3112" customFormat="false" ht="17.15" hidden="false" customHeight="false" outlineLevel="0" collapsed="false">
      <c r="A3112" s="5" t="s">
        <v>615</v>
      </c>
      <c r="B3112" s="0" t="s">
        <v>52</v>
      </c>
      <c r="C3112" s="12" t="n">
        <f aca="false">Sens!$C$3080/tk_pq</f>
        <v>0.195316432429398</v>
      </c>
      <c r="D3112" s="12" t="n">
        <f aca="false">Sens!$D$3080/tk_pq</f>
        <v>0.195316432429398</v>
      </c>
      <c r="E3112" s="12" t="n">
        <f aca="false">Sens!$E$3080/tk_pq</f>
        <v>0.195316432429398</v>
      </c>
      <c r="F3112" s="12" t="n">
        <f aca="false">Sens!$F$3080/tk_pq</f>
        <v>0.202241827274866</v>
      </c>
      <c r="G3112" s="12" t="n">
        <f aca="false">Sens!$G$3080/tk_pq</f>
        <v>0.199675016194063</v>
      </c>
      <c r="H3112" s="12" t="n">
        <f aca="false">Sens!$H$3080/tk_pq</f>
        <v>0.212647947710325</v>
      </c>
      <c r="I3112" s="12" t="n">
        <f aca="false">Sens!$I$3080/tk_pq</f>
        <v>0.219285125475351</v>
      </c>
      <c r="J3112" s="12" t="n">
        <f aca="false">Sens!$J$3080/tk_pq</f>
        <v>0.222492493217189</v>
      </c>
      <c r="K3112" s="12" t="n">
        <f aca="false">Sens!$K$3080/tk_pq</f>
        <v>0.224371415939166</v>
      </c>
      <c r="L3112" s="12" t="n">
        <f aca="false">Sens!$L$3080/tk_pq</f>
        <v>0.225603749825993</v>
      </c>
      <c r="M3112" s="12" t="n">
        <f aca="false">Sens!$M$3080/tk_pq</f>
        <v>0.22647376274628</v>
      </c>
      <c r="N3112" s="12" t="n">
        <f aca="false">Sens!$N$3080/tk_pq</f>
        <v>0.195316432429398</v>
      </c>
      <c r="O3112" s="12" t="n">
        <f aca="false">Sens!$O$3080/tk_pq</f>
        <v>0.195316432429398</v>
      </c>
      <c r="P3112" s="5" t="s">
        <v>616</v>
      </c>
    </row>
    <row r="3115" customFormat="false" ht="17.15" hidden="false" customHeight="false" outlineLevel="0" collapsed="false">
      <c r="A3115" s="1" t="s">
        <v>643</v>
      </c>
    </row>
    <row r="3116" customFormat="false" ht="17.15" hidden="false" customHeight="false" outlineLevel="0" collapsed="false">
      <c r="A3116" s="0" t="s">
        <v>644</v>
      </c>
      <c r="B3116" s="0" t="s">
        <v>73</v>
      </c>
      <c r="C3116" s="38" t="n">
        <f aca="false">Sens!$C$3079</f>
        <v>2.32100535697364</v>
      </c>
      <c r="D3116" s="38" t="n">
        <f aca="false">Sens!$D$3079</f>
        <v>8.70377008865116</v>
      </c>
      <c r="E3116" s="38" t="n">
        <f aca="false">Sens!$E$3079</f>
        <v>8.51035297557002</v>
      </c>
      <c r="F3116" s="38" t="n">
        <f aca="false">Sens!$F$3079</f>
        <v>14.9634336447205</v>
      </c>
      <c r="G3116" s="38" t="n">
        <f aca="false">Sens!$G$3079</f>
        <v>23.4737866202905</v>
      </c>
      <c r="H3116" s="38" t="n">
        <f aca="false">Sens!$H$3079</f>
        <v>60.1658907497746</v>
      </c>
      <c r="I3116" s="38" t="n">
        <f aca="false">Sens!$I$3079</f>
        <v>101.503699136432</v>
      </c>
      <c r="J3116" s="38" t="n">
        <f aca="false">Sens!$J$3079</f>
        <v>143.025407151278</v>
      </c>
      <c r="K3116" s="38" t="n">
        <f aca="false">Sens!$K$3079</f>
        <v>184.608415042187</v>
      </c>
      <c r="L3116" s="38" t="n">
        <f aca="false">Sens!$L$3079</f>
        <v>226.219286513125</v>
      </c>
      <c r="M3116" s="38" t="n">
        <f aca="false">Sens!$M$3079</f>
        <v>267.845161450232</v>
      </c>
      <c r="N3116" s="38" t="n">
        <f aca="false">Sens!$N$3079</f>
        <v>3.04631953102791</v>
      </c>
      <c r="O3116" s="38" t="n">
        <f aca="false">Sens!$O$3079</f>
        <v>5.65745055762326</v>
      </c>
      <c r="P3116" s="8" t="s">
        <v>645</v>
      </c>
    </row>
    <row r="3117" customFormat="false" ht="17.15" hidden="false" customHeight="false" outlineLevel="0" collapsed="false">
      <c r="A3117" s="0" t="s">
        <v>646</v>
      </c>
      <c r="B3117" s="0" t="s">
        <v>73</v>
      </c>
      <c r="C3117" s="38" t="n">
        <f aca="false">Sens!$C$3083</f>
        <v>105.234994643026</v>
      </c>
      <c r="D3117" s="38" t="n">
        <f aca="false">Sens!$D$3083</f>
        <v>120.021229911349</v>
      </c>
      <c r="E3117" s="38" t="n">
        <f aca="false">Sens!$E$3083</f>
        <v>71.30864702443</v>
      </c>
      <c r="F3117" s="38" t="n">
        <f aca="false">Sens!$F$3083</f>
        <v>78.5950104186653</v>
      </c>
      <c r="G3117" s="38" t="n">
        <f aca="false">Sens!$G$3083</f>
        <v>149.903657443095</v>
      </c>
      <c r="H3117" s="38" t="n">
        <f aca="false">Sens!$H$3083</f>
        <v>180.893560768142</v>
      </c>
      <c r="I3117" s="38" t="n">
        <f aca="false">Sens!$I$3083</f>
        <v>210.64839721501</v>
      </c>
      <c r="J3117" s="38" t="n">
        <f aca="false">Sens!$J$3083</f>
        <v>236.398909446495</v>
      </c>
      <c r="K3117" s="38" t="n">
        <f aca="false">Sens!$K$3083</f>
        <v>255.310822202215</v>
      </c>
      <c r="L3117" s="38" t="n">
        <f aca="false">Sens!$L$3083</f>
        <v>275.735687978392</v>
      </c>
      <c r="M3117" s="38" t="n">
        <f aca="false">Sens!$M$3083</f>
        <v>297.794543016663</v>
      </c>
      <c r="N3117" s="38" t="n">
        <f aca="false">Sens!$N$3083</f>
        <v>57.0936804689721</v>
      </c>
      <c r="O3117" s="38" t="n">
        <f aca="false">Sens!$O$3083</f>
        <v>62.9275494423768</v>
      </c>
      <c r="P3117" s="8" t="s">
        <v>645</v>
      </c>
    </row>
    <row r="3118" customFormat="false" ht="17.15" hidden="false" customHeight="false" outlineLevel="0" collapsed="false">
      <c r="A3118" s="1" t="s">
        <v>476</v>
      </c>
      <c r="B3118" s="8" t="s">
        <v>73</v>
      </c>
      <c r="C3118" s="38" t="n">
        <f aca="false">Q!$D$7</f>
        <v>107.556</v>
      </c>
      <c r="D3118" s="38" t="n">
        <f aca="false">Q!$E$7</f>
        <v>128.725</v>
      </c>
      <c r="E3118" s="38" t="n">
        <f aca="false">Q!$P$7</f>
        <v>79.819</v>
      </c>
      <c r="F3118" s="38" t="n">
        <f aca="false">Sens!$F$3116+Sens!$F$3117</f>
        <v>93.5584440633857</v>
      </c>
      <c r="G3118" s="38" t="n">
        <f aca="false">Sens!$G$3116+Sens!$G$3117</f>
        <v>173.377444063386</v>
      </c>
      <c r="H3118" s="38" t="n">
        <f aca="false">Sens!$H$3116+Sens!$H$3117</f>
        <v>241.059451517916</v>
      </c>
      <c r="I3118" s="38" t="n">
        <f aca="false">Sens!$I$3116+Sens!$I$3117</f>
        <v>312.152096351442</v>
      </c>
      <c r="J3118" s="38" t="n">
        <f aca="false">Sens!$J$3116+Sens!$J$3117</f>
        <v>379.424316597773</v>
      </c>
      <c r="K3118" s="38" t="n">
        <f aca="false">Sens!$K$3116+Sens!$K$3117</f>
        <v>439.919237244402</v>
      </c>
      <c r="L3118" s="38" t="n">
        <f aca="false">Sens!$L$3116+Sens!$L$3117</f>
        <v>501.954974491517</v>
      </c>
      <c r="M3118" s="38" t="n">
        <f aca="false">Sens!$M$3116+Sens!$M$3117</f>
        <v>565.639704466895</v>
      </c>
      <c r="N3118" s="38" t="n">
        <f aca="false">Q!$N$7</f>
        <v>60.14</v>
      </c>
      <c r="O3118" s="38" t="n">
        <f aca="false">Q!$O$7</f>
        <v>68.585</v>
      </c>
      <c r="P3118" s="5" t="s">
        <v>647</v>
      </c>
    </row>
    <row r="3119" customFormat="false" ht="15" hidden="false" customHeight="false" outlineLevel="0" collapsed="false">
      <c r="A3119" s="3" t="s">
        <v>648</v>
      </c>
      <c r="B3119" s="8" t="s">
        <v>73</v>
      </c>
      <c r="C3119" s="38" t="n">
        <f aca="false">Q!$D$8</f>
        <v>637.959</v>
      </c>
      <c r="D3119" s="38" t="n">
        <f aca="false">Q!$E$8</f>
        <v>716.924</v>
      </c>
      <c r="E3119" s="38" t="n">
        <f aca="false">Q!$P$8</f>
        <v>382.125</v>
      </c>
      <c r="F3119" s="38" t="n">
        <f aca="false">Sens!$F$3052+Sens!$F$3118</f>
        <v>450.494873271816</v>
      </c>
      <c r="G3119" s="38" t="n">
        <f aca="false">Sens!$G$3052+Sens!$G$3118</f>
        <v>832.619873271816</v>
      </c>
      <c r="H3119" s="38" t="n">
        <f aca="false">Sens!$H$3052+Sens!$H$3118</f>
        <v>970.995189139617</v>
      </c>
      <c r="I3119" s="38" t="n">
        <f aca="false">Sens!$I$3052+Sens!$I$3118</f>
        <v>1110.44766604932</v>
      </c>
      <c r="J3119" s="38" t="n">
        <f aca="false">Sens!$J$3052+Sens!$J$3118</f>
        <v>1241.16113892356</v>
      </c>
      <c r="K3119" s="38" t="n">
        <f aca="false">Sens!$K$3052+Sens!$K$3118</f>
        <v>1357.47672934633</v>
      </c>
      <c r="L3119" s="38" t="n">
        <f aca="false">Sens!$L$3052+Sens!$L$3118</f>
        <v>1479.24006423468</v>
      </c>
      <c r="M3119" s="38" t="n">
        <f aca="false">Sens!$M$3052+Sens!$M$3118</f>
        <v>1606.8537230104</v>
      </c>
      <c r="N3119" s="38" t="n">
        <f aca="false">Q!$N$8</f>
        <v>323.369</v>
      </c>
      <c r="O3119" s="38" t="n">
        <f aca="false">Q!$O$8</f>
        <v>393.555</v>
      </c>
    </row>
    <row r="3120" customFormat="false" ht="17.15" hidden="false" customHeight="false" outlineLevel="0" collapsed="false">
      <c r="A3120" s="24" t="s">
        <v>656</v>
      </c>
      <c r="B3120" s="25" t="s">
        <v>73</v>
      </c>
      <c r="C3120" s="39" t="n">
        <f aca="false">Sens!$C$3052-(Sens!$C$3054+Sens!$C$3055)</f>
        <v>0</v>
      </c>
      <c r="D3120" s="39" t="n">
        <f aca="false">Sens!$D$3052-(Sens!$D$3054+Sens!$D$3055)</f>
        <v>0</v>
      </c>
      <c r="E3120" s="39" t="n">
        <f aca="false">Sens!$E$3052-(Sens!$E$3054+Sens!$E$3055)</f>
        <v>0</v>
      </c>
      <c r="F3120" s="39" t="n">
        <f aca="false">Sens!$F$3052-(Sens!$F$3054+Sens!$F$3055)</f>
        <v>0</v>
      </c>
      <c r="G3120" s="39" t="n">
        <f aca="false">Sens!$G$3052-(Sens!$G$3054+Sens!$G$3055)</f>
        <v>0</v>
      </c>
      <c r="H3120" s="39" t="n">
        <f aca="false">Sens!$H$3052-(Sens!$H$3054+Sens!$H$3055)</f>
        <v>0</v>
      </c>
      <c r="I3120" s="39" t="n">
        <f aca="false">Sens!$I$3052-(Sens!$I$3054+Sens!$I$3055)</f>
        <v>0</v>
      </c>
      <c r="J3120" s="39" t="n">
        <f aca="false">Sens!$J$3052-(Sens!$J$3054+Sens!$J$3055)</f>
        <v>0</v>
      </c>
      <c r="K3120" s="39" t="n">
        <f aca="false">Sens!$K$3052-(Sens!$K$3054+Sens!$K$3055)</f>
        <v>0</v>
      </c>
      <c r="L3120" s="39" t="n">
        <f aca="false">Sens!$L$3052-(Sens!$L$3054+Sens!$L$3055)</f>
        <v>0</v>
      </c>
      <c r="M3120" s="39" t="n">
        <f aca="false">Sens!$M$3052-(Sens!$M$3054+Sens!$M$3055)</f>
        <v>0</v>
      </c>
      <c r="N3120" s="39" t="n">
        <f aca="false">Sens!$N$3052-(Sens!$N$3054+Sens!$N$3055)</f>
        <v>0</v>
      </c>
      <c r="O3120" s="39" t="n">
        <f aca="false">Sens!$O$3052-(Sens!$O$3054+Sens!$O$3055)</f>
        <v>0</v>
      </c>
    </row>
    <row r="3121" customFormat="false" ht="17.15" hidden="false" customHeight="false" outlineLevel="0" collapsed="false">
      <c r="A3121" s="24" t="s">
        <v>657</v>
      </c>
      <c r="B3121" s="25" t="s">
        <v>73</v>
      </c>
      <c r="C3121" s="39" t="n">
        <f aca="false">Sens!$C$3116+Sens!$C$3117-Sens!$C$3118</f>
        <v>0</v>
      </c>
      <c r="D3121" s="39" t="n">
        <f aca="false">Sens!$D$3116+Sens!$D$3117-Sens!$D$3118</f>
        <v>0</v>
      </c>
      <c r="E3121" s="39" t="n">
        <f aca="false">Sens!$E$3116+Sens!$E$3117-Sens!$E$3118</f>
        <v>0</v>
      </c>
      <c r="F3121" s="39" t="n">
        <f aca="false">Sens!$F$3116+Sens!$F$3117-Sens!$F$3118</f>
        <v>0</v>
      </c>
      <c r="G3121" s="39" t="n">
        <f aca="false">Sens!$G$3116+Sens!$G$3117-Sens!$G$3118</f>
        <v>0</v>
      </c>
      <c r="H3121" s="39" t="n">
        <f aca="false">Sens!$H$3116+Sens!$H$3117-Sens!$H$3118</f>
        <v>0</v>
      </c>
      <c r="I3121" s="39" t="n">
        <f aca="false">Sens!$I$3116+Sens!$I$3117-Sens!$I$3118</f>
        <v>0</v>
      </c>
      <c r="J3121" s="39" t="n">
        <f aca="false">Sens!$J$3116+Sens!$J$3117-Sens!$J$3118</f>
        <v>0</v>
      </c>
      <c r="K3121" s="39" t="n">
        <f aca="false">Sens!$K$3116+Sens!$K$3117-Sens!$K$3118</f>
        <v>0</v>
      </c>
      <c r="L3121" s="39" t="n">
        <f aca="false">Sens!$L$3116+Sens!$L$3117-Sens!$L$3118</f>
        <v>0</v>
      </c>
      <c r="M3121" s="39" t="n">
        <f aca="false">Sens!$M$3116+Sens!$M$3117-Sens!$M$3118</f>
        <v>0</v>
      </c>
      <c r="N3121" s="39" t="n">
        <f aca="false">Sens!$N$3116+Sens!$N$3117-Sens!$N$3118</f>
        <v>0</v>
      </c>
      <c r="O3121" s="39" t="n">
        <f aca="false">Sens!$O$3116+Sens!$O$3117-Sens!$O$3118</f>
        <v>0</v>
      </c>
    </row>
    <row r="3122" customFormat="false" ht="17.15" hidden="false" customHeight="false" outlineLevel="0" collapsed="false">
      <c r="A3122" s="24" t="s">
        <v>658</v>
      </c>
      <c r="B3122" s="25" t="s">
        <v>73</v>
      </c>
      <c r="C3122" s="39" t="n">
        <f aca="false">Sens!$C$3054+Sens!$C$3055+Sens!$C$3118-Sens!$C$3119</f>
        <v>0</v>
      </c>
      <c r="D3122" s="39" t="n">
        <f aca="false">Sens!$D$3054+Sens!$D$3055+Sens!$D$3118-Sens!$D$3119</f>
        <v>0</v>
      </c>
      <c r="E3122" s="39" t="n">
        <f aca="false">Sens!$E$3054+Sens!$E$3055+Sens!$E$3118-Sens!$E$3119</f>
        <v>0</v>
      </c>
      <c r="F3122" s="39" t="n">
        <f aca="false">Sens!$F$3054+Sens!$F$3055+Sens!$F$3118-Sens!$F$3119</f>
        <v>0</v>
      </c>
      <c r="G3122" s="39" t="n">
        <f aca="false">Sens!$G$3054+Sens!$G$3055+Sens!$G$3118-Sens!$G$3119</f>
        <v>0</v>
      </c>
      <c r="H3122" s="39" t="n">
        <f aca="false">Sens!$H$3054+Sens!$H$3055+Sens!$H$3118-Sens!$H$3119</f>
        <v>0</v>
      </c>
      <c r="I3122" s="39" t="n">
        <f aca="false">Sens!$I$3054+Sens!$I$3055+Sens!$I$3118-Sens!$I$3119</f>
        <v>0</v>
      </c>
      <c r="J3122" s="39" t="n">
        <f aca="false">Sens!$J$3054+Sens!$J$3055+Sens!$J$3118-Sens!$J$3119</f>
        <v>0</v>
      </c>
      <c r="K3122" s="39" t="n">
        <f aca="false">Sens!$K$3054+Sens!$K$3055+Sens!$K$3118-Sens!$K$3119</f>
        <v>0</v>
      </c>
      <c r="L3122" s="39" t="n">
        <f aca="false">Sens!$L$3054+Sens!$L$3055+Sens!$L$3118-Sens!$L$3119</f>
        <v>0</v>
      </c>
      <c r="M3122" s="39" t="n">
        <f aca="false">Sens!$M$3054+Sens!$M$3055+Sens!$M$3118-Sens!$M$3119</f>
        <v>0</v>
      </c>
      <c r="N3122" s="39" t="n">
        <f aca="false">Sens!$N$3054+Sens!$N$3055+Sens!$N$3118-Sens!$N$3119</f>
        <v>0</v>
      </c>
      <c r="O3122" s="39" t="n">
        <f aca="false">Sens!$O$3054+Sens!$O$3055+Sens!$O$3118-Sens!$O$3119</f>
        <v>0</v>
      </c>
    </row>
    <row r="3123" customFormat="false" ht="15" hidden="false" customHeight="false" outlineLevel="0" collapsed="false">
      <c r="A3123" s="5" t="s">
        <v>652</v>
      </c>
      <c r="B3123" s="0" t="s">
        <v>52</v>
      </c>
      <c r="G3123" s="12" t="n">
        <f aca="false">Sens!$G$3119/Sens!$D$3119-1</f>
        <v>0.161378156222718</v>
      </c>
      <c r="H3123" s="12" t="n">
        <f aca="false">Sens!$H$3119/Sens!$G$3119-1</f>
        <v>0.166192665236357</v>
      </c>
      <c r="I3123" s="12" t="n">
        <f aca="false">Sens!$I$3119/Sens!$H$3119-1</f>
        <v>0.143618092519351</v>
      </c>
      <c r="J3123" s="12" t="n">
        <f aca="false">Sens!$J$3119/Sens!$I$3119-1</f>
        <v>0.117712411733268</v>
      </c>
      <c r="K3123" s="12" t="n">
        <f aca="false">Sens!$K$3119/Sens!$J$3119-1</f>
        <v>0.0937151404237868</v>
      </c>
      <c r="L3123" s="12" t="n">
        <f aca="false">Sens!$L$3119/Sens!$K$3119-1</f>
        <v>0.0896982852494186</v>
      </c>
      <c r="M3123" s="12" t="n">
        <f aca="false">Sens!$M$3119/Sens!$L$3119-1</f>
        <v>0.0862697420528154</v>
      </c>
    </row>
    <row r="3124" customFormat="false" ht="17.15" hidden="false" customHeight="false" outlineLevel="0" collapsed="false">
      <c r="A3124" s="0" t="s">
        <v>653</v>
      </c>
      <c r="B3124" s="0" t="s">
        <v>52</v>
      </c>
      <c r="C3124" s="12" t="n">
        <f aca="false">Sens!$C$3118/Sens!$C$3119</f>
        <v>0.168593906504964</v>
      </c>
      <c r="D3124" s="12" t="n">
        <f aca="false">Sens!$D$3118/Sens!$D$3119</f>
        <v>0.179551807444025</v>
      </c>
      <c r="E3124" s="12" t="n">
        <f aca="false">Sens!$E$3118/Sens!$E$3119</f>
        <v>0.208881910369643</v>
      </c>
      <c r="F3124" s="12" t="n">
        <f aca="false">Sens!$F$3118/Sens!$F$3119</f>
        <v>0.207679264769203</v>
      </c>
      <c r="G3124" s="12" t="n">
        <f aca="false">Sens!$G$3118/Sens!$G$3119</f>
        <v>0.208231210458731</v>
      </c>
      <c r="H3124" s="12" t="n">
        <f aca="false">Sens!$H$3118/Sens!$H$3119</f>
        <v>0.248260191414043</v>
      </c>
      <c r="I3124" s="12" t="n">
        <f aca="false">Sens!$I$3118/Sens!$I$3119</f>
        <v>0.28110473450946</v>
      </c>
      <c r="J3124" s="12" t="n">
        <f aca="false">Sens!$J$3118/Sens!$J$3119</f>
        <v>0.30570109287086</v>
      </c>
      <c r="K3124" s="12" t="n">
        <f aca="false">Sens!$K$3118/Sens!$K$3119</f>
        <v>0.324071291782835</v>
      </c>
      <c r="L3124" s="12" t="n">
        <f aca="false">Sens!$L$3118/Sens!$L$3119</f>
        <v>0.339333003903741</v>
      </c>
      <c r="M3124" s="12" t="n">
        <f aca="false">Sens!$M$3118/Sens!$M$3119</f>
        <v>0.3520169237354</v>
      </c>
      <c r="N3124" s="12" t="n">
        <f aca="false">Sens!$N$3118/Sens!$N$3119</f>
        <v>0.185979484737251</v>
      </c>
      <c r="O3124" s="12" t="n">
        <f aca="false">Sens!$O$3118/Sens!$O$3119</f>
        <v>0.174270432341096</v>
      </c>
    </row>
    <row r="3125" customFormat="false" ht="17.15" hidden="false" customHeight="false" outlineLevel="0" collapsed="false">
      <c r="A3125" s="0" t="s">
        <v>654</v>
      </c>
      <c r="B3125" s="0" t="s">
        <v>52</v>
      </c>
      <c r="C3125" s="12" t="n">
        <f aca="false">Sens!$C$3116/Sens!$C$3118</f>
        <v>0.0215795060896058</v>
      </c>
      <c r="D3125" s="12" t="n">
        <f aca="false">Sens!$D$3116/Sens!$D$3118</f>
        <v>0.0676152269462122</v>
      </c>
      <c r="E3125" s="12" t="n">
        <f aca="false">Sens!$E$3116/Sens!$E$3118</f>
        <v>0.106620641395783</v>
      </c>
      <c r="F3125" s="12" t="n">
        <f aca="false">Sens!$F$3116/Sens!$F$3118</f>
        <v>0.159936751776064</v>
      </c>
      <c r="G3125" s="12" t="n">
        <f aca="false">Sens!$G$3116/Sens!$G$3118</f>
        <v>0.135391237003751</v>
      </c>
      <c r="H3125" s="12" t="n">
        <f aca="false">Sens!$H$3116/Sens!$H$3118</f>
        <v>0.249589428545194</v>
      </c>
      <c r="I3125" s="12" t="n">
        <f aca="false">Sens!$I$3116/Sens!$I$3118</f>
        <v>0.325173850577483</v>
      </c>
      <c r="J3125" s="12" t="n">
        <f aca="false">Sens!$J$3116/Sens!$J$3118</f>
        <v>0.376953718817392</v>
      </c>
      <c r="K3125" s="12" t="n">
        <f aca="false">Sens!$K$3116/Sens!$K$3118</f>
        <v>0.419641605578676</v>
      </c>
      <c r="L3125" s="12" t="n">
        <f aca="false">Sens!$L$3116/Sens!$L$3118</f>
        <v>0.450676451094615</v>
      </c>
      <c r="M3125" s="12" t="n">
        <f aca="false">Sens!$M$3116/Sens!$M$3118</f>
        <v>0.473526096798086</v>
      </c>
      <c r="N3125" s="12" t="n">
        <f aca="false">Sens!$N$3116/Sens!$N$3118</f>
        <v>0.0506537999838362</v>
      </c>
      <c r="O3125" s="12" t="n">
        <f aca="false">Sens!$O$3116/Sens!$O$3118</f>
        <v>0.0824881615167056</v>
      </c>
    </row>
    <row r="3128" customFormat="false" ht="19.4" hidden="false" customHeight="false" outlineLevel="0" collapsed="false">
      <c r="A3128" s="31" t="s">
        <v>1112</v>
      </c>
    </row>
    <row r="3129" customFormat="false" ht="17.15" hidden="false" customHeight="false" outlineLevel="0" collapsed="false">
      <c r="A3129" s="6" t="s">
        <v>16</v>
      </c>
      <c r="B3129" s="6" t="s">
        <v>17</v>
      </c>
      <c r="C3129" s="20" t="s">
        <v>457</v>
      </c>
      <c r="D3129" s="20" t="s">
        <v>458</v>
      </c>
      <c r="E3129" s="20" t="s">
        <v>540</v>
      </c>
      <c r="F3129" s="20" t="s">
        <v>541</v>
      </c>
      <c r="G3129" s="20" t="s">
        <v>542</v>
      </c>
      <c r="H3129" s="20" t="s">
        <v>543</v>
      </c>
      <c r="I3129" s="20" t="s">
        <v>544</v>
      </c>
      <c r="J3129" s="20" t="s">
        <v>545</v>
      </c>
      <c r="K3129" s="20" t="s">
        <v>546</v>
      </c>
      <c r="L3129" s="20" t="s">
        <v>547</v>
      </c>
      <c r="M3129" s="20" t="s">
        <v>548</v>
      </c>
      <c r="N3129" s="20" t="s">
        <v>549</v>
      </c>
      <c r="O3129" s="20" t="s">
        <v>550</v>
      </c>
      <c r="P3129" s="6" t="s">
        <v>23</v>
      </c>
      <c r="R3129" s="20" t="n">
        <v>2023</v>
      </c>
      <c r="S3129" s="20" t="n">
        <v>2024</v>
      </c>
      <c r="T3129" s="20" t="n">
        <v>2025</v>
      </c>
      <c r="U3129" s="20" t="n">
        <v>2026</v>
      </c>
      <c r="V3129" s="20" t="n">
        <v>2027</v>
      </c>
      <c r="W3129" s="20" t="n">
        <v>2028</v>
      </c>
      <c r="X3129" s="20" t="n">
        <v>2029</v>
      </c>
      <c r="Y3129" s="20" t="n">
        <v>2030</v>
      </c>
      <c r="Z3129" s="20" t="n">
        <v>2031</v>
      </c>
      <c r="AA3129" s="20" t="n">
        <v>2032</v>
      </c>
    </row>
    <row r="3130" customFormat="false" ht="17.15" hidden="false" customHeight="false" outlineLevel="0" collapsed="false">
      <c r="A3130" s="1" t="s">
        <v>669</v>
      </c>
    </row>
    <row r="3131" customFormat="false" ht="15" hidden="false" customHeight="false" outlineLevel="0" collapsed="false">
      <c r="A3131" s="0" t="s">
        <v>479</v>
      </c>
      <c r="B3131" s="0" t="s">
        <v>73</v>
      </c>
      <c r="C3131" s="38" t="n">
        <f aca="false">Sens!$C$3040</f>
        <v>247.029</v>
      </c>
      <c r="D3131" s="38" t="n">
        <f aca="false">Sens!$D$3040</f>
        <v>269.287</v>
      </c>
      <c r="E3131" s="38" t="n">
        <f aca="false">Sens!$E$3040</f>
        <v>134.686</v>
      </c>
      <c r="F3131" s="38" t="n">
        <f aca="false">Sens!$F$3040</f>
        <v>160.728085930082</v>
      </c>
      <c r="G3131" s="38" t="n">
        <f aca="false">Sens!$G$3040</f>
        <v>295.414085930082</v>
      </c>
      <c r="H3131" s="38" t="n">
        <f aca="false">Sens!$H$3040</f>
        <v>320.828163943375</v>
      </c>
      <c r="I3131" s="38" t="n">
        <f aca="false">Sens!$I$3040</f>
        <v>344.575578072228</v>
      </c>
      <c r="J3131" s="38" t="n">
        <f aca="false">Sens!$J$3040</f>
        <v>365.942555779681</v>
      </c>
      <c r="K3131" s="38" t="n">
        <f aca="false">Sens!$K$3040</f>
        <v>384.239683568665</v>
      </c>
      <c r="L3131" s="38" t="n">
        <f aca="false">Sens!$L$3040</f>
        <v>403.451667747098</v>
      </c>
      <c r="M3131" s="38" t="n">
        <f aca="false">Sens!$M$3040</f>
        <v>423.624251134453</v>
      </c>
      <c r="N3131" s="38" t="n">
        <f aca="false">Sens!$N$3040</f>
        <v>118.892</v>
      </c>
      <c r="O3131" s="38" t="n">
        <f aca="false">Sens!$O$3040</f>
        <v>150.395</v>
      </c>
    </row>
    <row r="3132" customFormat="false" ht="15" hidden="false" customHeight="false" outlineLevel="0" collapsed="false">
      <c r="A3132" s="0" t="s">
        <v>480</v>
      </c>
      <c r="B3132" s="0" t="s">
        <v>73</v>
      </c>
      <c r="C3132" s="38" t="n">
        <f aca="false">Sens!$C$3042</f>
        <v>21.215</v>
      </c>
      <c r="D3132" s="38" t="n">
        <f aca="false">Sens!$D$3042</f>
        <v>22.561</v>
      </c>
      <c r="E3132" s="38" t="n">
        <f aca="false">Sens!$E$3042</f>
        <v>11.579</v>
      </c>
      <c r="F3132" s="38" t="n">
        <f aca="false">Sens!$F$3042</f>
        <v>12.0952613121125</v>
      </c>
      <c r="G3132" s="38" t="n">
        <f aca="false">Sens!$G$3042</f>
        <v>23.6742613121125</v>
      </c>
      <c r="H3132" s="38" t="n">
        <f aca="false">Sens!$H$3042</f>
        <v>24.8803243963206</v>
      </c>
      <c r="I3132" s="38" t="n">
        <f aca="false">Sens!$I$3042</f>
        <v>25.9741308664154</v>
      </c>
      <c r="J3132" s="38" t="n">
        <f aca="false">Sens!$J$3042</f>
        <v>26.9346894124267</v>
      </c>
      <c r="K3132" s="38" t="n">
        <f aca="false">Sens!$K$3042</f>
        <v>27.7427300947995</v>
      </c>
      <c r="L3132" s="38" t="n">
        <f aca="false">Sens!$L$3042</f>
        <v>28.5750119976435</v>
      </c>
      <c r="M3132" s="38" t="n">
        <f aca="false">Sens!$M$3042</f>
        <v>29.4322623575728</v>
      </c>
      <c r="N3132" s="38" t="n">
        <f aca="false">Sens!$N$3042</f>
        <v>11.128</v>
      </c>
      <c r="O3132" s="38" t="n">
        <f aca="false">Sens!$O$3042</f>
        <v>11.433</v>
      </c>
    </row>
    <row r="3133" customFormat="false" ht="15" hidden="false" customHeight="false" outlineLevel="0" collapsed="false">
      <c r="A3133" s="0" t="s">
        <v>481</v>
      </c>
      <c r="B3133" s="0" t="s">
        <v>73</v>
      </c>
      <c r="C3133" s="38" t="n">
        <f aca="false">Sens!$C$3044</f>
        <v>156.146</v>
      </c>
      <c r="D3133" s="38" t="n">
        <f aca="false">Sens!$D$3044</f>
        <v>172.162</v>
      </c>
      <c r="E3133" s="38" t="n">
        <f aca="false">Sens!$E$3044</f>
        <v>88.358</v>
      </c>
      <c r="F3133" s="38" t="n">
        <f aca="false">Sens!$F$3044</f>
        <v>103.62028337149</v>
      </c>
      <c r="G3133" s="38" t="n">
        <f aca="false">Sens!$G$3044</f>
        <v>191.97828337149</v>
      </c>
      <c r="H3133" s="38" t="n">
        <f aca="false">Sens!$H$3044</f>
        <v>212.128608444755</v>
      </c>
      <c r="I3133" s="38" t="n">
        <f aca="false">Sens!$I$3044</f>
        <v>231.92183134134</v>
      </c>
      <c r="J3133" s="38" t="n">
        <f aca="false">Sens!$J$3044</f>
        <v>250.859136487863</v>
      </c>
      <c r="K3133" s="38" t="n">
        <f aca="false">Sens!$K$3044</f>
        <v>268.419276042014</v>
      </c>
      <c r="L3133" s="38" t="n">
        <f aca="false">Sens!$L$3044</f>
        <v>287.208625364954</v>
      </c>
      <c r="M3133" s="38" t="n">
        <f aca="false">Sens!$M$3044</f>
        <v>307.313229140501</v>
      </c>
      <c r="N3133" s="38" t="n">
        <f aca="false">Sens!$N$3044</f>
        <v>76.86</v>
      </c>
      <c r="O3133" s="38" t="n">
        <f aca="false">Sens!$O$3044</f>
        <v>95.302</v>
      </c>
    </row>
    <row r="3134" customFormat="false" ht="15" hidden="false" customHeight="false" outlineLevel="0" collapsed="false">
      <c r="A3134" s="0" t="s">
        <v>482</v>
      </c>
      <c r="B3134" s="0" t="s">
        <v>73</v>
      </c>
      <c r="C3134" s="38" t="n">
        <f aca="false">Sens!$C$3046</f>
        <v>56.214</v>
      </c>
      <c r="D3134" s="38" t="n">
        <f aca="false">Sens!$D$3046</f>
        <v>68.635</v>
      </c>
      <c r="E3134" s="38" t="n">
        <f aca="false">Sens!$E$3046</f>
        <v>37.052</v>
      </c>
      <c r="F3134" s="38" t="n">
        <f aca="false">Sens!$F$3046</f>
        <v>48.1533381827382</v>
      </c>
      <c r="G3134" s="38" t="n">
        <f aca="false">Sens!$G$3046</f>
        <v>85.2053381827382</v>
      </c>
      <c r="H3134" s="38" t="n">
        <f aca="false">Sens!$H$3046</f>
        <v>102.29336185894</v>
      </c>
      <c r="I3134" s="38" t="n">
        <f aca="false">Sens!$I$3046</f>
        <v>119.379837585241</v>
      </c>
      <c r="J3134" s="38" t="n">
        <f aca="false">Sens!$J$3046</f>
        <v>135.319079048844</v>
      </c>
      <c r="K3134" s="38" t="n">
        <f aca="false">Sens!$K$3046</f>
        <v>148.850986953729</v>
      </c>
      <c r="L3134" s="38" t="n">
        <f aca="false">Sens!$L$3046</f>
        <v>163.736085649102</v>
      </c>
      <c r="M3134" s="38" t="n">
        <f aca="false">Sens!$M$3046</f>
        <v>180.109694214012</v>
      </c>
      <c r="N3134" s="38" t="n">
        <f aca="false">Sens!$N$3046</f>
        <v>29.615</v>
      </c>
      <c r="O3134" s="38" t="n">
        <f aca="false">Sens!$O$3046</f>
        <v>39.02</v>
      </c>
    </row>
    <row r="3135" customFormat="false" ht="15" hidden="false" customHeight="false" outlineLevel="0" collapsed="false">
      <c r="A3135" s="0" t="s">
        <v>483</v>
      </c>
      <c r="B3135" s="0" t="s">
        <v>73</v>
      </c>
      <c r="C3135" s="38" t="n">
        <f aca="false">Sens!$C$3048</f>
        <v>44.374</v>
      </c>
      <c r="D3135" s="38" t="n">
        <f aca="false">Sens!$D$3048</f>
        <v>49.619</v>
      </c>
      <c r="E3135" s="38" t="n">
        <f aca="false">Sens!$E$3048</f>
        <v>27.157</v>
      </c>
      <c r="F3135" s="38" t="n">
        <f aca="false">Sens!$F$3048</f>
        <v>28.9776360923374</v>
      </c>
      <c r="G3135" s="38" t="n">
        <f aca="false">Sens!$G$3048</f>
        <v>56.1346360923374</v>
      </c>
      <c r="H3135" s="38" t="n">
        <f aca="false">Sens!$H$3048</f>
        <v>62.4937078946075</v>
      </c>
      <c r="I3135" s="38" t="n">
        <f aca="false">Sens!$I$3048</f>
        <v>68.6715233062498</v>
      </c>
      <c r="J3135" s="38" t="n">
        <f aca="false">Sens!$J$3048</f>
        <v>74.4692882949818</v>
      </c>
      <c r="K3135" s="38" t="n">
        <f aca="false">Sens!$K$3048</f>
        <v>79.6821384756306</v>
      </c>
      <c r="L3135" s="38" t="n">
        <f aca="false">Sens!$L$3048</f>
        <v>85.2598881689247</v>
      </c>
      <c r="M3135" s="38" t="n">
        <f aca="false">Sens!$M$3048</f>
        <v>91.2280803407494</v>
      </c>
      <c r="N3135" s="38" t="n">
        <f aca="false">Sens!$N$3048</f>
        <v>23.923</v>
      </c>
      <c r="O3135" s="38" t="n">
        <f aca="false">Sens!$O$3048</f>
        <v>25.696</v>
      </c>
    </row>
    <row r="3136" customFormat="false" ht="15" hidden="false" customHeight="false" outlineLevel="0" collapsed="false">
      <c r="A3136" s="0" t="s">
        <v>484</v>
      </c>
      <c r="B3136" s="0" t="s">
        <v>73</v>
      </c>
      <c r="C3136" s="38" t="n">
        <f aca="false">Sens!$C$3050</f>
        <v>5.425</v>
      </c>
      <c r="D3136" s="38" t="n">
        <f aca="false">Sens!$D$3050</f>
        <v>5.935</v>
      </c>
      <c r="E3136" s="38" t="n">
        <f aca="false">Sens!$E$3050</f>
        <v>3.474</v>
      </c>
      <c r="F3136" s="38" t="n">
        <f aca="false">Sens!$F$3050</f>
        <v>3.36182431966931</v>
      </c>
      <c r="G3136" s="38" t="n">
        <f aca="false">Sens!$G$3050</f>
        <v>6.83582431966931</v>
      </c>
      <c r="H3136" s="38" t="n">
        <f aca="false">Sens!$H$3050</f>
        <v>7.31157108370141</v>
      </c>
      <c r="I3136" s="38" t="n">
        <f aca="false">Sens!$I$3050</f>
        <v>7.77266852639815</v>
      </c>
      <c r="J3136" s="38" t="n">
        <f aca="false">Sens!$J$3050</f>
        <v>8.2120733019884</v>
      </c>
      <c r="K3136" s="38" t="n">
        <f aca="false">Sens!$K$3050</f>
        <v>8.62267696708783</v>
      </c>
      <c r="L3136" s="38" t="n">
        <f aca="false">Sens!$L$3050</f>
        <v>9.05381081544222</v>
      </c>
      <c r="M3136" s="38" t="n">
        <f aca="false">Sens!$M$3050</f>
        <v>9.50650135621433</v>
      </c>
      <c r="N3136" s="38" t="n">
        <f aca="false">Sens!$N$3050</f>
        <v>2.811</v>
      </c>
      <c r="O3136" s="38" t="n">
        <f aca="false">Sens!$O$3050</f>
        <v>3.124</v>
      </c>
    </row>
    <row r="3137" customFormat="false" ht="17.15" hidden="false" customHeight="false" outlineLevel="0" collapsed="false">
      <c r="A3137" s="0" t="s">
        <v>670</v>
      </c>
      <c r="B3137" s="0" t="s">
        <v>73</v>
      </c>
      <c r="C3137" s="38" t="n">
        <f aca="false">Sens!$C$3118</f>
        <v>107.556</v>
      </c>
      <c r="D3137" s="38" t="n">
        <f aca="false">Sens!$D$3118</f>
        <v>128.725</v>
      </c>
      <c r="E3137" s="38" t="n">
        <f aca="false">Sens!$E$3118</f>
        <v>79.819</v>
      </c>
      <c r="F3137" s="38" t="n">
        <f aca="false">Sens!$F$3118</f>
        <v>93.5584440633857</v>
      </c>
      <c r="G3137" s="38" t="n">
        <f aca="false">Sens!$G$3118</f>
        <v>173.377444063386</v>
      </c>
      <c r="H3137" s="38" t="n">
        <f aca="false">Sens!$H$3118</f>
        <v>241.059451517916</v>
      </c>
      <c r="I3137" s="38" t="n">
        <f aca="false">Sens!$I$3118</f>
        <v>312.152096351442</v>
      </c>
      <c r="J3137" s="38" t="n">
        <f aca="false">Sens!$J$3118</f>
        <v>379.424316597773</v>
      </c>
      <c r="K3137" s="38" t="n">
        <f aca="false">Sens!$K$3118</f>
        <v>439.919237244402</v>
      </c>
      <c r="L3137" s="38" t="n">
        <f aca="false">Sens!$L$3118</f>
        <v>501.954974491517</v>
      </c>
      <c r="M3137" s="38" t="n">
        <f aca="false">Sens!$M$3118</f>
        <v>565.639704466895</v>
      </c>
      <c r="N3137" s="38" t="n">
        <f aca="false">Sens!$N$3118</f>
        <v>60.14</v>
      </c>
      <c r="O3137" s="38" t="n">
        <f aca="false">Sens!$O$3118</f>
        <v>68.585</v>
      </c>
    </row>
    <row r="3138" customFormat="false" ht="15" hidden="false" customHeight="false" outlineLevel="0" collapsed="false">
      <c r="A3138" s="1" t="s">
        <v>472</v>
      </c>
      <c r="B3138" s="8" t="s">
        <v>73</v>
      </c>
      <c r="C3138" s="38" t="n">
        <f aca="false">Sens!$C$3054</f>
        <v>387.497</v>
      </c>
      <c r="D3138" s="38" t="n">
        <f aca="false">Sens!$D$3054</f>
        <v>426.305</v>
      </c>
      <c r="E3138" s="38" t="n">
        <f aca="false">Sens!$E$3054</f>
        <v>220.32</v>
      </c>
      <c r="F3138" s="38" t="n">
        <f aca="false">Sens!$F$3054</f>
        <v>256.304015003807</v>
      </c>
      <c r="G3138" s="38" t="n">
        <f aca="false">Sens!$G$3054</f>
        <v>476.624015003807</v>
      </c>
      <c r="H3138" s="38" t="n">
        <f aca="false">Sens!$H$3054</f>
        <v>527.734391091543</v>
      </c>
      <c r="I3138" s="38" t="n">
        <f aca="false">Sens!$I$3054</f>
        <v>577.157693029577</v>
      </c>
      <c r="J3138" s="38" t="n">
        <f aca="false">Sens!$J$3054</f>
        <v>623.024923663827</v>
      </c>
      <c r="K3138" s="38" t="n">
        <f aca="false">Sens!$K$3054</f>
        <v>663.382568393781</v>
      </c>
      <c r="L3138" s="38" t="n">
        <f aca="false">Sens!$L$3054</f>
        <v>706.564873010432</v>
      </c>
      <c r="M3138" s="38" t="n">
        <f aca="false">Sens!$M$3054</f>
        <v>752.784687406019</v>
      </c>
      <c r="N3138" s="38" t="n">
        <f aca="false">Sens!$N$3054</f>
        <v>192.955</v>
      </c>
      <c r="O3138" s="38" t="n">
        <f aca="false">Sens!$O$3054</f>
        <v>233.35</v>
      </c>
    </row>
    <row r="3139" customFormat="false" ht="15" hidden="false" customHeight="false" outlineLevel="0" collapsed="false">
      <c r="A3139" s="1" t="s">
        <v>475</v>
      </c>
      <c r="B3139" s="8" t="s">
        <v>73</v>
      </c>
      <c r="C3139" s="38" t="n">
        <f aca="false">Sens!$C$3055</f>
        <v>142.906</v>
      </c>
      <c r="D3139" s="38" t="n">
        <f aca="false">Sens!$D$3055</f>
        <v>161.894</v>
      </c>
      <c r="E3139" s="38" t="n">
        <f aca="false">Sens!$E$3055</f>
        <v>81.986</v>
      </c>
      <c r="F3139" s="38" t="n">
        <f aca="false">Sens!$F$3055</f>
        <v>100.632414204623</v>
      </c>
      <c r="G3139" s="38" t="n">
        <f aca="false">Sens!$G$3055</f>
        <v>182.618414204623</v>
      </c>
      <c r="H3139" s="38" t="n">
        <f aca="false">Sens!$H$3055</f>
        <v>202.201346530158</v>
      </c>
      <c r="I3139" s="38" t="n">
        <f aca="false">Sens!$I$3055</f>
        <v>221.137876668296</v>
      </c>
      <c r="J3139" s="38" t="n">
        <f aca="false">Sens!$J$3055</f>
        <v>238.711898661958</v>
      </c>
      <c r="K3139" s="38" t="n">
        <f aca="false">Sens!$K$3055</f>
        <v>254.174923708144</v>
      </c>
      <c r="L3139" s="38" t="n">
        <f aca="false">Sens!$L$3055</f>
        <v>270.720216732733</v>
      </c>
      <c r="M3139" s="38" t="n">
        <f aca="false">Sens!$M$3055</f>
        <v>288.429331137484</v>
      </c>
      <c r="N3139" s="38" t="n">
        <f aca="false">Sens!$N$3055</f>
        <v>70.274</v>
      </c>
      <c r="O3139" s="38" t="n">
        <f aca="false">Sens!$O$3055</f>
        <v>91.62</v>
      </c>
    </row>
    <row r="3140" customFormat="false" ht="15" hidden="false" customHeight="false" outlineLevel="0" collapsed="false">
      <c r="A3140" s="1" t="s">
        <v>476</v>
      </c>
      <c r="B3140" s="8" t="s">
        <v>73</v>
      </c>
      <c r="C3140" s="38" t="n">
        <f aca="false">Sens!$C$3118</f>
        <v>107.556</v>
      </c>
      <c r="D3140" s="38" t="n">
        <f aca="false">Sens!$D$3118</f>
        <v>128.725</v>
      </c>
      <c r="E3140" s="38" t="n">
        <f aca="false">Sens!$E$3118</f>
        <v>79.819</v>
      </c>
      <c r="F3140" s="38" t="n">
        <f aca="false">Sens!$F$3118</f>
        <v>93.5584440633857</v>
      </c>
      <c r="G3140" s="38" t="n">
        <f aca="false">Sens!$G$3118</f>
        <v>173.377444063386</v>
      </c>
      <c r="H3140" s="38" t="n">
        <f aca="false">Sens!$H$3118</f>
        <v>241.059451517916</v>
      </c>
      <c r="I3140" s="38" t="n">
        <f aca="false">Sens!$I$3118</f>
        <v>312.152096351442</v>
      </c>
      <c r="J3140" s="38" t="n">
        <f aca="false">Sens!$J$3118</f>
        <v>379.424316597773</v>
      </c>
      <c r="K3140" s="38" t="n">
        <f aca="false">Sens!$K$3118</f>
        <v>439.919237244402</v>
      </c>
      <c r="L3140" s="38" t="n">
        <f aca="false">Sens!$L$3118</f>
        <v>501.954974491517</v>
      </c>
      <c r="M3140" s="38" t="n">
        <f aca="false">Sens!$M$3118</f>
        <v>565.639704466895</v>
      </c>
      <c r="N3140" s="38" t="n">
        <f aca="false">Sens!$N$3118</f>
        <v>60.14</v>
      </c>
      <c r="O3140" s="38" t="n">
        <f aca="false">Sens!$O$3118</f>
        <v>68.585</v>
      </c>
    </row>
    <row r="3141" customFormat="false" ht="17.15" hidden="false" customHeight="false" outlineLevel="0" collapsed="false">
      <c r="A3141" s="0" t="s">
        <v>644</v>
      </c>
      <c r="B3141" s="0" t="s">
        <v>73</v>
      </c>
      <c r="C3141" s="38" t="n">
        <f aca="false">Sens!$C$3116</f>
        <v>2.32100535697364</v>
      </c>
      <c r="D3141" s="38" t="n">
        <f aca="false">Sens!$D$3116</f>
        <v>8.70377008865116</v>
      </c>
      <c r="E3141" s="38" t="n">
        <f aca="false">Sens!$E$3116</f>
        <v>8.51035297557002</v>
      </c>
      <c r="F3141" s="38" t="n">
        <f aca="false">Sens!$F$3116</f>
        <v>14.9634336447205</v>
      </c>
      <c r="G3141" s="38" t="n">
        <f aca="false">Sens!$G$3116</f>
        <v>23.4737866202905</v>
      </c>
      <c r="H3141" s="38" t="n">
        <f aca="false">Sens!$H$3116</f>
        <v>60.1658907497746</v>
      </c>
      <c r="I3141" s="38" t="n">
        <f aca="false">Sens!$I$3116</f>
        <v>101.503699136432</v>
      </c>
      <c r="J3141" s="38" t="n">
        <f aca="false">Sens!$J$3116</f>
        <v>143.025407151278</v>
      </c>
      <c r="K3141" s="38" t="n">
        <f aca="false">Sens!$K$3116</f>
        <v>184.608415042187</v>
      </c>
      <c r="L3141" s="38" t="n">
        <f aca="false">Sens!$L$3116</f>
        <v>226.219286513125</v>
      </c>
      <c r="M3141" s="38" t="n">
        <f aca="false">Sens!$M$3116</f>
        <v>267.845161450232</v>
      </c>
      <c r="N3141" s="38" t="n">
        <f aca="false">Sens!$N$3116</f>
        <v>3.04631953102791</v>
      </c>
      <c r="O3141" s="38" t="n">
        <f aca="false">Sens!$O$3116</f>
        <v>5.65745055762326</v>
      </c>
    </row>
    <row r="3142" customFormat="false" ht="17.15" hidden="false" customHeight="false" outlineLevel="0" collapsed="false">
      <c r="A3142" s="0" t="s">
        <v>646</v>
      </c>
      <c r="B3142" s="0" t="s">
        <v>73</v>
      </c>
      <c r="C3142" s="38" t="n">
        <f aca="false">Sens!$C$3117</f>
        <v>105.234994643026</v>
      </c>
      <c r="D3142" s="38" t="n">
        <f aca="false">Sens!$D$3117</f>
        <v>120.021229911349</v>
      </c>
      <c r="E3142" s="38" t="n">
        <f aca="false">Sens!$E$3117</f>
        <v>71.30864702443</v>
      </c>
      <c r="F3142" s="38" t="n">
        <f aca="false">Sens!$F$3117</f>
        <v>78.5950104186653</v>
      </c>
      <c r="G3142" s="38" t="n">
        <f aca="false">Sens!$G$3117</f>
        <v>149.903657443095</v>
      </c>
      <c r="H3142" s="38" t="n">
        <f aca="false">Sens!$H$3117</f>
        <v>180.893560768142</v>
      </c>
      <c r="I3142" s="38" t="n">
        <f aca="false">Sens!$I$3117</f>
        <v>210.64839721501</v>
      </c>
      <c r="J3142" s="38" t="n">
        <f aca="false">Sens!$J$3117</f>
        <v>236.398909446495</v>
      </c>
      <c r="K3142" s="38" t="n">
        <f aca="false">Sens!$K$3117</f>
        <v>255.310822202215</v>
      </c>
      <c r="L3142" s="38" t="n">
        <f aca="false">Sens!$L$3117</f>
        <v>275.735687978392</v>
      </c>
      <c r="M3142" s="38" t="n">
        <f aca="false">Sens!$M$3117</f>
        <v>297.794543016663</v>
      </c>
      <c r="N3142" s="38" t="n">
        <f aca="false">Sens!$N$3117</f>
        <v>57.0936804689721</v>
      </c>
      <c r="O3142" s="38" t="n">
        <f aca="false">Sens!$O$3117</f>
        <v>62.9275494423768</v>
      </c>
    </row>
    <row r="3143" customFormat="false" ht="15" hidden="false" customHeight="false" outlineLevel="0" collapsed="false">
      <c r="A3143" s="3" t="s">
        <v>477</v>
      </c>
      <c r="B3143" s="8" t="s">
        <v>73</v>
      </c>
      <c r="C3143" s="38" t="n">
        <f aca="false">Sens!$C$3119</f>
        <v>637.959</v>
      </c>
      <c r="D3143" s="38" t="n">
        <f aca="false">Sens!$D$3119</f>
        <v>716.924</v>
      </c>
      <c r="E3143" s="38" t="n">
        <f aca="false">Sens!$E$3119</f>
        <v>382.125</v>
      </c>
      <c r="F3143" s="38" t="n">
        <f aca="false">Sens!$F$3119</f>
        <v>450.494873271816</v>
      </c>
      <c r="G3143" s="38" t="n">
        <f aca="false">Sens!$G$3119</f>
        <v>832.619873271816</v>
      </c>
      <c r="H3143" s="38" t="n">
        <f aca="false">Sens!$H$3119</f>
        <v>970.995189139617</v>
      </c>
      <c r="I3143" s="38" t="n">
        <f aca="false">Sens!$I$3119</f>
        <v>1110.44766604932</v>
      </c>
      <c r="J3143" s="38" t="n">
        <f aca="false">Sens!$J$3119</f>
        <v>1241.16113892356</v>
      </c>
      <c r="K3143" s="38" t="n">
        <f aca="false">Sens!$K$3119</f>
        <v>1357.47672934633</v>
      </c>
      <c r="L3143" s="38" t="n">
        <f aca="false">Sens!$L$3119</f>
        <v>1479.24006423468</v>
      </c>
      <c r="M3143" s="38" t="n">
        <f aca="false">Sens!$M$3119</f>
        <v>1606.8537230104</v>
      </c>
      <c r="N3143" s="38" t="n">
        <f aca="false">Sens!$N$3119</f>
        <v>323.369</v>
      </c>
      <c r="O3143" s="38" t="n">
        <f aca="false">Sens!$O$3119</f>
        <v>393.555</v>
      </c>
    </row>
    <row r="3144" customFormat="false" ht="17.15" hidden="false" customHeight="false" outlineLevel="0" collapsed="false">
      <c r="A3144" s="24" t="s">
        <v>656</v>
      </c>
      <c r="B3144" s="25" t="s">
        <v>73</v>
      </c>
      <c r="C3144" s="39" t="n">
        <f aca="false">Sens!$C$3131+Sens!$C$3132+Sens!$C$3133+Sens!$C$3134+Sens!$C$3135+Sens!$C$3136-(Sens!$C$3138+Sens!$C$3139)</f>
        <v>0</v>
      </c>
      <c r="D3144" s="39" t="n">
        <f aca="false">Sens!$D$3131+Sens!$D$3132+Sens!$D$3133+Sens!$D$3134+Sens!$D$3135+Sens!$D$3136-(Sens!$D$3138+Sens!$D$3139)</f>
        <v>0</v>
      </c>
      <c r="E3144" s="39" t="n">
        <f aca="false">Sens!$E$3131+Sens!$E$3132+Sens!$E$3133+Sens!$E$3134+Sens!$E$3135+Sens!$E$3136-(Sens!$E$3138+Sens!$E$3139)</f>
        <v>0</v>
      </c>
      <c r="F3144" s="39" t="n">
        <f aca="false">Sens!$F$3131+Sens!$F$3132+Sens!$F$3133+Sens!$F$3134+Sens!$F$3135+Sens!$F$3136-(Sens!$F$3138+Sens!$F$3139)</f>
        <v>0</v>
      </c>
      <c r="G3144" s="39" t="n">
        <f aca="false">Sens!$G$3131+Sens!$G$3132+Sens!$G$3133+Sens!$G$3134+Sens!$G$3135+Sens!$G$3136-(Sens!$G$3138+Sens!$G$3139)</f>
        <v>0</v>
      </c>
      <c r="H3144" s="39" t="n">
        <f aca="false">Sens!$H$3131+Sens!$H$3132+Sens!$H$3133+Sens!$H$3134+Sens!$H$3135+Sens!$H$3136-(Sens!$H$3138+Sens!$H$3139)</f>
        <v>0</v>
      </c>
      <c r="I3144" s="39" t="n">
        <f aca="false">Sens!$I$3131+Sens!$I$3132+Sens!$I$3133+Sens!$I$3134+Sens!$I$3135+Sens!$I$3136-(Sens!$I$3138+Sens!$I$3139)</f>
        <v>0</v>
      </c>
      <c r="J3144" s="39" t="n">
        <f aca="false">Sens!$J$3131+Sens!$J$3132+Sens!$J$3133+Sens!$J$3134+Sens!$J$3135+Sens!$J$3136-(Sens!$J$3138+Sens!$J$3139)</f>
        <v>0</v>
      </c>
      <c r="K3144" s="39" t="n">
        <f aca="false">Sens!$K$3131+Sens!$K$3132+Sens!$K$3133+Sens!$K$3134+Sens!$K$3135+Sens!$K$3136-(Sens!$K$3138+Sens!$K$3139)</f>
        <v>0</v>
      </c>
      <c r="L3144" s="39" t="n">
        <f aca="false">Sens!$L$3131+Sens!$L$3132+Sens!$L$3133+Sens!$L$3134+Sens!$L$3135+Sens!$L$3136-(Sens!$L$3138+Sens!$L$3139)</f>
        <v>0</v>
      </c>
      <c r="M3144" s="39" t="n">
        <f aca="false">Sens!$M$3131+Sens!$M$3132+Sens!$M$3133+Sens!$M$3134+Sens!$M$3135+Sens!$M$3136-(Sens!$M$3138+Sens!$M$3139)</f>
        <v>0</v>
      </c>
      <c r="N3144" s="39" t="n">
        <f aca="false">Sens!$N$3131+Sens!$N$3132+Sens!$N$3133+Sens!$N$3134+Sens!$N$3135+Sens!$N$3136-(Sens!$N$3138+Sens!$N$3139)</f>
        <v>0</v>
      </c>
      <c r="O3144" s="39" t="n">
        <f aca="false">Sens!$O$3131+Sens!$O$3132+Sens!$O$3133+Sens!$O$3134+Sens!$O$3135+Sens!$O$3136-(Sens!$O$3138+Sens!$O$3139)</f>
        <v>0</v>
      </c>
    </row>
    <row r="3145" customFormat="false" ht="17.15" hidden="false" customHeight="false" outlineLevel="0" collapsed="false">
      <c r="A3145" s="24" t="s">
        <v>657</v>
      </c>
      <c r="B3145" s="25" t="s">
        <v>73</v>
      </c>
      <c r="C3145" s="39" t="n">
        <f aca="false">Sens!$C$3141+Sens!$C$3142-Sens!$C$3140</f>
        <v>0</v>
      </c>
      <c r="D3145" s="39" t="n">
        <f aca="false">Sens!$D$3141+Sens!$D$3142-Sens!$D$3140</f>
        <v>0</v>
      </c>
      <c r="E3145" s="39" t="n">
        <f aca="false">Sens!$E$3141+Sens!$E$3142-Sens!$E$3140</f>
        <v>0</v>
      </c>
      <c r="F3145" s="39" t="n">
        <f aca="false">Sens!$F$3141+Sens!$F$3142-Sens!$F$3140</f>
        <v>0</v>
      </c>
      <c r="G3145" s="39" t="n">
        <f aca="false">Sens!$G$3141+Sens!$G$3142-Sens!$G$3140</f>
        <v>0</v>
      </c>
      <c r="H3145" s="39" t="n">
        <f aca="false">Sens!$H$3141+Sens!$H$3142-Sens!$H$3140</f>
        <v>0</v>
      </c>
      <c r="I3145" s="39" t="n">
        <f aca="false">Sens!$I$3141+Sens!$I$3142-Sens!$I$3140</f>
        <v>0</v>
      </c>
      <c r="J3145" s="39" t="n">
        <f aca="false">Sens!$J$3141+Sens!$J$3142-Sens!$J$3140</f>
        <v>0</v>
      </c>
      <c r="K3145" s="39" t="n">
        <f aca="false">Sens!$K$3141+Sens!$K$3142-Sens!$K$3140</f>
        <v>0</v>
      </c>
      <c r="L3145" s="39" t="n">
        <f aca="false">Sens!$L$3141+Sens!$L$3142-Sens!$L$3140</f>
        <v>0</v>
      </c>
      <c r="M3145" s="39" t="n">
        <f aca="false">Sens!$M$3141+Sens!$M$3142-Sens!$M$3140</f>
        <v>0</v>
      </c>
      <c r="N3145" s="39" t="n">
        <f aca="false">Sens!$N$3141+Sens!$N$3142-Sens!$N$3140</f>
        <v>0</v>
      </c>
      <c r="O3145" s="39" t="n">
        <f aca="false">Sens!$O$3141+Sens!$O$3142-Sens!$O$3140</f>
        <v>0</v>
      </c>
    </row>
    <row r="3146" customFormat="false" ht="17.15" hidden="false" customHeight="false" outlineLevel="0" collapsed="false">
      <c r="A3146" s="24" t="s">
        <v>711</v>
      </c>
      <c r="B3146" s="25" t="s">
        <v>73</v>
      </c>
      <c r="C3146" s="39" t="n">
        <f aca="false">Sens!$C$3131+Sens!$C$3132+Sens!$C$3133+Sens!$C$3134+Sens!$C$3135+Sens!$C$3136+Sens!$C$3137-Sens!$C$3143</f>
        <v>0</v>
      </c>
      <c r="D3146" s="39" t="n">
        <f aca="false">Sens!$D$3131+Sens!$D$3132+Sens!$D$3133+Sens!$D$3134+Sens!$D$3135+Sens!$D$3136+Sens!$D$3137-Sens!$D$3143</f>
        <v>0</v>
      </c>
      <c r="E3146" s="39" t="n">
        <f aca="false">Sens!$E$3131+Sens!$E$3132+Sens!$E$3133+Sens!$E$3134+Sens!$E$3135+Sens!$E$3136+Sens!$E$3137-Sens!$E$3143</f>
        <v>0</v>
      </c>
      <c r="F3146" s="39" t="n">
        <f aca="false">Sens!$F$3131+Sens!$F$3132+Sens!$F$3133+Sens!$F$3134+Sens!$F$3135+Sens!$F$3136+Sens!$F$3137-Sens!$F$3143</f>
        <v>0</v>
      </c>
      <c r="G3146" s="39" t="n">
        <f aca="false">Sens!$G$3131+Sens!$G$3132+Sens!$G$3133+Sens!$G$3134+Sens!$G$3135+Sens!$G$3136+Sens!$G$3137-Sens!$G$3143</f>
        <v>0</v>
      </c>
      <c r="H3146" s="39" t="n">
        <f aca="false">Sens!$H$3131+Sens!$H$3132+Sens!$H$3133+Sens!$H$3134+Sens!$H$3135+Sens!$H$3136+Sens!$H$3137-Sens!$H$3143</f>
        <v>0</v>
      </c>
      <c r="I3146" s="39" t="n">
        <f aca="false">Sens!$I$3131+Sens!$I$3132+Sens!$I$3133+Sens!$I$3134+Sens!$I$3135+Sens!$I$3136+Sens!$I$3137-Sens!$I$3143</f>
        <v>0</v>
      </c>
      <c r="J3146" s="39" t="n">
        <f aca="false">Sens!$J$3131+Sens!$J$3132+Sens!$J$3133+Sens!$J$3134+Sens!$J$3135+Sens!$J$3136+Sens!$J$3137-Sens!$J$3143</f>
        <v>0</v>
      </c>
      <c r="K3146" s="39" t="n">
        <f aca="false">Sens!$K$3131+Sens!$K$3132+Sens!$K$3133+Sens!$K$3134+Sens!$K$3135+Sens!$K$3136+Sens!$K$3137-Sens!$K$3143</f>
        <v>0</v>
      </c>
      <c r="L3146" s="39" t="n">
        <f aca="false">Sens!$L$3131+Sens!$L$3132+Sens!$L$3133+Sens!$L$3134+Sens!$L$3135+Sens!$L$3136+Sens!$L$3137-Sens!$L$3143</f>
        <v>0</v>
      </c>
      <c r="M3146" s="39" t="n">
        <f aca="false">Sens!$M$3131+Sens!$M$3132+Sens!$M$3133+Sens!$M$3134+Sens!$M$3135+Sens!$M$3136+Sens!$M$3137-Sens!$M$3143</f>
        <v>0</v>
      </c>
      <c r="N3146" s="39" t="n">
        <f aca="false">Sens!$N$3131+Sens!$N$3132+Sens!$N$3133+Sens!$N$3134+Sens!$N$3135+Sens!$N$3136+Sens!$N$3137-Sens!$N$3143</f>
        <v>0</v>
      </c>
      <c r="O3146" s="39" t="n">
        <f aca="false">Sens!$O$3131+Sens!$O$3132+Sens!$O$3133+Sens!$O$3134+Sens!$O$3135+Sens!$O$3136+Sens!$O$3137-Sens!$O$3143</f>
        <v>0</v>
      </c>
    </row>
    <row r="3147" customFormat="false" ht="17.15" hidden="false" customHeight="false" outlineLevel="0" collapsed="false">
      <c r="A3147" s="24" t="s">
        <v>658</v>
      </c>
      <c r="B3147" s="25" t="s">
        <v>73</v>
      </c>
      <c r="C3147" s="39" t="n">
        <f aca="false">Sens!$C$3138+Sens!$C$3139+Sens!$C$3140-Sens!$C$3143</f>
        <v>0</v>
      </c>
      <c r="D3147" s="39" t="n">
        <f aca="false">Sens!$D$3138+Sens!$D$3139+Sens!$D$3140-Sens!$D$3143</f>
        <v>0</v>
      </c>
      <c r="E3147" s="39" t="n">
        <f aca="false">Sens!$E$3138+Sens!$E$3139+Sens!$E$3140-Sens!$E$3143</f>
        <v>0</v>
      </c>
      <c r="F3147" s="39" t="n">
        <f aca="false">Sens!$F$3138+Sens!$F$3139+Sens!$F$3140-Sens!$F$3143</f>
        <v>0</v>
      </c>
      <c r="G3147" s="39" t="n">
        <f aca="false">Sens!$G$3138+Sens!$G$3139+Sens!$G$3140-Sens!$G$3143</f>
        <v>0</v>
      </c>
      <c r="H3147" s="39" t="n">
        <f aca="false">Sens!$H$3138+Sens!$H$3139+Sens!$H$3140-Sens!$H$3143</f>
        <v>0</v>
      </c>
      <c r="I3147" s="39" t="n">
        <f aca="false">Sens!$I$3138+Sens!$I$3139+Sens!$I$3140-Sens!$I$3143</f>
        <v>0</v>
      </c>
      <c r="J3147" s="39" t="n">
        <f aca="false">Sens!$J$3138+Sens!$J$3139+Sens!$J$3140-Sens!$J$3143</f>
        <v>0</v>
      </c>
      <c r="K3147" s="39" t="n">
        <f aca="false">Sens!$K$3138+Sens!$K$3139+Sens!$K$3140-Sens!$K$3143</f>
        <v>0</v>
      </c>
      <c r="L3147" s="39" t="n">
        <f aca="false">Sens!$L$3138+Sens!$L$3139+Sens!$L$3140-Sens!$L$3143</f>
        <v>0</v>
      </c>
      <c r="M3147" s="39" t="n">
        <f aca="false">Sens!$M$3138+Sens!$M$3139+Sens!$M$3140-Sens!$M$3143</f>
        <v>0</v>
      </c>
      <c r="N3147" s="39" t="n">
        <f aca="false">Sens!$N$3138+Sens!$N$3139+Sens!$N$3140-Sens!$N$3143</f>
        <v>0</v>
      </c>
      <c r="O3147" s="39" t="n">
        <f aca="false">Sens!$O$3138+Sens!$O$3139+Sens!$O$3140-Sens!$O$3143</f>
        <v>0</v>
      </c>
    </row>
    <row r="3148" customFormat="false" ht="17.15" hidden="false" customHeight="false" outlineLevel="0" collapsed="false">
      <c r="A3148" s="1" t="s">
        <v>672</v>
      </c>
    </row>
    <row r="3149" customFormat="false" ht="17.15" hidden="false" customHeight="false" outlineLevel="0" collapsed="false">
      <c r="A3149" s="0" t="s">
        <v>673</v>
      </c>
      <c r="B3149" s="0" t="s">
        <v>73</v>
      </c>
      <c r="C3149" s="38" t="n">
        <f aca="false">Sens!$C$3056*m_ad_lo</f>
        <v>16.4273251531383</v>
      </c>
      <c r="D3149" s="38" t="n">
        <f aca="false">Sens!$D$3056*m_ad_lo</f>
        <v>19.897649383967</v>
      </c>
      <c r="E3149" s="38" t="n">
        <f aca="false">Sens!$E$3056*m_ad_lo</f>
        <v>10.8013689969766</v>
      </c>
      <c r="F3149" s="38" t="n">
        <f aca="false">Sens!$F$3056*m_ad_lo</f>
        <v>13.8309154259679</v>
      </c>
      <c r="G3149" s="38" t="n">
        <f aca="false">Sens!$G$3056*m_ad_lo</f>
        <v>24.6409567012709</v>
      </c>
      <c r="H3149" s="38" t="n">
        <f aca="false">Sens!$H$3056*m_ad_lo</f>
        <v>29.5827274928208</v>
      </c>
      <c r="I3149" s="38" t="n">
        <f aca="false">Sens!$I$3056*m_ad_lo</f>
        <v>34.5240506250184</v>
      </c>
      <c r="J3149" s="38" t="n">
        <f aca="false">Sens!$J$3056*m_ad_lo</f>
        <v>39.1335993590826</v>
      </c>
      <c r="K3149" s="38" t="n">
        <f aca="false">Sens!$K$3056*m_ad_lo</f>
        <v>43.0469592949909</v>
      </c>
      <c r="L3149" s="38" t="n">
        <f aca="false">Sens!$L$3056*m_ad_lo</f>
        <v>47.3516552244899</v>
      </c>
      <c r="M3149" s="38" t="n">
        <f aca="false">Sens!$M$3056*m_ad_lo</f>
        <v>52.0868207469389</v>
      </c>
      <c r="N3149" s="38" t="n">
        <f aca="false">Sens!$N$3056*m_ad_lo</f>
        <v>8.68348445649986</v>
      </c>
      <c r="O3149" s="38" t="n">
        <f aca="false">Sens!$O$3056*m_ad_lo</f>
        <v>11.2075785457119</v>
      </c>
    </row>
    <row r="3150" customFormat="false" ht="17.15" hidden="false" customHeight="false" outlineLevel="0" collapsed="false">
      <c r="A3150" s="0" t="s">
        <v>674</v>
      </c>
      <c r="B3150" s="0" t="s">
        <v>73</v>
      </c>
      <c r="C3150" s="38" t="n">
        <f aca="false">Sens!$C$3054-Sens!$C$3056</f>
        <v>346.428687117154</v>
      </c>
      <c r="D3150" s="38" t="n">
        <f aca="false">Sens!$D$3054-Sens!$D$3056</f>
        <v>376.560876540083</v>
      </c>
      <c r="E3150" s="38" t="n">
        <f aca="false">Sens!$E$3054-Sens!$E$3056</f>
        <v>193.316577507559</v>
      </c>
      <c r="F3150" s="38" t="n">
        <f aca="false">Sens!$F$3054-Sens!$F$3056</f>
        <v>221.726726438887</v>
      </c>
      <c r="G3150" s="38" t="n">
        <f aca="false">Sens!$G$3054-Sens!$G$3056</f>
        <v>415.02162325063</v>
      </c>
      <c r="H3150" s="38" t="n">
        <f aca="false">Sens!$H$3054-Sens!$H$3056</f>
        <v>453.777572359491</v>
      </c>
      <c r="I3150" s="38" t="n">
        <f aca="false">Sens!$I$3054-Sens!$I$3056</f>
        <v>490.847566467031</v>
      </c>
      <c r="J3150" s="38" t="n">
        <f aca="false">Sens!$J$3054-Sens!$J$3056</f>
        <v>525.190925266121</v>
      </c>
      <c r="K3150" s="38" t="n">
        <f aca="false">Sens!$K$3054-Sens!$K$3056</f>
        <v>555.765170156304</v>
      </c>
      <c r="L3150" s="38" t="n">
        <f aca="false">Sens!$L$3054-Sens!$L$3056</f>
        <v>588.185734949207</v>
      </c>
      <c r="M3150" s="38" t="n">
        <f aca="false">Sens!$M$3054-Sens!$M$3056</f>
        <v>622.567635538672</v>
      </c>
      <c r="N3150" s="38" t="n">
        <f aca="false">Sens!$N$3054-Sens!$N$3056</f>
        <v>171.24628885875</v>
      </c>
      <c r="O3150" s="38" t="n">
        <f aca="false">Sens!$O$3054-Sens!$O$3056</f>
        <v>205.33105363572</v>
      </c>
    </row>
    <row r="3151" customFormat="false" ht="17.15" hidden="false" customHeight="false" outlineLevel="0" collapsed="false">
      <c r="A3151" s="0" t="s">
        <v>675</v>
      </c>
      <c r="B3151" s="0" t="s">
        <v>73</v>
      </c>
      <c r="C3151" s="38" t="n">
        <f aca="false">Sens!$C$3102*Sens!$C$3053</f>
        <v>0.123617442257179</v>
      </c>
      <c r="D3151" s="38" t="n">
        <f aca="false">Sens!$D$3102*Sens!$D$3053</f>
        <v>0.874366899302609</v>
      </c>
      <c r="E3151" s="38" t="n">
        <f aca="false">Sens!$E$3102*Sens!$E$3053</f>
        <v>1.29318830502574</v>
      </c>
      <c r="F3151" s="38" t="n">
        <f aca="false">Sens!$F$3102*Sens!$F$3053</f>
        <v>1.51802024162534</v>
      </c>
      <c r="G3151" s="38" t="n">
        <f aca="false">Sens!$G$3102*Sens!$G$3053</f>
        <v>2.81130189308167</v>
      </c>
      <c r="H3151" s="38" t="n">
        <f aca="false">Sens!$H$3102*Sens!$H$3053</f>
        <v>7.38966789318209</v>
      </c>
      <c r="I3151" s="38" t="n">
        <f aca="false">Sens!$I$3102*Sens!$I$3053</f>
        <v>12.8987443661473</v>
      </c>
      <c r="J3151" s="38" t="n">
        <f aca="false">Sens!$J$3102*Sens!$J$3053</f>
        <v>18.5570025453645</v>
      </c>
      <c r="K3151" s="38" t="n">
        <f aca="false">Sens!$K$3102*Sens!$K$3053</f>
        <v>24.3158972773405</v>
      </c>
      <c r="L3151" s="38" t="n">
        <f aca="false">Sens!$L$3102*Sens!$L$3053</f>
        <v>29.7827375558674</v>
      </c>
      <c r="M3151" s="38" t="n">
        <f aca="false">Sens!$M$3102*Sens!$M$3053</f>
        <v>35.3532344973194</v>
      </c>
      <c r="N3151" s="38" t="n">
        <f aca="false">Sens!$N$3102*Sens!$N$3053</f>
        <v>0.389180508437431</v>
      </c>
      <c r="O3151" s="38" t="n">
        <f aca="false">Sens!$O$3102*Sens!$O$3053</f>
        <v>0.485052120082802</v>
      </c>
    </row>
    <row r="3152" customFormat="false" ht="17.15" hidden="false" customHeight="false" outlineLevel="0" collapsed="false">
      <c r="A3152" s="0" t="s">
        <v>676</v>
      </c>
      <c r="B3152" s="0" t="s">
        <v>52</v>
      </c>
      <c r="C3152" s="28" t="n">
        <f aca="false">(Sens!$C$3153-Sens!$C$3149+Sens!$C$3151)/Sens!$C$3150</f>
        <v>0.0250074333081693</v>
      </c>
      <c r="D3152" s="28" t="n">
        <f aca="false">(Sens!$D$3153-Sens!$D$3149+Sens!$D$3151)/Sens!$D$3150</f>
        <v>0.0281381263308372</v>
      </c>
      <c r="E3152" s="28" t="n">
        <f aca="false">(Sens!$E$3153-Sens!$E$3149+Sens!$E$3151)/Sens!$E$3150</f>
        <v>0.0407715644962781</v>
      </c>
      <c r="F3152" s="28" t="n">
        <f aca="false">Sens!$O$3152+(Sens!$E$3152-Sens!$N$3152)</f>
        <v>0.0381752807139062</v>
      </c>
      <c r="G3152" s="28" t="n">
        <f aca="false">(Sens!$G$3153-Sens!$G$3149+Sens!$G$3151)/Sens!$G$3150</f>
        <v>0.039365949831166</v>
      </c>
      <c r="H3152" s="28" t="n">
        <f aca="false">Sens!$G$3152+step_na</f>
        <v>0.042365949831166</v>
      </c>
      <c r="I3152" s="28" t="n">
        <f aca="false">Sens!$H$3152+step_na</f>
        <v>0.045365949831166</v>
      </c>
      <c r="J3152" s="28" t="n">
        <f aca="false">Sens!$I$3152+step_na</f>
        <v>0.048365949831166</v>
      </c>
      <c r="K3152" s="28" t="n">
        <f aca="false">Sens!$J$3152+step_na</f>
        <v>0.051365949831166</v>
      </c>
      <c r="L3152" s="28" t="n">
        <f aca="false">Sens!$K$3152</f>
        <v>0.051365949831166</v>
      </c>
      <c r="M3152" s="28" t="n">
        <f aca="false">Sens!$L$3152</f>
        <v>0.051365949831166</v>
      </c>
      <c r="N3152" s="28" t="n">
        <f aca="false">(Sens!$N$3153-Sens!$N$3149+Sens!$N$3151)/Sens!$N$3150</f>
        <v>0.0295696688417831</v>
      </c>
      <c r="O3152" s="28" t="n">
        <f aca="false">(Sens!$O$3153-Sens!$O$3149+Sens!$O$3151)/Sens!$O$3150</f>
        <v>0.0269733850594112</v>
      </c>
      <c r="P3152" s="8" t="s">
        <v>677</v>
      </c>
    </row>
    <row r="3153" customFormat="false" ht="17.15" hidden="false" customHeight="false" outlineLevel="0" collapsed="false">
      <c r="A3153" s="1" t="s">
        <v>678</v>
      </c>
      <c r="B3153" s="8" t="s">
        <v>73</v>
      </c>
      <c r="C3153" s="38" t="n">
        <f aca="false">Q!$D$22</f>
        <v>24.967</v>
      </c>
      <c r="D3153" s="38" t="n">
        <f aca="false">Q!$E$22</f>
        <v>29.619</v>
      </c>
      <c r="E3153" s="38" t="n">
        <f aca="false">Q!$P$22</f>
        <v>17.39</v>
      </c>
      <c r="F3153" s="38" t="n">
        <f aca="false">Sens!$F$3149+Sens!$F$3150*Sens!$F$3152-Sens!$F$3151</f>
        <v>20.7773752079225</v>
      </c>
      <c r="G3153" s="38" t="n">
        <f aca="false">Sens!$E$3153+Sens!$F$3153</f>
        <v>38.1673752079226</v>
      </c>
      <c r="H3153" s="38" t="n">
        <f aca="false">Sens!$H$3149+Sens!$H$3150*Sens!$H$3152-Sens!$H$3151</f>
        <v>41.4177774647291</v>
      </c>
      <c r="I3153" s="38" t="n">
        <f aca="false">Sens!$I$3149+Sens!$I$3150*Sens!$I$3152-Sens!$I$3151</f>
        <v>43.8930723339644</v>
      </c>
      <c r="J3153" s="38" t="n">
        <f aca="false">Sens!$J$3149+Sens!$J$3150*Sens!$J$3152-Sens!$J$3151</f>
        <v>45.9779547569229</v>
      </c>
      <c r="K3153" s="38" t="n">
        <f aca="false">Sens!$K$3149+Sens!$K$3150*Sens!$K$3152-Sens!$K$3151</f>
        <v>47.2784678658085</v>
      </c>
      <c r="L3153" s="38" t="n">
        <f aca="false">Sens!$L$3149+Sens!$L$3150*Sens!$L$3152-Sens!$L$3151</f>
        <v>47.781636621431</v>
      </c>
      <c r="M3153" s="38" t="n">
        <f aca="false">Sens!$M$3149+Sens!$M$3150*Sens!$M$3152-Sens!$M$3151</f>
        <v>48.7123641832066</v>
      </c>
      <c r="N3153" s="38" t="n">
        <f aca="false">Q!$N$22</f>
        <v>13.358</v>
      </c>
      <c r="O3153" s="38" t="n">
        <f aca="false">Q!$O$22</f>
        <v>16.261</v>
      </c>
    </row>
    <row r="3154" customFormat="false" ht="17.15" hidden="false" customHeight="false" outlineLevel="0" collapsed="false">
      <c r="A3154" s="0" t="s">
        <v>679</v>
      </c>
      <c r="B3154" s="0" t="s">
        <v>73</v>
      </c>
      <c r="C3154" s="38" t="n">
        <f aca="false">Sens!$C$3057*m_ad_lo</f>
        <v>6.05827484686173</v>
      </c>
      <c r="D3154" s="38" t="n">
        <f aca="false">Sens!$D$3057*m_ad_lo</f>
        <v>7.55635061603301</v>
      </c>
      <c r="E3154" s="38" t="n">
        <f aca="false">Sens!$E$3057*m_ad_lo</f>
        <v>4.01943100302343</v>
      </c>
      <c r="F3154" s="38" t="n">
        <f aca="false">Sens!$F$3057*m_ad_lo</f>
        <v>5.4304198471274</v>
      </c>
      <c r="G3154" s="38" t="n">
        <f aca="false">Sens!$G$3057*m_ad_lo</f>
        <v>9.44117857182442</v>
      </c>
      <c r="H3154" s="38" t="n">
        <f aca="false">Sens!$H$3057*m_ad_lo</f>
        <v>11.3346172507554</v>
      </c>
      <c r="I3154" s="38" t="n">
        <f aca="false">Sens!$I$3057*m_ad_lo</f>
        <v>13.2278844090779</v>
      </c>
      <c r="J3154" s="38" t="n">
        <f aca="false">Sens!$J$3057*m_ad_lo</f>
        <v>14.9940322604551</v>
      </c>
      <c r="K3154" s="38" t="n">
        <f aca="false">Sens!$K$3057*m_ad_lo</f>
        <v>16.4934354865006</v>
      </c>
      <c r="L3154" s="38" t="n">
        <f aca="false">Sens!$L$3057*m_ad_lo</f>
        <v>18.1427790351507</v>
      </c>
      <c r="M3154" s="38" t="n">
        <f aca="false">Sens!$M$3057*m_ad_lo</f>
        <v>19.9570569386657</v>
      </c>
      <c r="N3154" s="38" t="n">
        <f aca="false">Sens!$N$3057*m_ad_lo</f>
        <v>3.16251554350015</v>
      </c>
      <c r="O3154" s="38" t="n">
        <f aca="false">Sens!$O$3057*m_ad_lo</f>
        <v>4.40042145428809</v>
      </c>
    </row>
    <row r="3155" customFormat="false" ht="17.15" hidden="false" customHeight="false" outlineLevel="0" collapsed="false">
      <c r="A3155" s="0" t="s">
        <v>680</v>
      </c>
      <c r="B3155" s="0" t="s">
        <v>73</v>
      </c>
      <c r="C3155" s="38" t="n">
        <f aca="false">Sens!$C$3055-Sens!$C$3057</f>
        <v>127.760312882846</v>
      </c>
      <c r="D3155" s="38" t="n">
        <f aca="false">Sens!$D$3055-Sens!$D$3057</f>
        <v>143.003123459917</v>
      </c>
      <c r="E3155" s="38" t="n">
        <f aca="false">Sens!$E$3055-Sens!$E$3057</f>
        <v>71.9374224924414</v>
      </c>
      <c r="F3155" s="38" t="n">
        <f aca="false">Sens!$F$3055-Sens!$F$3057</f>
        <v>87.0563645868046</v>
      </c>
      <c r="G3155" s="38" t="n">
        <f aca="false">Sens!$G$3055-Sens!$G$3057</f>
        <v>159.015467775062</v>
      </c>
      <c r="H3155" s="38" t="n">
        <f aca="false">Sens!$H$3055-Sens!$H$3057</f>
        <v>173.864803403269</v>
      </c>
      <c r="I3155" s="38" t="n">
        <f aca="false">Sens!$I$3055-Sens!$I$3057</f>
        <v>188.068165645601</v>
      </c>
      <c r="J3155" s="38" t="n">
        <f aca="false">Sens!$J$3055-Sens!$J$3057</f>
        <v>201.22681801082</v>
      </c>
      <c r="K3155" s="38" t="n">
        <f aca="false">Sens!$K$3055-Sens!$K$3057</f>
        <v>212.941334991893</v>
      </c>
      <c r="L3155" s="38" t="n">
        <f aca="false">Sens!$L$3055-Sens!$L$3057</f>
        <v>225.363269144856</v>
      </c>
      <c r="M3155" s="38" t="n">
        <f aca="false">Sens!$M$3055-Sens!$M$3057</f>
        <v>238.536688790819</v>
      </c>
      <c r="N3155" s="38" t="n">
        <f aca="false">Sens!$N$3055-Sens!$N$3057</f>
        <v>62.3677111412496</v>
      </c>
      <c r="O3155" s="38" t="n">
        <f aca="false">Sens!$O$3055-Sens!$O$3057</f>
        <v>80.6189463642798</v>
      </c>
    </row>
    <row r="3156" customFormat="false" ht="17.15" hidden="false" customHeight="false" outlineLevel="0" collapsed="false">
      <c r="A3156" s="0" t="s">
        <v>681</v>
      </c>
      <c r="B3156" s="0" t="s">
        <v>73</v>
      </c>
      <c r="C3156" s="38" t="n">
        <f aca="false">Sens!$C$3102*(1-Sens!$C$3053)</f>
        <v>0.0455891896019953</v>
      </c>
      <c r="D3156" s="38" t="n">
        <f aca="false">Sens!$D$3102*(1-Sens!$D$3053)</f>
        <v>0.332050421167231</v>
      </c>
      <c r="E3156" s="38" t="n">
        <f aca="false">Sens!$E$3102*(1-Sens!$E$3053)</f>
        <v>0.481224293644882</v>
      </c>
      <c r="F3156" s="38" t="n">
        <f aca="false">Sens!$F$3102*(1-Sens!$F$3053)</f>
        <v>0.596018918096053</v>
      </c>
      <c r="G3156" s="38" t="n">
        <f aca="false">Sens!$G$3102*(1-Sens!$G$3053)</f>
        <v>1.07714986531035</v>
      </c>
      <c r="H3156" s="38" t="n">
        <f aca="false">Sens!$H$3102*(1-Sens!$H$3053)</f>
        <v>2.83135005721638</v>
      </c>
      <c r="I3156" s="38" t="n">
        <f aca="false">Sens!$I$3102*(1-Sens!$I$3053)</f>
        <v>4.9421518161602</v>
      </c>
      <c r="J3156" s="38" t="n">
        <f aca="false">Sens!$J$3102*(1-Sens!$J$3053)</f>
        <v>7.11011252170866</v>
      </c>
      <c r="K3156" s="38" t="n">
        <f aca="false">Sens!$K$3102*(1-Sens!$K$3053)</f>
        <v>9.31663210615807</v>
      </c>
      <c r="L3156" s="38" t="n">
        <f aca="false">Sens!$L$3102*(1-Sens!$L$3053)</f>
        <v>11.411251074039</v>
      </c>
      <c r="M3156" s="38" t="n">
        <f aca="false">Sens!$M$3102*(1-Sens!$M$3053)</f>
        <v>13.5455860755423</v>
      </c>
      <c r="N3156" s="38" t="n">
        <f aca="false">Sens!$N$3102*(1-Sens!$N$3053)</f>
        <v>0.141739115596548</v>
      </c>
      <c r="O3156" s="38" t="n">
        <f aca="false">Sens!$O$3102*(1-Sens!$O$3053)</f>
        <v>0.190445576353059</v>
      </c>
    </row>
    <row r="3157" customFormat="false" ht="17.15" hidden="false" customHeight="false" outlineLevel="0" collapsed="false">
      <c r="A3157" s="0" t="s">
        <v>682</v>
      </c>
      <c r="B3157" s="0" t="s">
        <v>52</v>
      </c>
      <c r="C3157" s="28" t="n">
        <f aca="false">(Sens!$C$3158-Sens!$C$3154+Sens!$C$3156)/Sens!$C$3155</f>
        <v>-0.0173816548124461</v>
      </c>
      <c r="D3157" s="28" t="n">
        <f aca="false">(Sens!$D$3158-Sens!$D$3154+Sens!$D$3156)/Sens!$D$3155</f>
        <v>-0.0173024206394996</v>
      </c>
      <c r="E3157" s="28" t="n">
        <f aca="false">(Sens!$E$3158-Sens!$E$3154+Sens!$E$3156)/Sens!$E$3155</f>
        <v>-0.00552155881620974</v>
      </c>
      <c r="F3157" s="28" t="n">
        <f aca="false">Sens!$O$3157+(Sens!$E$3157-Sens!$N$3157)</f>
        <v>-0.0217958833820126</v>
      </c>
      <c r="G3157" s="28" t="n">
        <f aca="false">(Sens!$G$3158-Sens!$G$3154+Sens!$G$3156)/Sens!$G$3155</f>
        <v>-0.0143765771950722</v>
      </c>
      <c r="H3157" s="28" t="n">
        <f aca="false">Sens!$G$3157+step_in</f>
        <v>-0.0143765771950722</v>
      </c>
      <c r="I3157" s="28" t="n">
        <f aca="false">Sens!$H$3157+step_in</f>
        <v>-0.0143765771950722</v>
      </c>
      <c r="J3157" s="28" t="n">
        <f aca="false">Sens!$I$3157+step_in</f>
        <v>-0.0143765771950722</v>
      </c>
      <c r="K3157" s="28" t="n">
        <f aca="false">Sens!$J$3157+step_in</f>
        <v>-0.0143765771950722</v>
      </c>
      <c r="L3157" s="28" t="n">
        <f aca="false">Sens!$K$3157</f>
        <v>-0.0143765771950722</v>
      </c>
      <c r="M3157" s="28" t="n">
        <f aca="false">Sens!$L$3157</f>
        <v>-0.0143765771950722</v>
      </c>
      <c r="N3157" s="28" t="n">
        <f aca="false">(Sens!$N$3158-Sens!$N$3154+Sens!$N$3156)/Sens!$N$3155</f>
        <v>-0.0081737235273724</v>
      </c>
      <c r="O3157" s="28" t="n">
        <f aca="false">(Sens!$O$3158-Sens!$O$3154+Sens!$O$3156)/Sens!$O$3155</f>
        <v>-0.0244480480931753</v>
      </c>
      <c r="P3157" s="8" t="s">
        <v>677</v>
      </c>
    </row>
    <row r="3158" customFormat="false" ht="17.15" hidden="false" customHeight="false" outlineLevel="0" collapsed="false">
      <c r="A3158" s="1" t="s">
        <v>683</v>
      </c>
      <c r="B3158" s="8" t="s">
        <v>73</v>
      </c>
      <c r="C3158" s="38" t="n">
        <f aca="false">Q!$D$23</f>
        <v>3.792</v>
      </c>
      <c r="D3158" s="38" t="n">
        <f aca="false">Q!$E$23</f>
        <v>4.75</v>
      </c>
      <c r="E3158" s="38" t="n">
        <f aca="false">Q!$P$23</f>
        <v>3.141</v>
      </c>
      <c r="F3158" s="38" t="n">
        <f aca="false">Sens!$F$3154+Sens!$F$3155*Sens!$F$3157-Sens!$F$3156</f>
        <v>2.93693055883538</v>
      </c>
      <c r="G3158" s="38" t="n">
        <f aca="false">Sens!$E$3158+Sens!$F$3158</f>
        <v>6.07793055883538</v>
      </c>
      <c r="H3158" s="38" t="n">
        <f aca="false">Sens!$H$3154+Sens!$H$3155*Sens!$H$3157-Sens!$H$3156</f>
        <v>6.00368642590583</v>
      </c>
      <c r="I3158" s="38" t="n">
        <f aca="false">Sens!$I$3154+Sens!$I$3155*Sens!$I$3157-Sens!$I$3156</f>
        <v>5.58195609157813</v>
      </c>
      <c r="J3158" s="38" t="n">
        <f aca="false">Sens!$J$3154+Sens!$J$3155*Sens!$J$3157-Sens!$J$3156</f>
        <v>4.99096685589514</v>
      </c>
      <c r="K3158" s="38" t="n">
        <f aca="false">Sens!$K$3154+Sens!$K$3155*Sens!$K$3157-Sens!$K$3156</f>
        <v>4.11543583980987</v>
      </c>
      <c r="L3158" s="38" t="n">
        <f aca="false">Sens!$L$3154+Sens!$L$3155*Sens!$L$3157-Sens!$L$3156</f>
        <v>3.4915755253168</v>
      </c>
      <c r="M3158" s="38" t="n">
        <f aca="false">Sens!$M$3154+Sens!$M$3155*Sens!$M$3157-Sens!$M$3156</f>
        <v>2.9821297428653</v>
      </c>
      <c r="N3158" s="38" t="n">
        <f aca="false">Q!$N$23</f>
        <v>2.511</v>
      </c>
      <c r="O3158" s="38" t="n">
        <f aca="false">Q!$O$23</f>
        <v>2.239</v>
      </c>
    </row>
    <row r="3159" customFormat="false" ht="17.15" hidden="false" customHeight="false" outlineLevel="0" collapsed="false">
      <c r="A3159" s="0" t="s">
        <v>684</v>
      </c>
      <c r="B3159" s="0" t="s">
        <v>73</v>
      </c>
      <c r="C3159" s="38" t="n">
        <f aca="false">Sens!$C$3099</f>
        <v>1.64417882953695</v>
      </c>
      <c r="D3159" s="38" t="n">
        <f aca="false">Sens!$D$3099</f>
        <v>3.8781008067718</v>
      </c>
      <c r="E3159" s="38" t="n">
        <f aca="false">Sens!$E$3099</f>
        <v>1.41270258088753</v>
      </c>
      <c r="F3159" s="38" t="n">
        <f aca="false">Sens!$F$3099</f>
        <v>6.50727700583486</v>
      </c>
      <c r="G3159" s="38" t="n">
        <f aca="false">Sens!$G$3099</f>
        <v>7.9199795867224</v>
      </c>
      <c r="H3159" s="38" t="n">
        <f aca="false">Sens!$H$3099</f>
        <v>19.2818189481807</v>
      </c>
      <c r="I3159" s="38" t="n">
        <f aca="false">Sens!$I$3099</f>
        <v>30.140114407202</v>
      </c>
      <c r="J3159" s="38" t="n">
        <f aca="false">Sens!$J$3099</f>
        <v>40.3569468829854</v>
      </c>
      <c r="K3159" s="38" t="n">
        <f aca="false">Sens!$K$3099</f>
        <v>50.0782975081929</v>
      </c>
      <c r="L3159" s="38" t="n">
        <f aca="false">Sens!$L$3099</f>
        <v>61.443331993499</v>
      </c>
      <c r="M3159" s="38" t="n">
        <f aca="false">Sens!$M$3099</f>
        <v>72.2498791587849</v>
      </c>
      <c r="N3159" s="38" t="n">
        <f aca="false">Sens!$N$3099</f>
        <v>0.92264103489199</v>
      </c>
      <c r="O3159" s="38" t="n">
        <f aca="false">Sens!$O$3099</f>
        <v>2.95545977187981</v>
      </c>
    </row>
    <row r="3160" customFormat="false" ht="17.15" hidden="false" customHeight="false" outlineLevel="0" collapsed="false">
      <c r="A3160" s="0" t="s">
        <v>604</v>
      </c>
      <c r="B3160" s="0" t="s">
        <v>73</v>
      </c>
      <c r="C3160" s="38" t="n">
        <f aca="false">Sens!$C$3104</f>
        <v>38.1898211704631</v>
      </c>
      <c r="D3160" s="38" t="n">
        <f aca="false">Sens!$D$3104</f>
        <v>41.7278991932282</v>
      </c>
      <c r="E3160" s="38" t="n">
        <f aca="false">Sens!$E$3104</f>
        <v>29.3692974191125</v>
      </c>
      <c r="F3160" s="38" t="n">
        <f aca="false">Sens!$F$3104</f>
        <v>29.458060516894</v>
      </c>
      <c r="G3160" s="38" t="n">
        <f aca="false">Sens!$G$3104</f>
        <v>58.8273579360065</v>
      </c>
      <c r="H3160" s="38" t="n">
        <f aca="false">Sens!$H$3104</f>
        <v>67.8004040185081</v>
      </c>
      <c r="I3160" s="38" t="n">
        <f aca="false">Sens!$I$3104</f>
        <v>78.9527630302702</v>
      </c>
      <c r="J3160" s="38" t="n">
        <f aca="false">Sens!$J$3104</f>
        <v>88.6042681781841</v>
      </c>
      <c r="K3160" s="38" t="n">
        <f aca="false">Sens!$K$3104</f>
        <v>95.6926096324389</v>
      </c>
      <c r="L3160" s="38" t="n">
        <f aca="false">Sens!$L$3104</f>
        <v>103.348018403034</v>
      </c>
      <c r="M3160" s="38" t="n">
        <f aca="false">Sens!$M$3104</f>
        <v>111.615859875277</v>
      </c>
      <c r="N3160" s="38" t="n">
        <f aca="false">Sens!$N$3104</f>
        <v>20.784358965108</v>
      </c>
      <c r="O3160" s="38" t="n">
        <f aca="false">Sens!$O$3104</f>
        <v>20.9435402281202</v>
      </c>
    </row>
    <row r="3161" customFormat="false" ht="17.15" hidden="false" customHeight="false" outlineLevel="0" collapsed="false">
      <c r="A3161" s="1" t="s">
        <v>685</v>
      </c>
      <c r="B3161" s="8" t="s">
        <v>73</v>
      </c>
      <c r="C3161" s="38" t="n">
        <f aca="false">Q!$D$24</f>
        <v>39.834</v>
      </c>
      <c r="D3161" s="38" t="n">
        <f aca="false">Q!$E$24</f>
        <v>45.606</v>
      </c>
      <c r="E3161" s="38" t="n">
        <f aca="false">Q!$P$24</f>
        <v>30.782</v>
      </c>
      <c r="F3161" s="38" t="n">
        <f aca="false">Sens!$F$3159+Sens!$F$3160</f>
        <v>35.9653375227289</v>
      </c>
      <c r="G3161" s="38" t="n">
        <f aca="false">Sens!$G$3159+Sens!$G$3160</f>
        <v>66.7473375227289</v>
      </c>
      <c r="H3161" s="38" t="n">
        <f aca="false">Sens!$H$3159+Sens!$H$3160</f>
        <v>87.0822229666888</v>
      </c>
      <c r="I3161" s="38" t="n">
        <f aca="false">Sens!$I$3159+Sens!$I$3160</f>
        <v>109.092877437472</v>
      </c>
      <c r="J3161" s="38" t="n">
        <f aca="false">Sens!$J$3159+Sens!$J$3160</f>
        <v>128.96121506117</v>
      </c>
      <c r="K3161" s="38" t="n">
        <f aca="false">Sens!$K$3159+Sens!$K$3160</f>
        <v>145.770907140632</v>
      </c>
      <c r="L3161" s="38" t="n">
        <f aca="false">Sens!$L$3159+Sens!$L$3160</f>
        <v>164.791350396533</v>
      </c>
      <c r="M3161" s="38" t="n">
        <f aca="false">Sens!$M$3159+Sens!$M$3160</f>
        <v>183.865739034062</v>
      </c>
      <c r="N3161" s="38" t="n">
        <f aca="false">Q!$N$24</f>
        <v>21.707</v>
      </c>
      <c r="O3161" s="38" t="n">
        <f aca="false">Q!$O$24</f>
        <v>23.899</v>
      </c>
    </row>
    <row r="3162" customFormat="false" ht="17.15" hidden="false" customHeight="false" outlineLevel="0" collapsed="false">
      <c r="A3162" s="5" t="s">
        <v>686</v>
      </c>
      <c r="B3162" s="0" t="s">
        <v>73</v>
      </c>
      <c r="C3162" s="38" t="n">
        <f aca="false">Q!$D$26</f>
        <v>0</v>
      </c>
      <c r="D3162" s="38" t="n">
        <f aca="false">Q!$E$26</f>
        <v>0</v>
      </c>
      <c r="E3162" s="38" t="n">
        <f aca="false">Q!$P$26</f>
        <v>0</v>
      </c>
      <c r="F3162" s="41" t="n">
        <v>0</v>
      </c>
      <c r="G3162" s="38" t="n">
        <f aca="false">Sens!$E$3162+Sens!$F$3162</f>
        <v>0</v>
      </c>
      <c r="H3162" s="41" t="n">
        <v>0</v>
      </c>
      <c r="I3162" s="41" t="n">
        <v>0</v>
      </c>
      <c r="J3162" s="41" t="n">
        <v>0</v>
      </c>
      <c r="K3162" s="41" t="n">
        <v>0</v>
      </c>
      <c r="L3162" s="41" t="n">
        <v>0</v>
      </c>
      <c r="M3162" s="41" t="n">
        <v>0</v>
      </c>
      <c r="N3162" s="38" t="n">
        <f aca="false">Q!$N$26</f>
        <v>0</v>
      </c>
      <c r="O3162" s="38" t="n">
        <f aca="false">Q!$O$26</f>
        <v>0</v>
      </c>
    </row>
    <row r="3163" customFormat="false" ht="15" hidden="false" customHeight="false" outlineLevel="0" collapsed="false">
      <c r="A3163" s="3" t="s">
        <v>494</v>
      </c>
      <c r="B3163" s="8" t="s">
        <v>73</v>
      </c>
      <c r="C3163" s="38" t="n">
        <f aca="false">Q!$D$25</f>
        <v>68.593</v>
      </c>
      <c r="D3163" s="38" t="n">
        <f aca="false">Q!$E$25</f>
        <v>79.975</v>
      </c>
      <c r="E3163" s="38" t="n">
        <f aca="false">Q!$P$25</f>
        <v>51.313</v>
      </c>
      <c r="F3163" s="38" t="n">
        <f aca="false">Sens!$F$3153+Sens!$F$3158+Sens!$F$3161+Sens!$F$3162</f>
        <v>59.6796432894868</v>
      </c>
      <c r="G3163" s="38" t="n">
        <f aca="false">Sens!$G$3153+Sens!$G$3158+Sens!$G$3161+Sens!$G$3162</f>
        <v>110.992643289487</v>
      </c>
      <c r="H3163" s="38" t="n">
        <f aca="false">Sens!$H$3153+Sens!$H$3158+Sens!$H$3161+Sens!$H$3162</f>
        <v>134.503686857324</v>
      </c>
      <c r="I3163" s="38" t="n">
        <f aca="false">Sens!$I$3153+Sens!$I$3158+Sens!$I$3161+Sens!$I$3162</f>
        <v>158.567905863015</v>
      </c>
      <c r="J3163" s="38" t="n">
        <f aca="false">Sens!$J$3153+Sens!$J$3158+Sens!$J$3161+Sens!$J$3162</f>
        <v>179.930136673988</v>
      </c>
      <c r="K3163" s="38" t="n">
        <f aca="false">Sens!$K$3153+Sens!$K$3158+Sens!$K$3161+Sens!$K$3162</f>
        <v>197.16481084625</v>
      </c>
      <c r="L3163" s="38" t="n">
        <f aca="false">Sens!$L$3153+Sens!$L$3158+Sens!$L$3161+Sens!$L$3162</f>
        <v>216.064562543281</v>
      </c>
      <c r="M3163" s="38" t="n">
        <f aca="false">Sens!$M$3153+Sens!$M$3158+Sens!$M$3161+Sens!$M$3162</f>
        <v>235.560232960133</v>
      </c>
      <c r="N3163" s="38" t="n">
        <f aca="false">Q!$N$25</f>
        <v>37.576</v>
      </c>
      <c r="O3163" s="38" t="n">
        <f aca="false">Q!$O$25</f>
        <v>42.399</v>
      </c>
    </row>
    <row r="3164" customFormat="false" ht="17.15" hidden="false" customHeight="false" outlineLevel="0" collapsed="false">
      <c r="A3164" s="24" t="s">
        <v>712</v>
      </c>
      <c r="B3164" s="25" t="s">
        <v>73</v>
      </c>
      <c r="C3164" s="39" t="n">
        <f aca="false">Sens!$C$3153+Sens!$C$3158+Sens!$C$3161+Sens!$C$3162-Sens!$C$3163</f>
        <v>0</v>
      </c>
      <c r="D3164" s="39" t="n">
        <f aca="false">Sens!$D$3153+Sens!$D$3158+Sens!$D$3161+Sens!$D$3162-Sens!$D$3163</f>
        <v>0</v>
      </c>
      <c r="E3164" s="39" t="n">
        <f aca="false">Sens!$E$3153+Sens!$E$3158+Sens!$E$3161+Sens!$E$3162-Sens!$E$3163</f>
        <v>0</v>
      </c>
      <c r="F3164" s="39" t="n">
        <f aca="false">Sens!$F$3153+Sens!$F$3158+Sens!$F$3161+Sens!$F$3162-Sens!$F$3163</f>
        <v>0</v>
      </c>
      <c r="G3164" s="39" t="n">
        <f aca="false">Sens!$G$3153+Sens!$G$3158+Sens!$G$3161+Sens!$G$3162-Sens!$G$3163</f>
        <v>0</v>
      </c>
      <c r="H3164" s="39" t="n">
        <f aca="false">Sens!$H$3153+Sens!$H$3158+Sens!$H$3161+Sens!$H$3162-Sens!$H$3163</f>
        <v>0</v>
      </c>
      <c r="I3164" s="39" t="n">
        <f aca="false">Sens!$I$3153+Sens!$I$3158+Sens!$I$3161+Sens!$I$3162-Sens!$I$3163</f>
        <v>0</v>
      </c>
      <c r="J3164" s="39" t="n">
        <f aca="false">Sens!$J$3153+Sens!$J$3158+Sens!$J$3161+Sens!$J$3162-Sens!$J$3163</f>
        <v>0</v>
      </c>
      <c r="K3164" s="39" t="n">
        <f aca="false">Sens!$K$3153+Sens!$K$3158+Sens!$K$3161+Sens!$K$3162-Sens!$K$3163</f>
        <v>0</v>
      </c>
      <c r="L3164" s="39" t="n">
        <f aca="false">Sens!$L$3153+Sens!$L$3158+Sens!$L$3161+Sens!$L$3162-Sens!$L$3163</f>
        <v>0</v>
      </c>
      <c r="M3164" s="39" t="n">
        <f aca="false">Sens!$M$3153+Sens!$M$3158+Sens!$M$3161+Sens!$M$3162-Sens!$M$3163</f>
        <v>0</v>
      </c>
      <c r="N3164" s="39" t="n">
        <f aca="false">Sens!$N$3153+Sens!$N$3158+Sens!$N$3161+Sens!$N$3162-Sens!$N$3163</f>
        <v>0</v>
      </c>
      <c r="O3164" s="39" t="n">
        <f aca="false">Sens!$O$3153+Sens!$O$3158+Sens!$O$3161+Sens!$O$3162-Sens!$O$3163</f>
        <v>0</v>
      </c>
    </row>
    <row r="3165" customFormat="false" ht="17.15" hidden="false" customHeight="false" outlineLevel="0" collapsed="false">
      <c r="A3165" s="0" t="s">
        <v>688</v>
      </c>
      <c r="B3165" s="0" t="s">
        <v>52</v>
      </c>
      <c r="C3165" s="12" t="n">
        <f aca="false">Sens!$C$3153/Sens!$C$3138</f>
        <v>0.0644314665661928</v>
      </c>
      <c r="D3165" s="12" t="n">
        <f aca="false">Sens!$D$3153/Sens!$D$3138</f>
        <v>0.0694784250712518</v>
      </c>
      <c r="E3165" s="12" t="n">
        <f aca="false">Sens!$E$3153/Sens!$E$3138</f>
        <v>0.0789306463326071</v>
      </c>
      <c r="F3165" s="12" t="n">
        <f aca="false">Sens!$F$3153/Sens!$F$3138</f>
        <v>0.0810653520492605</v>
      </c>
      <c r="G3165" s="12" t="n">
        <f aca="false">Sens!$G$3153/Sens!$G$3138</f>
        <v>0.080078581872585</v>
      </c>
      <c r="H3165" s="12" t="n">
        <f aca="false">Sens!$H$3153/Sens!$H$3138</f>
        <v>0.0784822406193055</v>
      </c>
      <c r="I3165" s="12" t="n">
        <f aca="false">Sens!$I$3153/Sens!$I$3138</f>
        <v>0.0760503981218094</v>
      </c>
      <c r="J3165" s="12" t="n">
        <f aca="false">Sens!$J$3153/Sens!$J$3138</f>
        <v>0.0737979381090246</v>
      </c>
      <c r="K3165" s="12" t="n">
        <f aca="false">Sens!$K$3153/Sens!$K$3138</f>
        <v>0.0712687823261346</v>
      </c>
      <c r="L3165" s="12" t="n">
        <f aca="false">Sens!$L$3153/Sens!$L$3138</f>
        <v>0.0676252647797926</v>
      </c>
      <c r="M3165" s="12" t="n">
        <f aca="false">Sens!$M$3153/Sens!$M$3138</f>
        <v>0.0647095577236858</v>
      </c>
      <c r="N3165" s="12" t="n">
        <f aca="false">Sens!$N$3153/Sens!$N$3138</f>
        <v>0.069228576611127</v>
      </c>
      <c r="O3165" s="12" t="n">
        <f aca="false">Sens!$O$3153/Sens!$O$3138</f>
        <v>0.069685022498393</v>
      </c>
    </row>
    <row r="3166" customFormat="false" ht="17.15" hidden="false" customHeight="false" outlineLevel="0" collapsed="false">
      <c r="A3166" s="0" t="s">
        <v>689</v>
      </c>
      <c r="B3166" s="0" t="s">
        <v>52</v>
      </c>
      <c r="C3166" s="12" t="n">
        <f aca="false">Sens!$C$3158/Sens!$C$3139</f>
        <v>0.026534925055631</v>
      </c>
      <c r="D3166" s="12" t="n">
        <f aca="false">Sens!$D$3158/Sens!$D$3139</f>
        <v>0.0293401855535103</v>
      </c>
      <c r="E3166" s="12" t="n">
        <f aca="false">Sens!$E$3158/Sens!$E$3139</f>
        <v>0.03831141902276</v>
      </c>
      <c r="F3166" s="12" t="n">
        <f aca="false">Sens!$F$3158/Sens!$F$3139</f>
        <v>0.0291847371649408</v>
      </c>
      <c r="G3166" s="12" t="n">
        <f aca="false">Sens!$G$3158/Sens!$G$3139</f>
        <v>0.0332821341446164</v>
      </c>
      <c r="H3166" s="12" t="n">
        <f aca="false">Sens!$H$3158/Sens!$H$3139</f>
        <v>0.0296916243582502</v>
      </c>
      <c r="I3166" s="12" t="n">
        <f aca="false">Sens!$I$3158/Sens!$I$3139</f>
        <v>0.0252419720026117</v>
      </c>
      <c r="J3166" s="12" t="n">
        <f aca="false">Sens!$J$3158/Sens!$J$3139</f>
        <v>0.0209079098439198</v>
      </c>
      <c r="K3166" s="12" t="n">
        <f aca="false">Sens!$K$3158/Sens!$K$3139</f>
        <v>0.0161913527100549</v>
      </c>
      <c r="L3166" s="12" t="n">
        <f aca="false">Sens!$L$3158/Sens!$L$3139</f>
        <v>0.0128973578975959</v>
      </c>
      <c r="M3166" s="12" t="n">
        <f aca="false">Sens!$M$3158/Sens!$M$3139</f>
        <v>0.0103392041686767</v>
      </c>
      <c r="N3166" s="12" t="n">
        <f aca="false">Sens!$N$3158/Sens!$N$3139</f>
        <v>0.0357315650169337</v>
      </c>
      <c r="O3166" s="12" t="n">
        <f aca="false">Sens!$O$3158/Sens!$O$3139</f>
        <v>0.0244378956559703</v>
      </c>
    </row>
    <row r="3167" customFormat="false" ht="17.15" hidden="false" customHeight="false" outlineLevel="0" collapsed="false">
      <c r="A3167" s="13" t="s">
        <v>690</v>
      </c>
      <c r="B3167" s="13" t="s">
        <v>52</v>
      </c>
      <c r="C3167" s="16" t="n">
        <f aca="false">Sens!$C$3161/Sens!$C$3140</f>
        <v>0.370355907620217</v>
      </c>
      <c r="D3167" s="16" t="n">
        <f aca="false">Sens!$D$3161/Sens!$D$3140</f>
        <v>0.35429015342785</v>
      </c>
      <c r="E3167" s="16" t="n">
        <f aca="false">Sens!$E$3161/Sens!$E$3140</f>
        <v>0.385647527531039</v>
      </c>
      <c r="F3167" s="16" t="n">
        <f aca="false">Sens!$F$3161/Sens!$F$3140</f>
        <v>0.384415729470259</v>
      </c>
      <c r="G3167" s="16" t="n">
        <f aca="false">Sens!$G$3161/Sens!$G$3140</f>
        <v>0.38498282105443</v>
      </c>
      <c r="H3167" s="16" t="n">
        <f aca="false">Sens!$H$3161/Sens!$H$3140</f>
        <v>0.361247909668527</v>
      </c>
      <c r="I3167" s="16" t="n">
        <f aca="false">Sens!$I$3161/Sens!$I$3140</f>
        <v>0.349486287974975</v>
      </c>
      <c r="J3167" s="16" t="n">
        <f aca="false">Sens!$J$3161/Sens!$J$3140</f>
        <v>0.339886531832068</v>
      </c>
      <c r="K3167" s="16" t="n">
        <f aca="false">Sens!$K$3161/Sens!$K$3140</f>
        <v>0.33135833762061</v>
      </c>
      <c r="L3167" s="16" t="n">
        <f aca="false">Sens!$L$3161/Sens!$L$3140</f>
        <v>0.328299068185284</v>
      </c>
      <c r="M3167" s="16" t="n">
        <f aca="false">Sens!$M$3161/Sens!$M$3140</f>
        <v>0.325058049465166</v>
      </c>
      <c r="N3167" s="16" t="n">
        <f aca="false">Sens!$N$3161/Sens!$N$3140</f>
        <v>0.360941137346192</v>
      </c>
      <c r="O3167" s="16" t="n">
        <f aca="false">Sens!$O$3161/Sens!$O$3140</f>
        <v>0.348458117664212</v>
      </c>
    </row>
    <row r="3168" customFormat="false" ht="17.15" hidden="false" customHeight="false" outlineLevel="0" collapsed="false">
      <c r="A3168" s="0" t="s">
        <v>691</v>
      </c>
      <c r="B3168" s="0" t="s">
        <v>52</v>
      </c>
      <c r="C3168" s="12" t="n">
        <f aca="false">Sens!$C$3159/Sens!$C$3141</f>
        <v>0.708390794789371</v>
      </c>
      <c r="D3168" s="12" t="n">
        <f aca="false">Sens!$D$3159/Sens!$D$3141</f>
        <v>0.445565630441968</v>
      </c>
      <c r="E3168" s="12" t="n">
        <f aca="false">Sens!$E$3159/Sens!$E$3141</f>
        <v>0.165998118402711</v>
      </c>
      <c r="F3168" s="12" t="n">
        <f aca="false">Sens!$F$3159/Sens!$F$3141</f>
        <v>0.434878595403858</v>
      </c>
      <c r="G3168" s="12" t="n">
        <f aca="false">Sens!$G$3159/Sens!$G$3141</f>
        <v>0.3373967615381</v>
      </c>
      <c r="H3168" s="12" t="n">
        <f aca="false">Sens!$H$3159/Sens!$H$3141</f>
        <v>0.320477578041224</v>
      </c>
      <c r="I3168" s="12" t="n">
        <f aca="false">Sens!$I$3159/Sens!$I$3141</f>
        <v>0.296936118226494</v>
      </c>
      <c r="J3168" s="12" t="n">
        <f aca="false">Sens!$J$3159/Sens!$J$3141</f>
        <v>0.282166278613001</v>
      </c>
      <c r="K3168" s="12" t="n">
        <f aca="false">Sens!$K$3159/Sens!$K$3141</f>
        <v>0.271267685694333</v>
      </c>
      <c r="L3168" s="12" t="n">
        <f aca="false">Sens!$L$3159/Sens!$L$3141</f>
        <v>0.27160960915653</v>
      </c>
      <c r="M3168" s="12" t="n">
        <f aca="false">Sens!$M$3159/Sens!$M$3141</f>
        <v>0.26974494804234</v>
      </c>
      <c r="N3168" s="12" t="n">
        <f aca="false">Sens!$N$3159/Sens!$N$3141</f>
        <v>0.302870734830849</v>
      </c>
      <c r="O3168" s="12" t="n">
        <f aca="false">Sens!$O$3159/Sens!$O$3141</f>
        <v>0.52240134346334</v>
      </c>
    </row>
    <row r="3169" customFormat="false" ht="15" hidden="false" customHeight="false" outlineLevel="0" collapsed="false">
      <c r="A3169" s="5" t="s">
        <v>692</v>
      </c>
      <c r="B3169" s="0" t="s">
        <v>52</v>
      </c>
      <c r="C3169" s="12" t="n">
        <f aca="false">Sens!$C$3163/Sens!$C$3143</f>
        <v>0.107519448742004</v>
      </c>
      <c r="D3169" s="12" t="n">
        <f aca="false">Sens!$D$3163/Sens!$D$3143</f>
        <v>0.111552967957552</v>
      </c>
      <c r="E3169" s="12" t="n">
        <f aca="false">Sens!$E$3163/Sens!$E$3143</f>
        <v>0.13428328426562</v>
      </c>
      <c r="F3169" s="12" t="n">
        <f aca="false">Sens!$F$3163/Sens!$F$3143</f>
        <v>0.132475743521898</v>
      </c>
      <c r="G3169" s="12" t="n">
        <f aca="false">Sens!$G$3163/Sens!$G$3143</f>
        <v>0.133305301557764</v>
      </c>
      <c r="H3169" s="12" t="n">
        <f aca="false">Sens!$H$3163/Sens!$H$3143</f>
        <v>0.13852147607086</v>
      </c>
      <c r="I3169" s="12" t="n">
        <f aca="false">Sens!$I$3163/Sens!$I$3143</f>
        <v>0.142796379073998</v>
      </c>
      <c r="J3169" s="12" t="n">
        <f aca="false">Sens!$J$3163/Sens!$J$3143</f>
        <v>0.144969199430493</v>
      </c>
      <c r="K3169" s="12" t="n">
        <f aca="false">Sens!$K$3163/Sens!$K$3143</f>
        <v>0.145243602769671</v>
      </c>
      <c r="L3169" s="12" t="n">
        <f aca="false">Sens!$L$3163/Sens!$L$3143</f>
        <v>0.1460645690766</v>
      </c>
      <c r="M3169" s="12" t="n">
        <f aca="false">Sens!$M$3163/Sens!$M$3143</f>
        <v>0.146597185286298</v>
      </c>
      <c r="N3169" s="12" t="n">
        <f aca="false">Sens!$N$3163/Sens!$N$3143</f>
        <v>0.116201614873411</v>
      </c>
      <c r="O3169" s="12" t="n">
        <f aca="false">Sens!$O$3163/Sens!$O$3143</f>
        <v>0.107733353660861</v>
      </c>
    </row>
    <row r="3170" customFormat="false" ht="17.15" hidden="false" customHeight="false" outlineLevel="0" collapsed="false">
      <c r="A3170" s="1" t="s">
        <v>693</v>
      </c>
    </row>
    <row r="3171" customFormat="false" ht="17.15" hidden="false" customHeight="false" outlineLevel="0" collapsed="false">
      <c r="A3171" s="5" t="s">
        <v>694</v>
      </c>
      <c r="B3171" s="0" t="s">
        <v>52</v>
      </c>
      <c r="D3171" s="28" t="n">
        <f aca="false">(Q!$E$29+Q!$E$30-(1-ext_sh)*Sens!$D$3095)/Sens!$D$3052</f>
        <v>0.0334674312393194</v>
      </c>
    </row>
    <row r="3172" customFormat="false" ht="17.15" hidden="false" customHeight="false" outlineLevel="0" collapsed="false">
      <c r="A3172" s="0" t="s">
        <v>498</v>
      </c>
      <c r="B3172" s="0" t="s">
        <v>73</v>
      </c>
      <c r="C3172" s="38" t="n">
        <f aca="false">Q!$D$29</f>
        <v>14.285</v>
      </c>
      <c r="D3172" s="38" t="n">
        <f aca="false">Q!$E$29</f>
        <v>15.503</v>
      </c>
      <c r="E3172" s="38" t="n">
        <f aca="false">Q!$P$29</f>
        <v>8.78</v>
      </c>
      <c r="F3172" s="38" t="n">
        <f aca="false">(Sens!$D$3171*Sens!$F$3052+(1-ext_sh)*Sens!$F$3095)*Sens!$F$3053</f>
        <v>9.51361751569285</v>
      </c>
      <c r="G3172" s="38" t="n">
        <f aca="false">Sens!$E$3172+Sens!$F$3172</f>
        <v>18.2936175156929</v>
      </c>
      <c r="H3172" s="38" t="n">
        <f aca="false">(Sens!$D$3171*Sens!$H$3052+(1-ext_sh)*Sens!$H$3095)*Sens!$H$3053</f>
        <v>22.7653661801943</v>
      </c>
      <c r="I3172" s="38" t="n">
        <f aca="false">(Sens!$D$3171*Sens!$I$3052+(1-ext_sh)*Sens!$I$3095)*Sens!$I$3053</f>
        <v>28.4281317305062</v>
      </c>
      <c r="J3172" s="38" t="n">
        <f aca="false">(Sens!$D$3171*Sens!$J$3052+(1-ext_sh)*Sens!$J$3095)*Sens!$J$3053</f>
        <v>34.1182922009732</v>
      </c>
      <c r="K3172" s="38" t="n">
        <f aca="false">(Sens!$D$3171*Sens!$K$3052+(1-ext_sh)*Sens!$K$3095)*Sens!$K$3053</f>
        <v>39.7237727987046</v>
      </c>
      <c r="L3172" s="38" t="n">
        <f aca="false">(Sens!$D$3171*Sens!$L$3052+(1-ext_sh)*Sens!$L$3095)*Sens!$L$3053</f>
        <v>45.1313127180263</v>
      </c>
      <c r="M3172" s="38" t="n">
        <f aca="false">(Sens!$D$3171*Sens!$M$3052+(1-ext_sh)*Sens!$M$3095)*Sens!$M$3053</f>
        <v>50.743940615442</v>
      </c>
      <c r="N3172" s="38" t="n">
        <f aca="false">Q!$N$29</f>
        <v>7.272</v>
      </c>
      <c r="O3172" s="38" t="n">
        <f aca="false">Q!$O$29</f>
        <v>8.231</v>
      </c>
    </row>
    <row r="3173" customFormat="false" ht="17.15" hidden="false" customHeight="false" outlineLevel="0" collapsed="false">
      <c r="A3173" s="0" t="s">
        <v>500</v>
      </c>
      <c r="B3173" s="0" t="s">
        <v>73</v>
      </c>
      <c r="C3173" s="38" t="n">
        <f aca="false">Q!$D$30</f>
        <v>4.462</v>
      </c>
      <c r="D3173" s="38" t="n">
        <f aca="false">Q!$E$30</f>
        <v>4.907</v>
      </c>
      <c r="E3173" s="38" t="n">
        <f aca="false">Q!$P$30</f>
        <v>2.57</v>
      </c>
      <c r="F3173" s="38" t="n">
        <f aca="false">(Sens!$D$3171*Sens!$F$3052+(1-ext_sh)*Sens!$F$3095)*(1-Sens!$F$3053)</f>
        <v>3.7353230631574</v>
      </c>
      <c r="G3173" s="38" t="n">
        <f aca="false">Sens!$E$3173+Sens!$F$3173</f>
        <v>6.3053230631574</v>
      </c>
      <c r="H3173" s="38" t="n">
        <f aca="false">(Sens!$D$3171*Sens!$H$3052+(1-ext_sh)*Sens!$H$3095)*(1-Sens!$H$3053)</f>
        <v>8.72254636724805</v>
      </c>
      <c r="I3173" s="38" t="n">
        <f aca="false">(Sens!$D$3171*Sens!$I$3052+(1-ext_sh)*Sens!$I$3095)*(1-Sens!$I$3053)</f>
        <v>10.8922340713019</v>
      </c>
      <c r="J3173" s="38" t="n">
        <f aca="false">(Sens!$D$3171*Sens!$J$3052+(1-ext_sh)*Sens!$J$3095)*(1-Sens!$J$3053)</f>
        <v>13.0724181345791</v>
      </c>
      <c r="K3173" s="38" t="n">
        <f aca="false">(Sens!$D$3171*Sens!$K$3052+(1-ext_sh)*Sens!$K$3095)*(1-Sens!$K$3053)</f>
        <v>15.2201571183236</v>
      </c>
      <c r="L3173" s="38" t="n">
        <f aca="false">(Sens!$D$3171*Sens!$L$3052+(1-ext_sh)*Sens!$L$3095)*(1-Sens!$L$3053)</f>
        <v>17.2920551631732</v>
      </c>
      <c r="M3173" s="38" t="n">
        <f aca="false">(Sens!$D$3171*Sens!$M$3052+(1-ext_sh)*Sens!$M$3095)*(1-Sens!$M$3053)</f>
        <v>19.4425326336348</v>
      </c>
      <c r="N3173" s="38" t="n">
        <f aca="false">Q!$N$30</f>
        <v>2.316</v>
      </c>
      <c r="O3173" s="38" t="n">
        <f aca="false">Q!$O$30</f>
        <v>2.591</v>
      </c>
    </row>
    <row r="3174" customFormat="false" ht="17.15" hidden="false" customHeight="false" outlineLevel="0" collapsed="false">
      <c r="A3174" s="0" t="s">
        <v>501</v>
      </c>
      <c r="B3174" s="0" t="s">
        <v>73</v>
      </c>
      <c r="C3174" s="38" t="n">
        <f aca="false">Sens!$C$3107</f>
        <v>13.32</v>
      </c>
      <c r="D3174" s="38" t="n">
        <f aca="false">Sens!$D$3107</f>
        <v>21.45</v>
      </c>
      <c r="E3174" s="38" t="n">
        <f aca="false">Sens!$E$3107</f>
        <v>15.353</v>
      </c>
      <c r="F3174" s="38" t="n">
        <f aca="false">Sens!$F$3107</f>
        <v>17.3614451462707</v>
      </c>
      <c r="G3174" s="38" t="n">
        <f aca="false">Sens!$G$3107</f>
        <v>32.7144451462707</v>
      </c>
      <c r="H3174" s="38" t="n">
        <f aca="false">Sens!$H$3107</f>
        <v>56.1966092719415</v>
      </c>
      <c r="I3174" s="38" t="n">
        <f aca="false">Sens!$I$3107</f>
        <v>82.9744039068297</v>
      </c>
      <c r="J3174" s="38" t="n">
        <f aca="false">Sens!$J$3107</f>
        <v>109.943252237669</v>
      </c>
      <c r="K3174" s="38" t="n">
        <f aca="false">Sens!$K$3107</f>
        <v>136.406703436571</v>
      </c>
      <c r="L3174" s="38" t="n">
        <f aca="false">Sens!$L$3107</f>
        <v>161.485870454155</v>
      </c>
      <c r="M3174" s="38" t="n">
        <f aca="false">Sens!$M$3107</f>
        <v>187.389846618199</v>
      </c>
      <c r="N3174" s="38" t="n">
        <f aca="false">Sens!$N$3107</f>
        <v>9.234</v>
      </c>
      <c r="O3174" s="38" t="n">
        <f aca="false">Sens!$O$3107</f>
        <v>12.216</v>
      </c>
    </row>
    <row r="3175" customFormat="false" ht="17.15" hidden="false" customHeight="false" outlineLevel="0" collapsed="false">
      <c r="A3175" s="5" t="s">
        <v>695</v>
      </c>
      <c r="B3175" s="0" t="s">
        <v>73</v>
      </c>
      <c r="C3175" s="38" t="n">
        <f aca="false">Sens!$C$3172+Sens!$C$3173+Sens!$C$3174</f>
        <v>32.067</v>
      </c>
      <c r="D3175" s="38" t="n">
        <f aca="false">Sens!$D$3172+Sens!$D$3173+Sens!$D$3174</f>
        <v>41.86</v>
      </c>
      <c r="E3175" s="38" t="n">
        <f aca="false">Sens!$E$3172+Sens!$E$3173+Sens!$E$3174</f>
        <v>26.703</v>
      </c>
      <c r="F3175" s="38" t="n">
        <f aca="false">Sens!$F$3172+Sens!$F$3173+Sens!$F$3174</f>
        <v>30.6103857251209</v>
      </c>
      <c r="G3175" s="38" t="n">
        <f aca="false">Sens!$G$3172+Sens!$G$3173+Sens!$G$3174</f>
        <v>57.3133857251209</v>
      </c>
      <c r="H3175" s="38" t="n">
        <f aca="false">Sens!$H$3172+Sens!$H$3173+Sens!$H$3174</f>
        <v>87.6845218193838</v>
      </c>
      <c r="I3175" s="38" t="n">
        <f aca="false">Sens!$I$3172+Sens!$I$3173+Sens!$I$3174</f>
        <v>122.294769708638</v>
      </c>
      <c r="J3175" s="38" t="n">
        <f aca="false">Sens!$J$3172+Sens!$J$3173+Sens!$J$3174</f>
        <v>157.133962573221</v>
      </c>
      <c r="K3175" s="38" t="n">
        <f aca="false">Sens!$K$3172+Sens!$K$3173+Sens!$K$3174</f>
        <v>191.350633353599</v>
      </c>
      <c r="L3175" s="38" t="n">
        <f aca="false">Sens!$L$3172+Sens!$L$3173+Sens!$L$3174</f>
        <v>223.909238335354</v>
      </c>
      <c r="M3175" s="38" t="n">
        <f aca="false">Sens!$M$3172+Sens!$M$3173+Sens!$M$3174</f>
        <v>257.576319867276</v>
      </c>
      <c r="N3175" s="38" t="n">
        <f aca="false">Sens!$N$3172+Sens!$N$3173+Sens!$N$3174</f>
        <v>18.822</v>
      </c>
      <c r="O3175" s="38" t="n">
        <f aca="false">Sens!$O$3172+Sens!$O$3173+Sens!$O$3174</f>
        <v>23.038</v>
      </c>
    </row>
    <row r="3176" customFormat="false" ht="17.15" hidden="false" customHeight="false" outlineLevel="0" collapsed="false">
      <c r="A3176" s="0" t="s">
        <v>696</v>
      </c>
      <c r="B3176" s="0" t="s">
        <v>73</v>
      </c>
      <c r="C3176" s="38" t="n">
        <f aca="false">Sens!$C$3149+Sens!$C$3154</f>
        <v>22.4856</v>
      </c>
      <c r="D3176" s="38" t="n">
        <f aca="false">Sens!$D$3149+Sens!$D$3154</f>
        <v>27.454</v>
      </c>
      <c r="E3176" s="38" t="n">
        <f aca="false">Sens!$E$3149+Sens!$E$3154</f>
        <v>14.8208</v>
      </c>
      <c r="F3176" s="38" t="n">
        <f aca="false">Sens!$F$3149+Sens!$F$3154</f>
        <v>19.2613352730953</v>
      </c>
      <c r="G3176" s="38" t="n">
        <f aca="false">Sens!$G$3149+Sens!$G$3154</f>
        <v>34.0821352730953</v>
      </c>
      <c r="H3176" s="38" t="n">
        <f aca="false">Sens!$H$3149+Sens!$H$3154</f>
        <v>40.9173447435761</v>
      </c>
      <c r="I3176" s="38" t="n">
        <f aca="false">Sens!$I$3149+Sens!$I$3154</f>
        <v>47.7519350340964</v>
      </c>
      <c r="J3176" s="38" t="n">
        <f aca="false">Sens!$J$3149+Sens!$J$3154</f>
        <v>54.1276316195377</v>
      </c>
      <c r="K3176" s="38" t="n">
        <f aca="false">Sens!$K$3149+Sens!$K$3154</f>
        <v>59.5403947814915</v>
      </c>
      <c r="L3176" s="38" t="n">
        <f aca="false">Sens!$L$3149+Sens!$L$3154</f>
        <v>65.4944342596406</v>
      </c>
      <c r="M3176" s="38" t="n">
        <f aca="false">Sens!$M$3149+Sens!$M$3154</f>
        <v>72.0438776856047</v>
      </c>
      <c r="N3176" s="38" t="n">
        <f aca="false">Sens!$N$3149+Sens!$N$3154</f>
        <v>11.846</v>
      </c>
      <c r="O3176" s="38" t="n">
        <f aca="false">Sens!$O$3149+Sens!$O$3154</f>
        <v>15.608</v>
      </c>
    </row>
    <row r="3177" customFormat="false" ht="17.15" hidden="false" customHeight="false" outlineLevel="0" collapsed="false">
      <c r="A3177" s="0" t="s">
        <v>697</v>
      </c>
      <c r="B3177" s="0" t="s">
        <v>73</v>
      </c>
      <c r="C3177" s="38" t="n">
        <f aca="false">Sens!$C$3153+Sens!$C$3158+Sens!$C$3172+Sens!$C$3173-Sens!$C$3176</f>
        <v>25.0204</v>
      </c>
      <c r="D3177" s="38" t="n">
        <f aca="false">Sens!$D$3153+Sens!$D$3158+Sens!$D$3172+Sens!$D$3173-Sens!$D$3176</f>
        <v>27.325</v>
      </c>
      <c r="E3177" s="38" t="n">
        <f aca="false">Sens!$E$3153+Sens!$E$3158+Sens!$E$3172+Sens!$E$3173-Sens!$E$3176</f>
        <v>17.0602</v>
      </c>
      <c r="F3177" s="38" t="n">
        <f aca="false">Sens!$F$3153+Sens!$F$3158+Sens!$F$3172+Sens!$F$3173-Sens!$F$3176</f>
        <v>17.7019110725129</v>
      </c>
      <c r="G3177" s="38" t="n">
        <f aca="false">Sens!$G$3153+Sens!$G$3158+Sens!$G$3172+Sens!$G$3173-Sens!$G$3176</f>
        <v>34.7621110725129</v>
      </c>
      <c r="H3177" s="38" t="n">
        <f aca="false">Sens!$H$3153+Sens!$H$3158+Sens!$H$3172+Sens!$H$3173-Sens!$H$3176</f>
        <v>37.9920316945012</v>
      </c>
      <c r="I3177" s="38" t="n">
        <f aca="false">Sens!$I$3153+Sens!$I$3158+Sens!$I$3172+Sens!$I$3173-Sens!$I$3176</f>
        <v>41.0434591932541</v>
      </c>
      <c r="J3177" s="38" t="n">
        <f aca="false">Sens!$J$3153+Sens!$J$3158+Sens!$J$3172+Sens!$J$3173-Sens!$J$3176</f>
        <v>44.0320003288326</v>
      </c>
      <c r="K3177" s="38" t="n">
        <f aca="false">Sens!$K$3153+Sens!$K$3158+Sens!$K$3172+Sens!$K$3173-Sens!$K$3176</f>
        <v>46.7974388411551</v>
      </c>
      <c r="L3177" s="38" t="n">
        <f aca="false">Sens!$L$3153+Sens!$L$3158+Sens!$L$3172+Sens!$L$3173-Sens!$L$3176</f>
        <v>48.2021457683067</v>
      </c>
      <c r="M3177" s="38" t="n">
        <f aca="false">Sens!$M$3153+Sens!$M$3158+Sens!$M$3172+Sens!$M$3173-Sens!$M$3176</f>
        <v>49.837089489544</v>
      </c>
      <c r="N3177" s="38" t="n">
        <f aca="false">Sens!$N$3153+Sens!$N$3158+Sens!$N$3172+Sens!$N$3173-Sens!$N$3176</f>
        <v>13.611</v>
      </c>
      <c r="O3177" s="38" t="n">
        <f aca="false">Sens!$O$3153+Sens!$O$3158+Sens!$O$3172+Sens!$O$3173-Sens!$O$3176</f>
        <v>13.714</v>
      </c>
    </row>
    <row r="3178" customFormat="false" ht="17.15" hidden="false" customHeight="false" outlineLevel="0" collapsed="false">
      <c r="A3178" s="0" t="s">
        <v>698</v>
      </c>
      <c r="B3178" s="0" t="s">
        <v>73</v>
      </c>
      <c r="C3178" s="38" t="n">
        <f aca="false">Sens!$C$3160+Sens!$C$3174-ext_sh*Sens!$C$3095</f>
        <v>51.3470500115664</v>
      </c>
      <c r="D3178" s="38" t="n">
        <f aca="false">Sens!$D$3160+Sens!$D$3174-ext_sh*Sens!$D$3095</f>
        <v>60.2799375433739</v>
      </c>
      <c r="E3178" s="38" t="n">
        <f aca="false">Sens!$E$3160+Sens!$E$3174-ext_sh*Sens!$E$3095</f>
        <v>39.5095167090767</v>
      </c>
      <c r="F3178" s="38" t="n">
        <f aca="false">Sens!$F$3160+Sens!$F$3174-ext_sh*Sens!$F$3095</f>
        <v>41.606724953129</v>
      </c>
      <c r="G3178" s="38" t="n">
        <f aca="false">Sens!$G$3160+Sens!$G$3174-ext_sh*Sens!$G$3095</f>
        <v>81.1162416622057</v>
      </c>
      <c r="H3178" s="38" t="n">
        <f aca="false">Sens!$H$3160+Sens!$H$3174-ext_sh*Sens!$H$3095</f>
        <v>95.7616595325849</v>
      </c>
      <c r="I3178" s="38" t="n">
        <f aca="false">Sens!$I$3160+Sens!$I$3174-ext_sh*Sens!$I$3095</f>
        <v>111.513312079935</v>
      </c>
      <c r="J3178" s="38" t="n">
        <f aca="false">Sens!$J$3160+Sens!$J$3174-ext_sh*Sens!$J$3095</f>
        <v>125.145150463955</v>
      </c>
      <c r="K3178" s="38" t="n">
        <f aca="false">Sens!$K$3160+Sens!$K$3174-ext_sh*Sens!$K$3095</f>
        <v>135.156762501071</v>
      </c>
      <c r="L3178" s="38" t="n">
        <f aca="false">Sens!$L$3160+Sens!$L$3174-ext_sh*Sens!$L$3095</f>
        <v>145.969303501157</v>
      </c>
      <c r="M3178" s="38" t="n">
        <f aca="false">Sens!$M$3160+Sens!$M$3174-ext_sh*Sens!$M$3095</f>
        <v>157.646847781249</v>
      </c>
      <c r="N3178" s="38" t="n">
        <f aca="false">Sens!$N$3160+Sens!$N$3174-ext_sh*Sens!$N$3095</f>
        <v>28.5693781401809</v>
      </c>
      <c r="O3178" s="38" t="n">
        <f aca="false">Sens!$O$3160+Sens!$O$3174-ext_sh*Sens!$O$3095</f>
        <v>31.7105594031931</v>
      </c>
    </row>
    <row r="3179" customFormat="false" ht="17.15" hidden="false" customHeight="false" outlineLevel="0" collapsed="false">
      <c r="A3179" s="0" t="s">
        <v>699</v>
      </c>
      <c r="B3179" s="0" t="s">
        <v>73</v>
      </c>
      <c r="C3179" s="38" t="n">
        <f aca="false">Sens!$C$3098</f>
        <v>1.80694998843362</v>
      </c>
      <c r="D3179" s="38" t="n">
        <f aca="false">Sens!$D$3098</f>
        <v>6.77606245662607</v>
      </c>
      <c r="E3179" s="38" t="n">
        <f aca="false">Sens!$E$3098</f>
        <v>6.62548329092326</v>
      </c>
      <c r="F3179" s="38" t="n">
        <f aca="false">Sens!$F$3098</f>
        <v>11.7200577158706</v>
      </c>
      <c r="G3179" s="38" t="n">
        <f aca="false">Sens!$G$3098</f>
        <v>18.3455410067939</v>
      </c>
      <c r="H3179" s="38" t="n">
        <f aca="false">Sens!$H$3098</f>
        <v>47.5171727060453</v>
      </c>
      <c r="I3179" s="38" t="n">
        <f aca="false">Sens!$I$3098</f>
        <v>80.5539692643667</v>
      </c>
      <c r="J3179" s="38" t="n">
        <f aca="false">Sens!$J$3098</f>
        <v>113.759316834883</v>
      </c>
      <c r="K3179" s="38" t="n">
        <f aca="false">Sens!$K$3098</f>
        <v>147.020848076132</v>
      </c>
      <c r="L3179" s="38" t="n">
        <f aca="false">Sens!$L$3098</f>
        <v>180.307917349531</v>
      </c>
      <c r="M3179" s="38" t="n">
        <f aca="false">Sens!$M$3098</f>
        <v>213.608737871012</v>
      </c>
      <c r="N3179" s="38" t="n">
        <f aca="false">Sens!$N$3098</f>
        <v>2.37162185981912</v>
      </c>
      <c r="O3179" s="38" t="n">
        <f aca="false">Sens!$O$3098</f>
        <v>4.40444059680694</v>
      </c>
    </row>
    <row r="3180" customFormat="false" ht="17.15" hidden="false" customHeight="false" outlineLevel="0" collapsed="false">
      <c r="A3180" s="0" t="s">
        <v>700</v>
      </c>
      <c r="B3180" s="0" t="s">
        <v>73</v>
      </c>
      <c r="C3180" s="38" t="n">
        <f aca="false">Sens!$C$3163+Sens!$C$3175</f>
        <v>100.66</v>
      </c>
      <c r="D3180" s="38" t="n">
        <f aca="false">Sens!$D$3163+Sens!$D$3175</f>
        <v>121.835</v>
      </c>
      <c r="E3180" s="38" t="n">
        <f aca="false">Sens!$E$3163+Sens!$E$3175</f>
        <v>78.016</v>
      </c>
      <c r="F3180" s="38" t="n">
        <f aca="false">Sens!$F$3163+Sens!$F$3175</f>
        <v>90.2900290146077</v>
      </c>
      <c r="G3180" s="38" t="n">
        <f aca="false">Sens!$G$3163+Sens!$G$3175</f>
        <v>168.306029014608</v>
      </c>
      <c r="H3180" s="38" t="n">
        <f aca="false">Sens!$H$3163+Sens!$H$3175</f>
        <v>222.188208676708</v>
      </c>
      <c r="I3180" s="38" t="n">
        <f aca="false">Sens!$I$3163+Sens!$I$3175</f>
        <v>280.862675571653</v>
      </c>
      <c r="J3180" s="38" t="n">
        <f aca="false">Sens!$J$3163+Sens!$J$3175</f>
        <v>337.064099247208</v>
      </c>
      <c r="K3180" s="38" t="n">
        <f aca="false">Sens!$K$3163+Sens!$K$3175</f>
        <v>388.51544419985</v>
      </c>
      <c r="L3180" s="38" t="n">
        <f aca="false">Sens!$L$3163+Sens!$L$3175</f>
        <v>439.973800878635</v>
      </c>
      <c r="M3180" s="38" t="n">
        <f aca="false">Sens!$M$3163+Sens!$M$3175</f>
        <v>493.13655282741</v>
      </c>
      <c r="N3180" s="38" t="n">
        <f aca="false">Sens!$N$3163+Sens!$N$3175</f>
        <v>56.398</v>
      </c>
      <c r="O3180" s="38" t="n">
        <f aca="false">Sens!$O$3163+Sens!$O$3175</f>
        <v>65.437</v>
      </c>
    </row>
    <row r="3181" customFormat="false" ht="17.15" hidden="false" customHeight="false" outlineLevel="0" collapsed="false">
      <c r="A3181" s="1" t="s">
        <v>701</v>
      </c>
    </row>
    <row r="3182" customFormat="false" ht="15" hidden="false" customHeight="false" outlineLevel="0" collapsed="false">
      <c r="A3182" s="5" t="s">
        <v>504</v>
      </c>
      <c r="B3182" s="0" t="s">
        <v>73</v>
      </c>
      <c r="C3182" s="38" t="n">
        <f aca="false">Q!$D$34</f>
        <v>2.406</v>
      </c>
      <c r="D3182" s="38" t="n">
        <f aca="false">Q!$E$34</f>
        <v>2.274</v>
      </c>
      <c r="E3182" s="38" t="n">
        <f aca="false">Q!$P$34</f>
        <v>2.114</v>
      </c>
      <c r="F3182" s="38" t="n">
        <f aca="false">Sens!$F$3218</f>
        <v>3.24888964316061</v>
      </c>
      <c r="G3182" s="38" t="n">
        <f aca="false">Sens!$E$3182+Sens!$F$3182</f>
        <v>5.36288964316061</v>
      </c>
      <c r="H3182" s="38" t="n">
        <f aca="false">Sens!$H$3218</f>
        <v>7.42354178632123</v>
      </c>
      <c r="I3182" s="38" t="n">
        <f aca="false">Sens!$I$3218</f>
        <v>7.58863635862829</v>
      </c>
      <c r="J3182" s="38" t="n">
        <f aca="false">Sens!$J$3218</f>
        <v>7.9538752190318</v>
      </c>
      <c r="K3182" s="38" t="n">
        <f aca="false">Sens!$K$3218</f>
        <v>7.9538752190318</v>
      </c>
      <c r="L3182" s="38" t="n">
        <f aca="false">Sens!$L$3218</f>
        <v>7.9538752190318</v>
      </c>
      <c r="M3182" s="38" t="n">
        <f aca="false">Sens!$M$3218</f>
        <v>7.9538752190318</v>
      </c>
      <c r="N3182" s="38" t="n">
        <f aca="false">Q!$N$34</f>
        <v>1.057</v>
      </c>
      <c r="O3182" s="38" t="n">
        <f aca="false">Q!$O$34</f>
        <v>1.217</v>
      </c>
    </row>
    <row r="3183" customFormat="false" ht="15" hidden="false" customHeight="false" outlineLevel="0" collapsed="false">
      <c r="A3183" s="5" t="s">
        <v>702</v>
      </c>
      <c r="B3183" s="0" t="s">
        <v>73</v>
      </c>
      <c r="F3183" s="38" t="n">
        <f aca="false">Sens!$F$3219</f>
        <v>2.59</v>
      </c>
      <c r="H3183" s="38" t="n">
        <f aca="false">Sens!$H$3219</f>
        <v>4.002652527872</v>
      </c>
      <c r="I3183" s="38" t="n">
        <f aca="false">Sens!$I$3219</f>
        <v>2.10589651022864</v>
      </c>
      <c r="J3183" s="38" t="n">
        <f aca="false">Sens!$J$3219</f>
        <v>2.10589651022864</v>
      </c>
      <c r="K3183" s="38" t="n">
        <f aca="false">Sens!$K$3219</f>
        <v>3.66881376449524</v>
      </c>
      <c r="L3183" s="38" t="n">
        <f aca="false">Sens!$L$3219</f>
        <v>6.98909285645528</v>
      </c>
      <c r="M3183" s="38" t="n">
        <f aca="false">Sens!$M$3219</f>
        <v>10.778650775511</v>
      </c>
    </row>
    <row r="3184" customFormat="false" ht="17.15" hidden="false" customHeight="false" outlineLevel="0" collapsed="false">
      <c r="A3184" s="5" t="s">
        <v>703</v>
      </c>
      <c r="B3184" s="0" t="s">
        <v>73</v>
      </c>
      <c r="C3184" s="38" t="n">
        <f aca="false">Q!$D$39</f>
        <v>2.427</v>
      </c>
      <c r="D3184" s="38" t="n">
        <f aca="false">Q!$E$39</f>
        <v>19.61</v>
      </c>
      <c r="E3184" s="38" t="n">
        <f aca="false">Q!$P$39</f>
        <v>71.492</v>
      </c>
      <c r="F3184" s="41" t="n">
        <v>0</v>
      </c>
      <c r="G3184" s="38" t="n">
        <f aca="false">Sens!$E$3184+Sens!$F$3184</f>
        <v>71.492</v>
      </c>
      <c r="H3184" s="41" t="n">
        <v>0</v>
      </c>
      <c r="I3184" s="41" t="n">
        <v>0</v>
      </c>
      <c r="J3184" s="41" t="n">
        <v>0</v>
      </c>
      <c r="K3184" s="41" t="n">
        <v>0</v>
      </c>
      <c r="L3184" s="41" t="n">
        <v>0</v>
      </c>
      <c r="M3184" s="41" t="n">
        <v>0</v>
      </c>
      <c r="N3184" s="38" t="n">
        <f aca="false">Q!$N$39</f>
        <v>6.017</v>
      </c>
      <c r="O3184" s="38" t="n">
        <f aca="false">Q!$O$39</f>
        <v>13.593</v>
      </c>
      <c r="P3184" s="5" t="s">
        <v>704</v>
      </c>
    </row>
    <row r="3185" customFormat="false" ht="15" hidden="false" customHeight="false" outlineLevel="0" collapsed="false">
      <c r="A3185" s="5" t="s">
        <v>507</v>
      </c>
      <c r="B3185" s="0" t="s">
        <v>73</v>
      </c>
      <c r="C3185" s="38" t="n">
        <f aca="false">Q!$D$36</f>
        <v>68.614</v>
      </c>
      <c r="D3185" s="38" t="n">
        <f aca="false">Q!$E$36</f>
        <v>97.311</v>
      </c>
      <c r="E3185" s="38" t="n">
        <f aca="false">Q!$P$36</f>
        <v>120.691</v>
      </c>
      <c r="F3185" s="38" t="n">
        <f aca="false">Sens!$F$3163-Sens!$F$3182+Sens!$F$3183+Sens!$F$3184</f>
        <v>59.0207536463262</v>
      </c>
      <c r="G3185" s="38" t="n">
        <f aca="false">Sens!$E$3185+Sens!$F$3185</f>
        <v>179.711753646326</v>
      </c>
      <c r="H3185" s="38" t="n">
        <f aca="false">Sens!$H$3163-Sens!$H$3182+Sens!$H$3183+Sens!$H$3184</f>
        <v>131.082797598875</v>
      </c>
      <c r="I3185" s="38" t="n">
        <f aca="false">Sens!$I$3163-Sens!$I$3182+Sens!$I$3183+Sens!$I$3184</f>
        <v>153.085166014615</v>
      </c>
      <c r="J3185" s="38" t="n">
        <f aca="false">Sens!$J$3163-Sens!$J$3182+Sens!$J$3183+Sens!$J$3184</f>
        <v>174.082157965184</v>
      </c>
      <c r="K3185" s="38" t="n">
        <f aca="false">Sens!$K$3163-Sens!$K$3182+Sens!$K$3183+Sens!$K$3184</f>
        <v>192.879749391714</v>
      </c>
      <c r="L3185" s="38" t="n">
        <f aca="false">Sens!$L$3163-Sens!$L$3182+Sens!$L$3183+Sens!$L$3184</f>
        <v>215.099780180704</v>
      </c>
      <c r="M3185" s="38" t="n">
        <f aca="false">Sens!$M$3163-Sens!$M$3182+Sens!$M$3183+Sens!$M$3184</f>
        <v>238.385008516613</v>
      </c>
      <c r="N3185" s="38" t="n">
        <f aca="false">Q!$N$36</f>
        <v>42.536</v>
      </c>
      <c r="O3185" s="38" t="n">
        <f aca="false">Q!$O$36</f>
        <v>54.775</v>
      </c>
    </row>
    <row r="3186" customFormat="false" ht="15" hidden="false" customHeight="false" outlineLevel="0" collapsed="false">
      <c r="A3186" s="5" t="s">
        <v>508</v>
      </c>
      <c r="B3186" s="0" t="s">
        <v>73</v>
      </c>
      <c r="C3186" s="38" t="n">
        <f aca="false">Q!$D$37</f>
        <v>9.265</v>
      </c>
      <c r="D3186" s="38" t="n">
        <f aca="false">Q!$E$37</f>
        <v>19.087</v>
      </c>
      <c r="E3186" s="38" t="n">
        <f aca="false">Q!$P$37</f>
        <v>27.759</v>
      </c>
      <c r="F3186" s="38" t="n">
        <f aca="false">Sens!$F$3185*tax</f>
        <v>10.2450895825137</v>
      </c>
      <c r="G3186" s="38" t="n">
        <f aca="false">Sens!$E$3186+Sens!$F$3186</f>
        <v>38.0040895825137</v>
      </c>
      <c r="H3186" s="38" t="n">
        <f aca="false">Sens!$H$3185*tax</f>
        <v>22.7539453693604</v>
      </c>
      <c r="I3186" s="38" t="n">
        <f aca="false">Sens!$I$3185*tax</f>
        <v>26.5732160753481</v>
      </c>
      <c r="J3186" s="38" t="n">
        <f aca="false">Sens!$J$3185*tax</f>
        <v>30.2179689835532</v>
      </c>
      <c r="K3186" s="38" t="n">
        <f aca="false">Sens!$K$3185*tax</f>
        <v>33.4809399929427</v>
      </c>
      <c r="L3186" s="38" t="n">
        <f aca="false">Sens!$L$3185*tax</f>
        <v>37.3379935189543</v>
      </c>
      <c r="M3186" s="38" t="n">
        <f aca="false">Sens!$M$3185*tax</f>
        <v>41.3799488569054</v>
      </c>
      <c r="N3186" s="38" t="n">
        <f aca="false">Q!$N$37</f>
        <v>7.231</v>
      </c>
      <c r="O3186" s="38" t="n">
        <f aca="false">Q!$O$37</f>
        <v>11.856</v>
      </c>
    </row>
    <row r="3187" customFormat="false" ht="15" hidden="false" customHeight="false" outlineLevel="0" collapsed="false">
      <c r="A3187" s="3" t="s">
        <v>509</v>
      </c>
      <c r="B3187" s="8" t="s">
        <v>73</v>
      </c>
      <c r="C3187" s="38" t="n">
        <f aca="false">Q!$D$38</f>
        <v>59.248</v>
      </c>
      <c r="D3187" s="38" t="n">
        <f aca="false">Q!$E$38</f>
        <v>77.67</v>
      </c>
      <c r="E3187" s="38" t="n">
        <f aca="false">Q!$P$38</f>
        <v>92.902</v>
      </c>
      <c r="F3187" s="38" t="n">
        <f aca="false">Sens!$F$3185-Sens!$F$3186</f>
        <v>48.7756640638125</v>
      </c>
      <c r="G3187" s="38" t="n">
        <f aca="false">Sens!$E$3187+Sens!$F$3187</f>
        <v>141.677664063812</v>
      </c>
      <c r="H3187" s="38" t="n">
        <f aca="false">Sens!$H$3185-Sens!$H$3186</f>
        <v>108.328852229514</v>
      </c>
      <c r="I3187" s="38" t="n">
        <f aca="false">Sens!$I$3185-Sens!$I$3186</f>
        <v>126.511949939267</v>
      </c>
      <c r="J3187" s="38" t="n">
        <f aca="false">Sens!$J$3185-Sens!$J$3186</f>
        <v>143.864188981631</v>
      </c>
      <c r="K3187" s="38" t="n">
        <f aca="false">Sens!$K$3185-Sens!$K$3186</f>
        <v>159.398809398771</v>
      </c>
      <c r="L3187" s="38" t="n">
        <f aca="false">Sens!$L$3185-Sens!$L$3186</f>
        <v>177.76178666175</v>
      </c>
      <c r="M3187" s="38" t="n">
        <f aca="false">Sens!$M$3185-Sens!$M$3186</f>
        <v>197.005059659707</v>
      </c>
      <c r="N3187" s="38" t="n">
        <f aca="false">Q!$N$38</f>
        <v>35.291</v>
      </c>
      <c r="O3187" s="38" t="n">
        <f aca="false">Q!$O$38</f>
        <v>42.379</v>
      </c>
    </row>
    <row r="3188" customFormat="false" ht="17.15" hidden="false" customHeight="false" outlineLevel="0" collapsed="false">
      <c r="A3188" s="5" t="s">
        <v>512</v>
      </c>
      <c r="B3188" s="5" t="s">
        <v>33</v>
      </c>
      <c r="C3188" s="22" t="n">
        <f aca="false">Q!$D$41</f>
        <v>10.721</v>
      </c>
      <c r="D3188" s="22" t="n">
        <f aca="false">Q!$E$41</f>
        <v>10.827</v>
      </c>
      <c r="E3188" s="22" t="n">
        <f aca="false">(Q!$L$41+Q!$M$41)/2</f>
        <v>10.8885</v>
      </c>
      <c r="F3188" s="22" t="n">
        <f aca="false">Sens!$G$3188</f>
        <v>10.924806</v>
      </c>
      <c r="G3188" s="22" t="n">
        <f aca="false">Q!$M$41*(1+sh_g*0.25)</f>
        <v>10.924806</v>
      </c>
      <c r="H3188" s="22" t="n">
        <f aca="false">Sens!$G$3188*(1+sh_g)</f>
        <v>11.012204448</v>
      </c>
      <c r="I3188" s="22" t="n">
        <f aca="false">Sens!$H$3188*(1+sh_g)</f>
        <v>11.100302083584</v>
      </c>
      <c r="J3188" s="22" t="n">
        <f aca="false">Sens!$I$3188*(1+sh_g)</f>
        <v>11.1891045002527</v>
      </c>
      <c r="K3188" s="22" t="n">
        <f aca="false">Sens!$J$3188*(1+sh_g)</f>
        <v>11.2786173362547</v>
      </c>
      <c r="L3188" s="22" t="n">
        <f aca="false">Sens!$K$3188*(1+sh_g)</f>
        <v>11.3688462749447</v>
      </c>
      <c r="M3188" s="22" t="n">
        <f aca="false">Sens!$L$3188*(1+sh_g)</f>
        <v>11.4597970451443</v>
      </c>
      <c r="P3188" s="5" t="s">
        <v>705</v>
      </c>
    </row>
    <row r="3189" customFormat="false" ht="17.15" hidden="false" customHeight="false" outlineLevel="0" collapsed="false">
      <c r="A3189" s="42" t="s">
        <v>706</v>
      </c>
      <c r="B3189" s="13" t="s">
        <v>27</v>
      </c>
      <c r="C3189" s="43" t="n">
        <f aca="false">Sens!$C$3187/Sens!$C$3188</f>
        <v>5.52635015390355</v>
      </c>
      <c r="D3189" s="43" t="n">
        <f aca="false">Sens!$D$3187/Sens!$D$3188</f>
        <v>7.1737323358271</v>
      </c>
      <c r="E3189" s="43" t="n">
        <f aca="false">Sens!$E$3187/Sens!$E$3188</f>
        <v>8.53212104513937</v>
      </c>
      <c r="F3189" s="13"/>
      <c r="G3189" s="43" t="n">
        <f aca="false">Sens!$G$3187/Sens!$G$3188</f>
        <v>12.9684375231755</v>
      </c>
      <c r="H3189" s="43" t="n">
        <f aca="false">Sens!$H$3187/Sens!$H$3188</f>
        <v>9.83716318935474</v>
      </c>
      <c r="I3189" s="43" t="n">
        <f aca="false">Sens!$I$3187/Sens!$I$3188</f>
        <v>11.3971627967101</v>
      </c>
      <c r="J3189" s="43" t="n">
        <f aca="false">Sens!$J$3187/Sens!$J$3188</f>
        <v>12.8575248339474</v>
      </c>
      <c r="K3189" s="43" t="n">
        <f aca="false">Sens!$K$3187/Sens!$K$3188</f>
        <v>14.1328324781788</v>
      </c>
      <c r="L3189" s="43" t="n">
        <f aca="false">Sens!$L$3187/Sens!$L$3188</f>
        <v>15.6358686152271</v>
      </c>
      <c r="M3189" s="43" t="n">
        <f aca="false">Sens!$M$3187/Sens!$M$3188</f>
        <v>17.1909728316857</v>
      </c>
      <c r="N3189" s="13"/>
      <c r="O3189" s="13"/>
    </row>
    <row r="3190" customFormat="false" ht="17.15" hidden="false" customHeight="false" outlineLevel="0" collapsed="false">
      <c r="A3190" s="0" t="s">
        <v>707</v>
      </c>
      <c r="B3190" s="0" t="s">
        <v>27</v>
      </c>
      <c r="C3190" s="30" t="n">
        <f aca="false">(Sens!$C$3187-Sens!$C$3184*(1-tax))/Sens!$C$3188</f>
        <v>5.33926775917445</v>
      </c>
      <c r="D3190" s="30" t="n">
        <f aca="false">(Sens!$D$3187-Sens!$D$3184*(1-tax))/Sens!$D$3188</f>
        <v>5.67691812755503</v>
      </c>
      <c r="E3190" s="30" t="n">
        <f aca="false">(Sens!$E$3187-Sens!$E$3184*(1-tax))/Sens!$E$3188</f>
        <v>3.10602057006846</v>
      </c>
      <c r="G3190" s="30" t="n">
        <f aca="false">(Sens!$G$3187-Sens!$G$3184*(1-tax))/Sens!$G$3188</f>
        <v>7.56036940527849</v>
      </c>
      <c r="H3190" s="30" t="n">
        <f aca="false">(Sens!$H$3187-Sens!$H$3184*(1-tax))/Sens!$H$3188</f>
        <v>9.83716318935474</v>
      </c>
      <c r="I3190" s="30" t="n">
        <f aca="false">(Sens!$I$3187-Sens!$I$3184*(1-tax))/Sens!$I$3188</f>
        <v>11.3971627967101</v>
      </c>
      <c r="J3190" s="30" t="n">
        <f aca="false">(Sens!$J$3187-Sens!$J$3184*(1-tax))/Sens!$J$3188</f>
        <v>12.8575248339474</v>
      </c>
      <c r="K3190" s="30" t="n">
        <f aca="false">(Sens!$K$3187-Sens!$K$3184*(1-tax))/Sens!$K$3188</f>
        <v>14.1328324781788</v>
      </c>
      <c r="L3190" s="30" t="n">
        <f aca="false">(Sens!$L$3187-Sens!$L$3184*(1-tax))/Sens!$L$3188</f>
        <v>15.6358686152271</v>
      </c>
      <c r="M3190" s="30" t="n">
        <f aca="false">(Sens!$M$3187-Sens!$M$3184*(1-tax))/Sens!$M$3188</f>
        <v>17.1909728316857</v>
      </c>
      <c r="P3190" s="5" t="s">
        <v>708</v>
      </c>
    </row>
    <row r="3191" customFormat="false" ht="17.15" hidden="false" customHeight="false" outlineLevel="0" collapsed="false">
      <c r="A3191" s="0" t="s">
        <v>709</v>
      </c>
      <c r="B3191" s="0" t="s">
        <v>52</v>
      </c>
      <c r="H3191" s="12" t="n">
        <f aca="false">Sens!$H$3189/Sens!$G$3189-1</f>
        <v>-0.241453477199927</v>
      </c>
      <c r="I3191" s="12" t="n">
        <f aca="false">Sens!$I$3189/Sens!$H$3189-1</f>
        <v>0.15858226374078</v>
      </c>
      <c r="J3191" s="12" t="n">
        <f aca="false">Sens!$J$3189/Sens!$I$3189-1</f>
        <v>0.128133822714092</v>
      </c>
      <c r="K3191" s="12" t="n">
        <f aca="false">Sens!$K$3189/Sens!$J$3189-1</f>
        <v>0.0991876477550528</v>
      </c>
      <c r="L3191" s="12" t="n">
        <f aca="false">Sens!$L$3189/Sens!$K$3189-1</f>
        <v>0.106350665329756</v>
      </c>
      <c r="M3191" s="12" t="n">
        <f aca="false">Sens!$M$3189/Sens!$L$3189-1</f>
        <v>0.099457488082505</v>
      </c>
    </row>
    <row r="3194" customFormat="false" ht="19.4" hidden="false" customHeight="false" outlineLevel="0" collapsed="false">
      <c r="A3194" s="31" t="s">
        <v>1113</v>
      </c>
    </row>
    <row r="3195" customFormat="false" ht="17.15" hidden="false" customHeight="false" outlineLevel="0" collapsed="false">
      <c r="A3195" s="6" t="s">
        <v>16</v>
      </c>
      <c r="B3195" s="6" t="s">
        <v>17</v>
      </c>
      <c r="C3195" s="20" t="s">
        <v>457</v>
      </c>
      <c r="D3195" s="20" t="s">
        <v>458</v>
      </c>
      <c r="E3195" s="20" t="s">
        <v>540</v>
      </c>
      <c r="F3195" s="20" t="s">
        <v>541</v>
      </c>
      <c r="G3195" s="20" t="s">
        <v>542</v>
      </c>
      <c r="H3195" s="20" t="s">
        <v>543</v>
      </c>
      <c r="I3195" s="20" t="s">
        <v>544</v>
      </c>
      <c r="J3195" s="20" t="s">
        <v>545</v>
      </c>
      <c r="K3195" s="20" t="s">
        <v>546</v>
      </c>
      <c r="L3195" s="20" t="s">
        <v>547</v>
      </c>
      <c r="M3195" s="20" t="s">
        <v>548</v>
      </c>
      <c r="N3195" s="20" t="s">
        <v>549</v>
      </c>
      <c r="O3195" s="20" t="s">
        <v>550</v>
      </c>
      <c r="P3195" s="6" t="s">
        <v>23</v>
      </c>
      <c r="R3195" s="20" t="n">
        <v>2023</v>
      </c>
      <c r="S3195" s="20" t="n">
        <v>2024</v>
      </c>
      <c r="T3195" s="20" t="n">
        <v>2025</v>
      </c>
      <c r="U3195" s="20" t="n">
        <v>2026</v>
      </c>
      <c r="V3195" s="20" t="n">
        <v>2027</v>
      </c>
      <c r="W3195" s="20" t="n">
        <v>2028</v>
      </c>
      <c r="X3195" s="20" t="n">
        <v>2029</v>
      </c>
      <c r="Y3195" s="20" t="n">
        <v>2030</v>
      </c>
      <c r="Z3195" s="20" t="n">
        <v>2031</v>
      </c>
      <c r="AA3195" s="20" t="n">
        <v>2032</v>
      </c>
    </row>
    <row r="3196" customFormat="false" ht="15" hidden="false" customHeight="false" outlineLevel="0" collapsed="false">
      <c r="A3196" s="5" t="s">
        <v>509</v>
      </c>
      <c r="B3196" s="0" t="s">
        <v>73</v>
      </c>
      <c r="C3196" s="38" t="n">
        <f aca="false">Sens!$C$3187</f>
        <v>59.248</v>
      </c>
      <c r="D3196" s="38" t="n">
        <f aca="false">Sens!$D$3187</f>
        <v>77.67</v>
      </c>
      <c r="E3196" s="38" t="n">
        <f aca="false">Sens!$E$3187</f>
        <v>92.902</v>
      </c>
      <c r="F3196" s="38" t="n">
        <f aca="false">Sens!$F$3187</f>
        <v>48.7756640638125</v>
      </c>
      <c r="G3196" s="38" t="n">
        <f aca="false">Sens!$G$3187</f>
        <v>141.677664063812</v>
      </c>
      <c r="H3196" s="38" t="n">
        <f aca="false">Sens!$H$3187</f>
        <v>108.328852229514</v>
      </c>
      <c r="I3196" s="38" t="n">
        <f aca="false">Sens!$I$3187</f>
        <v>126.511949939267</v>
      </c>
      <c r="J3196" s="38" t="n">
        <f aca="false">Sens!$J$3187</f>
        <v>143.864188981631</v>
      </c>
      <c r="K3196" s="38" t="n">
        <f aca="false">Sens!$K$3187</f>
        <v>159.398809398771</v>
      </c>
      <c r="L3196" s="38" t="n">
        <f aca="false">Sens!$L$3187</f>
        <v>177.76178666175</v>
      </c>
      <c r="M3196" s="38" t="n">
        <f aca="false">Sens!$M$3187</f>
        <v>197.005059659707</v>
      </c>
    </row>
    <row r="3197" customFormat="false" ht="17.15" hidden="false" customHeight="false" outlineLevel="0" collapsed="false">
      <c r="A3197" s="5" t="s">
        <v>731</v>
      </c>
      <c r="B3197" s="0" t="s">
        <v>73</v>
      </c>
      <c r="C3197" s="38" t="n">
        <f aca="false">Sens!$C$3175</f>
        <v>32.067</v>
      </c>
      <c r="D3197" s="38" t="n">
        <f aca="false">Sens!$D$3175</f>
        <v>41.86</v>
      </c>
      <c r="E3197" s="38" t="n">
        <f aca="false">Sens!$E$3175</f>
        <v>26.703</v>
      </c>
      <c r="F3197" s="38" t="n">
        <f aca="false">Sens!$F$3175</f>
        <v>30.6103857251209</v>
      </c>
      <c r="G3197" s="38" t="n">
        <f aca="false">Sens!$G$3175</f>
        <v>57.3133857251209</v>
      </c>
      <c r="H3197" s="38" t="n">
        <f aca="false">Sens!$H$3175</f>
        <v>87.6845218193838</v>
      </c>
      <c r="I3197" s="38" t="n">
        <f aca="false">Sens!$I$3175</f>
        <v>122.294769708638</v>
      </c>
      <c r="J3197" s="38" t="n">
        <f aca="false">Sens!$J$3175</f>
        <v>157.133962573221</v>
      </c>
      <c r="K3197" s="38" t="n">
        <f aca="false">Sens!$K$3175</f>
        <v>191.350633353599</v>
      </c>
      <c r="L3197" s="38" t="n">
        <f aca="false">Sens!$L$3175</f>
        <v>223.909238335354</v>
      </c>
      <c r="M3197" s="38" t="n">
        <f aca="false">Sens!$M$3175</f>
        <v>257.576319867276</v>
      </c>
    </row>
    <row r="3198" customFormat="false" ht="15" hidden="false" customHeight="false" outlineLevel="0" collapsed="false">
      <c r="A3198" s="5" t="s">
        <v>732</v>
      </c>
      <c r="B3198" s="0" t="s">
        <v>73</v>
      </c>
      <c r="C3198" s="38" t="n">
        <f aca="false">Q!$D$48</f>
        <v>22.011</v>
      </c>
      <c r="D3198" s="38" t="n">
        <f aca="false">Q!$E$48</f>
        <v>19.467</v>
      </c>
      <c r="E3198" s="38" t="n">
        <f aca="false">Q!$P$48</f>
        <v>10.07</v>
      </c>
      <c r="F3198" s="38" t="n">
        <f aca="false">sbc_r*Sens!$F$3119</f>
        <v>11.2170714500462</v>
      </c>
      <c r="G3198" s="38" t="n">
        <f aca="false">Sens!$E$3198+Sens!$F$3198</f>
        <v>21.2870714500462</v>
      </c>
      <c r="H3198" s="38" t="n">
        <f aca="false">sbc_r*Sens!$H$3119</f>
        <v>24.1772394325528</v>
      </c>
      <c r="I3198" s="38" t="n">
        <f aca="false">sbc_r*Sens!$I$3119</f>
        <v>27.6495284422397</v>
      </c>
      <c r="J3198" s="38" t="n">
        <f aca="false">sbc_r*Sens!$J$3119</f>
        <v>30.9042211184633</v>
      </c>
      <c r="K3198" s="38" t="n">
        <f aca="false">sbc_r*Sens!$K$3119</f>
        <v>33.8004145402678</v>
      </c>
      <c r="L3198" s="38" t="n">
        <f aca="false">sbc_r*Sens!$L$3119</f>
        <v>36.8322537652494</v>
      </c>
      <c r="M3198" s="38" t="n">
        <f aca="false">sbc_r*Sens!$M$3119</f>
        <v>40.0097627968013</v>
      </c>
    </row>
    <row r="3199" customFormat="false" ht="17.15" hidden="false" customHeight="false" outlineLevel="0" collapsed="false">
      <c r="A3199" s="5" t="s">
        <v>733</v>
      </c>
      <c r="B3199" s="0" t="s">
        <v>73</v>
      </c>
      <c r="C3199" s="38" t="n">
        <f aca="false">Q!$D$44-Sens!$C$3196-Sens!$C$3197-Sens!$C$3198</f>
        <v>2.551</v>
      </c>
      <c r="D3199" s="38" t="n">
        <f aca="false">Q!$E$44-Sens!$D$3196-Sens!$D$3197-Sens!$D$3198</f>
        <v>0.51700000000001</v>
      </c>
      <c r="E3199" s="38" t="n">
        <f aca="false">Q!$P$44-Sens!$E$3196-Sens!$E$3197-Sens!$E$3198</f>
        <v>-58.256</v>
      </c>
      <c r="F3199" s="38" t="n">
        <f aca="false">wc_2h26+oth_r*Sens!$F$3119</f>
        <v>7.34599241893378</v>
      </c>
      <c r="G3199" s="38" t="n">
        <f aca="false">Sens!$E$3199+Sens!$F$3199</f>
        <v>-50.9100075810662</v>
      </c>
      <c r="H3199" s="38" t="n">
        <f aca="false">oth_r*Sens!$H$3119</f>
        <v>11.6369707537667</v>
      </c>
      <c r="I3199" s="38" t="n">
        <f aca="false">oth_r*Sens!$I$3119</f>
        <v>13.3082502961262</v>
      </c>
      <c r="J3199" s="38" t="n">
        <f aca="false">oth_r*Sens!$J$3119</f>
        <v>14.8747965344332</v>
      </c>
      <c r="K3199" s="38" t="n">
        <f aca="false">oth_r*Sens!$K$3119</f>
        <v>16.2687901804328</v>
      </c>
      <c r="L3199" s="38" t="n">
        <f aca="false">oth_r*Sens!$L$3119</f>
        <v>17.7280727627002</v>
      </c>
      <c r="M3199" s="38" t="n">
        <f aca="false">oth_r*Sens!$M$3119</f>
        <v>19.2574690270319</v>
      </c>
      <c r="P3199" s="8" t="s">
        <v>734</v>
      </c>
    </row>
    <row r="3200" customFormat="false" ht="15" hidden="false" customHeight="false" outlineLevel="0" collapsed="false">
      <c r="A3200" s="3" t="s">
        <v>515</v>
      </c>
      <c r="B3200" s="8" t="s">
        <v>73</v>
      </c>
      <c r="C3200" s="38" t="n">
        <f aca="false">Q!$D$44</f>
        <v>115.877</v>
      </c>
      <c r="D3200" s="38" t="n">
        <f aca="false">Q!$E$44</f>
        <v>139.514</v>
      </c>
      <c r="E3200" s="38" t="n">
        <f aca="false">Q!$P$44</f>
        <v>71.419</v>
      </c>
      <c r="F3200" s="38" t="n">
        <f aca="false">Sens!$F$3196+Sens!$F$3197+Sens!$F$3198+Sens!$F$3199</f>
        <v>97.9491136579134</v>
      </c>
      <c r="G3200" s="38" t="n">
        <f aca="false">Sens!$E$3200+Sens!$F$3200</f>
        <v>169.368113657913</v>
      </c>
      <c r="H3200" s="38" t="n">
        <f aca="false">Sens!$H$3196+Sens!$H$3197+Sens!$H$3198+Sens!$H$3199</f>
        <v>231.827584235217</v>
      </c>
      <c r="I3200" s="38" t="n">
        <f aca="false">Sens!$I$3196+Sens!$I$3197+Sens!$I$3198+Sens!$I$3199</f>
        <v>289.764498386271</v>
      </c>
      <c r="J3200" s="38" t="n">
        <f aca="false">Sens!$J$3196+Sens!$J$3197+Sens!$J$3198+Sens!$J$3199</f>
        <v>346.777169207749</v>
      </c>
      <c r="K3200" s="38" t="n">
        <f aca="false">Sens!$K$3196+Sens!$K$3197+Sens!$K$3198+Sens!$K$3199</f>
        <v>400.818647473071</v>
      </c>
      <c r="L3200" s="38" t="n">
        <f aca="false">Sens!$L$3196+Sens!$L$3197+Sens!$L$3198+Sens!$L$3199</f>
        <v>456.231351525054</v>
      </c>
      <c r="M3200" s="38" t="n">
        <f aca="false">Sens!$M$3196+Sens!$M$3197+Sens!$M$3198+Sens!$M$3199</f>
        <v>513.848611350817</v>
      </c>
    </row>
    <row r="3201" customFormat="false" ht="17.15" hidden="false" customHeight="false" outlineLevel="0" collapsed="false">
      <c r="A3201" s="5" t="s">
        <v>735</v>
      </c>
      <c r="B3201" s="0" t="s">
        <v>73</v>
      </c>
      <c r="C3201" s="38" t="n">
        <f aca="false">Sens!$C$3088</f>
        <v>25.2781053077374</v>
      </c>
      <c r="D3201" s="38" t="n">
        <f aca="false">Sens!$D$3088</f>
        <v>69.5686316310026</v>
      </c>
      <c r="E3201" s="38" t="n">
        <f aca="false">Sens!$E$3088</f>
        <v>64.1899206485108</v>
      </c>
      <c r="F3201" s="38" t="n">
        <f aca="false">Sens!$F$3088</f>
        <v>96.2481299895</v>
      </c>
      <c r="G3201" s="38" t="n">
        <f aca="false">Sens!$G$3088</f>
        <v>160.438050638011</v>
      </c>
      <c r="H3201" s="38" t="n">
        <f aca="false">Sens!$H$3088</f>
        <v>198.57136494475</v>
      </c>
      <c r="I3201" s="38" t="n">
        <f aca="false">Sens!$I$3088</f>
        <v>204.6464699105</v>
      </c>
      <c r="J3201" s="38" t="n">
        <f aca="false">Sens!$J$3088</f>
        <v>209.8832381105</v>
      </c>
      <c r="K3201" s="38" t="n">
        <f aca="false">Sens!$K$3088</f>
        <v>215.1200063105</v>
      </c>
      <c r="L3201" s="38" t="n">
        <f aca="false">Sens!$L$3088</f>
        <v>251.7773837105</v>
      </c>
      <c r="M3201" s="38" t="n">
        <f aca="false">Sens!$M$3088</f>
        <v>311.87584476575</v>
      </c>
    </row>
    <row r="3202" customFormat="false" ht="17.15" hidden="false" customHeight="false" outlineLevel="0" collapsed="false">
      <c r="A3202" s="5" t="s">
        <v>736</v>
      </c>
      <c r="B3202" s="0" t="s">
        <v>73</v>
      </c>
      <c r="C3202" s="38" t="n">
        <f aca="false">cx_awso*Sens!$C$3117</f>
        <v>21.0469989286053</v>
      </c>
      <c r="D3202" s="38" t="n">
        <f aca="false">cx_awso*Sens!$D$3117</f>
        <v>24.0042459822698</v>
      </c>
      <c r="E3202" s="38" t="n">
        <f aca="false">cx_awso*Sens!$E$3117</f>
        <v>14.261729404886</v>
      </c>
      <c r="F3202" s="38" t="n">
        <f aca="false">cx_awso*Sens!$F$3117</f>
        <v>15.7190020837331</v>
      </c>
      <c r="G3202" s="38" t="n">
        <f aca="false">Sens!$E$3202+Sens!$F$3202</f>
        <v>29.9807314886191</v>
      </c>
      <c r="H3202" s="38" t="n">
        <f aca="false">cx_awso*Sens!$H$3117</f>
        <v>36.1787121536283</v>
      </c>
      <c r="I3202" s="38" t="n">
        <f aca="false">cx_awso*Sens!$I$3117</f>
        <v>42.1296794430021</v>
      </c>
      <c r="J3202" s="38" t="n">
        <f aca="false">cx_awso*Sens!$J$3117</f>
        <v>47.279781889299</v>
      </c>
      <c r="K3202" s="38" t="n">
        <f aca="false">cx_awso*Sens!$K$3117</f>
        <v>51.0621644404429</v>
      </c>
      <c r="L3202" s="38" t="n">
        <f aca="false">cx_awso*Sens!$L$3117</f>
        <v>55.1471375956783</v>
      </c>
      <c r="M3202" s="38" t="n">
        <f aca="false">cx_awso*Sens!$M$3117</f>
        <v>59.5589086033326</v>
      </c>
    </row>
    <row r="3203" customFormat="false" ht="17.15" hidden="false" customHeight="false" outlineLevel="0" collapsed="false">
      <c r="A3203" s="5" t="s">
        <v>737</v>
      </c>
      <c r="B3203" s="0" t="s">
        <v>73</v>
      </c>
      <c r="C3203" s="38" t="n">
        <f aca="false">Q!$D$46-Sens!$C$3201-Sens!$C$3202</f>
        <v>31.3328957636573</v>
      </c>
      <c r="D3203" s="38" t="n">
        <f aca="false">Q!$E$46-Sens!$D$3201-Sens!$D$3202</f>
        <v>34.7471223867276</v>
      </c>
      <c r="E3203" s="38" t="n">
        <f aca="false">Q!$P$46-Sens!$E$3201-Sens!$E$3202</f>
        <v>17.8583499466032</v>
      </c>
      <c r="F3203" s="38" t="n">
        <f aca="false">cx_rt*Sens!$F$3052</f>
        <v>21.0855744229195</v>
      </c>
      <c r="G3203" s="38" t="n">
        <f aca="false">Sens!$E$3203+Sens!$F$3203</f>
        <v>38.9439243695228</v>
      </c>
      <c r="H3203" s="38" t="n">
        <f aca="false">cx_rt*Sens!$H$3052</f>
        <v>43.1200434029767</v>
      </c>
      <c r="I3203" s="38" t="n">
        <f aca="false">cx_rt*Sens!$I$3052</f>
        <v>47.1583152318763</v>
      </c>
      <c r="J3203" s="38" t="n">
        <f aca="false">cx_rt*Sens!$J$3052</f>
        <v>50.9060281137911</v>
      </c>
      <c r="K3203" s="38" t="n">
        <f aca="false">cx_rt*Sens!$K$3052</f>
        <v>54.2035645673053</v>
      </c>
      <c r="L3203" s="38" t="n">
        <f aca="false">cx_rt*Sens!$L$3052</f>
        <v>57.7318979121519</v>
      </c>
      <c r="M3203" s="38" t="n">
        <f aca="false">cx_rt*Sens!$M$3052</f>
        <v>61.5084196557756</v>
      </c>
    </row>
    <row r="3204" customFormat="false" ht="15" hidden="false" customHeight="false" outlineLevel="0" collapsed="false">
      <c r="A3204" s="3" t="s">
        <v>738</v>
      </c>
      <c r="B3204" s="8" t="s">
        <v>73</v>
      </c>
      <c r="C3204" s="38" t="n">
        <f aca="false">Q!$D$46</f>
        <v>77.658</v>
      </c>
      <c r="D3204" s="38" t="n">
        <f aca="false">Q!$E$46</f>
        <v>128.32</v>
      </c>
      <c r="E3204" s="38" t="n">
        <f aca="false">Q!$P$46</f>
        <v>96.31</v>
      </c>
      <c r="F3204" s="38" t="n">
        <f aca="false">Sens!$F$3201+Sens!$F$3202+Sens!$F$3203</f>
        <v>133.052706496153</v>
      </c>
      <c r="G3204" s="38" t="n">
        <f aca="false">Sens!$E$3204+Sens!$F$3204</f>
        <v>229.362706496153</v>
      </c>
      <c r="H3204" s="38" t="n">
        <f aca="false">Sens!$H$3201+Sens!$H$3202+Sens!$H$3203</f>
        <v>277.870120501355</v>
      </c>
      <c r="I3204" s="38" t="n">
        <f aca="false">Sens!$I$3201+Sens!$I$3202+Sens!$I$3203</f>
        <v>293.934464585378</v>
      </c>
      <c r="J3204" s="38" t="n">
        <f aca="false">Sens!$J$3201+Sens!$J$3202+Sens!$J$3203</f>
        <v>308.06904811359</v>
      </c>
      <c r="K3204" s="38" t="n">
        <f aca="false">Sens!$K$3201+Sens!$K$3202+Sens!$K$3203</f>
        <v>320.385735318248</v>
      </c>
      <c r="L3204" s="38" t="n">
        <f aca="false">Sens!$L$3201+Sens!$L$3202+Sens!$L$3203</f>
        <v>364.65641921833</v>
      </c>
      <c r="M3204" s="38" t="n">
        <f aca="false">Sens!$M$3201+Sens!$M$3202+Sens!$M$3203</f>
        <v>432.943173024858</v>
      </c>
    </row>
    <row r="3205" customFormat="false" ht="17.15" hidden="false" customHeight="false" outlineLevel="0" collapsed="false">
      <c r="A3205" s="5" t="s">
        <v>523</v>
      </c>
      <c r="B3205" s="0" t="s">
        <v>73</v>
      </c>
      <c r="C3205" s="38" t="n">
        <f aca="false">Q!$D$50</f>
        <v>2.043</v>
      </c>
      <c r="D3205" s="38" t="n">
        <f aca="false">Q!$E$50</f>
        <v>1.557</v>
      </c>
      <c r="E3205" s="38" t="n">
        <f aca="false">lease_pr/2</f>
        <v>0.8</v>
      </c>
      <c r="F3205" s="38" t="n">
        <f aca="false">lease_pr/2</f>
        <v>0.8</v>
      </c>
      <c r="G3205" s="38" t="n">
        <f aca="false">Sens!$E$3205+Sens!$F$3205</f>
        <v>1.6</v>
      </c>
      <c r="H3205" s="38" t="n">
        <f aca="false">lease_pr</f>
        <v>1.6</v>
      </c>
      <c r="I3205" s="38" t="n">
        <f aca="false">lease_pr</f>
        <v>1.6</v>
      </c>
      <c r="J3205" s="38" t="n">
        <f aca="false">lease_pr</f>
        <v>1.6</v>
      </c>
      <c r="K3205" s="38" t="n">
        <f aca="false">lease_pr</f>
        <v>1.6</v>
      </c>
      <c r="L3205" s="38" t="n">
        <f aca="false">lease_pr</f>
        <v>1.6</v>
      </c>
      <c r="M3205" s="38" t="n">
        <f aca="false">lease_pr</f>
        <v>1.6</v>
      </c>
      <c r="P3205" s="8" t="s">
        <v>739</v>
      </c>
    </row>
    <row r="3206" customFormat="false" ht="15" hidden="false" customHeight="false" outlineLevel="0" collapsed="false">
      <c r="A3206" s="46" t="s">
        <v>740</v>
      </c>
      <c r="B3206" s="13" t="s">
        <v>73</v>
      </c>
      <c r="C3206" s="47" t="n">
        <f aca="false">Sens!$C$3200-Sens!$C$3204-Sens!$C$3205</f>
        <v>36.176</v>
      </c>
      <c r="D3206" s="47" t="n">
        <f aca="false">Sens!$D$3200-Sens!$D$3204-Sens!$D$3205</f>
        <v>9.63700000000002</v>
      </c>
      <c r="E3206" s="47" t="n">
        <f aca="false">Sens!$E$3200-Sens!$E$3204-Sens!$E$3205</f>
        <v>-25.691</v>
      </c>
      <c r="F3206" s="47" t="n">
        <f aca="false">Sens!$F$3200-Sens!$F$3204-Sens!$F$3205</f>
        <v>-35.9035928382392</v>
      </c>
      <c r="G3206" s="47" t="n">
        <f aca="false">Sens!$G$3200-Sens!$G$3204-Sens!$G$3205</f>
        <v>-61.5945928382392</v>
      </c>
      <c r="H3206" s="47" t="n">
        <f aca="false">Sens!$H$3200-Sens!$H$3204-Sens!$H$3205</f>
        <v>-47.6425362661377</v>
      </c>
      <c r="I3206" s="47" t="n">
        <f aca="false">Sens!$I$3200-Sens!$I$3204-Sens!$I$3205</f>
        <v>-5.76996619910771</v>
      </c>
      <c r="J3206" s="47" t="n">
        <f aca="false">Sens!$J$3200-Sens!$J$3204-Sens!$J$3205</f>
        <v>37.1081210941585</v>
      </c>
      <c r="K3206" s="47" t="n">
        <f aca="false">Sens!$K$3200-Sens!$K$3204-Sens!$K$3205</f>
        <v>78.8329121548227</v>
      </c>
      <c r="L3206" s="47" t="n">
        <f aca="false">Sens!$L$3200-Sens!$L$3204-Sens!$L$3205</f>
        <v>89.9749323067238</v>
      </c>
      <c r="M3206" s="47" t="n">
        <f aca="false">Sens!$M$3200-Sens!$M$3204-Sens!$M$3205</f>
        <v>79.3054383259585</v>
      </c>
      <c r="N3206" s="13"/>
      <c r="O3206" s="13"/>
    </row>
    <row r="3207" customFormat="false" ht="17.15" hidden="false" customHeight="false" outlineLevel="0" collapsed="false">
      <c r="A3207" s="5" t="s">
        <v>741</v>
      </c>
      <c r="B3207" s="0" t="s">
        <v>73</v>
      </c>
      <c r="C3207" s="38" t="n">
        <f aca="false">dps*Sens!$C$3188</f>
        <v>0</v>
      </c>
      <c r="D3207" s="38" t="n">
        <f aca="false">dps*Sens!$D$3188</f>
        <v>0</v>
      </c>
      <c r="E3207" s="38" t="n">
        <f aca="false">dps*Sens!$E$3188</f>
        <v>0</v>
      </c>
      <c r="F3207" s="38" t="n">
        <f aca="false">0</f>
        <v>0</v>
      </c>
      <c r="G3207" s="38" t="n">
        <f aca="false">dps*Sens!$G$3188</f>
        <v>0</v>
      </c>
      <c r="H3207" s="38" t="n">
        <f aca="false">dps*Sens!$H$3188</f>
        <v>0</v>
      </c>
      <c r="I3207" s="38" t="n">
        <f aca="false">dps*Sens!$I$3188</f>
        <v>0</v>
      </c>
      <c r="J3207" s="38" t="n">
        <f aca="false">dps*Sens!$J$3188</f>
        <v>0</v>
      </c>
      <c r="K3207" s="38" t="n">
        <f aca="false">dps*Sens!$K$3188</f>
        <v>0</v>
      </c>
      <c r="L3207" s="38" t="n">
        <f aca="false">dps*Sens!$L$3188</f>
        <v>0</v>
      </c>
      <c r="M3207" s="38" t="n">
        <f aca="false">dps*Sens!$M$3188</f>
        <v>0</v>
      </c>
      <c r="P3207" s="8" t="s">
        <v>742</v>
      </c>
    </row>
    <row r="3208" customFormat="false" ht="17.15" hidden="false" customHeight="false" outlineLevel="0" collapsed="false">
      <c r="A3208" s="5" t="s">
        <v>743</v>
      </c>
      <c r="B3208" s="0" t="s">
        <v>73</v>
      </c>
      <c r="C3208" s="38" t="n">
        <f aca="false">0</f>
        <v>0</v>
      </c>
      <c r="D3208" s="38" t="n">
        <f aca="false">0</f>
        <v>0</v>
      </c>
      <c r="E3208" s="38" t="n">
        <f aca="false">0</f>
        <v>0</v>
      </c>
      <c r="F3208" s="38" t="n">
        <f aca="false">0</f>
        <v>0</v>
      </c>
      <c r="G3208" s="38" t="n">
        <f aca="false">0</f>
        <v>0</v>
      </c>
      <c r="H3208" s="38" t="n">
        <f aca="false">0</f>
        <v>0</v>
      </c>
      <c r="I3208" s="38" t="n">
        <f aca="false">0</f>
        <v>0</v>
      </c>
      <c r="J3208" s="38" t="n">
        <f aca="false">0</f>
        <v>0</v>
      </c>
      <c r="K3208" s="38" t="n">
        <f aca="false">0</f>
        <v>0</v>
      </c>
      <c r="L3208" s="38" t="n">
        <f aca="false">0</f>
        <v>0</v>
      </c>
      <c r="M3208" s="38" t="n">
        <f aca="false">0</f>
        <v>0</v>
      </c>
      <c r="P3208" s="8" t="s">
        <v>744</v>
      </c>
    </row>
    <row r="3209" customFormat="false" ht="15" hidden="false" customHeight="false" outlineLevel="0" collapsed="false">
      <c r="A3209" s="3" t="s">
        <v>745</v>
      </c>
      <c r="B3209" s="8" t="s">
        <v>73</v>
      </c>
      <c r="C3209" s="38" t="n">
        <f aca="false">Sens!$C$3206-Sens!$C$3207</f>
        <v>36.176</v>
      </c>
      <c r="D3209" s="38" t="n">
        <f aca="false">Sens!$D$3206-Sens!$D$3207</f>
        <v>9.63700000000002</v>
      </c>
      <c r="E3209" s="38" t="n">
        <f aca="false">Sens!$E$3206-Sens!$E$3207</f>
        <v>-25.691</v>
      </c>
      <c r="F3209" s="38" t="n">
        <f aca="false">Sens!$F$3206-Sens!$F$3207</f>
        <v>-35.9035928382392</v>
      </c>
      <c r="G3209" s="38" t="n">
        <f aca="false">Sens!$G$3206-Sens!$G$3207</f>
        <v>-61.5945928382392</v>
      </c>
      <c r="H3209" s="38" t="n">
        <f aca="false">Sens!$H$3206-Sens!$H$3207</f>
        <v>-47.6425362661377</v>
      </c>
      <c r="I3209" s="38" t="n">
        <f aca="false">Sens!$I$3206-Sens!$I$3207</f>
        <v>-5.76996619910771</v>
      </c>
      <c r="J3209" s="38" t="n">
        <f aca="false">Sens!$J$3206-Sens!$J$3207</f>
        <v>37.1081210941585</v>
      </c>
      <c r="K3209" s="38" t="n">
        <f aca="false">Sens!$K$3206-Sens!$K$3207</f>
        <v>78.8329121548227</v>
      </c>
      <c r="L3209" s="38" t="n">
        <f aca="false">Sens!$L$3206-Sens!$L$3207</f>
        <v>89.9749323067238</v>
      </c>
      <c r="M3209" s="38" t="n">
        <f aca="false">Sens!$M$3206-Sens!$M$3207</f>
        <v>79.3054383259585</v>
      </c>
    </row>
    <row r="3210" customFormat="false" ht="17.15" hidden="false" customHeight="false" outlineLevel="0" collapsed="false">
      <c r="A3210" s="5" t="s">
        <v>746</v>
      </c>
      <c r="B3210" s="0" t="s">
        <v>73</v>
      </c>
      <c r="E3210" s="38" t="n">
        <f aca="false">Q!$P$53</f>
        <v>39.767</v>
      </c>
      <c r="F3210" s="38" t="n">
        <f aca="false">inv_2h26</f>
        <v>21.3</v>
      </c>
      <c r="G3210" s="38" t="n">
        <f aca="false">Sens!$E$3210+Sens!$F$3210</f>
        <v>61.067</v>
      </c>
      <c r="H3210" s="41" t="n">
        <v>0</v>
      </c>
      <c r="I3210" s="41" t="n">
        <v>0</v>
      </c>
      <c r="J3210" s="41" t="n">
        <v>0</v>
      </c>
      <c r="K3210" s="41" t="n">
        <v>0</v>
      </c>
      <c r="L3210" s="41" t="n">
        <v>0</v>
      </c>
      <c r="M3210" s="41" t="n">
        <v>0</v>
      </c>
    </row>
    <row r="3211" customFormat="false" ht="17.15" hidden="false" customHeight="false" outlineLevel="0" collapsed="false">
      <c r="A3211" s="5" t="s">
        <v>747</v>
      </c>
      <c r="B3211" s="0" t="s">
        <v>73</v>
      </c>
      <c r="F3211" s="38" t="n">
        <f aca="false">iss_2h26</f>
        <v>29.25</v>
      </c>
      <c r="G3211" s="38" t="n">
        <f aca="false">Sens!$F$3211</f>
        <v>29.25</v>
      </c>
      <c r="H3211" s="41" t="n">
        <v>0</v>
      </c>
      <c r="I3211" s="41" t="n">
        <v>0</v>
      </c>
      <c r="J3211" s="41" t="n">
        <v>0</v>
      </c>
      <c r="K3211" s="41" t="n">
        <v>0</v>
      </c>
      <c r="L3211" s="41" t="n">
        <v>0</v>
      </c>
      <c r="M3211" s="41" t="n">
        <v>0</v>
      </c>
    </row>
    <row r="3212" customFormat="false" ht="17.15" hidden="false" customHeight="false" outlineLevel="0" collapsed="false">
      <c r="A3212" s="5" t="s">
        <v>748</v>
      </c>
      <c r="B3212" s="0" t="s">
        <v>73</v>
      </c>
      <c r="F3212" s="38" t="n">
        <f aca="false">cash_q2</f>
        <v>122.988</v>
      </c>
      <c r="G3212" s="38" t="n">
        <f aca="false">cash_q2</f>
        <v>122.988</v>
      </c>
      <c r="H3212" s="38" t="n">
        <f aca="false">Sens!$G$3215</f>
        <v>95.0344071617608</v>
      </c>
      <c r="I3212" s="38" t="n">
        <f aca="false">Sens!$H$3215</f>
        <v>50</v>
      </c>
      <c r="J3212" s="38" t="n">
        <f aca="false">Sens!$I$3215</f>
        <v>50</v>
      </c>
      <c r="K3212" s="38" t="n">
        <f aca="false">Sens!$J$3215</f>
        <v>87.1081210941585</v>
      </c>
      <c r="L3212" s="38" t="n">
        <f aca="false">Sens!$K$3215</f>
        <v>165.941033248981</v>
      </c>
      <c r="M3212" s="38" t="n">
        <f aca="false">Sens!$L$3215</f>
        <v>255.915965555705</v>
      </c>
    </row>
    <row r="3213" customFormat="false" ht="15" hidden="false" customHeight="false" outlineLevel="0" collapsed="false">
      <c r="A3213" s="5" t="s">
        <v>749</v>
      </c>
      <c r="B3213" s="0" t="s">
        <v>73</v>
      </c>
      <c r="F3213" s="38" t="n">
        <f aca="false">Sens!$F$3212+Sens!$F$3209-Sens!$F$3208-Sens!$F$3210+Sens!$F$3211</f>
        <v>95.0344071617608</v>
      </c>
      <c r="H3213" s="38" t="n">
        <f aca="false">Sens!$H$3212+Sens!$H$3209-Sens!$H$3208-Sens!$H$3210+Sens!$H$3211</f>
        <v>47.3918708956231</v>
      </c>
      <c r="I3213" s="38" t="n">
        <f aca="false">Sens!$I$3212+Sens!$I$3209-Sens!$I$3208-Sens!$I$3210+Sens!$I$3211</f>
        <v>44.2300338008923</v>
      </c>
      <c r="J3213" s="38" t="n">
        <f aca="false">Sens!$J$3212+Sens!$J$3209-Sens!$J$3208-Sens!$J$3210+Sens!$J$3211</f>
        <v>87.1081210941585</v>
      </c>
      <c r="K3213" s="38" t="n">
        <f aca="false">Sens!$K$3212+Sens!$K$3209-Sens!$K$3208-Sens!$K$3210+Sens!$K$3211</f>
        <v>165.941033248981</v>
      </c>
      <c r="L3213" s="38" t="n">
        <f aca="false">Sens!$L$3212+Sens!$L$3209-Sens!$L$3208-Sens!$L$3210+Sens!$L$3211</f>
        <v>255.915965555705</v>
      </c>
      <c r="M3213" s="38" t="n">
        <f aca="false">Sens!$M$3212+Sens!$M$3209-Sens!$M$3208-Sens!$M$3210+Sens!$M$3211</f>
        <v>335.221403881664</v>
      </c>
    </row>
    <row r="3214" customFormat="false" ht="17.15" hidden="false" customHeight="false" outlineLevel="0" collapsed="false">
      <c r="A3214" s="5" t="s">
        <v>750</v>
      </c>
      <c r="B3214" s="0" t="s">
        <v>73</v>
      </c>
      <c r="F3214" s="38" t="n">
        <f aca="false">MAX(0,min_cash-Sens!$F$3213)</f>
        <v>0</v>
      </c>
      <c r="G3214" s="38" t="n">
        <f aca="false">Sens!$F$3214</f>
        <v>0</v>
      </c>
      <c r="H3214" s="38" t="n">
        <f aca="false">MAX(0,min_cash-Sens!$H$3213)</f>
        <v>2.60812910437689</v>
      </c>
      <c r="I3214" s="38" t="n">
        <f aca="false">MAX(0,min_cash-Sens!$I$3213)</f>
        <v>5.76996619910771</v>
      </c>
      <c r="J3214" s="38" t="n">
        <f aca="false">MAX(0,min_cash-Sens!$J$3213)</f>
        <v>0</v>
      </c>
      <c r="K3214" s="38" t="n">
        <f aca="false">MAX(0,min_cash-Sens!$K$3213)</f>
        <v>0</v>
      </c>
      <c r="L3214" s="38" t="n">
        <f aca="false">MAX(0,min_cash-Sens!$L$3213)</f>
        <v>0</v>
      </c>
      <c r="M3214" s="38" t="n">
        <f aca="false">MAX(0,min_cash-Sens!$M$3213)</f>
        <v>0</v>
      </c>
      <c r="P3214" s="5" t="s">
        <v>751</v>
      </c>
    </row>
    <row r="3215" customFormat="false" ht="15" hidden="false" customHeight="false" outlineLevel="0" collapsed="false">
      <c r="A3215" s="5" t="s">
        <v>752</v>
      </c>
      <c r="B3215" s="0" t="s">
        <v>73</v>
      </c>
      <c r="D3215" s="38" t="n">
        <f aca="false">Q!$E$61</f>
        <v>123.029</v>
      </c>
      <c r="E3215" s="38" t="n">
        <f aca="false">Q!$M$61</f>
        <v>122.988</v>
      </c>
      <c r="F3215" s="38" t="n">
        <f aca="false">Sens!$F$3213+Sens!$F$3214</f>
        <v>95.0344071617608</v>
      </c>
      <c r="G3215" s="38" t="n">
        <f aca="false">Sens!$F$3215</f>
        <v>95.0344071617608</v>
      </c>
      <c r="H3215" s="38" t="n">
        <f aca="false">Sens!$H$3213+Sens!$H$3214</f>
        <v>50</v>
      </c>
      <c r="I3215" s="38" t="n">
        <f aca="false">Sens!$I$3213+Sens!$I$3214</f>
        <v>50</v>
      </c>
      <c r="J3215" s="38" t="n">
        <f aca="false">Sens!$J$3213+Sens!$J$3214</f>
        <v>87.1081210941585</v>
      </c>
      <c r="K3215" s="38" t="n">
        <f aca="false">Sens!$K$3213+Sens!$K$3214</f>
        <v>165.941033248981</v>
      </c>
      <c r="L3215" s="38" t="n">
        <f aca="false">Sens!$L$3213+Sens!$L$3214</f>
        <v>255.915965555705</v>
      </c>
      <c r="M3215" s="38" t="n">
        <f aca="false">Sens!$M$3213+Sens!$M$3214</f>
        <v>335.221403881664</v>
      </c>
    </row>
    <row r="3216" customFormat="false" ht="15" hidden="false" customHeight="false" outlineLevel="0" collapsed="false">
      <c r="A3216" s="5" t="s">
        <v>753</v>
      </c>
      <c r="B3216" s="0" t="s">
        <v>73</v>
      </c>
      <c r="D3216" s="38" t="n">
        <f aca="false">Q!$E$62</f>
        <v>68.836</v>
      </c>
      <c r="E3216" s="38" t="n">
        <f aca="false">Q!$M$62</f>
        <v>132.995</v>
      </c>
      <c r="F3216" s="38" t="n">
        <f aca="false">debt_q2+Sens!$F$3211+Sens!$F$3214</f>
        <v>162.245</v>
      </c>
      <c r="G3216" s="38" t="n">
        <f aca="false">Sens!$F$3216</f>
        <v>162.245</v>
      </c>
      <c r="H3216" s="38" t="n">
        <f aca="false">Sens!$G$3216+Sens!$H$3214</f>
        <v>164.853129104377</v>
      </c>
      <c r="I3216" s="38" t="n">
        <f aca="false">Sens!$H$3216+Sens!$I$3214</f>
        <v>170.623095303485</v>
      </c>
      <c r="J3216" s="38" t="n">
        <f aca="false">Sens!$I$3216+Sens!$J$3214</f>
        <v>170.623095303485</v>
      </c>
      <c r="K3216" s="38" t="n">
        <f aca="false">Sens!$J$3216+Sens!$K$3214</f>
        <v>170.623095303485</v>
      </c>
      <c r="L3216" s="38" t="n">
        <f aca="false">Sens!$K$3216+Sens!$L$3214</f>
        <v>170.623095303485</v>
      </c>
      <c r="M3216" s="38" t="n">
        <f aca="false">Sens!$L$3216+Sens!$M$3214</f>
        <v>170.623095303485</v>
      </c>
    </row>
    <row r="3217" customFormat="false" ht="15" hidden="false" customHeight="false" outlineLevel="0" collapsed="false">
      <c r="A3217" s="5" t="s">
        <v>754</v>
      </c>
      <c r="B3217" s="0" t="s">
        <v>73</v>
      </c>
      <c r="D3217" s="38" t="n">
        <f aca="false">Sens!$D$3216-Sens!$D$3215</f>
        <v>-54.193</v>
      </c>
      <c r="E3217" s="38" t="n">
        <f aca="false">Sens!$E$3216-Sens!$E$3215</f>
        <v>10.007</v>
      </c>
      <c r="F3217" s="38" t="n">
        <f aca="false">Sens!$F$3216-Sens!$F$3215</f>
        <v>67.2105928382392</v>
      </c>
      <c r="G3217" s="38" t="n">
        <f aca="false">Sens!$G$3216-Sens!$G$3215</f>
        <v>67.2105928382392</v>
      </c>
      <c r="H3217" s="38" t="n">
        <f aca="false">Sens!$H$3216-Sens!$H$3215</f>
        <v>114.853129104377</v>
      </c>
      <c r="I3217" s="38" t="n">
        <f aca="false">Sens!$I$3216-Sens!$I$3215</f>
        <v>120.623095303485</v>
      </c>
      <c r="J3217" s="38" t="n">
        <f aca="false">Sens!$J$3216-Sens!$J$3215</f>
        <v>83.5149742093261</v>
      </c>
      <c r="K3217" s="38" t="n">
        <f aca="false">Sens!$K$3216-Sens!$K$3215</f>
        <v>4.68206205450343</v>
      </c>
      <c r="L3217" s="38" t="n">
        <f aca="false">Sens!$L$3216-Sens!$L$3215</f>
        <v>-85.2928702522204</v>
      </c>
      <c r="M3217" s="38" t="n">
        <f aca="false">Sens!$M$3216-Sens!$M$3215</f>
        <v>-164.598308578179</v>
      </c>
    </row>
    <row r="3218" customFormat="false" ht="17.15" hidden="false" customHeight="false" outlineLevel="0" collapsed="false">
      <c r="A3218" s="5" t="s">
        <v>755</v>
      </c>
      <c r="B3218" s="0" t="s">
        <v>73</v>
      </c>
      <c r="F3218" s="38" t="n">
        <f aca="false">debt_q2*kd_book*0.5+iss_2h26*kd_new*0.25</f>
        <v>3.24888964316061</v>
      </c>
      <c r="H3218" s="38" t="n">
        <f aca="false">debt_q2*kd_book+(Sens!$G$3216-debt_q2)*kd_new</f>
        <v>7.42354178632123</v>
      </c>
      <c r="I3218" s="38" t="n">
        <f aca="false">debt_q2*kd_book+(Sens!$H$3216-debt_q2)*kd_new</f>
        <v>7.58863635862829</v>
      </c>
      <c r="J3218" s="38" t="n">
        <f aca="false">debt_q2*kd_book+(Sens!$I$3216-debt_q2)*kd_new</f>
        <v>7.9538752190318</v>
      </c>
      <c r="K3218" s="38" t="n">
        <f aca="false">debt_q2*kd_book+(Sens!$J$3216-debt_q2)*kd_new</f>
        <v>7.9538752190318</v>
      </c>
      <c r="L3218" s="38" t="n">
        <f aca="false">debt_q2*kd_book+(Sens!$K$3216-debt_q2)*kd_new</f>
        <v>7.9538752190318</v>
      </c>
      <c r="M3218" s="38" t="n">
        <f aca="false">debt_q2*kd_book+(Sens!$L$3216-debt_q2)*kd_new</f>
        <v>7.9538752190318</v>
      </c>
    </row>
    <row r="3219" customFormat="false" ht="17.15" hidden="false" customHeight="false" outlineLevel="0" collapsed="false">
      <c r="A3219" s="5" t="s">
        <v>756</v>
      </c>
      <c r="B3219" s="0" t="s">
        <v>73</v>
      </c>
      <c r="F3219" s="38" t="n">
        <f aca="false">cash_q2*y_cash*0.5</f>
        <v>2.59</v>
      </c>
      <c r="H3219" s="38" t="n">
        <f aca="false">Sens!$G$3215*y_cash</f>
        <v>4.002652527872</v>
      </c>
      <c r="I3219" s="38" t="n">
        <f aca="false">Sens!$H$3215*y_cash</f>
        <v>2.10589651022864</v>
      </c>
      <c r="J3219" s="38" t="n">
        <f aca="false">Sens!$I$3215*y_cash</f>
        <v>2.10589651022864</v>
      </c>
      <c r="K3219" s="38" t="n">
        <f aca="false">Sens!$J$3215*y_cash</f>
        <v>3.66881376449524</v>
      </c>
      <c r="L3219" s="38" t="n">
        <f aca="false">Sens!$K$3215*y_cash</f>
        <v>6.98909285645528</v>
      </c>
      <c r="M3219" s="38" t="n">
        <f aca="false">Sens!$L$3215*y_cash</f>
        <v>10.778650775511</v>
      </c>
    </row>
    <row r="3220" customFormat="false" ht="17.15" hidden="false" customHeight="false" outlineLevel="0" collapsed="false">
      <c r="A3220" s="46" t="s">
        <v>757</v>
      </c>
      <c r="B3220" s="13" t="s">
        <v>73</v>
      </c>
      <c r="C3220" s="13"/>
      <c r="D3220" s="13"/>
      <c r="E3220" s="13"/>
      <c r="F3220" s="13"/>
      <c r="G3220" s="47" t="n">
        <f aca="false">SUM(Sens!$G$3209:$K$3209)</f>
        <v>0.933937945496552</v>
      </c>
      <c r="H3220" s="13"/>
      <c r="I3220" s="13"/>
      <c r="J3220" s="13"/>
      <c r="K3220" s="13"/>
      <c r="L3220" s="13"/>
      <c r="M3220" s="13"/>
      <c r="N3220" s="13"/>
      <c r="O3220" s="13"/>
    </row>
    <row r="3221" customFormat="false" ht="17.15" hidden="false" customHeight="false" outlineLevel="0" collapsed="false">
      <c r="A3221" s="0" t="s">
        <v>724</v>
      </c>
      <c r="B3221" s="0" t="s">
        <v>73</v>
      </c>
      <c r="G3221" s="38" t="n">
        <f aca="false">SUM(Sens!$G$3214:$K$3214)</f>
        <v>8.3780953034846</v>
      </c>
    </row>
    <row r="3224" customFormat="false" ht="19.4" hidden="false" customHeight="false" outlineLevel="0" collapsed="false">
      <c r="A3224" s="31" t="s">
        <v>1114</v>
      </c>
    </row>
    <row r="3225" customFormat="false" ht="17.15" hidden="false" customHeight="false" outlineLevel="0" collapsed="false">
      <c r="A3225" s="6" t="s">
        <v>16</v>
      </c>
      <c r="B3225" s="6" t="s">
        <v>17</v>
      </c>
      <c r="C3225" s="20" t="s">
        <v>457</v>
      </c>
      <c r="D3225" s="20" t="s">
        <v>458</v>
      </c>
      <c r="E3225" s="20" t="s">
        <v>540</v>
      </c>
      <c r="F3225" s="20" t="s">
        <v>541</v>
      </c>
      <c r="G3225" s="20" t="s">
        <v>542</v>
      </c>
      <c r="H3225" s="20" t="s">
        <v>543</v>
      </c>
      <c r="I3225" s="20" t="s">
        <v>544</v>
      </c>
      <c r="J3225" s="20" t="s">
        <v>545</v>
      </c>
      <c r="K3225" s="20" t="s">
        <v>546</v>
      </c>
      <c r="L3225" s="20" t="s">
        <v>547</v>
      </c>
      <c r="M3225" s="20" t="s">
        <v>548</v>
      </c>
      <c r="N3225" s="20" t="s">
        <v>549</v>
      </c>
      <c r="O3225" s="20" t="s">
        <v>550</v>
      </c>
      <c r="P3225" s="6" t="s">
        <v>23</v>
      </c>
      <c r="R3225" s="20" t="n">
        <v>2023</v>
      </c>
      <c r="S3225" s="20" t="n">
        <v>2024</v>
      </c>
      <c r="T3225" s="20" t="n">
        <v>2025</v>
      </c>
      <c r="U3225" s="20" t="n">
        <v>2026</v>
      </c>
      <c r="V3225" s="20" t="n">
        <v>2027</v>
      </c>
      <c r="W3225" s="20" t="n">
        <v>2028</v>
      </c>
      <c r="X3225" s="20" t="n">
        <v>2029</v>
      </c>
      <c r="Y3225" s="20" t="n">
        <v>2030</v>
      </c>
      <c r="Z3225" s="20" t="n">
        <v>2031</v>
      </c>
      <c r="AA3225" s="20" t="n">
        <v>2032</v>
      </c>
    </row>
    <row r="3226" customFormat="false" ht="17.15" hidden="false" customHeight="false" outlineLevel="0" collapsed="false">
      <c r="A3226" s="1" t="s">
        <v>852</v>
      </c>
    </row>
    <row r="3227" customFormat="false" ht="17.15" hidden="false" customHeight="false" outlineLevel="0" collapsed="false">
      <c r="A3227" s="0" t="s">
        <v>853</v>
      </c>
      <c r="B3227" s="0" t="s">
        <v>73</v>
      </c>
      <c r="H3227" s="38" t="n">
        <f aca="false">Sens!$H$3163*(1-tax)</f>
        <v>111.155928045413</v>
      </c>
      <c r="I3227" s="38" t="n">
        <f aca="false">Sens!$I$3163*(1-tax)</f>
        <v>131.042970986496</v>
      </c>
      <c r="J3227" s="38" t="n">
        <f aca="false">Sens!$J$3163*(1-tax)</f>
        <v>148.697049074577</v>
      </c>
      <c r="K3227" s="38" t="n">
        <f aca="false">Sens!$K$3163*(1-tax)</f>
        <v>162.94005048918</v>
      </c>
      <c r="L3227" s="38" t="n">
        <f aca="false">Sens!$L$3163*(1-tax)</f>
        <v>178.559097734626</v>
      </c>
      <c r="M3227" s="38" t="n">
        <f aca="false">Sens!$M$3163*(1-tax)</f>
        <v>194.67062143101</v>
      </c>
    </row>
    <row r="3228" customFormat="false" ht="15" hidden="false" customHeight="false" outlineLevel="0" collapsed="false">
      <c r="A3228" s="5" t="s">
        <v>854</v>
      </c>
      <c r="B3228" s="0" t="s">
        <v>73</v>
      </c>
      <c r="H3228" s="38" t="n">
        <f aca="false">Sens!$H$3175</f>
        <v>87.6845218193838</v>
      </c>
      <c r="I3228" s="38" t="n">
        <f aca="false">Sens!$I$3175</f>
        <v>122.294769708638</v>
      </c>
      <c r="J3228" s="38" t="n">
        <f aca="false">Sens!$J$3175</f>
        <v>157.133962573221</v>
      </c>
      <c r="K3228" s="38" t="n">
        <f aca="false">Sens!$K$3175</f>
        <v>191.350633353599</v>
      </c>
      <c r="L3228" s="38" t="n">
        <f aca="false">Sens!$L$3175</f>
        <v>223.909238335354</v>
      </c>
      <c r="M3228" s="38" t="n">
        <f aca="false">Sens!$M$3175</f>
        <v>257.576319867276</v>
      </c>
    </row>
    <row r="3229" customFormat="false" ht="15" hidden="false" customHeight="false" outlineLevel="0" collapsed="false">
      <c r="A3229" s="5" t="s">
        <v>855</v>
      </c>
      <c r="B3229" s="0" t="s">
        <v>73</v>
      </c>
      <c r="H3229" s="38" t="n">
        <f aca="false">Sens!$H$3204</f>
        <v>277.870120501355</v>
      </c>
      <c r="I3229" s="38" t="n">
        <f aca="false">Sens!$I$3204</f>
        <v>293.934464585378</v>
      </c>
      <c r="J3229" s="38" t="n">
        <f aca="false">Sens!$J$3204</f>
        <v>308.06904811359</v>
      </c>
      <c r="K3229" s="38" t="n">
        <f aca="false">Sens!$K$3204</f>
        <v>320.385735318248</v>
      </c>
      <c r="L3229" s="38" t="n">
        <f aca="false">Sens!$L$3204</f>
        <v>364.65641921833</v>
      </c>
      <c r="M3229" s="38" t="n">
        <f aca="false">Sens!$M$3204</f>
        <v>432.943173024858</v>
      </c>
    </row>
    <row r="3230" customFormat="false" ht="15" hidden="false" customHeight="false" outlineLevel="0" collapsed="false">
      <c r="A3230" s="5" t="s">
        <v>856</v>
      </c>
      <c r="B3230" s="0" t="s">
        <v>73</v>
      </c>
      <c r="H3230" s="38" t="n">
        <f aca="false">Sens!$H$3205</f>
        <v>1.6</v>
      </c>
      <c r="I3230" s="38" t="n">
        <f aca="false">Sens!$I$3205</f>
        <v>1.6</v>
      </c>
      <c r="J3230" s="38" t="n">
        <f aca="false">Sens!$J$3205</f>
        <v>1.6</v>
      </c>
      <c r="K3230" s="38" t="n">
        <f aca="false">Sens!$K$3205</f>
        <v>1.6</v>
      </c>
      <c r="L3230" s="38" t="n">
        <f aca="false">Sens!$L$3205</f>
        <v>1.6</v>
      </c>
      <c r="M3230" s="38" t="n">
        <f aca="false">Sens!$M$3205</f>
        <v>1.6</v>
      </c>
    </row>
    <row r="3231" customFormat="false" ht="15" hidden="false" customHeight="false" outlineLevel="0" collapsed="false">
      <c r="A3231" s="5" t="s">
        <v>857</v>
      </c>
      <c r="B3231" s="0" t="s">
        <v>73</v>
      </c>
      <c r="H3231" s="38" t="n">
        <f aca="false">Sens!$H$3199</f>
        <v>11.6369707537667</v>
      </c>
      <c r="I3231" s="38" t="n">
        <f aca="false">Sens!$I$3199</f>
        <v>13.3082502961262</v>
      </c>
      <c r="J3231" s="38" t="n">
        <f aca="false">Sens!$J$3199</f>
        <v>14.8747965344332</v>
      </c>
      <c r="K3231" s="38" t="n">
        <f aca="false">Sens!$K$3199</f>
        <v>16.2687901804328</v>
      </c>
      <c r="L3231" s="38" t="n">
        <f aca="false">Sens!$L$3199</f>
        <v>17.7280727627002</v>
      </c>
      <c r="M3231" s="38" t="n">
        <f aca="false">Sens!$M$3199</f>
        <v>19.2574690270319</v>
      </c>
    </row>
    <row r="3232" customFormat="false" ht="17.15" hidden="false" customHeight="false" outlineLevel="0" collapsed="false">
      <c r="A3232" s="1" t="s">
        <v>858</v>
      </c>
      <c r="B3232" s="8" t="s">
        <v>73</v>
      </c>
      <c r="H3232" s="38" t="n">
        <f aca="false">Sens!$H$3227+Sens!$H$3228-Sens!$H$3229-Sens!$H$3230+Sens!$H$3231</f>
        <v>-68.9926998827921</v>
      </c>
      <c r="I3232" s="38" t="n">
        <f aca="false">Sens!$I$3227+Sens!$I$3228-Sens!$I$3229-Sens!$I$3230+Sens!$I$3231</f>
        <v>-28.8884735941184</v>
      </c>
      <c r="J3232" s="38" t="n">
        <f aca="false">Sens!$J$3227+Sens!$J$3228-Sens!$J$3229-Sens!$J$3230+Sens!$J$3231</f>
        <v>11.0367600686409</v>
      </c>
      <c r="K3232" s="38" t="n">
        <f aca="false">Sens!$K$3227+Sens!$K$3228-Sens!$K$3229-Sens!$K$3230+Sens!$K$3231</f>
        <v>48.5737387049637</v>
      </c>
      <c r="L3232" s="38" t="n">
        <f aca="false">Sens!$L$3227+Sens!$L$3228-Sens!$L$3229-Sens!$L$3230+Sens!$L$3231</f>
        <v>53.9399896143508</v>
      </c>
      <c r="M3232" s="38" t="n">
        <f aca="false">Sens!$M$3227+Sens!$M$3228-Sens!$M$3229-Sens!$M$3230+Sens!$M$3231</f>
        <v>36.96123730046</v>
      </c>
    </row>
    <row r="3233" customFormat="false" ht="15" hidden="false" customHeight="false" outlineLevel="0" collapsed="false">
      <c r="A3233" s="5" t="s">
        <v>859</v>
      </c>
      <c r="B3233" s="0" t="s">
        <v>57</v>
      </c>
      <c r="H3233" s="51" t="n">
        <f aca="false">1/(1+wacc)^(2027-2026-0.5)</f>
        <v>0.942858177653364</v>
      </c>
      <c r="I3233" s="51" t="n">
        <f aca="false">1/(1+wacc)^(2028-2026-0.5)</f>
        <v>0.838183517758688</v>
      </c>
      <c r="J3233" s="51" t="n">
        <f aca="false">1/(1+wacc)^(2029-2026-0.5)</f>
        <v>0.745129677074952</v>
      </c>
      <c r="K3233" s="51" t="n">
        <f aca="false">1/(1+wacc)^(2030-2026-0.5)</f>
        <v>0.662406530186232</v>
      </c>
      <c r="L3233" s="51" t="n">
        <f aca="false">1/(1+wacc)^(2031-2026-0.5)</f>
        <v>0.588867179409399</v>
      </c>
      <c r="M3233" s="51" t="n">
        <f aca="false">1/(1+wacc)^(2032-2026-0.5)</f>
        <v>0.52349205387225</v>
      </c>
    </row>
    <row r="3234" customFormat="false" ht="15" hidden="false" customHeight="false" outlineLevel="0" collapsed="false">
      <c r="A3234" s="5" t="s">
        <v>860</v>
      </c>
      <c r="B3234" s="0" t="s">
        <v>73</v>
      </c>
      <c r="H3234" s="38" t="n">
        <f aca="false">Sens!$H$3232*Sens!$H$3233</f>
        <v>-65.0503312828748</v>
      </c>
      <c r="I3234" s="38" t="n">
        <f aca="false">Sens!$I$3232*Sens!$I$3233</f>
        <v>-24.2138424197972</v>
      </c>
      <c r="J3234" s="38" t="n">
        <f aca="false">Sens!$J$3232*Sens!$J$3233</f>
        <v>8.22381746590012</v>
      </c>
      <c r="K3234" s="38" t="n">
        <f aca="false">Sens!$K$3232*Sens!$K$3233</f>
        <v>32.1755617137277</v>
      </c>
      <c r="L3234" s="38" t="n">
        <f aca="false">Sens!$L$3232*Sens!$L$3233</f>
        <v>31.763489541575</v>
      </c>
      <c r="M3234" s="38" t="n">
        <f aca="false">Sens!$M$3232*Sens!$M$3233</f>
        <v>19.3489140280774</v>
      </c>
    </row>
    <row r="3235" customFormat="false" ht="15" hidden="false" customHeight="false" outlineLevel="0" collapsed="false">
      <c r="A3235" s="5" t="s">
        <v>861</v>
      </c>
      <c r="B3235" s="0" t="s">
        <v>73</v>
      </c>
      <c r="C3235" s="38" t="n">
        <f aca="false">SUM(Sens!$H$3234:$M$3234)</f>
        <v>2.24760904660828</v>
      </c>
    </row>
    <row r="3236" customFormat="false" ht="17.15" hidden="false" customHeight="false" outlineLevel="0" collapsed="false">
      <c r="A3236" s="5" t="s">
        <v>862</v>
      </c>
      <c r="B3236" s="0" t="s">
        <v>73</v>
      </c>
      <c r="C3236" s="38" t="n">
        <f aca="false">Sens!$M$3227*(1+tg)*(1-tg/ronic)/(wacc-tg)</f>
        <v>1605.59200892251</v>
      </c>
    </row>
    <row r="3237" customFormat="false" ht="15" hidden="false" customHeight="false" outlineLevel="0" collapsed="false">
      <c r="A3237" s="5" t="s">
        <v>863</v>
      </c>
      <c r="B3237" s="0" t="s">
        <v>73</v>
      </c>
      <c r="C3237" s="38" t="n">
        <f aca="false">Sens!$C$3236/(1+wacc)^6</f>
        <v>792.48611913987</v>
      </c>
    </row>
    <row r="3238" customFormat="false" ht="17.15" hidden="false" customHeight="false" outlineLevel="0" collapsed="false">
      <c r="A3238" s="5" t="s">
        <v>864</v>
      </c>
      <c r="B3238" s="0" t="s">
        <v>73</v>
      </c>
      <c r="C3238" s="38" t="n">
        <f aca="false">Sens!$C$3235+Sens!$C$3237</f>
        <v>794.733728186478</v>
      </c>
    </row>
    <row r="3239" customFormat="false" ht="17.15" hidden="false" customHeight="false" outlineLevel="0" collapsed="false">
      <c r="A3239" s="5" t="s">
        <v>865</v>
      </c>
      <c r="B3239" s="0" t="s">
        <v>52</v>
      </c>
      <c r="C3239" s="12" t="n">
        <f aca="false">Sens!$C$3237/Sens!$C$3238</f>
        <v>0.997171871575481</v>
      </c>
    </row>
    <row r="3240" customFormat="false" ht="17.15" hidden="false" customHeight="false" outlineLevel="0" collapsed="false">
      <c r="A3240" s="5" t="s">
        <v>866</v>
      </c>
      <c r="B3240" s="0" t="s">
        <v>73</v>
      </c>
      <c r="C3240" s="38" t="n">
        <f aca="false">Sens!$G$3217</f>
        <v>67.2105928382392</v>
      </c>
    </row>
    <row r="3241" customFormat="false" ht="17.15" hidden="false" customHeight="false" outlineLevel="0" collapsed="false">
      <c r="A3241" s="5" t="s">
        <v>867</v>
      </c>
      <c r="B3241" s="0" t="s">
        <v>73</v>
      </c>
      <c r="C3241" s="38" t="n">
        <f aca="false">(ant_val*ant_sh+oai_val*oai_sh)*(1-liq_disc)</f>
        <v>178.944</v>
      </c>
    </row>
    <row r="3242" customFormat="false" ht="15" hidden="false" customHeight="false" outlineLevel="0" collapsed="false">
      <c r="A3242" s="5" t="s">
        <v>868</v>
      </c>
      <c r="B3242" s="0" t="s">
        <v>73</v>
      </c>
      <c r="C3242" s="38" t="n">
        <f aca="false">Sens!$C$3238-Sens!$C$3240+Sens!$C$3241</f>
        <v>906.467135348239</v>
      </c>
    </row>
    <row r="3243" customFormat="false" ht="17.15" hidden="false" customHeight="false" outlineLevel="0" collapsed="false">
      <c r="A3243" s="5" t="s">
        <v>869</v>
      </c>
      <c r="B3243" s="0" t="s">
        <v>27</v>
      </c>
      <c r="C3243" s="30" t="n">
        <f aca="false">Sens!$C$3242/sh_val</f>
        <v>82.179631091938</v>
      </c>
    </row>
    <row r="3244" customFormat="false" ht="17.15" hidden="false" customHeight="false" outlineLevel="0" collapsed="false">
      <c r="A3244" s="1" t="s">
        <v>870</v>
      </c>
      <c r="B3244" s="8" t="s">
        <v>27</v>
      </c>
      <c r="C3244" s="30" t="n">
        <f aca="false">Sens!$C$3243*(1+ke)^tp_yf</f>
        <v>90.7628761216655</v>
      </c>
    </row>
    <row r="3245" customFormat="false" ht="17.15" hidden="false" customHeight="false" outlineLevel="0" collapsed="false">
      <c r="A3245" s="3" t="s">
        <v>871</v>
      </c>
    </row>
    <row r="3246" customFormat="false" ht="17.15" hidden="false" customHeight="false" outlineLevel="0" collapsed="false">
      <c r="A3246" s="5" t="s">
        <v>872</v>
      </c>
      <c r="B3246" s="0" t="s">
        <v>73</v>
      </c>
      <c r="C3246" s="38" t="n">
        <f aca="false">0.25*Sens!$H$3176+0.75*Sens!$I$3176</f>
        <v>46.0432874614663</v>
      </c>
    </row>
    <row r="3247" customFormat="false" ht="15" hidden="false" customHeight="false" outlineLevel="0" collapsed="false">
      <c r="A3247" s="5" t="s">
        <v>873</v>
      </c>
      <c r="B3247" s="0" t="s">
        <v>57</v>
      </c>
      <c r="C3247" s="30" t="n">
        <f aca="false">m_ads*m_x</f>
        <v>9.11</v>
      </c>
    </row>
    <row r="3248" customFormat="false" ht="17.15" hidden="false" customHeight="false" outlineLevel="0" collapsed="false">
      <c r="A3248" s="5" t="s">
        <v>874</v>
      </c>
      <c r="B3248" s="0" t="s">
        <v>73</v>
      </c>
      <c r="C3248" s="38" t="n">
        <f aca="false">Sens!$C$3246*Sens!$C$3247</f>
        <v>419.454348773958</v>
      </c>
    </row>
    <row r="3249" customFormat="false" ht="17.15" hidden="false" customHeight="false" outlineLevel="0" collapsed="false">
      <c r="A3249" s="5" t="s">
        <v>875</v>
      </c>
      <c r="B3249" s="0" t="s">
        <v>73</v>
      </c>
      <c r="C3249" s="38" t="n">
        <f aca="false">0.25*Sens!$H$3177+0.75*Sens!$I$3177</f>
        <v>40.2806023185659</v>
      </c>
    </row>
    <row r="3250" customFormat="false" ht="15" hidden="false" customHeight="false" outlineLevel="0" collapsed="false">
      <c r="A3250" s="5" t="s">
        <v>876</v>
      </c>
      <c r="B3250" s="0" t="s">
        <v>57</v>
      </c>
      <c r="C3250" s="30" t="n">
        <f aca="false">m_retail*m_x</f>
        <v>17.72</v>
      </c>
    </row>
    <row r="3251" customFormat="false" ht="17.15" hidden="false" customHeight="false" outlineLevel="0" collapsed="false">
      <c r="A3251" s="5" t="s">
        <v>877</v>
      </c>
      <c r="B3251" s="0" t="s">
        <v>73</v>
      </c>
      <c r="C3251" s="38" t="n">
        <f aca="false">Sens!$C$3249*Sens!$C$3250</f>
        <v>713.772273084988</v>
      </c>
    </row>
    <row r="3252" customFormat="false" ht="17.15" hidden="false" customHeight="false" outlineLevel="0" collapsed="false">
      <c r="A3252" s="0" t="s">
        <v>878</v>
      </c>
      <c r="B3252" s="0" t="s">
        <v>73</v>
      </c>
      <c r="C3252" s="38" t="n">
        <f aca="false">0.25*Sens!$H$3178+0.75*Sens!$I$3178</f>
        <v>107.575398943098</v>
      </c>
    </row>
    <row r="3253" customFormat="false" ht="17.15" hidden="false" customHeight="false" outlineLevel="0" collapsed="false">
      <c r="A3253" s="0" t="s">
        <v>879</v>
      </c>
      <c r="B3253" s="0" t="s">
        <v>57</v>
      </c>
      <c r="C3253" s="30" t="n">
        <f aca="false">m_cloud*m_x</f>
        <v>13.82</v>
      </c>
    </row>
    <row r="3254" customFormat="false" ht="17.15" hidden="false" customHeight="false" outlineLevel="0" collapsed="false">
      <c r="A3254" s="0" t="s">
        <v>880</v>
      </c>
      <c r="B3254" s="0" t="s">
        <v>73</v>
      </c>
      <c r="C3254" s="38" t="n">
        <f aca="false">Sens!$C$3252*Sens!$C$3253</f>
        <v>1486.69201339361</v>
      </c>
    </row>
    <row r="3255" customFormat="false" ht="17.15" hidden="false" customHeight="false" outlineLevel="0" collapsed="false">
      <c r="A3255" s="0" t="s">
        <v>881</v>
      </c>
      <c r="B3255" s="0" t="s">
        <v>73</v>
      </c>
      <c r="C3255" s="38" t="n">
        <f aca="false">0.25*Sens!$H$3179+0.75*Sens!$I$3179</f>
        <v>72.2947701247864</v>
      </c>
    </row>
    <row r="3256" customFormat="false" ht="17.15" hidden="false" customHeight="false" outlineLevel="0" collapsed="false">
      <c r="A3256" s="0" t="s">
        <v>882</v>
      </c>
      <c r="B3256" s="0" t="s">
        <v>57</v>
      </c>
      <c r="C3256" s="30" t="n">
        <f aca="false">m_ai</f>
        <v>6</v>
      </c>
    </row>
    <row r="3257" customFormat="false" ht="17.15" hidden="false" customHeight="false" outlineLevel="0" collapsed="false">
      <c r="A3257" s="0" t="s">
        <v>883</v>
      </c>
      <c r="B3257" s="0" t="s">
        <v>73</v>
      </c>
      <c r="C3257" s="38" t="n">
        <f aca="false">Sens!$C$3255*Sens!$C$3256</f>
        <v>433.768620748718</v>
      </c>
    </row>
    <row r="3258" customFormat="false" ht="17.15" hidden="false" customHeight="false" outlineLevel="0" collapsed="false">
      <c r="A3258" s="5" t="s">
        <v>884</v>
      </c>
      <c r="B3258" s="0" t="s">
        <v>73</v>
      </c>
      <c r="C3258" s="38" t="n">
        <f aca="false">Sens!$C$3248+Sens!$C$3251+Sens!$C$3254+Sens!$C$3257</f>
        <v>3053.68725600127</v>
      </c>
    </row>
    <row r="3259" customFormat="false" ht="17.15" hidden="false" customHeight="false" outlineLevel="0" collapsed="false">
      <c r="A3259" s="5" t="s">
        <v>885</v>
      </c>
      <c r="B3259" s="0" t="s">
        <v>73</v>
      </c>
      <c r="C3259" s="38" t="n">
        <f aca="false">Sens!$H$3217</f>
        <v>114.853129104377</v>
      </c>
    </row>
    <row r="3260" customFormat="false" ht="15" hidden="false" customHeight="false" outlineLevel="0" collapsed="false">
      <c r="A3260" s="5" t="s">
        <v>886</v>
      </c>
      <c r="B3260" s="0" t="s">
        <v>73</v>
      </c>
      <c r="C3260" s="38" t="n">
        <f aca="false">Sens!$C$3258-Sens!$C$3259+Sens!$C$3241</f>
        <v>3117.7781268969</v>
      </c>
    </row>
    <row r="3261" customFormat="false" ht="15" hidden="false" customHeight="false" outlineLevel="0" collapsed="false">
      <c r="A3261" s="3" t="s">
        <v>887</v>
      </c>
      <c r="B3261" s="8" t="s">
        <v>27</v>
      </c>
      <c r="C3261" s="30" t="n">
        <f aca="false">Sens!$C$3260/sh_val</f>
        <v>282.65542820421</v>
      </c>
    </row>
    <row r="3262" customFormat="false" ht="17.15" hidden="false" customHeight="false" outlineLevel="0" collapsed="false">
      <c r="A3262" s="46" t="s">
        <v>888</v>
      </c>
      <c r="B3262" s="13" t="s">
        <v>27</v>
      </c>
      <c r="C3262" s="43" t="n">
        <f aca="false">w_dcf*Sens!$C$3244+(1-w_dcf)*Sens!$C$3261</f>
        <v>186.709152162938</v>
      </c>
      <c r="D3262" s="13"/>
      <c r="E3262" s="13"/>
      <c r="F3262" s="13"/>
      <c r="G3262" s="13"/>
      <c r="H3262" s="13"/>
      <c r="I3262" s="13"/>
      <c r="J3262" s="13"/>
      <c r="K3262" s="13"/>
      <c r="L3262" s="13"/>
      <c r="M3262" s="13"/>
      <c r="N3262" s="13"/>
      <c r="O3262" s="13"/>
    </row>
    <row r="3263" customFormat="false" ht="17.15" hidden="false" customHeight="false" outlineLevel="0" collapsed="false">
      <c r="A3263" s="5" t="s">
        <v>889</v>
      </c>
      <c r="B3263" s="0" t="s">
        <v>27</v>
      </c>
      <c r="C3263" s="30" t="n">
        <f aca="false">0.45*Sens!$C$3244+0.55*Sens!$C$3261</f>
        <v>196.303779767065</v>
      </c>
    </row>
    <row r="3266" customFormat="false" ht="19.4" hidden="false" customHeight="false" outlineLevel="0" collapsed="false">
      <c r="A3266" s="31" t="s">
        <v>1115</v>
      </c>
    </row>
    <row r="3267" customFormat="false" ht="17.15" hidden="false" customHeight="false" outlineLevel="0" collapsed="false">
      <c r="A3267" s="6" t="s">
        <v>16</v>
      </c>
      <c r="B3267" s="6" t="s">
        <v>17</v>
      </c>
      <c r="C3267" s="20" t="s">
        <v>457</v>
      </c>
      <c r="D3267" s="20" t="s">
        <v>458</v>
      </c>
      <c r="E3267" s="20" t="s">
        <v>540</v>
      </c>
      <c r="F3267" s="20" t="s">
        <v>541</v>
      </c>
      <c r="G3267" s="20" t="s">
        <v>542</v>
      </c>
      <c r="H3267" s="20" t="s">
        <v>543</v>
      </c>
      <c r="I3267" s="20" t="s">
        <v>544</v>
      </c>
      <c r="J3267" s="20" t="s">
        <v>545</v>
      </c>
      <c r="K3267" s="20" t="s">
        <v>546</v>
      </c>
      <c r="L3267" s="20" t="s">
        <v>547</v>
      </c>
      <c r="M3267" s="20" t="s">
        <v>548</v>
      </c>
      <c r="N3267" s="20" t="s">
        <v>549</v>
      </c>
      <c r="O3267" s="20" t="s">
        <v>550</v>
      </c>
      <c r="P3267" s="6" t="s">
        <v>23</v>
      </c>
      <c r="R3267" s="20" t="n">
        <v>2023</v>
      </c>
      <c r="S3267" s="20" t="n">
        <v>2024</v>
      </c>
      <c r="T3267" s="20" t="n">
        <v>2025</v>
      </c>
      <c r="U3267" s="20" t="n">
        <v>2026</v>
      </c>
      <c r="V3267" s="20" t="n">
        <v>2027</v>
      </c>
      <c r="W3267" s="20" t="n">
        <v>2028</v>
      </c>
      <c r="X3267" s="20" t="n">
        <v>2029</v>
      </c>
      <c r="Y3267" s="20" t="n">
        <v>2030</v>
      </c>
      <c r="Z3267" s="20" t="n">
        <v>2031</v>
      </c>
      <c r="AA3267" s="20" t="n">
        <v>2032</v>
      </c>
    </row>
    <row r="3268" customFormat="false" ht="17.15" hidden="false" customHeight="false" outlineLevel="0" collapsed="false">
      <c r="A3268" s="1" t="s">
        <v>621</v>
      </c>
    </row>
    <row r="3269" customFormat="false" ht="17.15" hidden="false" customHeight="false" outlineLevel="0" collapsed="false">
      <c r="A3269" s="0" t="s">
        <v>479</v>
      </c>
      <c r="B3269" s="0" t="s">
        <v>73</v>
      </c>
      <c r="C3269" s="38" t="n">
        <f aca="false">Q!$D$10</f>
        <v>247.029</v>
      </c>
      <c r="D3269" s="38" t="n">
        <f aca="false">Q!$E$10</f>
        <v>269.287</v>
      </c>
      <c r="E3269" s="38" t="n">
        <f aca="false">Q!$P$10</f>
        <v>134.686</v>
      </c>
      <c r="F3269" s="38" t="n">
        <f aca="false">Sens!$O$3269*(1+Sens!$F$3270)-pd_amt*Q!$O$10/(Q!$O$10+Q!$O$12)</f>
        <v>160.728085930082</v>
      </c>
      <c r="G3269" s="38" t="n">
        <f aca="false">Sens!$E$3269+Sens!$F$3269</f>
        <v>295.414085930082</v>
      </c>
      <c r="H3269" s="38" t="n">
        <f aca="false">Sens!$G$3269*(1+Sens!$H$3270)</f>
        <v>320.828163943375</v>
      </c>
      <c r="I3269" s="38" t="n">
        <f aca="false">Sens!$H$3269*(1+Sens!$I$3270)</f>
        <v>344.575578072228</v>
      </c>
      <c r="J3269" s="38" t="n">
        <f aca="false">Sens!$I$3269*(1+Sens!$J$3270)</f>
        <v>365.942555779681</v>
      </c>
      <c r="K3269" s="38" t="n">
        <f aca="false">Sens!$J$3269*(1+Sens!$K$3270)</f>
        <v>384.239683568665</v>
      </c>
      <c r="L3269" s="38" t="n">
        <f aca="false">Sens!$K$3269*(1+Sens!$L$3270)</f>
        <v>403.451667747098</v>
      </c>
      <c r="M3269" s="38" t="n">
        <f aca="false">Sens!$L$3269*(1+Sens!$M$3270)</f>
        <v>423.624251134453</v>
      </c>
      <c r="N3269" s="38" t="n">
        <f aca="false">Q!$N$10</f>
        <v>118.892</v>
      </c>
      <c r="O3269" s="38" t="n">
        <f aca="false">Q!$O$10</f>
        <v>150.395</v>
      </c>
      <c r="P3269" s="8" t="s">
        <v>622</v>
      </c>
    </row>
    <row r="3270" customFormat="false" ht="17.15" hidden="false" customHeight="false" outlineLevel="0" collapsed="false">
      <c r="A3270" s="0" t="s">
        <v>623</v>
      </c>
      <c r="B3270" s="0" t="s">
        <v>52</v>
      </c>
      <c r="E3270" s="12" t="n">
        <f aca="false">Sens!$E$3269/Sens!$N$3269-1</f>
        <v>0.132843252699929</v>
      </c>
      <c r="F3270" s="12" t="n">
        <f aca="false">Sens!$O$3269/(Q!$F$10+Q!$G$10)-1</f>
        <v>0.0980382135842941</v>
      </c>
      <c r="G3270" s="12" t="n">
        <f aca="false">Sens!$G$3269/Sens!$D$3269-1</f>
        <v>0.0970231980380869</v>
      </c>
      <c r="H3270" s="12" t="n">
        <f aca="false">Sens!$F$3270+(g_os-Sens!$F$3270)*1/4</f>
        <v>0.0860286601882206</v>
      </c>
      <c r="I3270" s="12" t="n">
        <f aca="false">Sens!$F$3270+(g_os-Sens!$F$3270)*2/4</f>
        <v>0.074019106792147</v>
      </c>
      <c r="J3270" s="12" t="n">
        <f aca="false">Sens!$F$3270+(g_os-Sens!$F$3270)*3/4</f>
        <v>0.0620095533960735</v>
      </c>
      <c r="K3270" s="12" t="n">
        <f aca="false">Sens!$F$3270+(g_os-Sens!$F$3270)*4/4</f>
        <v>0.05</v>
      </c>
      <c r="L3270" s="12" t="n">
        <f aca="false">g_os</f>
        <v>0.05</v>
      </c>
      <c r="M3270" s="12" t="n">
        <f aca="false">g_os</f>
        <v>0.05</v>
      </c>
      <c r="P3270" s="8" t="s">
        <v>624</v>
      </c>
    </row>
    <row r="3271" customFormat="false" ht="17.15" hidden="false" customHeight="false" outlineLevel="0" collapsed="false">
      <c r="A3271" s="0" t="s">
        <v>480</v>
      </c>
      <c r="B3271" s="0" t="s">
        <v>73</v>
      </c>
      <c r="C3271" s="38" t="n">
        <f aca="false">Q!$D$11</f>
        <v>21.215</v>
      </c>
      <c r="D3271" s="38" t="n">
        <f aca="false">Q!$E$11</f>
        <v>22.561</v>
      </c>
      <c r="E3271" s="38" t="n">
        <f aca="false">Q!$P$11</f>
        <v>11.579</v>
      </c>
      <c r="F3271" s="38" t="n">
        <f aca="false">Sens!$O$3271*(1+Sens!$F$3272)</f>
        <v>12.0952613121125</v>
      </c>
      <c r="G3271" s="38" t="n">
        <f aca="false">Sens!$E$3271+Sens!$F$3271</f>
        <v>23.6742613121125</v>
      </c>
      <c r="H3271" s="38" t="n">
        <f aca="false">Sens!$G$3271*(1+Sens!$H$3272)</f>
        <v>24.8803243963206</v>
      </c>
      <c r="I3271" s="38" t="n">
        <f aca="false">Sens!$H$3271*(1+Sens!$I$3272)</f>
        <v>25.9741308664154</v>
      </c>
      <c r="J3271" s="38" t="n">
        <f aca="false">Sens!$I$3271*(1+Sens!$J$3272)</f>
        <v>26.9346894124267</v>
      </c>
      <c r="K3271" s="38" t="n">
        <f aca="false">Sens!$J$3271*(1+Sens!$K$3272)</f>
        <v>27.7427300947995</v>
      </c>
      <c r="L3271" s="38" t="n">
        <f aca="false">Sens!$K$3271*(1+Sens!$L$3272)</f>
        <v>28.5750119976435</v>
      </c>
      <c r="M3271" s="38" t="n">
        <f aca="false">Sens!$L$3271*(1+Sens!$M$3272)</f>
        <v>29.4322623575728</v>
      </c>
      <c r="N3271" s="38" t="n">
        <f aca="false">Q!$N$11</f>
        <v>11.128</v>
      </c>
      <c r="O3271" s="38" t="n">
        <f aca="false">Q!$O$11</f>
        <v>11.433</v>
      </c>
      <c r="P3271" s="8" t="s">
        <v>622</v>
      </c>
    </row>
    <row r="3272" customFormat="false" ht="17.15" hidden="false" customHeight="false" outlineLevel="0" collapsed="false">
      <c r="A3272" s="0" t="s">
        <v>625</v>
      </c>
      <c r="B3272" s="0" t="s">
        <v>52</v>
      </c>
      <c r="E3272" s="12" t="n">
        <f aca="false">Sens!$E$3271/Sens!$N$3271-1</f>
        <v>0.0405283968368082</v>
      </c>
      <c r="F3272" s="12" t="n">
        <f aca="false">Sens!$O$3271/(Q!$F$11+Q!$G$11)-1</f>
        <v>0.0579254187100955</v>
      </c>
      <c r="G3272" s="12" t="n">
        <f aca="false">Sens!$G$3271/Sens!$D$3271-1</f>
        <v>0.0493445021103904</v>
      </c>
      <c r="H3272" s="12" t="n">
        <f aca="false">Sens!$F$3272+(g_ps-Sens!$F$3272)*1/4</f>
        <v>0.0509440640325716</v>
      </c>
      <c r="I3272" s="12" t="n">
        <f aca="false">Sens!$F$3272+(g_ps-Sens!$F$3272)*2/4</f>
        <v>0.0439627093550477</v>
      </c>
      <c r="J3272" s="12" t="n">
        <f aca="false">Sens!$F$3272+(g_ps-Sens!$F$3272)*3/4</f>
        <v>0.0369813546775239</v>
      </c>
      <c r="K3272" s="12" t="n">
        <f aca="false">Sens!$F$3272+(g_ps-Sens!$F$3272)*4/4</f>
        <v>0.03</v>
      </c>
      <c r="L3272" s="12" t="n">
        <f aca="false">g_ps</f>
        <v>0.03</v>
      </c>
      <c r="M3272" s="12" t="n">
        <f aca="false">g_ps</f>
        <v>0.03</v>
      </c>
      <c r="P3272" s="8" t="s">
        <v>626</v>
      </c>
    </row>
    <row r="3273" customFormat="false" ht="17.15" hidden="false" customHeight="false" outlineLevel="0" collapsed="false">
      <c r="A3273" s="0" t="s">
        <v>481</v>
      </c>
      <c r="B3273" s="0" t="s">
        <v>73</v>
      </c>
      <c r="C3273" s="38" t="n">
        <f aca="false">Q!$D$12</f>
        <v>156.146</v>
      </c>
      <c r="D3273" s="38" t="n">
        <f aca="false">Q!$E$12</f>
        <v>172.162</v>
      </c>
      <c r="E3273" s="38" t="n">
        <f aca="false">Q!$P$12</f>
        <v>88.358</v>
      </c>
      <c r="F3273" s="38" t="n">
        <f aca="false">Sens!$O$3273*(1+Sens!$F$3274)-pd_amt*Q!$O$12/(Q!$O$10+Q!$O$12)</f>
        <v>103.62028337149</v>
      </c>
      <c r="G3273" s="38" t="n">
        <f aca="false">Sens!$E$3273+Sens!$F$3273</f>
        <v>191.97828337149</v>
      </c>
      <c r="H3273" s="38" t="n">
        <f aca="false">Sens!$G$3273*(1+Sens!$H$3274)</f>
        <v>212.128608444755</v>
      </c>
      <c r="I3273" s="38" t="n">
        <f aca="false">Sens!$H$3273*(1+Sens!$I$3274)</f>
        <v>231.92183134134</v>
      </c>
      <c r="J3273" s="38" t="n">
        <f aca="false">Sens!$I$3273*(1+Sens!$J$3274)</f>
        <v>250.859136487863</v>
      </c>
      <c r="K3273" s="38" t="n">
        <f aca="false">Sens!$J$3273*(1+Sens!$K$3274)</f>
        <v>268.419276042014</v>
      </c>
      <c r="L3273" s="38" t="n">
        <f aca="false">Sens!$K$3273*(1+Sens!$L$3274)</f>
        <v>287.208625364954</v>
      </c>
      <c r="M3273" s="38" t="n">
        <f aca="false">Sens!$L$3273*(1+Sens!$M$3274)</f>
        <v>307.313229140501</v>
      </c>
      <c r="N3273" s="38" t="n">
        <f aca="false">Q!$N$12</f>
        <v>76.86</v>
      </c>
      <c r="O3273" s="38" t="n">
        <f aca="false">Q!$O$12</f>
        <v>95.302</v>
      </c>
      <c r="P3273" s="8" t="s">
        <v>622</v>
      </c>
    </row>
    <row r="3274" customFormat="false" ht="17.15" hidden="false" customHeight="false" outlineLevel="0" collapsed="false">
      <c r="A3274" s="0" t="s">
        <v>627</v>
      </c>
      <c r="B3274" s="0" t="s">
        <v>52</v>
      </c>
      <c r="E3274" s="12" t="n">
        <f aca="false">Sens!$E$3273/Sens!$N$3273-1</f>
        <v>0.1495966692688</v>
      </c>
      <c r="F3274" s="12" t="n">
        <f aca="false">Sens!$O$3273/(Q!$F$12+Q!$G$12)-1</f>
        <v>0.11661530890813</v>
      </c>
      <c r="G3274" s="12" t="n">
        <f aca="false">Sens!$G$3273/Sens!$D$3273-1</f>
        <v>0.115102539303041</v>
      </c>
      <c r="H3274" s="12" t="n">
        <f aca="false">Sens!$F$3274+(g_sp-Sens!$F$3274)*1/4</f>
        <v>0.104961481681098</v>
      </c>
      <c r="I3274" s="12" t="n">
        <f aca="false">Sens!$F$3274+(g_sp-Sens!$F$3274)*2/4</f>
        <v>0.0933076544540651</v>
      </c>
      <c r="J3274" s="12" t="n">
        <f aca="false">Sens!$F$3274+(g_sp-Sens!$F$3274)*3/4</f>
        <v>0.0816538272270325</v>
      </c>
      <c r="K3274" s="12" t="n">
        <f aca="false">Sens!$F$3274+(g_sp-Sens!$F$3274)*4/4</f>
        <v>0.07</v>
      </c>
      <c r="L3274" s="12" t="n">
        <f aca="false">g_sp</f>
        <v>0.07</v>
      </c>
      <c r="M3274" s="12" t="n">
        <f aca="false">g_sp</f>
        <v>0.07</v>
      </c>
      <c r="P3274" s="8" t="s">
        <v>628</v>
      </c>
    </row>
    <row r="3275" customFormat="false" ht="17.15" hidden="false" customHeight="false" outlineLevel="0" collapsed="false">
      <c r="A3275" s="0" t="s">
        <v>482</v>
      </c>
      <c r="B3275" s="0" t="s">
        <v>73</v>
      </c>
      <c r="C3275" s="38" t="n">
        <f aca="false">Q!$D$13</f>
        <v>56.214</v>
      </c>
      <c r="D3275" s="38" t="n">
        <f aca="false">Q!$E$13</f>
        <v>68.635</v>
      </c>
      <c r="E3275" s="38" t="n">
        <f aca="false">Q!$P$13</f>
        <v>37.052</v>
      </c>
      <c r="F3275" s="38" t="n">
        <f aca="false">Sens!$O$3275*(1+Sens!$F$3276)</f>
        <v>48.1533381827382</v>
      </c>
      <c r="G3275" s="38" t="n">
        <f aca="false">Sens!$E$3275+Sens!$F$3275</f>
        <v>85.2053381827382</v>
      </c>
      <c r="H3275" s="38" t="n">
        <f aca="false">Sens!$G$3275*(1+Sens!$H$3276)</f>
        <v>102.29336185894</v>
      </c>
      <c r="I3275" s="38" t="n">
        <f aca="false">Sens!$H$3275*(1+Sens!$I$3276)</f>
        <v>119.379837585241</v>
      </c>
      <c r="J3275" s="38" t="n">
        <f aca="false">Sens!$I$3275*(1+Sens!$J$3276)</f>
        <v>135.319079048844</v>
      </c>
      <c r="K3275" s="38" t="n">
        <f aca="false">Sens!$J$3275*(1+Sens!$K$3276)</f>
        <v>148.850986953729</v>
      </c>
      <c r="L3275" s="38" t="n">
        <f aca="false">Sens!$K$3275*(1+Sens!$L$3276)</f>
        <v>163.736085649102</v>
      </c>
      <c r="M3275" s="38" t="n">
        <f aca="false">Sens!$L$3275*(1+Sens!$M$3276)</f>
        <v>180.109694214012</v>
      </c>
      <c r="N3275" s="38" t="n">
        <f aca="false">Q!$N$13</f>
        <v>29.615</v>
      </c>
      <c r="O3275" s="38" t="n">
        <f aca="false">Q!$O$13</f>
        <v>39.02</v>
      </c>
      <c r="P3275" s="8" t="s">
        <v>622</v>
      </c>
    </row>
    <row r="3276" customFormat="false" ht="17.15" hidden="false" customHeight="false" outlineLevel="0" collapsed="false">
      <c r="A3276" s="0" t="s">
        <v>629</v>
      </c>
      <c r="B3276" s="0" t="s">
        <v>52</v>
      </c>
      <c r="E3276" s="12" t="n">
        <f aca="false">Sens!$E$3275/Sens!$N$3275-1</f>
        <v>0.25112274185379</v>
      </c>
      <c r="F3276" s="12" t="n">
        <f aca="false">Sens!$O$3275/(Q!$F$13+Q!$G$13)-1</f>
        <v>0.234068123596572</v>
      </c>
      <c r="G3276" s="12" t="n">
        <f aca="false">Sens!$G$3275/Sens!$D$3275-1</f>
        <v>0.241426942270536</v>
      </c>
      <c r="H3276" s="12" t="n">
        <f aca="false">Sens!$F$3276+(g_ad-Sens!$F$3276)*1/4</f>
        <v>0.200551092697429</v>
      </c>
      <c r="I3276" s="12" t="n">
        <f aca="false">Sens!$F$3276+(g_ad-Sens!$F$3276)*2/4</f>
        <v>0.167034061798286</v>
      </c>
      <c r="J3276" s="12" t="n">
        <f aca="false">Sens!$F$3276+(g_ad-Sens!$F$3276)*3/4</f>
        <v>0.133517030899143</v>
      </c>
      <c r="K3276" s="12" t="n">
        <f aca="false">Sens!$F$3276+(g_ad-Sens!$F$3276)*4/4</f>
        <v>0.1</v>
      </c>
      <c r="L3276" s="12" t="n">
        <f aca="false">g_ad</f>
        <v>0.1</v>
      </c>
      <c r="M3276" s="12" t="n">
        <f aca="false">g_ad</f>
        <v>0.1</v>
      </c>
      <c r="P3276" s="8" t="s">
        <v>630</v>
      </c>
    </row>
    <row r="3277" customFormat="false" ht="17.15" hidden="false" customHeight="false" outlineLevel="0" collapsed="false">
      <c r="A3277" s="0" t="s">
        <v>483</v>
      </c>
      <c r="B3277" s="0" t="s">
        <v>73</v>
      </c>
      <c r="C3277" s="38" t="n">
        <f aca="false">Q!$D$14</f>
        <v>44.374</v>
      </c>
      <c r="D3277" s="38" t="n">
        <f aca="false">Q!$E$14</f>
        <v>49.619</v>
      </c>
      <c r="E3277" s="38" t="n">
        <f aca="false">Q!$P$14</f>
        <v>27.157</v>
      </c>
      <c r="F3277" s="38" t="n">
        <f aca="false">Sens!$O$3277*(1+Sens!$F$3278)</f>
        <v>28.9776360923374</v>
      </c>
      <c r="G3277" s="38" t="n">
        <f aca="false">Sens!$E$3277+Sens!$F$3277</f>
        <v>56.1346360923374</v>
      </c>
      <c r="H3277" s="38" t="n">
        <f aca="false">Sens!$G$3277*(1+Sens!$H$3278)</f>
        <v>62.4937078946075</v>
      </c>
      <c r="I3277" s="38" t="n">
        <f aca="false">Sens!$H$3277*(1+Sens!$I$3278)</f>
        <v>68.6715233062498</v>
      </c>
      <c r="J3277" s="38" t="n">
        <f aca="false">Sens!$I$3277*(1+Sens!$J$3278)</f>
        <v>74.4692882949818</v>
      </c>
      <c r="K3277" s="38" t="n">
        <f aca="false">Sens!$J$3277*(1+Sens!$K$3278)</f>
        <v>79.6821384756306</v>
      </c>
      <c r="L3277" s="38" t="n">
        <f aca="false">Sens!$K$3277*(1+Sens!$L$3278)</f>
        <v>85.2598881689247</v>
      </c>
      <c r="M3277" s="38" t="n">
        <f aca="false">Sens!$L$3277*(1+Sens!$M$3278)</f>
        <v>91.2280803407494</v>
      </c>
      <c r="N3277" s="38" t="n">
        <f aca="false">Q!$N$14</f>
        <v>23.923</v>
      </c>
      <c r="O3277" s="38" t="n">
        <f aca="false">Q!$O$14</f>
        <v>25.696</v>
      </c>
      <c r="P3277" s="8" t="s">
        <v>622</v>
      </c>
    </row>
    <row r="3278" customFormat="false" ht="17.15" hidden="false" customHeight="false" outlineLevel="0" collapsed="false">
      <c r="A3278" s="0" t="s">
        <v>631</v>
      </c>
      <c r="B3278" s="0" t="s">
        <v>52</v>
      </c>
      <c r="E3278" s="12" t="n">
        <f aca="false">Sens!$E$3277/Sens!$N$3277-1</f>
        <v>0.135183714417088</v>
      </c>
      <c r="F3278" s="12" t="n">
        <f aca="false">Sens!$O$3277/(Q!$F$14+Q!$G$14)-1</f>
        <v>0.127709997366804</v>
      </c>
      <c r="G3278" s="12" t="n">
        <f aca="false">Sens!$G$3277/Sens!$D$3277-1</f>
        <v>0.131313329416905</v>
      </c>
      <c r="H3278" s="12" t="n">
        <f aca="false">Sens!$F$3278+(g_sub-Sens!$F$3278)*1/4</f>
        <v>0.113282498025103</v>
      </c>
      <c r="I3278" s="12" t="n">
        <f aca="false">Sens!$F$3278+(g_sub-Sens!$F$3278)*2/4</f>
        <v>0.0988549986834021</v>
      </c>
      <c r="J3278" s="12" t="n">
        <f aca="false">Sens!$F$3278+(g_sub-Sens!$F$3278)*3/4</f>
        <v>0.084427499341701</v>
      </c>
      <c r="K3278" s="12" t="n">
        <f aca="false">Sens!$F$3278+(g_sub-Sens!$F$3278)*4/4</f>
        <v>0.07</v>
      </c>
      <c r="L3278" s="12" t="n">
        <f aca="false">g_sub</f>
        <v>0.07</v>
      </c>
      <c r="M3278" s="12" t="n">
        <f aca="false">g_sub</f>
        <v>0.07</v>
      </c>
      <c r="P3278" s="8" t="s">
        <v>632</v>
      </c>
    </row>
    <row r="3279" customFormat="false" ht="17.15" hidden="false" customHeight="false" outlineLevel="0" collapsed="false">
      <c r="A3279" s="0" t="s">
        <v>484</v>
      </c>
      <c r="B3279" s="0" t="s">
        <v>73</v>
      </c>
      <c r="C3279" s="38" t="n">
        <f aca="false">Q!$D$15</f>
        <v>5.425</v>
      </c>
      <c r="D3279" s="38" t="n">
        <f aca="false">Q!$E$15</f>
        <v>5.935</v>
      </c>
      <c r="E3279" s="38" t="n">
        <f aca="false">Q!$P$15</f>
        <v>3.474</v>
      </c>
      <c r="F3279" s="38" t="n">
        <f aca="false">Sens!$O$3279*(1+Sens!$F$3280)</f>
        <v>3.36182431966931</v>
      </c>
      <c r="G3279" s="38" t="n">
        <f aca="false">Sens!$E$3279+Sens!$F$3279</f>
        <v>6.83582431966931</v>
      </c>
      <c r="H3279" s="38" t="n">
        <f aca="false">Sens!$G$3279*(1+Sens!$H$3280)</f>
        <v>7.31157108370141</v>
      </c>
      <c r="I3279" s="38" t="n">
        <f aca="false">Sens!$H$3279*(1+Sens!$I$3280)</f>
        <v>7.77266852639815</v>
      </c>
      <c r="J3279" s="38" t="n">
        <f aca="false">Sens!$I$3279*(1+Sens!$J$3280)</f>
        <v>8.2120733019884</v>
      </c>
      <c r="K3279" s="38" t="n">
        <f aca="false">Sens!$J$3279*(1+Sens!$K$3280)</f>
        <v>8.62267696708783</v>
      </c>
      <c r="L3279" s="38" t="n">
        <f aca="false">Sens!$K$3279*(1+Sens!$L$3280)</f>
        <v>9.05381081544222</v>
      </c>
      <c r="M3279" s="38" t="n">
        <f aca="false">Sens!$L$3279*(1+Sens!$M$3280)</f>
        <v>9.50650135621433</v>
      </c>
      <c r="N3279" s="38" t="n">
        <f aca="false">Q!$N$15</f>
        <v>2.811</v>
      </c>
      <c r="O3279" s="38" t="n">
        <f aca="false">Q!$O$15</f>
        <v>3.124</v>
      </c>
      <c r="P3279" s="8" t="s">
        <v>622</v>
      </c>
    </row>
    <row r="3280" customFormat="false" ht="17.15" hidden="false" customHeight="false" outlineLevel="0" collapsed="false">
      <c r="A3280" s="0" t="s">
        <v>633</v>
      </c>
      <c r="B3280" s="0" t="s">
        <v>52</v>
      </c>
      <c r="E3280" s="12" t="n">
        <f aca="false">Sens!$E$3279/Sens!$N$3279-1</f>
        <v>0.235859124866596</v>
      </c>
      <c r="F3280" s="12" t="n">
        <f aca="false">Sens!$O$3279/(Q!$F$15+Q!$G$15)-1</f>
        <v>0.0761281433000345</v>
      </c>
      <c r="G3280" s="12" t="n">
        <f aca="false">Sens!$G$3279/Sens!$D$3279-1</f>
        <v>0.151781688234087</v>
      </c>
      <c r="H3280" s="12" t="n">
        <f aca="false">Sens!$F$3280+(g_ot-Sens!$F$3280)*1/4</f>
        <v>0.0695961074750259</v>
      </c>
      <c r="I3280" s="12" t="n">
        <f aca="false">Sens!$F$3280+(g_ot-Sens!$F$3280)*2/4</f>
        <v>0.0630640716500172</v>
      </c>
      <c r="J3280" s="12" t="n">
        <f aca="false">Sens!$F$3280+(g_ot-Sens!$F$3280)*3/4</f>
        <v>0.0565320358250086</v>
      </c>
      <c r="K3280" s="12" t="n">
        <f aca="false">Sens!$F$3280+(g_ot-Sens!$F$3280)*4/4</f>
        <v>0.05</v>
      </c>
      <c r="L3280" s="12" t="n">
        <f aca="false">g_ot</f>
        <v>0.05</v>
      </c>
      <c r="M3280" s="12" t="n">
        <f aca="false">g_ot</f>
        <v>0.05</v>
      </c>
      <c r="P3280" s="8" t="s">
        <v>634</v>
      </c>
    </row>
    <row r="3281" customFormat="false" ht="17.15" hidden="false" customHeight="false" outlineLevel="0" collapsed="false">
      <c r="A3281" s="3" t="s">
        <v>635</v>
      </c>
      <c r="B3281" s="8" t="s">
        <v>73</v>
      </c>
      <c r="C3281" s="38" t="n">
        <f aca="false">Sens!$C$3269+Sens!$C$3271+Sens!$C$3273+Sens!$C$3275+Sens!$C$3277+Sens!$C$3279</f>
        <v>530.403</v>
      </c>
      <c r="D3281" s="38" t="n">
        <f aca="false">Sens!$D$3269+Sens!$D$3271+Sens!$D$3273+Sens!$D$3275+Sens!$D$3277+Sens!$D$3279</f>
        <v>588.199</v>
      </c>
      <c r="E3281" s="38" t="n">
        <f aca="false">Sens!$E$3269+Sens!$E$3271+Sens!$E$3273+Sens!$E$3275+Sens!$E$3277+Sens!$E$3279</f>
        <v>302.306</v>
      </c>
      <c r="F3281" s="38" t="n">
        <f aca="false">Sens!$F$3269+Sens!$F$3271+Sens!$F$3273+Sens!$F$3275+Sens!$F$3277+Sens!$F$3279</f>
        <v>356.93642920843</v>
      </c>
      <c r="G3281" s="38" t="n">
        <f aca="false">Sens!$G$3269+Sens!$G$3271+Sens!$G$3273+Sens!$G$3275+Sens!$G$3277+Sens!$G$3279</f>
        <v>659.24242920843</v>
      </c>
      <c r="H3281" s="38" t="n">
        <f aca="false">Sens!$H$3269+Sens!$H$3271+Sens!$H$3273+Sens!$H$3275+Sens!$H$3277+Sens!$H$3279</f>
        <v>729.935737621701</v>
      </c>
      <c r="I3281" s="38" t="n">
        <f aca="false">Sens!$I$3269+Sens!$I$3271+Sens!$I$3273+Sens!$I$3275+Sens!$I$3277+Sens!$I$3279</f>
        <v>798.295569697873</v>
      </c>
      <c r="J3281" s="38" t="n">
        <f aca="false">Sens!$J$3269+Sens!$J$3271+Sens!$J$3273+Sens!$J$3275+Sens!$J$3277+Sens!$J$3279</f>
        <v>861.736822325785</v>
      </c>
      <c r="K3281" s="38" t="n">
        <f aca="false">Sens!$K$3269+Sens!$K$3271+Sens!$K$3273+Sens!$K$3275+Sens!$K$3277+Sens!$K$3279</f>
        <v>917.557492101925</v>
      </c>
      <c r="L3281" s="38" t="n">
        <f aca="false">Sens!$L$3269+Sens!$L$3271+Sens!$L$3273+Sens!$L$3275+Sens!$L$3277+Sens!$L$3279</f>
        <v>977.285089743165</v>
      </c>
      <c r="M3281" s="38" t="n">
        <f aca="false">Sens!$M$3269+Sens!$M$3271+Sens!$M$3273+Sens!$M$3275+Sens!$M$3277+Sens!$M$3279</f>
        <v>1041.2140185435</v>
      </c>
      <c r="N3281" s="38" t="n">
        <f aca="false">Sens!$N$3269+Sens!$N$3271+Sens!$N$3273+Sens!$N$3275+Sens!$N$3277+Sens!$N$3279</f>
        <v>263.229</v>
      </c>
      <c r="O3281" s="38" t="n">
        <f aca="false">Sens!$O$3269+Sens!$O$3271+Sens!$O$3273+Sens!$O$3275+Sens!$O$3277+Sens!$O$3279</f>
        <v>324.97</v>
      </c>
    </row>
    <row r="3282" customFormat="false" ht="17.15" hidden="false" customHeight="false" outlineLevel="0" collapsed="false">
      <c r="A3282" s="5" t="s">
        <v>636</v>
      </c>
      <c r="B3282" s="0" t="s">
        <v>52</v>
      </c>
      <c r="C3282" s="12" t="n">
        <f aca="false">Q!$D$5/(Q!$D$5+Q!$D$6)</f>
        <v>0.730570905519011</v>
      </c>
      <c r="D3282" s="12" t="n">
        <f aca="false">Q!$E$5/(Q!$E$5+Q!$E$6)</f>
        <v>0.724763217890544</v>
      </c>
      <c r="E3282" s="12" t="n">
        <f aca="false">Q!$P$5/(Q!$P$5+Q!$P$6)</f>
        <v>0.728797972914861</v>
      </c>
      <c r="F3282" s="12" t="n">
        <f aca="false">Sens!$O$3282</f>
        <v>0.718066283041511</v>
      </c>
      <c r="G3282" s="12" t="n">
        <f aca="false">Sens!$G$3283/Sens!$G$3281</f>
        <v>0.722987468473627</v>
      </c>
      <c r="H3282" s="12" t="n">
        <f aca="false">Sens!$G$3282</f>
        <v>0.722987468473627</v>
      </c>
      <c r="I3282" s="12" t="n">
        <f aca="false">Sens!$G$3282</f>
        <v>0.722987468473627</v>
      </c>
      <c r="J3282" s="12" t="n">
        <f aca="false">Sens!$G$3282</f>
        <v>0.722987468473627</v>
      </c>
      <c r="K3282" s="12" t="n">
        <f aca="false">Sens!$G$3282</f>
        <v>0.722987468473627</v>
      </c>
      <c r="L3282" s="12" t="n">
        <f aca="false">Sens!$G$3282</f>
        <v>0.722987468473627</v>
      </c>
      <c r="M3282" s="12" t="n">
        <f aca="false">Sens!$G$3282</f>
        <v>0.722987468473627</v>
      </c>
      <c r="N3282" s="12" t="n">
        <f aca="false">Q!$N$5/(Q!$N$5+Q!$N$6)</f>
        <v>0.733030935041352</v>
      </c>
      <c r="O3282" s="12" t="n">
        <f aca="false">Q!$O$5/(Q!$O$5+Q!$O$6)</f>
        <v>0.718066283041511</v>
      </c>
      <c r="P3282" s="8" t="s">
        <v>637</v>
      </c>
    </row>
    <row r="3283" customFormat="false" ht="17.15" hidden="false" customHeight="false" outlineLevel="0" collapsed="false">
      <c r="A3283" s="1" t="s">
        <v>472</v>
      </c>
      <c r="B3283" s="8" t="s">
        <v>73</v>
      </c>
      <c r="C3283" s="38" t="n">
        <f aca="false">Q!$D$5</f>
        <v>387.497</v>
      </c>
      <c r="D3283" s="38" t="n">
        <f aca="false">Q!$E$5</f>
        <v>426.305</v>
      </c>
      <c r="E3283" s="38" t="n">
        <f aca="false">Q!$P$5</f>
        <v>220.32</v>
      </c>
      <c r="F3283" s="38" t="n">
        <f aca="false">Sens!$F$3281*Sens!$F$3282</f>
        <v>256.304015003807</v>
      </c>
      <c r="G3283" s="38" t="n">
        <f aca="false">Sens!$E$3283+Sens!$F$3283</f>
        <v>476.624015003807</v>
      </c>
      <c r="H3283" s="38" t="n">
        <f aca="false">Sens!$H$3281*Sens!$H$3282</f>
        <v>527.734391091543</v>
      </c>
      <c r="I3283" s="38" t="n">
        <f aca="false">Sens!$I$3281*Sens!$I$3282</f>
        <v>577.157693029577</v>
      </c>
      <c r="J3283" s="38" t="n">
        <f aca="false">Sens!$J$3281*Sens!$J$3282</f>
        <v>623.024923663827</v>
      </c>
      <c r="K3283" s="38" t="n">
        <f aca="false">Sens!$K$3281*Sens!$K$3282</f>
        <v>663.382568393781</v>
      </c>
      <c r="L3283" s="38" t="n">
        <f aca="false">Sens!$L$3281*Sens!$L$3282</f>
        <v>706.564873010432</v>
      </c>
      <c r="M3283" s="38" t="n">
        <f aca="false">Sens!$M$3281*Sens!$M$3282</f>
        <v>752.784687406019</v>
      </c>
      <c r="N3283" s="38" t="n">
        <f aca="false">Q!$N$5</f>
        <v>192.955</v>
      </c>
      <c r="O3283" s="38" t="n">
        <f aca="false">Q!$O$5</f>
        <v>233.35</v>
      </c>
      <c r="P3283" s="5" t="s">
        <v>638</v>
      </c>
    </row>
    <row r="3284" customFormat="false" ht="17.15" hidden="false" customHeight="false" outlineLevel="0" collapsed="false">
      <c r="A3284" s="1" t="s">
        <v>475</v>
      </c>
      <c r="B3284" s="8" t="s">
        <v>73</v>
      </c>
      <c r="C3284" s="38" t="n">
        <f aca="false">Q!$D$6</f>
        <v>142.906</v>
      </c>
      <c r="D3284" s="38" t="n">
        <f aca="false">Q!$E$6</f>
        <v>161.894</v>
      </c>
      <c r="E3284" s="38" t="n">
        <f aca="false">Q!$P$6</f>
        <v>81.986</v>
      </c>
      <c r="F3284" s="38" t="n">
        <f aca="false">Sens!$F$3281*(1-Sens!$F$3282)</f>
        <v>100.632414204623</v>
      </c>
      <c r="G3284" s="38" t="n">
        <f aca="false">Sens!$E$3284+Sens!$F$3284</f>
        <v>182.618414204623</v>
      </c>
      <c r="H3284" s="38" t="n">
        <f aca="false">Sens!$H$3281*(1-Sens!$H$3282)</f>
        <v>202.201346530158</v>
      </c>
      <c r="I3284" s="38" t="n">
        <f aca="false">Sens!$I$3281*(1-Sens!$I$3282)</f>
        <v>221.137876668296</v>
      </c>
      <c r="J3284" s="38" t="n">
        <f aca="false">Sens!$J$3281*(1-Sens!$J$3282)</f>
        <v>238.711898661958</v>
      </c>
      <c r="K3284" s="38" t="n">
        <f aca="false">Sens!$K$3281*(1-Sens!$K$3282)</f>
        <v>254.174923708144</v>
      </c>
      <c r="L3284" s="38" t="n">
        <f aca="false">Sens!$L$3281*(1-Sens!$L$3282)</f>
        <v>270.720216732733</v>
      </c>
      <c r="M3284" s="38" t="n">
        <f aca="false">Sens!$M$3281*(1-Sens!$M$3282)</f>
        <v>288.429331137484</v>
      </c>
      <c r="N3284" s="38" t="n">
        <f aca="false">Q!$N$6</f>
        <v>70.274</v>
      </c>
      <c r="O3284" s="38" t="n">
        <f aca="false">Q!$O$6</f>
        <v>91.62</v>
      </c>
      <c r="P3284" s="5" t="s">
        <v>639</v>
      </c>
    </row>
    <row r="3285" customFormat="false" ht="17.15" hidden="false" customHeight="false" outlineLevel="0" collapsed="false">
      <c r="A3285" s="5" t="s">
        <v>640</v>
      </c>
      <c r="B3285" s="0" t="s">
        <v>73</v>
      </c>
      <c r="C3285" s="38" t="n">
        <f aca="false">Sens!$C$3275*Sens!$C$3282</f>
        <v>41.0683128828457</v>
      </c>
      <c r="D3285" s="38" t="n">
        <f aca="false">Sens!$D$3275*Sens!$D$3282</f>
        <v>49.7441234599175</v>
      </c>
      <c r="E3285" s="38" t="n">
        <f aca="false">Sens!$E$3275*Sens!$E$3282</f>
        <v>27.0034224924414</v>
      </c>
      <c r="F3285" s="38" t="n">
        <f aca="false">Sens!$F$3275*Sens!$F$3282</f>
        <v>34.5772885649197</v>
      </c>
      <c r="G3285" s="38" t="n">
        <f aca="false">Sens!$G$3275*Sens!$G$3282</f>
        <v>61.6023917531772</v>
      </c>
      <c r="H3285" s="38" t="n">
        <f aca="false">Sens!$H$3275*Sens!$H$3282</f>
        <v>73.9568187320519</v>
      </c>
      <c r="I3285" s="38" t="n">
        <f aca="false">Sens!$I$3275*Sens!$I$3282</f>
        <v>86.3101265625461</v>
      </c>
      <c r="J3285" s="38" t="n">
        <f aca="false">Sens!$J$3275*Sens!$J$3282</f>
        <v>97.8339983977065</v>
      </c>
      <c r="K3285" s="38" t="n">
        <f aca="false">Sens!$K$3275*Sens!$K$3282</f>
        <v>107.617398237477</v>
      </c>
      <c r="L3285" s="38" t="n">
        <f aca="false">Sens!$L$3275*Sens!$L$3282</f>
        <v>118.379138061225</v>
      </c>
      <c r="M3285" s="38" t="n">
        <f aca="false">Sens!$M$3275*Sens!$M$3282</f>
        <v>130.217051867347</v>
      </c>
      <c r="N3285" s="38" t="n">
        <f aca="false">Sens!$N$3275*Sens!$N$3282</f>
        <v>21.7087111412496</v>
      </c>
      <c r="O3285" s="38" t="n">
        <f aca="false">Sens!$O$3275*Sens!$O$3282</f>
        <v>28.0189463642798</v>
      </c>
      <c r="P3285" s="5" t="s">
        <v>641</v>
      </c>
    </row>
    <row r="3286" customFormat="false" ht="15" hidden="false" customHeight="false" outlineLevel="0" collapsed="false">
      <c r="A3286" s="5" t="s">
        <v>642</v>
      </c>
      <c r="B3286" s="0" t="s">
        <v>73</v>
      </c>
      <c r="C3286" s="38" t="n">
        <f aca="false">Sens!$C$3275-Sens!$C$3285</f>
        <v>15.1456871171543</v>
      </c>
      <c r="D3286" s="38" t="n">
        <f aca="false">Sens!$D$3275-Sens!$D$3285</f>
        <v>18.8908765400825</v>
      </c>
      <c r="E3286" s="38" t="n">
        <f aca="false">Sens!$E$3275-Sens!$E$3285</f>
        <v>10.0485775075586</v>
      </c>
      <c r="F3286" s="38" t="n">
        <f aca="false">Sens!$F$3275-Sens!$F$3285</f>
        <v>13.5760496178185</v>
      </c>
      <c r="G3286" s="38" t="n">
        <f aca="false">Sens!$G$3275-Sens!$G$3285</f>
        <v>23.6029464295611</v>
      </c>
      <c r="H3286" s="38" t="n">
        <f aca="false">Sens!$H$3275-Sens!$H$3285</f>
        <v>28.3365431268884</v>
      </c>
      <c r="I3286" s="38" t="n">
        <f aca="false">Sens!$I$3275-Sens!$I$3285</f>
        <v>33.0697110226949</v>
      </c>
      <c r="J3286" s="38" t="n">
        <f aca="false">Sens!$J$3275-Sens!$J$3285</f>
        <v>37.4850806511378</v>
      </c>
      <c r="K3286" s="38" t="n">
        <f aca="false">Sens!$K$3275-Sens!$K$3285</f>
        <v>41.2335887162515</v>
      </c>
      <c r="L3286" s="38" t="n">
        <f aca="false">Sens!$L$3275-Sens!$L$3285</f>
        <v>45.3569475878767</v>
      </c>
      <c r="M3286" s="38" t="n">
        <f aca="false">Sens!$M$3275-Sens!$M$3285</f>
        <v>49.8926423466644</v>
      </c>
      <c r="N3286" s="38" t="n">
        <f aca="false">Sens!$N$3275-Sens!$N$3285</f>
        <v>7.90628885875037</v>
      </c>
      <c r="O3286" s="38" t="n">
        <f aca="false">Sens!$O$3275-Sens!$O$3285</f>
        <v>11.0010536357202</v>
      </c>
    </row>
    <row r="3287" customFormat="false" ht="19.4" hidden="false" customHeight="false" outlineLevel="0" collapsed="false">
      <c r="A3287" s="31" t="s">
        <v>1116</v>
      </c>
    </row>
    <row r="3288" customFormat="false" ht="17.15" hidden="false" customHeight="false" outlineLevel="0" collapsed="false">
      <c r="A3288" s="6" t="s">
        <v>16</v>
      </c>
      <c r="B3288" s="6" t="s">
        <v>17</v>
      </c>
      <c r="C3288" s="20" t="s">
        <v>457</v>
      </c>
      <c r="D3288" s="20" t="s">
        <v>458</v>
      </c>
      <c r="E3288" s="20" t="s">
        <v>540</v>
      </c>
      <c r="F3288" s="20" t="s">
        <v>541</v>
      </c>
      <c r="G3288" s="20" t="s">
        <v>542</v>
      </c>
      <c r="H3288" s="20" t="s">
        <v>543</v>
      </c>
      <c r="I3288" s="20" t="s">
        <v>544</v>
      </c>
      <c r="J3288" s="20" t="s">
        <v>545</v>
      </c>
      <c r="K3288" s="20" t="s">
        <v>546</v>
      </c>
      <c r="L3288" s="20" t="s">
        <v>547</v>
      </c>
      <c r="M3288" s="20" t="s">
        <v>548</v>
      </c>
      <c r="N3288" s="20" t="s">
        <v>549</v>
      </c>
      <c r="O3288" s="20" t="s">
        <v>550</v>
      </c>
      <c r="P3288" s="6" t="s">
        <v>23</v>
      </c>
      <c r="R3288" s="20" t="n">
        <v>2023</v>
      </c>
      <c r="S3288" s="20" t="n">
        <v>2024</v>
      </c>
      <c r="T3288" s="20" t="n">
        <v>2025</v>
      </c>
      <c r="U3288" s="20" t="n">
        <v>2026</v>
      </c>
      <c r="V3288" s="20" t="n">
        <v>2027</v>
      </c>
      <c r="W3288" s="20" t="n">
        <v>2028</v>
      </c>
      <c r="X3288" s="20" t="n">
        <v>2029</v>
      </c>
      <c r="Y3288" s="20" t="n">
        <v>2030</v>
      </c>
      <c r="Z3288" s="20" t="n">
        <v>2031</v>
      </c>
      <c r="AA3288" s="20" t="n">
        <v>2032</v>
      </c>
    </row>
    <row r="3289" customFormat="false" ht="17.15" hidden="false" customHeight="false" outlineLevel="0" collapsed="false">
      <c r="A3289" s="1" t="s">
        <v>551</v>
      </c>
    </row>
    <row r="3290" customFormat="false" ht="17.15" hidden="false" customHeight="false" outlineLevel="0" collapsed="false">
      <c r="A3290" s="14" t="s">
        <v>552</v>
      </c>
      <c r="B3290" s="13" t="s">
        <v>108</v>
      </c>
      <c r="C3290" s="32" t="n">
        <f aca="false">mw_ye24</f>
        <v>360</v>
      </c>
      <c r="D3290" s="32" t="n">
        <f aca="false">mw_ye25</f>
        <v>1440</v>
      </c>
      <c r="E3290" s="32" t="n">
        <f aca="false">mw_open</f>
        <v>2080</v>
      </c>
      <c r="F3290" s="32" t="n">
        <f aca="false">Sens!$E$3290+pace_B*0.5</f>
        <v>3897.15</v>
      </c>
      <c r="G3290" s="32" t="n">
        <f aca="false">Sens!$F$3290</f>
        <v>3897.15</v>
      </c>
      <c r="H3290" s="32" t="n">
        <f aca="false">Sens!$G$3290+pace_B</f>
        <v>7531.45</v>
      </c>
      <c r="I3290" s="32" t="n">
        <f aca="false">Sens!$H$3290+pace_B</f>
        <v>11165.75</v>
      </c>
      <c r="J3290" s="32" t="n">
        <f aca="false">Sens!$I$3290+pace_B</f>
        <v>14800.05</v>
      </c>
      <c r="K3290" s="32" t="n">
        <f aca="false">Sens!$J$3290+pace_B</f>
        <v>18434.35</v>
      </c>
      <c r="L3290" s="32" t="n">
        <f aca="false">Sens!$K$3290+pace_B</f>
        <v>22068.65</v>
      </c>
      <c r="M3290" s="32" t="n">
        <f aca="false">Sens!$L$3290+pace_B</f>
        <v>25702.95</v>
      </c>
      <c r="N3290" s="32" t="n">
        <f aca="false">(mw_ye24+mw_ye25)/2</f>
        <v>900</v>
      </c>
      <c r="O3290" s="32" t="n">
        <f aca="false">mw_ye25</f>
        <v>1440</v>
      </c>
      <c r="P3290" s="5" t="s">
        <v>553</v>
      </c>
    </row>
    <row r="3291" customFormat="false" ht="17.15" hidden="false" customHeight="false" outlineLevel="0" collapsed="false">
      <c r="A3291" s="5" t="s">
        <v>554</v>
      </c>
      <c r="B3291" s="0" t="s">
        <v>108</v>
      </c>
      <c r="C3291" s="33" t="n">
        <f aca="false">(mw_ye23+mw_ye24)/2</f>
        <v>240</v>
      </c>
      <c r="D3291" s="33" t="n">
        <f aca="false">(Sens!$C$3290+Sens!$D$3290)/2</f>
        <v>900</v>
      </c>
      <c r="E3291" s="33" t="n">
        <f aca="false">(Sens!$D$3290+Sens!$E$3290)/2</f>
        <v>1760</v>
      </c>
      <c r="F3291" s="33" t="n">
        <f aca="false">(Sens!$E$3290+Sens!$F$3290)/2</f>
        <v>2988.575</v>
      </c>
      <c r="G3291" s="33" t="n">
        <f aca="false">(Sens!$E$3291+Sens!$F$3291)/2</f>
        <v>2374.2875</v>
      </c>
      <c r="H3291" s="33" t="n">
        <f aca="false">(Sens!$G$3290+Sens!$H$3290)/2</f>
        <v>5714.3</v>
      </c>
      <c r="I3291" s="33" t="n">
        <f aca="false">(Sens!$H$3290+Sens!$I$3290)/2</f>
        <v>9348.6</v>
      </c>
      <c r="J3291" s="33" t="n">
        <f aca="false">(Sens!$I$3290+Sens!$J$3290)/2</f>
        <v>12982.9</v>
      </c>
      <c r="K3291" s="33" t="n">
        <f aca="false">(Sens!$J$3290+Sens!$K$3290)/2</f>
        <v>16617.2</v>
      </c>
      <c r="L3291" s="33" t="n">
        <f aca="false">(Sens!$K$3290+Sens!$L$3290)/2</f>
        <v>20251.5</v>
      </c>
      <c r="M3291" s="33" t="n">
        <f aca="false">(Sens!$L$3290+Sens!$M$3290)/2</f>
        <v>23885.8</v>
      </c>
      <c r="N3291" s="33" t="n">
        <f aca="false">(Sens!$C$3290+Sens!$N$3290)/2</f>
        <v>630</v>
      </c>
      <c r="O3291" s="33" t="n">
        <f aca="false">(Sens!$N$3290+Sens!$O$3290)/2</f>
        <v>1170</v>
      </c>
    </row>
    <row r="3292" customFormat="false" ht="15" hidden="false" customHeight="false" outlineLevel="0" collapsed="false">
      <c r="A3292" s="5" t="s">
        <v>555</v>
      </c>
      <c r="B3292" s="5" t="s">
        <v>102</v>
      </c>
      <c r="C3292" s="34" t="n">
        <v>1</v>
      </c>
      <c r="D3292" s="34" t="n">
        <v>1</v>
      </c>
      <c r="E3292" s="34" t="n">
        <v>0.5</v>
      </c>
      <c r="F3292" s="34" t="n">
        <v>0.5</v>
      </c>
      <c r="G3292" s="34" t="n">
        <v>1</v>
      </c>
      <c r="H3292" s="34" t="n">
        <v>1</v>
      </c>
      <c r="I3292" s="34" t="n">
        <v>1</v>
      </c>
      <c r="J3292" s="34" t="n">
        <v>1</v>
      </c>
      <c r="K3292" s="34" t="n">
        <v>1</v>
      </c>
      <c r="L3292" s="34" t="n">
        <v>1</v>
      </c>
      <c r="M3292" s="34" t="n">
        <v>1</v>
      </c>
      <c r="N3292" s="34" t="n">
        <v>0.5</v>
      </c>
      <c r="O3292" s="34" t="n">
        <v>0.5</v>
      </c>
    </row>
    <row r="3293" customFormat="false" ht="17.15" hidden="false" customHeight="false" outlineLevel="0" collapsed="false">
      <c r="A3293" s="5" t="s">
        <v>556</v>
      </c>
      <c r="B3293" s="0" t="s">
        <v>108</v>
      </c>
      <c r="C3293" s="33" t="n">
        <f aca="false">Sens!$C$3290-mw_ye23</f>
        <v>240</v>
      </c>
      <c r="D3293" s="33" t="n">
        <f aca="false">Sens!$D$3290-Sens!$C$3290</f>
        <v>1080</v>
      </c>
      <c r="E3293" s="33" t="n">
        <f aca="false">Sens!$E$3290-Sens!$D$3290</f>
        <v>640</v>
      </c>
      <c r="F3293" s="33" t="n">
        <f aca="false">Sens!$F$3290-Sens!$E$3290</f>
        <v>1817.15</v>
      </c>
      <c r="G3293" s="33" t="n">
        <f aca="false">Sens!$E$3293+Sens!$F$3293</f>
        <v>2457.15</v>
      </c>
      <c r="H3293" s="33" t="n">
        <f aca="false">Sens!$H$3290-Sens!$G$3290</f>
        <v>3634.3</v>
      </c>
      <c r="I3293" s="33" t="n">
        <f aca="false">Sens!$I$3290-Sens!$H$3290</f>
        <v>3634.3</v>
      </c>
      <c r="J3293" s="33" t="n">
        <f aca="false">Sens!$J$3290-Sens!$I$3290</f>
        <v>3634.3</v>
      </c>
      <c r="K3293" s="33" t="n">
        <f aca="false">Sens!$K$3290-Sens!$J$3290</f>
        <v>3634.3</v>
      </c>
      <c r="L3293" s="33" t="n">
        <f aca="false">Sens!$L$3290-Sens!$K$3290</f>
        <v>3634.3</v>
      </c>
      <c r="M3293" s="33" t="n">
        <f aca="false">Sens!$M$3290-Sens!$L$3290</f>
        <v>3634.3</v>
      </c>
      <c r="N3293" s="33" t="n">
        <f aca="false">Sens!$N$3290-Sens!$C$3290</f>
        <v>540</v>
      </c>
      <c r="O3293" s="33" t="n">
        <f aca="false">Sens!$O$3290-Sens!$N$3290</f>
        <v>540</v>
      </c>
    </row>
    <row r="3294" customFormat="false" ht="17.15" hidden="false" customHeight="false" outlineLevel="0" collapsed="false">
      <c r="A3294" s="5" t="s">
        <v>557</v>
      </c>
      <c r="B3294" s="0" t="s">
        <v>108</v>
      </c>
      <c r="C3294" s="33" t="n">
        <f aca="false">Sens!$C$3293/ext_sh</f>
        <v>300</v>
      </c>
      <c r="D3294" s="33" t="n">
        <f aca="false">Sens!$D$3293/ext_sh</f>
        <v>1350</v>
      </c>
      <c r="E3294" s="33" t="n">
        <f aca="false">Sens!$E$3293/ext_sh</f>
        <v>800</v>
      </c>
      <c r="F3294" s="33" t="n">
        <f aca="false">Sens!$F$3293/ext_sh</f>
        <v>2271.4375</v>
      </c>
      <c r="G3294" s="33" t="n">
        <f aca="false">Sens!$G$3293/ext_sh</f>
        <v>3071.4375</v>
      </c>
      <c r="H3294" s="33" t="n">
        <f aca="false">Sens!$H$3293/ext_sh</f>
        <v>4542.875</v>
      </c>
      <c r="I3294" s="33" t="n">
        <f aca="false">Sens!$I$3293/ext_sh</f>
        <v>4542.875</v>
      </c>
      <c r="J3294" s="33" t="n">
        <f aca="false">Sens!$J$3293/ext_sh</f>
        <v>4542.875</v>
      </c>
      <c r="K3294" s="33" t="n">
        <f aca="false">Sens!$K$3293/ext_sh</f>
        <v>4542.875</v>
      </c>
      <c r="L3294" s="33" t="n">
        <f aca="false">Sens!$L$3293/ext_sh</f>
        <v>4542.875</v>
      </c>
      <c r="M3294" s="33" t="n">
        <f aca="false">Sens!$M$3293/ext_sh</f>
        <v>4542.875</v>
      </c>
      <c r="N3294" s="33" t="n">
        <f aca="false">Sens!$N$3293/ext_sh</f>
        <v>675</v>
      </c>
      <c r="O3294" s="33" t="n">
        <f aca="false">Sens!$O$3293/ext_sh</f>
        <v>675</v>
      </c>
      <c r="P3294" s="8" t="s">
        <v>558</v>
      </c>
      <c r="R3294" s="33" t="n">
        <f aca="false">mw_ye23/ext_sh</f>
        <v>150</v>
      </c>
      <c r="S3294" s="33" t="n">
        <f aca="false">Sens!$C$3294</f>
        <v>300</v>
      </c>
      <c r="T3294" s="33" t="n">
        <f aca="false">Sens!$D$3294</f>
        <v>1350</v>
      </c>
      <c r="U3294" s="33" t="n">
        <f aca="false">Sens!$G$3294</f>
        <v>3071.4375</v>
      </c>
      <c r="V3294" s="33" t="n">
        <f aca="false">Sens!$H$3294</f>
        <v>4542.875</v>
      </c>
      <c r="W3294" s="33" t="n">
        <f aca="false">Sens!$I$3294</f>
        <v>4542.875</v>
      </c>
      <c r="X3294" s="33" t="n">
        <f aca="false">Sens!$J$3294</f>
        <v>4542.875</v>
      </c>
      <c r="Y3294" s="33" t="n">
        <f aca="false">Sens!$K$3294</f>
        <v>4542.875</v>
      </c>
      <c r="Z3294" s="33" t="n">
        <f aca="false">Sens!$L$3294</f>
        <v>4542.875</v>
      </c>
      <c r="AA3294" s="33" t="n">
        <f aca="false">Sens!$M$3294</f>
        <v>4542.875</v>
      </c>
    </row>
    <row r="3295" customFormat="false" ht="17.15" hidden="false" customHeight="false" outlineLevel="0" collapsed="false">
      <c r="A3295" s="1" t="s">
        <v>559</v>
      </c>
    </row>
    <row r="3296" customFormat="false" ht="17.15" hidden="false" customHeight="false" outlineLevel="0" collapsed="false">
      <c r="A3296" s="0" t="s">
        <v>560</v>
      </c>
      <c r="B3296" s="0" t="s">
        <v>52</v>
      </c>
      <c r="F3296" s="35" t="n">
        <f aca="false">na_vr26</f>
        <v>0</v>
      </c>
      <c r="G3296" s="35" t="n">
        <f aca="false">na_vr26</f>
        <v>0</v>
      </c>
      <c r="H3296" s="35" t="n">
        <f aca="false">na_vr27</f>
        <v>0.5</v>
      </c>
      <c r="I3296" s="35" t="n">
        <f aca="false">na_vr28</f>
        <v>1</v>
      </c>
      <c r="J3296" s="35" t="n">
        <f aca="false">na_vr28</f>
        <v>1</v>
      </c>
      <c r="K3296" s="35" t="n">
        <f aca="false">na_vr28</f>
        <v>1</v>
      </c>
      <c r="L3296" s="35" t="n">
        <f aca="false">na_vr28</f>
        <v>1</v>
      </c>
      <c r="M3296" s="35" t="n">
        <f aca="false">na_vr28</f>
        <v>1</v>
      </c>
    </row>
    <row r="3297" customFormat="false" ht="17.15" hidden="false" customHeight="false" outlineLevel="0" collapsed="false">
      <c r="A3297" s="5" t="s">
        <v>561</v>
      </c>
      <c r="B3297" s="0" t="s">
        <v>151</v>
      </c>
      <c r="F3297" s="36" t="n">
        <f aca="false">cust_sh*tk_he_gb300*cf_chip+(1-cust_sh)*((1-Sens!$F$3296)*tk_he_gb300+Sens!$F$3296*tk_he_vr200)</f>
        <v>10.8864110021101</v>
      </c>
      <c r="G3297" s="36" t="n">
        <f aca="false">cust_sh*tk_he_gb300*cf_chip+(1-cust_sh)*((1-Sens!$G$3296)*tk_he_gb300+Sens!$G$3296*tk_he_vr200)</f>
        <v>10.8864110021101</v>
      </c>
      <c r="H3297" s="36" t="n">
        <f aca="false">cust_sh*tk_he_gb300*cf_chip+(1-cust_sh)*((1-Sens!$H$3296)*tk_he_gb300+Sens!$H$3296*tk_he_vr200)</f>
        <v>11.2211760027286</v>
      </c>
      <c r="I3297" s="36" t="n">
        <f aca="false">cust_sh*tk_he_gb300*cf_chip+(1-cust_sh)*((1-Sens!$I$3296)*tk_he_gb300+Sens!$I$3296*tk_he_vr200)</f>
        <v>11.5559410033471</v>
      </c>
      <c r="J3297" s="36" t="n">
        <f aca="false">cust_sh*tk_he_gb300*cf_chip+(1-cust_sh)*((1-Sens!$J$3296)*tk_he_gb300+Sens!$J$3296*tk_he_vr200)</f>
        <v>11.5559410033471</v>
      </c>
      <c r="K3297" s="36" t="n">
        <f aca="false">cust_sh*tk_he_gb300*cf_chip+(1-cust_sh)*((1-Sens!$K$3296)*tk_he_gb300+Sens!$K$3296*tk_he_vr200)</f>
        <v>11.5559410033471</v>
      </c>
      <c r="L3297" s="36" t="n">
        <f aca="false">cust_sh*tk_he_gb300*cf_chip+(1-cust_sh)*((1-Sens!$L$3296)*tk_he_gb300+Sens!$L$3296*tk_he_vr200)</f>
        <v>11.5559410033471</v>
      </c>
      <c r="M3297" s="36" t="n">
        <f aca="false">cust_sh*tk_he_gb300*cf_chip+(1-cust_sh)*((1-Sens!$M$3296)*tk_he_gb300+Sens!$M$3296*tk_he_vr200)</f>
        <v>11.5559410033471</v>
      </c>
    </row>
    <row r="3298" customFormat="false" ht="17.15" hidden="false" customHeight="false" outlineLevel="0" collapsed="false">
      <c r="A3298" s="5" t="s">
        <v>562</v>
      </c>
      <c r="B3298" s="0" t="s">
        <v>151</v>
      </c>
      <c r="F3298" s="36" t="n">
        <f aca="false">cust_sh*tk_ox_gb300+(1-cust_sh)*((1-Sens!$F$3296)*tk_ox_gb300+Sens!$F$3296*tk_ox_vr200)</f>
        <v>1.98263481314457</v>
      </c>
      <c r="G3298" s="36" t="n">
        <f aca="false">cust_sh*tk_ox_gb300+(1-cust_sh)*((1-Sens!$G$3296)*tk_ox_gb300+Sens!$G$3296*tk_ox_vr200)</f>
        <v>1.98263481314457</v>
      </c>
      <c r="H3298" s="36" t="n">
        <f aca="false">cust_sh*tk_ox_gb300+(1-cust_sh)*((1-Sens!$H$3296)*tk_ox_gb300+Sens!$H$3296*tk_ox_vr200)</f>
        <v>2.01034999693694</v>
      </c>
      <c r="I3298" s="36" t="n">
        <f aca="false">cust_sh*tk_ox_gb300+(1-cust_sh)*((1-Sens!$I$3296)*tk_ox_gb300+Sens!$I$3296*tk_ox_vr200)</f>
        <v>2.0380651807293</v>
      </c>
      <c r="J3298" s="36" t="n">
        <f aca="false">cust_sh*tk_ox_gb300+(1-cust_sh)*((1-Sens!$J$3296)*tk_ox_gb300+Sens!$J$3296*tk_ox_vr200)</f>
        <v>2.0380651807293</v>
      </c>
      <c r="K3298" s="36" t="n">
        <f aca="false">cust_sh*tk_ox_gb300+(1-cust_sh)*((1-Sens!$K$3296)*tk_ox_gb300+Sens!$K$3296*tk_ox_vr200)</f>
        <v>2.0380651807293</v>
      </c>
      <c r="L3298" s="36" t="n">
        <f aca="false">cust_sh*tk_ox_gb300+(1-cust_sh)*((1-Sens!$L$3296)*tk_ox_gb300+Sens!$L$3296*tk_ox_vr200)</f>
        <v>2.0380651807293</v>
      </c>
      <c r="M3298" s="36" t="n">
        <f aca="false">cust_sh*tk_ox_gb300+(1-cust_sh)*((1-Sens!$M$3296)*tk_ox_gb300+Sens!$M$3296*tk_ox_vr200)</f>
        <v>2.0380651807293</v>
      </c>
    </row>
    <row r="3299" customFormat="false" ht="17.15" hidden="false" customHeight="false" outlineLevel="0" collapsed="false">
      <c r="A3299" s="5" t="s">
        <v>563</v>
      </c>
      <c r="B3299" s="0" t="s">
        <v>170</v>
      </c>
      <c r="F3299" s="36" t="n">
        <f aca="false">cust_sh*tk_cx_gb300*cf_cx+(1-cust_sh)*((1-Sens!$F$3296)*tk_cx_gb300+Sens!$F$3296*tk_cx_vr200)</f>
        <v>32.237224</v>
      </c>
      <c r="G3299" s="36" t="n">
        <f aca="false">cust_sh*tk_cx_gb300*cf_cx+(1-cust_sh)*((1-Sens!$G$3296)*tk_cx_gb300+Sens!$G$3296*tk_cx_vr200)</f>
        <v>32.237224</v>
      </c>
      <c r="H3299" s="36" t="n">
        <f aca="false">cust_sh*tk_cx_gb300*cf_cx+(1-cust_sh)*((1-Sens!$H$3296)*tk_cx_gb300+Sens!$H$3296*tk_cx_vr200)</f>
        <v>33.574506</v>
      </c>
      <c r="I3299" s="36" t="n">
        <f aca="false">cust_sh*tk_cx_gb300*cf_cx+(1-cust_sh)*((1-Sens!$I$3296)*tk_cx_gb300+Sens!$I$3296*tk_cx_vr200)</f>
        <v>34.911788</v>
      </c>
      <c r="J3299" s="36" t="n">
        <f aca="false">cust_sh*tk_cx_gb300*cf_cx+(1-cust_sh)*((1-Sens!$J$3296)*tk_cx_gb300+Sens!$J$3296*tk_cx_vr200)</f>
        <v>34.911788</v>
      </c>
      <c r="K3299" s="36" t="n">
        <f aca="false">cust_sh*tk_cx_gb300*cf_cx+(1-cust_sh)*((1-Sens!$K$3296)*tk_cx_gb300+Sens!$K$3296*tk_cx_vr200)</f>
        <v>34.911788</v>
      </c>
      <c r="L3299" s="36" t="n">
        <f aca="false">cust_sh*tk_cx_gb300*cf_cx+(1-cust_sh)*((1-Sens!$L$3296)*tk_cx_gb300+Sens!$L$3296*tk_cx_vr200)</f>
        <v>34.911788</v>
      </c>
      <c r="M3299" s="36" t="n">
        <f aca="false">cust_sh*tk_cx_gb300*cf_cx+(1-cust_sh)*((1-Sens!$M$3296)*tk_cx_gb300+Sens!$M$3296*tk_cx_vr200)</f>
        <v>34.911788</v>
      </c>
    </row>
    <row r="3300" customFormat="false" ht="17.15" hidden="false" customHeight="false" outlineLevel="0" collapsed="false">
      <c r="A3300" s="5" t="s">
        <v>564</v>
      </c>
      <c r="B3300" s="0" t="s">
        <v>108</v>
      </c>
      <c r="F3300" s="33" t="n">
        <f aca="false">Sens!$F$3290-mw_open</f>
        <v>1817.15</v>
      </c>
      <c r="G3300" s="33" t="n">
        <f aca="false">Sens!$F$3300</f>
        <v>1817.15</v>
      </c>
      <c r="H3300" s="33" t="n">
        <f aca="false">Sens!$H$3290-mw_open</f>
        <v>5451.45</v>
      </c>
      <c r="I3300" s="33" t="n">
        <f aca="false">Sens!$I$3290-mw_open</f>
        <v>9085.75</v>
      </c>
      <c r="J3300" s="33" t="n">
        <f aca="false">Sens!$J$3290-mw_open</f>
        <v>12720.05</v>
      </c>
      <c r="K3300" s="33" t="n">
        <f aca="false">Sens!$K$3290-mw_open</f>
        <v>16354.35</v>
      </c>
      <c r="L3300" s="33" t="n">
        <f aca="false">Sens!$L$3290-mw_open</f>
        <v>19988.65</v>
      </c>
      <c r="M3300" s="33" t="n">
        <f aca="false">Sens!$M$3290-mw_open</f>
        <v>23622.95</v>
      </c>
    </row>
    <row r="3301" customFormat="false" ht="17.15" hidden="false" customHeight="false" outlineLevel="0" collapsed="false">
      <c r="A3301" s="0" t="s">
        <v>565</v>
      </c>
      <c r="B3301" s="0" t="s">
        <v>566</v>
      </c>
      <c r="F3301" s="33" t="n">
        <f aca="false">Sens!$F$3293*Sens!$F$3297</f>
        <v>19782.2417524844</v>
      </c>
      <c r="G3301" s="33" t="n">
        <f aca="false">Sens!$F$3301</f>
        <v>19782.2417524844</v>
      </c>
      <c r="H3301" s="33" t="n">
        <f aca="false">Sens!$G$3301+Sens!$H$3293*Sens!$H$3297</f>
        <v>60563.3616992009</v>
      </c>
      <c r="I3301" s="33" t="n">
        <f aca="false">Sens!$H$3301+Sens!$I$3293*Sens!$I$3297</f>
        <v>102561.118087665</v>
      </c>
      <c r="J3301" s="33" t="n">
        <f aca="false">Sens!$I$3301+Sens!$J$3293*Sens!$J$3297</f>
        <v>144558.87447613</v>
      </c>
      <c r="K3301" s="33" t="n">
        <f aca="false">Sens!$J$3301+Sens!$K$3293*Sens!$K$3297</f>
        <v>186556.630864594</v>
      </c>
      <c r="L3301" s="33" t="n">
        <f aca="false">Sens!$K$3301+Sens!$L$3293*Sens!$L$3297</f>
        <v>228554.387253058</v>
      </c>
      <c r="M3301" s="33" t="n">
        <f aca="false">Sens!$L$3301+Sens!$M$3293*Sens!$M$3297</f>
        <v>270552.143641523</v>
      </c>
    </row>
    <row r="3302" customFormat="false" ht="17.15" hidden="false" customHeight="false" outlineLevel="0" collapsed="false">
      <c r="A3302" s="0" t="s">
        <v>567</v>
      </c>
      <c r="B3302" s="0" t="s">
        <v>566</v>
      </c>
      <c r="F3302" s="33" t="n">
        <f aca="false">Sens!$F$3293*Sens!$F$3298</f>
        <v>3602.74485070566</v>
      </c>
      <c r="G3302" s="33" t="n">
        <f aca="false">Sens!$F$3302</f>
        <v>3602.74485070566</v>
      </c>
      <c r="H3302" s="33" t="n">
        <f aca="false">Sens!$G$3302+Sens!$H$3293*Sens!$H$3298</f>
        <v>10908.9598445736</v>
      </c>
      <c r="I3302" s="33" t="n">
        <f aca="false">Sens!$H$3302+Sens!$I$3293*Sens!$I$3298</f>
        <v>18315.9001308981</v>
      </c>
      <c r="J3302" s="33" t="n">
        <f aca="false">Sens!$I$3302+Sens!$J$3293*Sens!$J$3298</f>
        <v>25722.8404172225</v>
      </c>
      <c r="K3302" s="33" t="n">
        <f aca="false">Sens!$J$3302+Sens!$K$3293*Sens!$K$3298</f>
        <v>33129.780703547</v>
      </c>
      <c r="L3302" s="33" t="n">
        <f aca="false">Sens!$K$3302+Sens!$L$3293*Sens!$L$3298</f>
        <v>40536.7209898715</v>
      </c>
      <c r="M3302" s="33" t="n">
        <f aca="false">Sens!$L$3302+Sens!$M$3293*Sens!$M$3298</f>
        <v>47943.661276196</v>
      </c>
    </row>
    <row r="3303" customFormat="false" ht="17.15" hidden="false" customHeight="false" outlineLevel="0" collapsed="false">
      <c r="A3303" s="5" t="s">
        <v>568</v>
      </c>
      <c r="B3303" s="0" t="s">
        <v>151</v>
      </c>
      <c r="F3303" s="36" t="n">
        <f aca="false">IF(Sens!$F$3300&gt;0,Sens!$F$3301/Sens!$F$3300,Sens!$F$3297)</f>
        <v>10.8864110021101</v>
      </c>
      <c r="G3303" s="36" t="n">
        <f aca="false">IF(Sens!$G$3300&gt;0,Sens!$G$3301/Sens!$G$3300,Sens!$G$3297)</f>
        <v>10.8864110021101</v>
      </c>
      <c r="H3303" s="36" t="n">
        <f aca="false">IF(Sens!$H$3300&gt;0,Sens!$H$3301/Sens!$H$3300,Sens!$H$3297)</f>
        <v>11.1095876691891</v>
      </c>
      <c r="I3303" s="36" t="n">
        <f aca="false">IF(Sens!$I$3300&gt;0,Sens!$I$3301/Sens!$I$3300,Sens!$I$3297)</f>
        <v>11.2881290028523</v>
      </c>
      <c r="J3303" s="36" t="n">
        <f aca="false">IF(Sens!$J$3300&gt;0,Sens!$J$3301/Sens!$J$3300,Sens!$J$3297)</f>
        <v>11.3646467172794</v>
      </c>
      <c r="K3303" s="36" t="n">
        <f aca="false">IF(Sens!$K$3300&gt;0,Sens!$K$3301/Sens!$K$3300,Sens!$K$3297)</f>
        <v>11.4071565586278</v>
      </c>
      <c r="L3303" s="36" t="n">
        <f aca="false">IF(Sens!$L$3300&gt;0,Sens!$L$3301/Sens!$L$3300,Sens!$L$3297)</f>
        <v>11.4342082758495</v>
      </c>
      <c r="M3303" s="36" t="n">
        <f aca="false">IF(Sens!$M$3300&gt;0,Sens!$M$3301/Sens!$M$3300,Sens!$M$3297)</f>
        <v>11.4529363877722</v>
      </c>
    </row>
    <row r="3304" customFormat="false" ht="17.15" hidden="false" customHeight="false" outlineLevel="0" collapsed="false">
      <c r="A3304" s="5" t="s">
        <v>569</v>
      </c>
      <c r="B3304" s="0" t="s">
        <v>151</v>
      </c>
      <c r="F3304" s="36" t="n">
        <f aca="false">IF(Sens!$F$3300&gt;0,Sens!$F$3302/Sens!$F$3300,Sens!$F$3298)</f>
        <v>1.98263481314457</v>
      </c>
      <c r="G3304" s="36" t="n">
        <f aca="false">IF(Sens!$G$3300&gt;0,Sens!$G$3302/Sens!$G$3300,Sens!$G$3298)</f>
        <v>1.98263481314457</v>
      </c>
      <c r="H3304" s="36" t="n">
        <f aca="false">IF(Sens!$H$3300&gt;0,Sens!$H$3302/Sens!$H$3300,Sens!$H$3298)</f>
        <v>2.00111160233948</v>
      </c>
      <c r="I3304" s="36" t="n">
        <f aca="false">IF(Sens!$I$3300&gt;0,Sens!$I$3302/Sens!$I$3300,Sens!$I$3298)</f>
        <v>2.01589303369541</v>
      </c>
      <c r="J3304" s="36" t="n">
        <f aca="false">IF(Sens!$J$3300&gt;0,Sens!$J$3302/Sens!$J$3300,Sens!$J$3298)</f>
        <v>2.02222793284795</v>
      </c>
      <c r="K3304" s="36" t="n">
        <f aca="false">IF(Sens!$K$3300&gt;0,Sens!$K$3302/Sens!$K$3300,Sens!$K$3298)</f>
        <v>2.02574732126603</v>
      </c>
      <c r="L3304" s="36" t="n">
        <f aca="false">IF(Sens!$L$3300&gt;0,Sens!$L$3302/Sens!$L$3300,Sens!$L$3298)</f>
        <v>2.02798693207753</v>
      </c>
      <c r="M3304" s="36" t="n">
        <f aca="false">IF(Sens!$M$3300&gt;0,Sens!$M$3302/Sens!$M$3300,Sens!$M$3298)</f>
        <v>2.02953743187011</v>
      </c>
    </row>
    <row r="3305" customFormat="false" ht="17.15" hidden="false" customHeight="false" outlineLevel="0" collapsed="false">
      <c r="A3305" s="14" t="s">
        <v>570</v>
      </c>
      <c r="B3305" s="13" t="s">
        <v>151</v>
      </c>
      <c r="C3305" s="13"/>
      <c r="D3305" s="13"/>
      <c r="E3305" s="13"/>
      <c r="F3305" s="37" t="n">
        <f aca="false">Sens!$F$3303*k_B</f>
        <v>10.7987645808025</v>
      </c>
      <c r="G3305" s="37" t="n">
        <f aca="false">Sens!$G$3303*k_B</f>
        <v>10.7987645808025</v>
      </c>
      <c r="H3305" s="37" t="n">
        <f aca="false">Sens!$H$3303*k_B</f>
        <v>11.0201444540452</v>
      </c>
      <c r="I3305" s="37" t="n">
        <f aca="false">Sens!$I$3303*k_B</f>
        <v>11.1972483526393</v>
      </c>
      <c r="J3305" s="37" t="n">
        <f aca="false">Sens!$J$3303*k_B</f>
        <v>11.2731500234653</v>
      </c>
      <c r="K3305" s="37" t="n">
        <f aca="false">Sens!$K$3303*k_B</f>
        <v>11.3153176183687</v>
      </c>
      <c r="L3305" s="37" t="n">
        <f aca="false">Sens!$L$3303*k_B</f>
        <v>11.3421515423981</v>
      </c>
      <c r="M3305" s="37" t="n">
        <f aca="false">Sens!$M$3303*k_B</f>
        <v>11.3607288744184</v>
      </c>
      <c r="N3305" s="13"/>
      <c r="O3305" s="13"/>
      <c r="P3305" s="5" t="s">
        <v>571</v>
      </c>
    </row>
    <row r="3306" customFormat="false" ht="17.15" hidden="false" customHeight="false" outlineLevel="0" collapsed="false">
      <c r="A3306" s="5" t="s">
        <v>572</v>
      </c>
      <c r="B3306" s="0" t="s">
        <v>108</v>
      </c>
      <c r="F3306" s="33" t="n">
        <f aca="false">Sens!$F$3300/2</f>
        <v>908.575</v>
      </c>
      <c r="H3306" s="33" t="n">
        <f aca="false">(Sens!$G$3300+Sens!$H$3300)/2</f>
        <v>3634.3</v>
      </c>
      <c r="I3306" s="33" t="n">
        <f aca="false">(Sens!$H$3300+Sens!$I$3300)/2</f>
        <v>7268.6</v>
      </c>
      <c r="J3306" s="33" t="n">
        <f aca="false">(Sens!$I$3300+Sens!$J$3300)/2</f>
        <v>10902.9</v>
      </c>
      <c r="K3306" s="33" t="n">
        <f aca="false">(Sens!$J$3300+Sens!$K$3300)/2</f>
        <v>14537.2</v>
      </c>
      <c r="L3306" s="33" t="n">
        <f aca="false">(Sens!$K$3300+Sens!$L$3300)/2</f>
        <v>18171.5</v>
      </c>
      <c r="M3306" s="33" t="n">
        <f aca="false">(Sens!$L$3300+Sens!$M$3300)/2</f>
        <v>21805.8</v>
      </c>
    </row>
    <row r="3307" customFormat="false" ht="17.15" hidden="false" customHeight="false" outlineLevel="0" collapsed="false">
      <c r="A3307" s="1" t="s">
        <v>573</v>
      </c>
    </row>
    <row r="3308" customFormat="false" ht="17.15" hidden="false" customHeight="false" outlineLevel="0" collapsed="false">
      <c r="A3308" s="1" t="s">
        <v>574</v>
      </c>
      <c r="B3308" s="8" t="s">
        <v>73</v>
      </c>
      <c r="C3308" s="38" t="n">
        <f aca="false">Sens!$C$3291*rpm_open*Sens!$C$3292/1000</f>
        <v>2.32100535697364</v>
      </c>
      <c r="D3308" s="38" t="n">
        <f aca="false">Sens!$D$3291*rpm_open*Sens!$D$3292/1000</f>
        <v>8.70377008865116</v>
      </c>
      <c r="E3308" s="38" t="n">
        <f aca="false">Sens!$E$3291*rpm_open*Sens!$E$3292/1000</f>
        <v>8.51035297557002</v>
      </c>
      <c r="F3308" s="38" t="n">
        <f aca="false">(mw_open*rpm_open+Sens!$F$3306*Sens!$F$3305)*Sens!$F$3292/1000</f>
        <v>14.9634336447205</v>
      </c>
      <c r="G3308" s="38" t="n">
        <f aca="false">Sens!$E$3308+Sens!$F$3308</f>
        <v>23.4737866202905</v>
      </c>
      <c r="H3308" s="38" t="n">
        <f aca="false">(mw_open*rpm_open+Sens!$H$3306*Sens!$H$3305)/1000</f>
        <v>60.1658907497746</v>
      </c>
      <c r="I3308" s="38" t="n">
        <f aca="false">(mw_open*rpm_open+Sens!$I$3306*Sens!$I$3305)/1000</f>
        <v>101.503699136432</v>
      </c>
      <c r="J3308" s="38" t="n">
        <f aca="false">(mw_open*rpm_open+Sens!$J$3306*Sens!$J$3305)/1000</f>
        <v>143.025407151278</v>
      </c>
      <c r="K3308" s="38" t="n">
        <f aca="false">(mw_open*rpm_open+Sens!$K$3306*Sens!$K$3305)/1000</f>
        <v>184.608415042187</v>
      </c>
      <c r="L3308" s="38" t="n">
        <f aca="false">(mw_open*rpm_open+Sens!$L$3306*Sens!$L$3305)/1000</f>
        <v>226.219286513125</v>
      </c>
      <c r="M3308" s="38" t="n">
        <f aca="false">(mw_open*rpm_open+Sens!$M$3306*Sens!$M$3305)/1000</f>
        <v>267.845161450232</v>
      </c>
      <c r="N3308" s="38" t="n">
        <f aca="false">Sens!$N$3291*rpm_open*Sens!$N$3292/1000</f>
        <v>3.04631953102791</v>
      </c>
      <c r="O3308" s="38" t="n">
        <f aca="false">Sens!$O$3291*rpm_open*Sens!$O$3292/1000</f>
        <v>5.65745055762326</v>
      </c>
      <c r="P3308" s="5" t="s">
        <v>575</v>
      </c>
    </row>
    <row r="3309" customFormat="false" ht="17.15" hidden="false" customHeight="false" outlineLevel="0" collapsed="false">
      <c r="A3309" s="5" t="s">
        <v>576</v>
      </c>
      <c r="B3309" s="0" t="s">
        <v>151</v>
      </c>
      <c r="C3309" s="36" t="n">
        <f aca="false">Sens!$C$3308*1000/(Sens!$C$3291*Sens!$C$3292)</f>
        <v>9.67085565405685</v>
      </c>
      <c r="D3309" s="36" t="n">
        <f aca="false">Sens!$D$3308*1000/(Sens!$D$3291*Sens!$D$3292)</f>
        <v>9.67085565405685</v>
      </c>
      <c r="E3309" s="36" t="n">
        <f aca="false">Sens!$E$3308*1000/(Sens!$E$3291*Sens!$E$3292)</f>
        <v>9.67085565405685</v>
      </c>
      <c r="F3309" s="36" t="n">
        <f aca="false">Sens!$F$3308*1000/(Sens!$F$3291*Sens!$F$3292)</f>
        <v>10.0137581588017</v>
      </c>
      <c r="G3309" s="36" t="n">
        <f aca="false">Sens!$G$3308*1000/(Sens!$G$3291*Sens!$G$3292)</f>
        <v>9.88666562928478</v>
      </c>
      <c r="H3309" s="36" t="n">
        <f aca="false">Sens!$H$3308*1000/(Sens!$H$3291*Sens!$H$3292)</f>
        <v>10.5290045586992</v>
      </c>
      <c r="I3309" s="36" t="n">
        <f aca="false">Sens!$I$3308*1000/(Sens!$I$3291*Sens!$I$3292)</f>
        <v>10.8576363451674</v>
      </c>
      <c r="J3309" s="36" t="n">
        <f aca="false">Sens!$J$3308*1000/(Sens!$J$3291*Sens!$J$3292)</f>
        <v>11.0164452588619</v>
      </c>
      <c r="K3309" s="36" t="n">
        <f aca="false">Sens!$K$3308*1000/(Sens!$K$3291*Sens!$K$3292)</f>
        <v>11.1094778327388</v>
      </c>
      <c r="L3309" s="36" t="n">
        <f aca="false">Sens!$L$3308*1000/(Sens!$L$3291*Sens!$L$3292)</f>
        <v>11.1704953466718</v>
      </c>
      <c r="M3309" s="36" t="n">
        <f aca="false">Sens!$M$3308*1000/(Sens!$M$3291*Sens!$M$3292)</f>
        <v>11.2135729785158</v>
      </c>
      <c r="N3309" s="36" t="n">
        <f aca="false">Sens!$N$3308*1000/(Sens!$N$3291*Sens!$N$3292)</f>
        <v>9.67085565405685</v>
      </c>
      <c r="O3309" s="36" t="n">
        <f aca="false">Sens!$O$3308*1000/(Sens!$O$3291*Sens!$O$3292)</f>
        <v>9.67085565405685</v>
      </c>
    </row>
    <row r="3310" customFormat="false" ht="17.15" hidden="false" customHeight="false" outlineLevel="0" collapsed="false">
      <c r="A3310" s="0" t="s">
        <v>577</v>
      </c>
      <c r="B3310" s="0" t="s">
        <v>73</v>
      </c>
      <c r="C3310" s="38" t="n">
        <f aca="false">Sens!$C$3291/ext_sh*(ox_open+rent_mw)*Sens!$C$3292/1000</f>
        <v>0.642569210675032</v>
      </c>
      <c r="D3310" s="38" t="n">
        <f aca="false">Sens!$D$3291/ext_sh*(ox_open+rent_mw)*Sens!$D$3292/1000</f>
        <v>2.40963454003137</v>
      </c>
      <c r="E3310" s="38" t="n">
        <f aca="false">Sens!$E$3291/ext_sh*(ox_open+rent_mw)*Sens!$E$3292/1000</f>
        <v>2.35608710580845</v>
      </c>
      <c r="F3310" s="38" t="n">
        <f aca="false">((mw_open*ox_open+Sens!$F$3306*Sens!$F$3304)/ext_sh+Sens!$F$3291/ext_sh*rent_mw)*Sens!$F$3292/1000</f>
        <v>4.05421991106232</v>
      </c>
      <c r="G3310" s="38" t="n">
        <f aca="false">Sens!$E$3310+Sens!$F$3310</f>
        <v>6.41030701687077</v>
      </c>
      <c r="H3310" s="38" t="n">
        <f aca="false">((mw_open*ox_open+Sens!$H$3306*Sens!$H$3304)/ext_sh+Sens!$H$3291/ext_sh*rent_mw)*Sens!$H$3292/1000</f>
        <v>15.8108975546616</v>
      </c>
      <c r="I3310" s="38" t="n">
        <f aca="false">((mw_open*ox_open+Sens!$I$3306*Sens!$I$3304)/ext_sh+Sens!$I$3291/ext_sh*rent_mw)*Sens!$I$3292/1000</f>
        <v>26.1871623400817</v>
      </c>
      <c r="J3310" s="38" t="n">
        <f aca="false">((mw_open*ox_open+Sens!$J$3306*Sens!$J$3304)/ext_sh+Sens!$J$3291/ext_sh*rent_mw)*Sens!$J$3292/1000</f>
        <v>36.5826128954935</v>
      </c>
      <c r="K3310" s="38" t="n">
        <f aca="false">((mw_open*ox_open+Sens!$K$3306*Sens!$K$3304)/ext_sh+Sens!$K$3291/ext_sh*rent_mw)*Sens!$K$3292/1000</f>
        <v>46.9844587075692</v>
      </c>
      <c r="L3310" s="38" t="n">
        <f aca="false">((mw_open*ox_open+Sens!$L$3306*Sens!$L$3304)/ext_sh+Sens!$L$3291/ext_sh*rent_mw)*Sens!$L$3292/1000</f>
        <v>57.3892114544922</v>
      </c>
      <c r="M3310" s="38" t="n">
        <f aca="false">((mw_open*ox_open+Sens!$M$3306*Sens!$M$3304)/ext_sh+Sens!$M$3291/ext_sh*rent_mw)*Sens!$M$3292/1000</f>
        <v>67.7955294740252</v>
      </c>
      <c r="N3310" s="38" t="n">
        <f aca="false">Sens!$N$3291/ext_sh*(ox_open+rent_mw)*Sens!$N$3292/1000</f>
        <v>0.84337208901098</v>
      </c>
      <c r="O3310" s="38" t="n">
        <f aca="false">Sens!$O$3291/ext_sh*(ox_open+rent_mw)*Sens!$O$3292/1000</f>
        <v>1.56626245102039</v>
      </c>
    </row>
    <row r="3311" customFormat="false" ht="17.15" hidden="false" customHeight="false" outlineLevel="0" collapsed="false">
      <c r="A3311" s="0" t="s">
        <v>578</v>
      </c>
      <c r="B3311" s="0" t="s">
        <v>73</v>
      </c>
      <c r="C3311" s="38" t="n">
        <f aca="false">Q!$D$7</f>
        <v>107.556</v>
      </c>
      <c r="D3311" s="38" t="n">
        <f aca="false">Q!$E$7</f>
        <v>128.725</v>
      </c>
      <c r="E3311" s="38" t="n">
        <f aca="false">Q!$P$7</f>
        <v>79.819</v>
      </c>
      <c r="N3311" s="38" t="n">
        <f aca="false">Q!$N$7</f>
        <v>60.14</v>
      </c>
      <c r="O3311" s="38" t="n">
        <f aca="false">Q!$O$7</f>
        <v>68.585</v>
      </c>
    </row>
    <row r="3312" customFormat="false" ht="17.15" hidden="false" customHeight="false" outlineLevel="0" collapsed="false">
      <c r="A3312" s="1" t="s">
        <v>579</v>
      </c>
      <c r="B3312" s="8" t="s">
        <v>73</v>
      </c>
      <c r="C3312" s="38" t="n">
        <f aca="false">Sens!$C$3311-Sens!$C$3308</f>
        <v>105.234994643026</v>
      </c>
      <c r="D3312" s="38" t="n">
        <f aca="false">Sens!$D$3311-Sens!$D$3308</f>
        <v>120.021229911349</v>
      </c>
      <c r="E3312" s="38" t="n">
        <f aca="false">Sens!$E$3311-Sens!$E$3308</f>
        <v>71.30864702443</v>
      </c>
      <c r="F3312" s="38" t="n">
        <f aca="false">Sens!$O$3312*(1+Sens!$F$3313)</f>
        <v>78.5950104186653</v>
      </c>
      <c r="G3312" s="38" t="n">
        <f aca="false">Sens!$E$3312+Sens!$F$3312</f>
        <v>149.903657443095</v>
      </c>
      <c r="H3312" s="38" t="n">
        <f aca="false">Sens!$G$3312*(1+Sens!$H$3313)</f>
        <v>180.893560768142</v>
      </c>
      <c r="I3312" s="38" t="n">
        <f aca="false">Sens!$H$3312*(1+Sens!$I$3313)</f>
        <v>210.64839721501</v>
      </c>
      <c r="J3312" s="38" t="n">
        <f aca="false">Sens!$I$3312*(1+Sens!$J$3313)</f>
        <v>236.398909446495</v>
      </c>
      <c r="K3312" s="38" t="n">
        <f aca="false">Sens!$J$3312*(1+Sens!$K$3313)</f>
        <v>255.310822202215</v>
      </c>
      <c r="L3312" s="38" t="n">
        <f aca="false">Sens!$K$3312*(1+Sens!$L$3313)</f>
        <v>275.735687978392</v>
      </c>
      <c r="M3312" s="38" t="n">
        <f aca="false">Sens!$L$3312*(1+Sens!$M$3313)</f>
        <v>297.794543016663</v>
      </c>
      <c r="N3312" s="38" t="n">
        <f aca="false">Sens!$N$3311-Sens!$N$3308</f>
        <v>57.0936804689721</v>
      </c>
      <c r="O3312" s="38" t="n">
        <f aca="false">Sens!$O$3311-Sens!$O$3308</f>
        <v>62.9275494423768</v>
      </c>
      <c r="P3312" s="5" t="s">
        <v>580</v>
      </c>
    </row>
    <row r="3313" customFormat="false" ht="17.15" hidden="false" customHeight="false" outlineLevel="0" collapsed="false">
      <c r="A3313" s="0" t="s">
        <v>581</v>
      </c>
      <c r="B3313" s="0" t="s">
        <v>52</v>
      </c>
      <c r="E3313" s="12" t="n">
        <f aca="false">Sens!$E$3312/Sens!$N$3312-1</f>
        <v>0.248976181579029</v>
      </c>
      <c r="F3313" s="12" t="n">
        <f aca="false">Sens!$E$3313</f>
        <v>0.248976181579029</v>
      </c>
      <c r="G3313" s="12" t="n">
        <f aca="false">Sens!$G$3312/Sens!$D$3312-1</f>
        <v>0.248976181579029</v>
      </c>
      <c r="H3313" s="12" t="n">
        <f aca="false">Sens!$E$3313+(g_awso_lt-Sens!$E$3313)*1/4</f>
        <v>0.206732136184272</v>
      </c>
      <c r="I3313" s="12" t="n">
        <f aca="false">Sens!$E$3313+(g_awso_lt-Sens!$E$3313)*2/4</f>
        <v>0.164488090789515</v>
      </c>
      <c r="J3313" s="12" t="n">
        <f aca="false">Sens!$E$3313+(g_awso_lt-Sens!$E$3313)*3/4</f>
        <v>0.122244045394757</v>
      </c>
      <c r="K3313" s="12" t="n">
        <f aca="false">Sens!$E$3313+(g_awso_lt-Sens!$E$3313)*4/4</f>
        <v>0.08</v>
      </c>
      <c r="L3313" s="12" t="n">
        <f aca="false">g_awso_lt</f>
        <v>0.08</v>
      </c>
      <c r="M3313" s="12" t="n">
        <f aca="false">g_awso_lt</f>
        <v>0.08</v>
      </c>
      <c r="P3313" s="8" t="s">
        <v>582</v>
      </c>
    </row>
    <row r="3314" customFormat="false" ht="17.15" hidden="false" customHeight="false" outlineLevel="0" collapsed="false">
      <c r="A3314" s="1" t="s">
        <v>583</v>
      </c>
    </row>
    <row r="3315" customFormat="false" ht="17.15" hidden="false" customHeight="false" outlineLevel="0" collapsed="false">
      <c r="A3315" s="0" t="s">
        <v>584</v>
      </c>
      <c r="B3315" s="0" t="s">
        <v>73</v>
      </c>
      <c r="F3315" s="38" t="n">
        <f aca="false">cx_rt*Sens!$F$3281+cx_awso*Sens!$F$3312</f>
        <v>36.8045765066526</v>
      </c>
    </row>
    <row r="3316" customFormat="false" ht="17.15" hidden="false" customHeight="false" outlineLevel="0" collapsed="false">
      <c r="A3316" s="0" t="s">
        <v>585</v>
      </c>
      <c r="B3316" s="0" t="s">
        <v>52</v>
      </c>
      <c r="C3316" s="12" t="n">
        <f aca="false">tk_cx_h100/(tk_cx_h100+tk_fac*(1-colo_sh))</f>
        <v>0.730756458006641</v>
      </c>
      <c r="D3316" s="12" t="n">
        <f aca="false">tk_cx_h100/(tk_cx_h100+tk_fac*(1-colo_sh))</f>
        <v>0.730756458006641</v>
      </c>
      <c r="E3316" s="12" t="n">
        <f aca="false">Sens!$F$3316</f>
        <v>0.760792334328868</v>
      </c>
      <c r="F3316" s="12" t="n">
        <f aca="false">Sens!$F$3299/(Sens!$F$3299+tk_fac*(1-colo_sh))</f>
        <v>0.760792334328868</v>
      </c>
      <c r="G3316" s="12" t="n">
        <f aca="false">Sens!$G$3299/(Sens!$G$3299+tk_fac*(1-colo_sh))</f>
        <v>0.760792334328868</v>
      </c>
      <c r="H3316" s="12" t="n">
        <f aca="false">Sens!$H$3299/(Sens!$H$3299+tk_fac*(1-colo_sh))</f>
        <v>0.768110668862996</v>
      </c>
      <c r="I3316" s="12" t="n">
        <f aca="false">Sens!$I$3299/(Sens!$I$3299+tk_fac*(1-colo_sh))</f>
        <v>0.77499450139483</v>
      </c>
      <c r="J3316" s="12" t="n">
        <f aca="false">Sens!$J$3299/(Sens!$J$3299+tk_fac*(1-colo_sh))</f>
        <v>0.77499450139483</v>
      </c>
      <c r="K3316" s="12" t="n">
        <f aca="false">Sens!$K$3299/(Sens!$K$3299+tk_fac*(1-colo_sh))</f>
        <v>0.77499450139483</v>
      </c>
      <c r="L3316" s="12" t="n">
        <f aca="false">Sens!$L$3299/(Sens!$L$3299+tk_fac*(1-colo_sh))</f>
        <v>0.77499450139483</v>
      </c>
      <c r="M3316" s="12" t="n">
        <f aca="false">Sens!$M$3299/(Sens!$M$3299+tk_fac*(1-colo_sh))</f>
        <v>0.77499450139483</v>
      </c>
    </row>
    <row r="3317" customFormat="false" ht="17.15" hidden="false" customHeight="false" outlineLevel="0" collapsed="false">
      <c r="A3317" s="1" t="s">
        <v>586</v>
      </c>
      <c r="B3317" s="8" t="s">
        <v>73</v>
      </c>
      <c r="C3317" s="38" t="n">
        <f aca="false">Q!$D$46-cx_rt*Q!$D$16-cx_awso*Sens!$C$3312</f>
        <v>25.2781053077374</v>
      </c>
      <c r="D3317" s="38" t="n">
        <f aca="false">Q!$E$46-cx_rt*Q!$E$16-cx_awso*Sens!$D$3312</f>
        <v>69.5686316310026</v>
      </c>
      <c r="E3317" s="38" t="n">
        <f aca="false">Q!$P$46-cx_rt*Q!$P$16-cx_awso*Sens!$E$3312</f>
        <v>64.1899206485108</v>
      </c>
      <c r="F3317" s="38" t="n">
        <f aca="false">MAX(Sens!$F$3294*(Sens!$F$3299+tk_fac*(1-colo_sh))/1000,capex_g26-Q!$P$46-Sens!$F$3315)</f>
        <v>96.2481299895</v>
      </c>
      <c r="G3317" s="38" t="n">
        <f aca="false">Sens!$E$3317+Sens!$F$3317</f>
        <v>160.438050638011</v>
      </c>
      <c r="H3317" s="38" t="n">
        <f aca="false">Sens!$H$3294*(Sens!$H$3299+tk_fac*(1-colo_sh))/1000+Sens!$H$3318</f>
        <v>198.57136494475</v>
      </c>
      <c r="I3317" s="38" t="n">
        <f aca="false">Sens!$I$3294*(Sens!$I$3299+tk_fac*(1-colo_sh))/1000+Sens!$I$3318</f>
        <v>204.6464699105</v>
      </c>
      <c r="J3317" s="38" t="n">
        <f aca="false">Sens!$J$3294*(Sens!$J$3299+tk_fac*(1-colo_sh))/1000+Sens!$J$3318</f>
        <v>209.8832381105</v>
      </c>
      <c r="K3317" s="38" t="n">
        <f aca="false">Sens!$K$3294*(Sens!$K$3299+tk_fac*(1-colo_sh))/1000+Sens!$K$3318</f>
        <v>215.1200063105</v>
      </c>
      <c r="L3317" s="38" t="n">
        <f aca="false">Sens!$L$3294*(Sens!$L$3299+tk_fac*(1-colo_sh))/1000+Sens!$L$3318</f>
        <v>251.7773837105</v>
      </c>
      <c r="M3317" s="38" t="n">
        <f aca="false">Sens!$M$3294*(Sens!$M$3299+tk_fac*(1-colo_sh))/1000+Sens!$M$3318</f>
        <v>311.87584476575</v>
      </c>
      <c r="P3317" s="5" t="s">
        <v>587</v>
      </c>
      <c r="R3317" s="38" t="n">
        <f aca="false">Q!$C$46-cx_rt*Q!$C$16-cx_awso*(Q!$C$7-mw_ye23/2*rpm_open/1000)</f>
        <v>1.50429979529945</v>
      </c>
      <c r="S3317" s="38" t="n">
        <f aca="false">Sens!$C$3317</f>
        <v>25.2781053077374</v>
      </c>
      <c r="T3317" s="38" t="n">
        <f aca="false">Sens!$D$3317</f>
        <v>69.5686316310026</v>
      </c>
      <c r="U3317" s="38" t="n">
        <f aca="false">Sens!$G$3317</f>
        <v>160.438050638011</v>
      </c>
      <c r="V3317" s="38" t="n">
        <f aca="false">Sens!$H$3317</f>
        <v>198.57136494475</v>
      </c>
      <c r="W3317" s="38" t="n">
        <f aca="false">Sens!$I$3317</f>
        <v>204.6464699105</v>
      </c>
      <c r="X3317" s="38" t="n">
        <f aca="false">Sens!$J$3317</f>
        <v>209.8832381105</v>
      </c>
      <c r="Y3317" s="38" t="n">
        <f aca="false">Sens!$K$3317</f>
        <v>215.1200063105</v>
      </c>
      <c r="Z3317" s="38" t="n">
        <f aca="false">Sens!$L$3317</f>
        <v>251.7773837105</v>
      </c>
      <c r="AA3317" s="38" t="n">
        <f aca="false">Sens!$M$3317</f>
        <v>311.87584476575</v>
      </c>
    </row>
    <row r="3318" customFormat="false" ht="17.15" hidden="false" customHeight="false" outlineLevel="0" collapsed="false">
      <c r="A3318" s="0" t="s">
        <v>588</v>
      </c>
      <c r="B3318" s="0" t="s">
        <v>73</v>
      </c>
      <c r="H3318" s="38" t="n">
        <f aca="false">SUMPRODUCT(--(Sens!$R$3288:$AA$3288=2027-tk_life),Sens!$R$3294:$AA$3294)*Sens!$H$3299/1000</f>
        <v>0</v>
      </c>
      <c r="I3318" s="38" t="n">
        <f aca="false">SUMPRODUCT(--(Sens!$R$3288:$AA$3288=2028-tk_life),Sens!$R$3294:$AA$3294)*Sens!$I$3299/1000</f>
        <v>0</v>
      </c>
      <c r="J3318" s="38" t="n">
        <f aca="false">SUMPRODUCT(--(Sens!$R$3288:$AA$3288=2029-tk_life),Sens!$R$3294:$AA$3294)*Sens!$J$3299/1000</f>
        <v>5.2367682</v>
      </c>
      <c r="K3318" s="38" t="n">
        <f aca="false">SUMPRODUCT(--(Sens!$R$3288:$AA$3288=2030-tk_life),Sens!$R$3294:$AA$3294)*Sens!$K$3299/1000</f>
        <v>10.4735364</v>
      </c>
      <c r="L3318" s="38" t="n">
        <f aca="false">SUMPRODUCT(--(Sens!$R$3288:$AA$3288=2031-tk_life),Sens!$R$3294:$AA$3294)*Sens!$L$3299/1000</f>
        <v>47.1309138</v>
      </c>
      <c r="M3318" s="38" t="n">
        <f aca="false">SUMPRODUCT(--(Sens!$R$3288:$AA$3288=2032-tk_life),Sens!$R$3294:$AA$3294)*Sens!$M$3299/1000</f>
        <v>107.22937485525</v>
      </c>
    </row>
    <row r="3319" customFormat="false" ht="17.15" hidden="false" customHeight="false" outlineLevel="0" collapsed="false">
      <c r="A3319" s="5" t="s">
        <v>589</v>
      </c>
      <c r="B3319" s="0" t="s">
        <v>73</v>
      </c>
      <c r="C3319" s="38" t="n">
        <f aca="false">Sens!$C$3317*Sens!$C$3316</f>
        <v>18.472138699801</v>
      </c>
      <c r="D3319" s="38" t="n">
        <f aca="false">Sens!$D$3317*Sens!$D$3316</f>
        <v>50.8377268390402</v>
      </c>
      <c r="E3319" s="38" t="n">
        <f aca="false">Sens!$E$3317*Sens!$E$3316</f>
        <v>48.8351995705653</v>
      </c>
      <c r="F3319" s="38" t="n">
        <f aca="false">Sens!$F$3317*Sens!$F$3316</f>
        <v>73.2248394895</v>
      </c>
      <c r="G3319" s="38" t="n">
        <f aca="false">Sens!$E$3319+Sens!$F$3319</f>
        <v>122.060039060065</v>
      </c>
      <c r="H3319" s="38" t="n">
        <f aca="false">(Sens!$H$3317-Sens!$H$3318)*Sens!$H$3316+Sens!$H$3318</f>
        <v>152.52478394475</v>
      </c>
      <c r="I3319" s="38" t="n">
        <f aca="false">(Sens!$I$3317-Sens!$I$3318)*Sens!$I$3316+Sens!$I$3318</f>
        <v>158.5998889105</v>
      </c>
      <c r="J3319" s="38" t="n">
        <f aca="false">(Sens!$J$3317-Sens!$J$3318)*Sens!$J$3316+Sens!$J$3318</f>
        <v>163.8366571105</v>
      </c>
      <c r="K3319" s="38" t="n">
        <f aca="false">(Sens!$K$3317-Sens!$K$3318)*Sens!$K$3316+Sens!$K$3318</f>
        <v>169.0734253105</v>
      </c>
      <c r="L3319" s="38" t="n">
        <f aca="false">(Sens!$L$3317-Sens!$L$3318)*Sens!$L$3316+Sens!$L$3318</f>
        <v>205.7308027105</v>
      </c>
      <c r="M3319" s="38" t="n">
        <f aca="false">(Sens!$M$3317-Sens!$M$3318)*Sens!$M$3316+Sens!$M$3318</f>
        <v>265.82926376575</v>
      </c>
      <c r="R3319" s="38" t="n">
        <f aca="false">Sens!$R$3317*Sens!$C$3316</f>
        <v>1.09927679019314</v>
      </c>
      <c r="S3319" s="38" t="n">
        <f aca="false">Sens!$C$3319</f>
        <v>18.472138699801</v>
      </c>
      <c r="T3319" s="38" t="n">
        <f aca="false">Sens!$D$3319</f>
        <v>50.8377268390402</v>
      </c>
      <c r="U3319" s="38" t="n">
        <f aca="false">Sens!$G$3319</f>
        <v>122.060039060065</v>
      </c>
      <c r="V3319" s="38" t="n">
        <f aca="false">Sens!$H$3319</f>
        <v>152.52478394475</v>
      </c>
      <c r="W3319" s="38" t="n">
        <f aca="false">Sens!$I$3319</f>
        <v>158.5998889105</v>
      </c>
      <c r="X3319" s="38" t="n">
        <f aca="false">Sens!$J$3319</f>
        <v>163.8366571105</v>
      </c>
      <c r="Y3319" s="38" t="n">
        <f aca="false">Sens!$K$3319</f>
        <v>169.0734253105</v>
      </c>
      <c r="Z3319" s="38" t="n">
        <f aca="false">Sens!$L$3319</f>
        <v>205.7308027105</v>
      </c>
      <c r="AA3319" s="38" t="n">
        <f aca="false">Sens!$M$3319</f>
        <v>265.82926376575</v>
      </c>
    </row>
    <row r="3320" customFormat="false" ht="15" hidden="false" customHeight="false" outlineLevel="0" collapsed="false">
      <c r="A3320" s="5" t="s">
        <v>590</v>
      </c>
      <c r="B3320" s="0" t="s">
        <v>73</v>
      </c>
      <c r="C3320" s="38" t="n">
        <f aca="false">Sens!$C$3317-Sens!$C$3319</f>
        <v>6.80596660793636</v>
      </c>
      <c r="D3320" s="38" t="n">
        <f aca="false">Sens!$D$3317-Sens!$D$3319</f>
        <v>18.7309047919624</v>
      </c>
      <c r="E3320" s="38" t="n">
        <f aca="false">Sens!$E$3317-Sens!$E$3319</f>
        <v>15.3547210779455</v>
      </c>
      <c r="F3320" s="38" t="n">
        <f aca="false">Sens!$F$3317-Sens!$F$3319</f>
        <v>23.0232905</v>
      </c>
      <c r="G3320" s="38" t="n">
        <f aca="false">Sens!$G$3317-Sens!$G$3319</f>
        <v>38.3780115779455</v>
      </c>
      <c r="H3320" s="38" t="n">
        <f aca="false">Sens!$H$3317-Sens!$H$3319</f>
        <v>46.046581</v>
      </c>
      <c r="I3320" s="38" t="n">
        <f aca="false">Sens!$I$3317-Sens!$I$3319</f>
        <v>46.046581</v>
      </c>
      <c r="J3320" s="38" t="n">
        <f aca="false">Sens!$J$3317-Sens!$J$3319</f>
        <v>46.046581</v>
      </c>
      <c r="K3320" s="38" t="n">
        <f aca="false">Sens!$K$3317-Sens!$K$3319</f>
        <v>46.046581</v>
      </c>
      <c r="L3320" s="38" t="n">
        <f aca="false">Sens!$L$3317-Sens!$L$3319</f>
        <v>46.046581</v>
      </c>
      <c r="M3320" s="38" t="n">
        <f aca="false">Sens!$M$3317-Sens!$M$3319</f>
        <v>46.046581</v>
      </c>
      <c r="R3320" s="38" t="n">
        <f aca="false">Sens!$R$3317-Sens!$R$3319</f>
        <v>0.405023005106309</v>
      </c>
      <c r="S3320" s="38" t="n">
        <f aca="false">Sens!$S$3317-Sens!$S$3319</f>
        <v>6.80596660793636</v>
      </c>
      <c r="T3320" s="38" t="n">
        <f aca="false">Sens!$T$3317-Sens!$T$3319</f>
        <v>18.7309047919624</v>
      </c>
      <c r="U3320" s="38" t="n">
        <f aca="false">Sens!$U$3317-Sens!$U$3319</f>
        <v>38.3780115779455</v>
      </c>
      <c r="V3320" s="38" t="n">
        <f aca="false">Sens!$V$3317-Sens!$V$3319</f>
        <v>46.046581</v>
      </c>
      <c r="W3320" s="38" t="n">
        <f aca="false">Sens!$W$3317-Sens!$W$3319</f>
        <v>46.046581</v>
      </c>
      <c r="X3320" s="38" t="n">
        <f aca="false">Sens!$X$3317-Sens!$X$3319</f>
        <v>46.046581</v>
      </c>
      <c r="Y3320" s="38" t="n">
        <f aca="false">Sens!$Y$3317-Sens!$Y$3319</f>
        <v>46.046581</v>
      </c>
      <c r="Z3320" s="38" t="n">
        <f aca="false">Sens!$Z$3317-Sens!$Z$3319</f>
        <v>46.046581</v>
      </c>
      <c r="AA3320" s="38" t="n">
        <f aca="false">Sens!$AA$3317-Sens!$AA$3319</f>
        <v>46.046581</v>
      </c>
    </row>
    <row r="3321" customFormat="false" ht="17.15" hidden="false" customHeight="false" outlineLevel="0" collapsed="false">
      <c r="A3321" s="0" t="s">
        <v>591</v>
      </c>
      <c r="B3321" s="0" t="s">
        <v>52</v>
      </c>
      <c r="C3321" s="12" t="n">
        <f aca="false">Sens!$C$3317/Sens!$C$3433</f>
        <v>0.325505489553393</v>
      </c>
      <c r="D3321" s="12" t="n">
        <f aca="false">Sens!$D$3317/Sens!$D$3433</f>
        <v>0.54214956071542</v>
      </c>
      <c r="E3321" s="12" t="n">
        <f aca="false">Sens!$E$3317/Sens!$E$3433</f>
        <v>0.666492790452817</v>
      </c>
      <c r="F3321" s="12" t="n">
        <f aca="false">Sens!$F$3317/Sens!$F$3433</f>
        <v>0.723383481058938</v>
      </c>
      <c r="G3321" s="12" t="n">
        <f aca="false">Sens!$G$3317/Sens!$G$3433</f>
        <v>0.699494931364102</v>
      </c>
      <c r="H3321" s="12" t="n">
        <f aca="false">Sens!$H$3317/Sens!$H$3433</f>
        <v>0.714619350171483</v>
      </c>
      <c r="I3321" s="12" t="n">
        <f aca="false">Sens!$I$3317/Sens!$I$3433</f>
        <v>0.696231624961614</v>
      </c>
      <c r="J3321" s="12" t="n">
        <f aca="false">Sens!$J$3317/Sens!$J$3433</f>
        <v>0.681286352509885</v>
      </c>
      <c r="K3321" s="12" t="n">
        <f aca="false">Sens!$K$3317/Sens!$K$3433</f>
        <v>0.671440649805508</v>
      </c>
      <c r="L3321" s="12" t="n">
        <f aca="false">Sens!$L$3317/Sens!$L$3433</f>
        <v>0.6904509846562</v>
      </c>
      <c r="M3321" s="12" t="n">
        <f aca="false">Sens!$M$3317/Sens!$M$3433</f>
        <v>0.720362080285865</v>
      </c>
    </row>
    <row r="3322" customFormat="false" ht="17.15" hidden="false" customHeight="false" outlineLevel="0" collapsed="false">
      <c r="A3322" s="0" t="s">
        <v>592</v>
      </c>
      <c r="B3322" s="0" t="s">
        <v>73</v>
      </c>
      <c r="C3322" s="38" t="n">
        <f aca="false">Sens!$S$3322</f>
        <v>0.183212798365523</v>
      </c>
      <c r="D3322" s="38" t="n">
        <f aca="false">Sens!$T$3322</f>
        <v>3.2619025816657</v>
      </c>
      <c r="E3322" s="38" t="n">
        <f aca="false">Sens!$G$3322/2</f>
        <v>5.86742852741953</v>
      </c>
      <c r="F3322" s="38" t="n">
        <f aca="false">Sens!$G$3322/2</f>
        <v>5.86742852741953</v>
      </c>
      <c r="G3322" s="38" t="n">
        <f aca="false">Sens!$U$3322</f>
        <v>11.7348570548391</v>
      </c>
      <c r="H3322" s="38" t="n">
        <f aca="false">Sens!$V$3322</f>
        <v>32.0781968981833</v>
      </c>
      <c r="I3322" s="38" t="n">
        <f aca="false">Sens!$W$3322</f>
        <v>57.4989942223083</v>
      </c>
      <c r="J3322" s="38" t="n">
        <f aca="false">Sens!$X$3322</f>
        <v>83.932309040725</v>
      </c>
      <c r="K3322" s="38" t="n">
        <f aca="false">Sens!$Y$3322</f>
        <v>111.055205760776</v>
      </c>
      <c r="L3322" s="38" t="n">
        <f aca="false">Sens!$Z$3322</f>
        <v>136.155420195893</v>
      </c>
      <c r="M3322" s="38" t="n">
        <f aca="false">Sens!$AA$3322</f>
        <v>161.970932841136</v>
      </c>
      <c r="N3322" s="38" t="n">
        <f aca="false">Sens!$D$3322/2</f>
        <v>1.63095129083285</v>
      </c>
      <c r="O3322" s="38" t="n">
        <f aca="false">Sens!$D$3322/2</f>
        <v>1.63095129083285</v>
      </c>
      <c r="R3322" s="38" t="n">
        <f aca="false">SUMPRODUCT(--(Sens!$R$3288:$AA$3288&lt;Sens!R$3288),--(Sens!$R$3288:$AA$3288&gt;=Sens!R$3288-tk_life),Sens!$R$3319:$AA$3319)/tk_life</f>
        <v>0</v>
      </c>
      <c r="S3322" s="38" t="n">
        <f aca="false">SUMPRODUCT(--(Sens!$R$3288:$AA$3288&lt;Sens!S$3288),--(Sens!$R$3288:$AA$3288&gt;=Sens!S$3288-tk_life),Sens!$R$3319:$AA$3319)/tk_life</f>
        <v>0.183212798365523</v>
      </c>
      <c r="T3322" s="38" t="n">
        <f aca="false">SUMPRODUCT(--(Sens!$R$3288:$AA$3288&lt;Sens!T$3288),--(Sens!$R$3288:$AA$3288&gt;=Sens!T$3288-tk_life),Sens!$R$3319:$AA$3319)/tk_life</f>
        <v>3.2619025816657</v>
      </c>
      <c r="U3322" s="38" t="n">
        <f aca="false">SUMPRODUCT(--(Sens!$R$3288:$AA$3288&lt;Sens!U$3288),--(Sens!$R$3288:$AA$3288&gt;=Sens!U$3288-tk_life),Sens!$R$3319:$AA$3319)/tk_life</f>
        <v>11.7348570548391</v>
      </c>
      <c r="V3322" s="38" t="n">
        <f aca="false">SUMPRODUCT(--(Sens!$R$3288:$AA$3288&lt;Sens!V$3288),--(Sens!$R$3288:$AA$3288&gt;=Sens!V$3288-tk_life),Sens!$R$3319:$AA$3319)/tk_life</f>
        <v>32.0781968981833</v>
      </c>
      <c r="W3322" s="38" t="n">
        <f aca="false">SUMPRODUCT(--(Sens!$R$3288:$AA$3288&lt;Sens!W$3288),--(Sens!$R$3288:$AA$3288&gt;=Sens!W$3288-tk_life),Sens!$R$3319:$AA$3319)/tk_life</f>
        <v>57.4989942223083</v>
      </c>
      <c r="X3322" s="38" t="n">
        <f aca="false">SUMPRODUCT(--(Sens!$R$3288:$AA$3288&lt;Sens!X$3288),--(Sens!$R$3288:$AA$3288&gt;=Sens!X$3288-tk_life),Sens!$R$3319:$AA$3319)/tk_life</f>
        <v>83.932309040725</v>
      </c>
      <c r="Y3322" s="38" t="n">
        <f aca="false">SUMPRODUCT(--(Sens!$R$3288:$AA$3288&lt;Sens!Y$3288),--(Sens!$R$3288:$AA$3288&gt;=Sens!Y$3288-tk_life),Sens!$R$3319:$AA$3319)/tk_life</f>
        <v>111.055205760776</v>
      </c>
      <c r="Z3322" s="38" t="n">
        <f aca="false">SUMPRODUCT(--(Sens!$R$3288:$AA$3288&lt;Sens!Z$3288),--(Sens!$R$3288:$AA$3288&gt;=Sens!Z$3288-tk_life),Sens!$R$3319:$AA$3319)/tk_life</f>
        <v>136.155420195893</v>
      </c>
      <c r="AA3322" s="38" t="n">
        <f aca="false">SUMPRODUCT(--(Sens!$R$3288:$AA$3288&lt;Sens!AA$3288),--(Sens!$R$3288:$AA$3288&gt;=Sens!AA$3288-tk_life),Sens!$R$3319:$AA$3319)/tk_life</f>
        <v>161.970932841136</v>
      </c>
    </row>
    <row r="3323" customFormat="false" ht="17.15" hidden="false" customHeight="false" outlineLevel="0" collapsed="false">
      <c r="A3323" s="0" t="s">
        <v>593</v>
      </c>
      <c r="B3323" s="0" t="s">
        <v>73</v>
      </c>
      <c r="C3323" s="38" t="n">
        <f aca="false">Sens!$S$3323</f>
        <v>0.0202511502553155</v>
      </c>
      <c r="D3323" s="38" t="n">
        <f aca="false">Sens!$T$3323</f>
        <v>0.360549480652134</v>
      </c>
      <c r="E3323" s="38" t="n">
        <f aca="false">Sens!$G$3323/2</f>
        <v>0.648547360125127</v>
      </c>
      <c r="F3323" s="38" t="n">
        <f aca="false">Sens!$G$3323/2</f>
        <v>0.648547360125127</v>
      </c>
      <c r="G3323" s="38" t="n">
        <f aca="false">Sens!$U$3323</f>
        <v>1.29709472025025</v>
      </c>
      <c r="H3323" s="38" t="n">
        <f aca="false">Sens!$V$3323</f>
        <v>3.21599529914753</v>
      </c>
      <c r="I3323" s="38" t="n">
        <f aca="false">Sens!$W$3323</f>
        <v>5.51832434914753</v>
      </c>
      <c r="J3323" s="38" t="n">
        <f aca="false">Sens!$X$3323</f>
        <v>7.82065339914753</v>
      </c>
      <c r="K3323" s="38" t="n">
        <f aca="false">Sens!$Y$3323</f>
        <v>10.1229824491475</v>
      </c>
      <c r="L3323" s="38" t="n">
        <f aca="false">Sens!$Z$3323</f>
        <v>12.4253114991475</v>
      </c>
      <c r="M3323" s="38" t="n">
        <f aca="false">Sens!$AA$3323</f>
        <v>14.7276405491475</v>
      </c>
      <c r="N3323" s="38" t="n">
        <f aca="false">Sens!$D$3323/2</f>
        <v>0.180274740326067</v>
      </c>
      <c r="O3323" s="38" t="n">
        <f aca="false">Sens!$D$3323/2</f>
        <v>0.180274740326067</v>
      </c>
      <c r="R3323" s="38" t="n">
        <f aca="false">SUMPRODUCT(--(Sens!$R$3288:$AA$3288&lt;Sens!R$3288),Sens!$R$3320:$AA$3320)/fac_life</f>
        <v>0</v>
      </c>
      <c r="S3323" s="38" t="n">
        <f aca="false">SUMPRODUCT(--(Sens!$R$3288:$AA$3288&lt;Sens!S$3288),Sens!$R$3320:$AA$3320)/fac_life</f>
        <v>0.0202511502553155</v>
      </c>
      <c r="T3323" s="38" t="n">
        <f aca="false">SUMPRODUCT(--(Sens!$R$3288:$AA$3288&lt;Sens!T$3288),Sens!$R$3320:$AA$3320)/fac_life</f>
        <v>0.360549480652134</v>
      </c>
      <c r="U3323" s="38" t="n">
        <f aca="false">SUMPRODUCT(--(Sens!$R$3288:$AA$3288&lt;Sens!U$3288),Sens!$R$3320:$AA$3320)/fac_life</f>
        <v>1.29709472025025</v>
      </c>
      <c r="V3323" s="38" t="n">
        <f aca="false">SUMPRODUCT(--(Sens!$R$3288:$AA$3288&lt;Sens!V$3288),Sens!$R$3320:$AA$3320)/fac_life</f>
        <v>3.21599529914753</v>
      </c>
      <c r="W3323" s="38" t="n">
        <f aca="false">SUMPRODUCT(--(Sens!$R$3288:$AA$3288&lt;Sens!W$3288),Sens!$R$3320:$AA$3320)/fac_life</f>
        <v>5.51832434914753</v>
      </c>
      <c r="X3323" s="38" t="n">
        <f aca="false">SUMPRODUCT(--(Sens!$R$3288:$AA$3288&lt;Sens!X$3288),Sens!$R$3320:$AA$3320)/fac_life</f>
        <v>7.82065339914753</v>
      </c>
      <c r="Y3323" s="38" t="n">
        <f aca="false">SUMPRODUCT(--(Sens!$R$3288:$AA$3288&lt;Sens!Y$3288),Sens!$R$3320:$AA$3320)/fac_life</f>
        <v>10.1229824491475</v>
      </c>
      <c r="Z3323" s="38" t="n">
        <f aca="false">SUMPRODUCT(--(Sens!$R$3288:$AA$3288&lt;Sens!Z$3288),Sens!$R$3320:$AA$3320)/fac_life</f>
        <v>12.4253114991475</v>
      </c>
      <c r="AA3323" s="38" t="n">
        <f aca="false">SUMPRODUCT(--(Sens!$R$3288:$AA$3288&lt;Sens!AA$3288),Sens!$R$3320:$AA$3320)/fac_life</f>
        <v>14.7276405491475</v>
      </c>
    </row>
    <row r="3324" customFormat="false" ht="17.15" hidden="false" customHeight="false" outlineLevel="0" collapsed="false">
      <c r="A3324" s="1" t="s">
        <v>594</v>
      </c>
      <c r="B3324" s="8" t="s">
        <v>73</v>
      </c>
      <c r="C3324" s="38" t="n">
        <f aca="false">Sens!$C$3322+Sens!$C$3323</f>
        <v>0.203463948620839</v>
      </c>
      <c r="D3324" s="38" t="n">
        <f aca="false">Sens!$D$3322+Sens!$D$3323</f>
        <v>3.62245206231783</v>
      </c>
      <c r="E3324" s="38" t="n">
        <f aca="false">Sens!$E$3322+Sens!$E$3323</f>
        <v>6.51597588754466</v>
      </c>
      <c r="F3324" s="38" t="n">
        <f aca="false">Sens!$F$3322+Sens!$F$3323</f>
        <v>6.51597588754466</v>
      </c>
      <c r="G3324" s="38" t="n">
        <f aca="false">Sens!$G$3322+Sens!$G$3323</f>
        <v>13.0319517750893</v>
      </c>
      <c r="H3324" s="38" t="n">
        <f aca="false">Sens!$H$3322+Sens!$H$3323</f>
        <v>35.2941921973308</v>
      </c>
      <c r="I3324" s="38" t="n">
        <f aca="false">Sens!$I$3322+Sens!$I$3323</f>
        <v>63.0173185714558</v>
      </c>
      <c r="J3324" s="38" t="n">
        <f aca="false">Sens!$J$3322+Sens!$J$3323</f>
        <v>91.7529624398725</v>
      </c>
      <c r="K3324" s="38" t="n">
        <f aca="false">Sens!$K$3322+Sens!$K$3323</f>
        <v>121.178188209924</v>
      </c>
      <c r="L3324" s="38" t="n">
        <f aca="false">Sens!$L$3322+Sens!$L$3323</f>
        <v>148.58073169504</v>
      </c>
      <c r="M3324" s="38" t="n">
        <f aca="false">Sens!$M$3322+Sens!$M$3323</f>
        <v>176.698573390283</v>
      </c>
      <c r="N3324" s="38" t="n">
        <f aca="false">Sens!$N$3322+Sens!$N$3323</f>
        <v>1.81122603115892</v>
      </c>
      <c r="O3324" s="38" t="n">
        <f aca="false">Sens!$O$3322+Sens!$O$3323</f>
        <v>1.81122603115892</v>
      </c>
      <c r="R3324" s="38" t="n">
        <f aca="false">Sens!$R$3322+Sens!$R$3323</f>
        <v>0</v>
      </c>
      <c r="S3324" s="38" t="n">
        <f aca="false">Sens!$S$3322+Sens!$S$3323</f>
        <v>0.203463948620839</v>
      </c>
      <c r="T3324" s="38" t="n">
        <f aca="false">Sens!$T$3322+Sens!$T$3323</f>
        <v>3.62245206231783</v>
      </c>
      <c r="U3324" s="38" t="n">
        <f aca="false">Sens!$U$3322+Sens!$U$3323</f>
        <v>13.0319517750893</v>
      </c>
      <c r="V3324" s="38" t="n">
        <f aca="false">Sens!$V$3322+Sens!$V$3323</f>
        <v>35.2941921973308</v>
      </c>
      <c r="W3324" s="38" t="n">
        <f aca="false">Sens!$W$3322+Sens!$W$3323</f>
        <v>63.0173185714558</v>
      </c>
      <c r="X3324" s="38" t="n">
        <f aca="false">Sens!$X$3322+Sens!$X$3323</f>
        <v>91.7529624398725</v>
      </c>
      <c r="Y3324" s="38" t="n">
        <f aca="false">Sens!$Y$3322+Sens!$Y$3323</f>
        <v>121.178188209924</v>
      </c>
      <c r="Z3324" s="38" t="n">
        <f aca="false">Sens!$Z$3322+Sens!$Z$3323</f>
        <v>148.58073169504</v>
      </c>
      <c r="AA3324" s="38" t="n">
        <f aca="false">Sens!$AA$3322+Sens!$AA$3323</f>
        <v>176.698573390283</v>
      </c>
    </row>
    <row r="3325" customFormat="false" ht="17.15" hidden="false" customHeight="false" outlineLevel="0" collapsed="false">
      <c r="A3325" s="0" t="s">
        <v>595</v>
      </c>
      <c r="B3325" s="0" t="s">
        <v>73</v>
      </c>
      <c r="C3325" s="38" t="n">
        <f aca="false">Sens!$S$3325</f>
        <v>26.578941154416</v>
      </c>
      <c r="D3325" s="38" t="n">
        <f aca="false">Sens!$T$3325</f>
        <v>92.5251207231008</v>
      </c>
      <c r="G3325" s="38" t="n">
        <f aca="false">Sens!$U$3325</f>
        <v>239.931219586022</v>
      </c>
      <c r="H3325" s="38" t="n">
        <f aca="false">Sens!$V$3325</f>
        <v>403.208392333442</v>
      </c>
      <c r="I3325" s="38" t="n">
        <f aca="false">Sens!$W$3325</f>
        <v>544.837543672486</v>
      </c>
      <c r="J3325" s="38" t="n">
        <f aca="false">Sens!$X$3325</f>
        <v>662.967819343113</v>
      </c>
      <c r="K3325" s="38" t="n">
        <f aca="false">Sens!$Y$3325</f>
        <v>756.90963744369</v>
      </c>
      <c r="L3325" s="38" t="n">
        <f aca="false">Sens!$Z$3325</f>
        <v>860.10628945915</v>
      </c>
      <c r="M3325" s="38" t="n">
        <f aca="false">Sens!$AA$3325</f>
        <v>995.283560834616</v>
      </c>
      <c r="R3325" s="38" t="n">
        <f aca="false">SUM(Sens!$R$3317:$R$3317)-SUM(Sens!$R$3324:$R$3324)</f>
        <v>1.50429979529945</v>
      </c>
      <c r="S3325" s="38" t="n">
        <f aca="false">SUM(Sens!$R$3317:$S$3317)-SUM(Sens!$R$3324:$S$3324)</f>
        <v>26.578941154416</v>
      </c>
      <c r="T3325" s="38" t="n">
        <f aca="false">SUM(Sens!$R$3317:$T$3317)-SUM(Sens!$R$3324:$T$3324)</f>
        <v>92.5251207231008</v>
      </c>
      <c r="U3325" s="38" t="n">
        <f aca="false">SUM(Sens!$R$3317:$U$3317)-SUM(Sens!$R$3324:$U$3324)</f>
        <v>239.931219586022</v>
      </c>
      <c r="V3325" s="38" t="n">
        <f aca="false">SUM(Sens!$R$3317:$V$3317)-SUM(Sens!$R$3324:$V$3324)</f>
        <v>403.208392333442</v>
      </c>
      <c r="W3325" s="38" t="n">
        <f aca="false">SUM(Sens!$R$3317:$W$3317)-SUM(Sens!$R$3324:$W$3324)</f>
        <v>544.837543672486</v>
      </c>
      <c r="X3325" s="38" t="n">
        <f aca="false">SUM(Sens!$R$3317:$X$3317)-SUM(Sens!$R$3324:$X$3324)</f>
        <v>662.967819343113</v>
      </c>
      <c r="Y3325" s="38" t="n">
        <f aca="false">SUM(Sens!$R$3317:$Y$3317)-SUM(Sens!$R$3324:$Y$3324)</f>
        <v>756.90963744369</v>
      </c>
      <c r="Z3325" s="38" t="n">
        <f aca="false">SUM(Sens!$R$3317:$Z$3317)-SUM(Sens!$R$3324:$Z$3324)</f>
        <v>860.10628945915</v>
      </c>
      <c r="AA3325" s="38" t="n">
        <f aca="false">SUM(Sens!$R$3317:$AA$3317)-SUM(Sens!$R$3324:$AA$3324)</f>
        <v>995.283560834616</v>
      </c>
    </row>
    <row r="3326" customFormat="false" ht="17.15" hidden="false" customHeight="false" outlineLevel="0" collapsed="false">
      <c r="A3326" s="1" t="s">
        <v>596</v>
      </c>
    </row>
    <row r="3327" customFormat="false" ht="17.15" hidden="false" customHeight="false" outlineLevel="0" collapsed="false">
      <c r="A3327" s="0" t="s">
        <v>597</v>
      </c>
      <c r="B3327" s="0" t="s">
        <v>73</v>
      </c>
      <c r="C3327" s="38" t="n">
        <f aca="false">Sens!$C$3308-ext_sh*Sens!$C$3310</f>
        <v>1.80694998843362</v>
      </c>
      <c r="D3327" s="38" t="n">
        <f aca="false">Sens!$D$3308-ext_sh*Sens!$D$3310</f>
        <v>6.77606245662607</v>
      </c>
      <c r="E3327" s="38" t="n">
        <f aca="false">Sens!$E$3308-ext_sh*Sens!$E$3310</f>
        <v>6.62548329092326</v>
      </c>
      <c r="F3327" s="38" t="n">
        <f aca="false">Sens!$F$3308-ext_sh*Sens!$F$3310</f>
        <v>11.7200577158706</v>
      </c>
      <c r="G3327" s="38" t="n">
        <f aca="false">Sens!$G$3308-ext_sh*Sens!$G$3310</f>
        <v>18.3455410067939</v>
      </c>
      <c r="H3327" s="38" t="n">
        <f aca="false">Sens!$H$3308-ext_sh*Sens!$H$3310</f>
        <v>47.5171727060453</v>
      </c>
      <c r="I3327" s="38" t="n">
        <f aca="false">Sens!$I$3308-ext_sh*Sens!$I$3310</f>
        <v>80.5539692643667</v>
      </c>
      <c r="J3327" s="38" t="n">
        <f aca="false">Sens!$J$3308-ext_sh*Sens!$J$3310</f>
        <v>113.759316834883</v>
      </c>
      <c r="K3327" s="38" t="n">
        <f aca="false">Sens!$K$3308-ext_sh*Sens!$K$3310</f>
        <v>147.020848076132</v>
      </c>
      <c r="L3327" s="38" t="n">
        <f aca="false">Sens!$L$3308-ext_sh*Sens!$L$3310</f>
        <v>180.307917349531</v>
      </c>
      <c r="M3327" s="38" t="n">
        <f aca="false">Sens!$M$3308-ext_sh*Sens!$M$3310</f>
        <v>213.608737871012</v>
      </c>
      <c r="N3327" s="38" t="n">
        <f aca="false">Sens!$N$3308-ext_sh*Sens!$N$3310</f>
        <v>2.37162185981912</v>
      </c>
      <c r="O3327" s="38" t="n">
        <f aca="false">Sens!$O$3308-ext_sh*Sens!$O$3310</f>
        <v>4.40444059680694</v>
      </c>
    </row>
    <row r="3328" customFormat="false" ht="17.15" hidden="false" customHeight="false" outlineLevel="0" collapsed="false">
      <c r="A3328" s="1" t="s">
        <v>598</v>
      </c>
      <c r="B3328" s="8" t="s">
        <v>73</v>
      </c>
      <c r="C3328" s="38" t="n">
        <f aca="false">Sens!$C$3327-ext_sh*Sens!$C$3324</f>
        <v>1.64417882953695</v>
      </c>
      <c r="D3328" s="38" t="n">
        <f aca="false">Sens!$D$3327-ext_sh*Sens!$D$3324</f>
        <v>3.8781008067718</v>
      </c>
      <c r="E3328" s="38" t="n">
        <f aca="false">Sens!$E$3327-ext_sh*Sens!$E$3324</f>
        <v>1.41270258088753</v>
      </c>
      <c r="F3328" s="38" t="n">
        <f aca="false">Sens!$F$3327-ext_sh*Sens!$F$3324</f>
        <v>6.50727700583486</v>
      </c>
      <c r="G3328" s="38" t="n">
        <f aca="false">Sens!$G$3327-ext_sh*Sens!$G$3324</f>
        <v>7.9199795867224</v>
      </c>
      <c r="H3328" s="38" t="n">
        <f aca="false">Sens!$H$3327-ext_sh*Sens!$H$3324</f>
        <v>19.2818189481807</v>
      </c>
      <c r="I3328" s="38" t="n">
        <f aca="false">Sens!$I$3327-ext_sh*Sens!$I$3324</f>
        <v>30.140114407202</v>
      </c>
      <c r="J3328" s="38" t="n">
        <f aca="false">Sens!$J$3327-ext_sh*Sens!$J$3324</f>
        <v>40.3569468829854</v>
      </c>
      <c r="K3328" s="38" t="n">
        <f aca="false">Sens!$K$3327-ext_sh*Sens!$K$3324</f>
        <v>50.0782975081929</v>
      </c>
      <c r="L3328" s="38" t="n">
        <f aca="false">Sens!$L$3327-ext_sh*Sens!$L$3324</f>
        <v>61.443331993499</v>
      </c>
      <c r="M3328" s="38" t="n">
        <f aca="false">Sens!$M$3327-ext_sh*Sens!$M$3324</f>
        <v>72.2498791587849</v>
      </c>
      <c r="N3328" s="38" t="n">
        <f aca="false">Sens!$N$3327-ext_sh*Sens!$N$3324</f>
        <v>0.92264103489199</v>
      </c>
      <c r="O3328" s="38" t="n">
        <f aca="false">Sens!$O$3327-ext_sh*Sens!$O$3324</f>
        <v>2.95545977187981</v>
      </c>
    </row>
    <row r="3329" customFormat="false" ht="17.15" hidden="false" customHeight="false" outlineLevel="0" collapsed="false">
      <c r="A3329" s="0" t="s">
        <v>599</v>
      </c>
      <c r="B3329" s="0" t="s">
        <v>52</v>
      </c>
      <c r="C3329" s="12" t="n">
        <f aca="false">Sens!$C$3328/Sens!$C$3308</f>
        <v>0.708390794789371</v>
      </c>
      <c r="D3329" s="12" t="n">
        <f aca="false">Sens!$D$3328/Sens!$D$3308</f>
        <v>0.445565630441968</v>
      </c>
      <c r="E3329" s="12" t="n">
        <f aca="false">Sens!$E$3328/Sens!$E$3308</f>
        <v>0.165998118402711</v>
      </c>
      <c r="F3329" s="12" t="n">
        <f aca="false">Sens!$F$3328/Sens!$F$3308</f>
        <v>0.434878595403858</v>
      </c>
      <c r="G3329" s="12" t="n">
        <f aca="false">Sens!$G$3328/Sens!$G$3308</f>
        <v>0.3373967615381</v>
      </c>
      <c r="H3329" s="12" t="n">
        <f aca="false">Sens!$H$3328/Sens!$H$3308</f>
        <v>0.320477578041224</v>
      </c>
      <c r="I3329" s="12" t="n">
        <f aca="false">Sens!$I$3328/Sens!$I$3308</f>
        <v>0.296936118226494</v>
      </c>
      <c r="J3329" s="12" t="n">
        <f aca="false">Sens!$J$3328/Sens!$J$3308</f>
        <v>0.282166278613001</v>
      </c>
      <c r="K3329" s="12" t="n">
        <f aca="false">Sens!$K$3328/Sens!$K$3308</f>
        <v>0.271267685694333</v>
      </c>
      <c r="L3329" s="12" t="n">
        <f aca="false">Sens!$L$3328/Sens!$L$3308</f>
        <v>0.27160960915653</v>
      </c>
      <c r="M3329" s="12" t="n">
        <f aca="false">Sens!$M$3328/Sens!$M$3308</f>
        <v>0.26974494804234</v>
      </c>
      <c r="N3329" s="12" t="n">
        <f aca="false">Sens!$N$3328/Sens!$N$3308</f>
        <v>0.302870734830849</v>
      </c>
      <c r="O3329" s="12" t="n">
        <f aca="false">Sens!$O$3328/Sens!$O$3308</f>
        <v>0.52240134346334</v>
      </c>
    </row>
    <row r="3330" customFormat="false" ht="17.15" hidden="false" customHeight="false" outlineLevel="0" collapsed="false">
      <c r="A3330" s="5" t="s">
        <v>600</v>
      </c>
      <c r="B3330" s="0" t="s">
        <v>73</v>
      </c>
      <c r="C3330" s="38" t="n">
        <f aca="false">rd2*(1-ext_sh)/ext_sh*Sens!$C$3291*he_open*Sens!$C$3292/1000</f>
        <v>0</v>
      </c>
      <c r="D3330" s="38" t="n">
        <f aca="false">rd2*(1-ext_sh)/ext_sh*Sens!$D$3291*he_open*Sens!$D$3292/1000</f>
        <v>0</v>
      </c>
      <c r="E3330" s="38" t="n">
        <f aca="false">rd2*(1-ext_sh)/ext_sh*Sens!$E$3291*he_open*Sens!$E$3292/1000</f>
        <v>0</v>
      </c>
      <c r="F3330" s="38" t="n">
        <f aca="false">rd2*(1-ext_sh)/ext_sh*(mw_open*he_open+Sens!$F$3306*Sens!$F$3303)*Sens!$F$3292/1000</f>
        <v>0</v>
      </c>
      <c r="G3330" s="38" t="n">
        <f aca="false">Sens!$E$3330+Sens!$F$3330</f>
        <v>0</v>
      </c>
      <c r="H3330" s="38" t="n">
        <f aca="false">rd2*(1-ext_sh)/ext_sh*(mw_open*he_open+Sens!$H$3306*Sens!$H$3303)*Sens!$H$3292/1000</f>
        <v>0</v>
      </c>
      <c r="I3330" s="38" t="n">
        <f aca="false">rd2*(1-ext_sh)/ext_sh*(mw_open*he_open+Sens!$I$3306*Sens!$I$3303)*Sens!$I$3292/1000</f>
        <v>0</v>
      </c>
      <c r="J3330" s="38" t="n">
        <f aca="false">rd2*(1-ext_sh)/ext_sh*(mw_open*he_open+Sens!$J$3306*Sens!$J$3303)*Sens!$J$3292/1000</f>
        <v>0</v>
      </c>
      <c r="K3330" s="38" t="n">
        <f aca="false">rd2*(1-ext_sh)/ext_sh*(mw_open*he_open+Sens!$K$3306*Sens!$K$3303)*Sens!$K$3292/1000</f>
        <v>0</v>
      </c>
      <c r="L3330" s="38" t="n">
        <f aca="false">rd2*(1-ext_sh)/ext_sh*(mw_open*he_open+Sens!$L$3306*Sens!$L$3303)*Sens!$L$3292/1000</f>
        <v>0</v>
      </c>
      <c r="M3330" s="38" t="n">
        <f aca="false">rd2*(1-ext_sh)/ext_sh*(mw_open*he_open+Sens!$M$3306*Sens!$M$3303)*Sens!$M$3292/1000</f>
        <v>0</v>
      </c>
      <c r="N3330" s="38" t="n">
        <f aca="false">rd2*(1-ext_sh)/ext_sh*Sens!$N$3291*he_open*Sens!$N$3292/1000</f>
        <v>0</v>
      </c>
      <c r="O3330" s="38" t="n">
        <f aca="false">rd2*(1-ext_sh)/ext_sh*Sens!$O$3291*he_open*Sens!$O$3292/1000</f>
        <v>0</v>
      </c>
      <c r="P3330" s="8" t="s">
        <v>601</v>
      </c>
    </row>
    <row r="3331" customFormat="false" ht="17.15" hidden="false" customHeight="false" outlineLevel="0" collapsed="false">
      <c r="A3331" s="5" t="s">
        <v>602</v>
      </c>
      <c r="B3331" s="0" t="s">
        <v>73</v>
      </c>
      <c r="C3331" s="38" t="n">
        <f aca="false">(1-ext_sh)*(Sens!$C$3310+Sens!$C$3324)-Sens!$C$3330</f>
        <v>0.169206631859174</v>
      </c>
      <c r="D3331" s="38" t="n">
        <f aca="false">(1-ext_sh)*(Sens!$D$3310+Sens!$D$3324)-Sens!$D$3330</f>
        <v>1.20641732046984</v>
      </c>
      <c r="E3331" s="38" t="n">
        <f aca="false">(1-ext_sh)*(Sens!$E$3310+Sens!$E$3324)-Sens!$E$3330</f>
        <v>1.77441259867062</v>
      </c>
      <c r="F3331" s="38" t="n">
        <f aca="false">(1-ext_sh)*(Sens!$F$3310+Sens!$F$3324)-Sens!$F$3330</f>
        <v>2.1140391597214</v>
      </c>
      <c r="G3331" s="38" t="n">
        <f aca="false">(1-ext_sh)*(Sens!$G$3310+Sens!$G$3324)-Sens!$G$3330</f>
        <v>3.88845175839202</v>
      </c>
      <c r="H3331" s="38" t="n">
        <f aca="false">(1-ext_sh)*(Sens!$H$3310+Sens!$H$3324)-Sens!$H$3330</f>
        <v>10.2210179503985</v>
      </c>
      <c r="I3331" s="38" t="n">
        <f aca="false">(1-ext_sh)*(Sens!$I$3310+Sens!$I$3324)-Sens!$I$3330</f>
        <v>17.8408961823075</v>
      </c>
      <c r="J3331" s="38" t="n">
        <f aca="false">(1-ext_sh)*(Sens!$J$3310+Sens!$J$3324)-Sens!$J$3330</f>
        <v>25.6671150670732</v>
      </c>
      <c r="K3331" s="38" t="n">
        <f aca="false">(1-ext_sh)*(Sens!$K$3310+Sens!$K$3324)-Sens!$K$3330</f>
        <v>33.6325293834986</v>
      </c>
      <c r="L3331" s="38" t="n">
        <f aca="false">(1-ext_sh)*(Sens!$L$3310+Sens!$L$3324)-Sens!$L$3330</f>
        <v>41.1939886299065</v>
      </c>
      <c r="M3331" s="38" t="n">
        <f aca="false">(1-ext_sh)*(Sens!$M$3310+Sens!$M$3324)-Sens!$M$3330</f>
        <v>48.8988205728617</v>
      </c>
      <c r="N3331" s="38" t="n">
        <f aca="false">(1-ext_sh)*(Sens!$N$3310+Sens!$N$3324)-Sens!$N$3330</f>
        <v>0.530919624033979</v>
      </c>
      <c r="O3331" s="38" t="n">
        <f aca="false">(1-ext_sh)*(Sens!$O$3310+Sens!$O$3324)-Sens!$O$3330</f>
        <v>0.675497696435861</v>
      </c>
    </row>
    <row r="3332" customFormat="false" ht="17.15" hidden="false" customHeight="false" outlineLevel="0" collapsed="false">
      <c r="A3332" s="0" t="s">
        <v>603</v>
      </c>
      <c r="B3332" s="0" t="s">
        <v>73</v>
      </c>
      <c r="C3332" s="38" t="n">
        <f aca="false">Q!$D$24</f>
        <v>39.834</v>
      </c>
      <c r="D3332" s="38" t="n">
        <f aca="false">Q!$E$24</f>
        <v>45.606</v>
      </c>
      <c r="E3332" s="38" t="n">
        <f aca="false">Q!$P$24</f>
        <v>30.782</v>
      </c>
      <c r="N3332" s="38" t="n">
        <f aca="false">Q!$N$24</f>
        <v>21.707</v>
      </c>
      <c r="O3332" s="38" t="n">
        <f aca="false">Q!$O$24</f>
        <v>23.899</v>
      </c>
    </row>
    <row r="3333" customFormat="false" ht="17.15" hidden="false" customHeight="false" outlineLevel="0" collapsed="false">
      <c r="A3333" s="0" t="s">
        <v>604</v>
      </c>
      <c r="B3333" s="0" t="s">
        <v>73</v>
      </c>
      <c r="C3333" s="38" t="n">
        <f aca="false">Sens!$C$3332-Sens!$C$3328</f>
        <v>38.1898211704631</v>
      </c>
      <c r="D3333" s="38" t="n">
        <f aca="false">Sens!$D$3332-Sens!$D$3328</f>
        <v>41.7278991932282</v>
      </c>
      <c r="E3333" s="38" t="n">
        <f aca="false">Sens!$E$3332-Sens!$E$3328</f>
        <v>29.3692974191125</v>
      </c>
      <c r="F3333" s="38" t="n">
        <f aca="false">Sens!$F$3312*Sens!$F$3334</f>
        <v>29.458060516894</v>
      </c>
      <c r="G3333" s="38" t="n">
        <f aca="false">Sens!$E$3333+Sens!$F$3333</f>
        <v>58.8273579360065</v>
      </c>
      <c r="H3333" s="38" t="n">
        <f aca="false">Sens!$H$3312*Sens!$H$3334</f>
        <v>67.8004040185081</v>
      </c>
      <c r="I3333" s="38" t="n">
        <f aca="false">Sens!$I$3312*Sens!$I$3334</f>
        <v>78.9527630302702</v>
      </c>
      <c r="J3333" s="38" t="n">
        <f aca="false">Sens!$J$3312*Sens!$J$3334</f>
        <v>88.6042681781841</v>
      </c>
      <c r="K3333" s="38" t="n">
        <f aca="false">Sens!$K$3312*Sens!$K$3334</f>
        <v>95.6926096324389</v>
      </c>
      <c r="L3333" s="38" t="n">
        <f aca="false">Sens!$L$3312*Sens!$L$3334</f>
        <v>103.348018403034</v>
      </c>
      <c r="M3333" s="38" t="n">
        <f aca="false">Sens!$M$3312*Sens!$M$3334</f>
        <v>111.615859875277</v>
      </c>
      <c r="N3333" s="38" t="n">
        <f aca="false">Sens!$N$3332-Sens!$N$3328</f>
        <v>20.784358965108</v>
      </c>
      <c r="O3333" s="38" t="n">
        <f aca="false">Sens!$O$3332-Sens!$O$3328</f>
        <v>20.9435402281202</v>
      </c>
      <c r="P3333" s="5" t="s">
        <v>605</v>
      </c>
    </row>
    <row r="3334" customFormat="false" ht="17.15" hidden="false" customHeight="false" outlineLevel="0" collapsed="false">
      <c r="A3334" s="0" t="s">
        <v>606</v>
      </c>
      <c r="B3334" s="0" t="s">
        <v>52</v>
      </c>
      <c r="C3334" s="12" t="n">
        <f aca="false">Sens!$C$3333/Sens!$C$3312</f>
        <v>0.362900395443635</v>
      </c>
      <c r="D3334" s="12" t="n">
        <f aca="false">Sens!$D$3333/Sens!$D$3312</f>
        <v>0.34767098474203</v>
      </c>
      <c r="E3334" s="12" t="n">
        <f aca="false">Sens!$E$3333/Sens!$E$3312</f>
        <v>0.411861655558416</v>
      </c>
      <c r="F3334" s="12" t="n">
        <f aca="false">(Sens!$O$3333+Sens!$E$3333)/(Sens!$O$3312+Sens!$E$3312)</f>
        <v>0.37480827803158</v>
      </c>
      <c r="G3334" s="12" t="n">
        <f aca="false">Sens!$G$3333/Sens!$G$3312</f>
        <v>0.392434440489471</v>
      </c>
      <c r="H3334" s="12" t="n">
        <f aca="false">Sens!$F$3334</f>
        <v>0.37480827803158</v>
      </c>
      <c r="I3334" s="12" t="n">
        <f aca="false">Sens!$F$3334</f>
        <v>0.37480827803158</v>
      </c>
      <c r="J3334" s="12" t="n">
        <f aca="false">Sens!$F$3334</f>
        <v>0.37480827803158</v>
      </c>
      <c r="K3334" s="12" t="n">
        <f aca="false">Sens!$F$3334</f>
        <v>0.37480827803158</v>
      </c>
      <c r="L3334" s="12" t="n">
        <f aca="false">Sens!$F$3334</f>
        <v>0.37480827803158</v>
      </c>
      <c r="M3334" s="12" t="n">
        <f aca="false">Sens!$F$3334</f>
        <v>0.37480827803158</v>
      </c>
      <c r="N3334" s="12" t="n">
        <f aca="false">Sens!$N$3333/Sens!$N$3312</f>
        <v>0.364039571356823</v>
      </c>
      <c r="O3334" s="12" t="n">
        <f aca="false">Sens!$O$3333/Sens!$O$3312</f>
        <v>0.332819892300086</v>
      </c>
      <c r="P3334" s="8" t="s">
        <v>607</v>
      </c>
    </row>
    <row r="3335" customFormat="false" ht="17.15" hidden="false" customHeight="false" outlineLevel="0" collapsed="false">
      <c r="A3335" s="0" t="s">
        <v>608</v>
      </c>
      <c r="B3335" s="0" t="s">
        <v>52</v>
      </c>
      <c r="D3335" s="12" t="n">
        <f aca="false">(Q!$E$31-ext_sh*Sens!$D$3324)/Sens!$D$3312</f>
        <v>0.154572973163571</v>
      </c>
    </row>
    <row r="3336" customFormat="false" ht="17.15" hidden="false" customHeight="false" outlineLevel="0" collapsed="false">
      <c r="A3336" s="0" t="s">
        <v>609</v>
      </c>
      <c r="B3336" s="0" t="s">
        <v>73</v>
      </c>
      <c r="C3336" s="38" t="n">
        <f aca="false">Q!$D$31</f>
        <v>13.32</v>
      </c>
      <c r="D3336" s="38" t="n">
        <f aca="false">Q!$E$31</f>
        <v>21.45</v>
      </c>
      <c r="E3336" s="38" t="n">
        <f aca="false">Q!$P$31</f>
        <v>15.353</v>
      </c>
      <c r="F3336" s="38" t="n">
        <f aca="false">ext_sh*Sens!$F$3324+Sens!$D$3335*Sens!$F$3312</f>
        <v>17.3614451462707</v>
      </c>
      <c r="G3336" s="38" t="n">
        <f aca="false">Sens!$E$3336+Sens!$F$3336</f>
        <v>32.7144451462707</v>
      </c>
      <c r="H3336" s="38" t="n">
        <f aca="false">ext_sh*Sens!$H$3324+Sens!$D$3335*Sens!$H$3312</f>
        <v>56.1966092719415</v>
      </c>
      <c r="I3336" s="38" t="n">
        <f aca="false">ext_sh*Sens!$I$3324+Sens!$D$3335*Sens!$I$3312</f>
        <v>82.9744039068297</v>
      </c>
      <c r="J3336" s="38" t="n">
        <f aca="false">ext_sh*Sens!$J$3324+Sens!$D$3335*Sens!$J$3312</f>
        <v>109.943252237669</v>
      </c>
      <c r="K3336" s="38" t="n">
        <f aca="false">ext_sh*Sens!$K$3324+Sens!$D$3335*Sens!$K$3312</f>
        <v>136.406703436571</v>
      </c>
      <c r="L3336" s="38" t="n">
        <f aca="false">ext_sh*Sens!$L$3324+Sens!$D$3335*Sens!$L$3312</f>
        <v>161.485870454155</v>
      </c>
      <c r="M3336" s="38" t="n">
        <f aca="false">ext_sh*Sens!$M$3324+Sens!$D$3335*Sens!$M$3312</f>
        <v>187.389846618199</v>
      </c>
      <c r="N3336" s="38" t="n">
        <f aca="false">Q!$N$31</f>
        <v>9.234</v>
      </c>
      <c r="O3336" s="38" t="n">
        <f aca="false">Q!$O$31</f>
        <v>12.216</v>
      </c>
    </row>
    <row r="3337" customFormat="false" ht="17.15" hidden="false" customHeight="false" outlineLevel="0" collapsed="false">
      <c r="A3337" s="1" t="s">
        <v>610</v>
      </c>
    </row>
    <row r="3338" customFormat="false" ht="17.15" hidden="false" customHeight="false" outlineLevel="0" collapsed="false">
      <c r="A3338" s="14" t="s">
        <v>611</v>
      </c>
      <c r="B3338" s="13" t="s">
        <v>52</v>
      </c>
      <c r="C3338" s="13"/>
      <c r="D3338" s="13"/>
      <c r="E3338" s="13"/>
      <c r="F3338" s="13"/>
      <c r="G3338" s="16" t="n">
        <f aca="false">Sens!$G$3328*(1-tax)/(ext_sh*(Sens!$D$3325+Sens!$G$3325)/2)</f>
        <v>0.0492184452944045</v>
      </c>
      <c r="H3338" s="16" t="n">
        <f aca="false">Sens!$H$3328*(1-tax)/(ext_sh*(Sens!$G$3325+Sens!$H$3325)/2)</f>
        <v>0.0619414246858107</v>
      </c>
      <c r="I3338" s="16" t="n">
        <f aca="false">Sens!$I$3328*(1-tax)/(ext_sh*(Sens!$H$3325+Sens!$I$3325)/2)</f>
        <v>0.0656831488051666</v>
      </c>
      <c r="J3338" s="16" t="n">
        <f aca="false">Sens!$J$3328*(1-tax)/(ext_sh*(Sens!$I$3325+Sens!$J$3325)/2)</f>
        <v>0.0690334849962116</v>
      </c>
      <c r="K3338" s="16" t="n">
        <f aca="false">Sens!$K$3328*(1-tax)/(ext_sh*(Sens!$J$3325+Sens!$K$3325)/2)</f>
        <v>0.0728680488295485</v>
      </c>
      <c r="L3338" s="16" t="n">
        <f aca="false">Sens!$L$3328*(1-tax)/(ext_sh*(Sens!$K$3325+Sens!$L$3325)/2)</f>
        <v>0.0785052878122331</v>
      </c>
      <c r="M3338" s="16" t="n">
        <f aca="false">Sens!$M$3328*(1-tax)/(ext_sh*(Sens!$L$3325+Sens!$M$3325)/2)</f>
        <v>0.0804526580722741</v>
      </c>
      <c r="N3338" s="13"/>
      <c r="O3338" s="13"/>
      <c r="P3338" s="8" t="s">
        <v>612</v>
      </c>
    </row>
    <row r="3339" customFormat="false" ht="17.15" hidden="false" customHeight="false" outlineLevel="0" collapsed="false">
      <c r="A3339" s="5" t="s">
        <v>613</v>
      </c>
      <c r="B3339" s="0" t="s">
        <v>57</v>
      </c>
      <c r="H3339" s="36" t="n">
        <f aca="false">Sens!$H$3308*1000/(mw_open*he_open+Sens!$H$3306*Sens!$H$3303)</f>
        <v>0.991949006767191</v>
      </c>
      <c r="I3339" s="36" t="n">
        <f aca="false">Sens!$I$3308*1000/(mw_open*he_open+Sens!$I$3306*Sens!$I$3303)</f>
        <v>0.991949006767191</v>
      </c>
      <c r="J3339" s="36" t="n">
        <f aca="false">Sens!$J$3308*1000/(mw_open*he_open+Sens!$J$3306*Sens!$J$3303)</f>
        <v>0.991949006767191</v>
      </c>
      <c r="K3339" s="36" t="n">
        <f aca="false">Sens!$K$3308*1000/(mw_open*he_open+Sens!$K$3306*Sens!$K$3303)</f>
        <v>0.991949006767191</v>
      </c>
      <c r="L3339" s="36" t="n">
        <f aca="false">Sens!$L$3308*1000/(mw_open*he_open+Sens!$L$3306*Sens!$L$3303)</f>
        <v>0.991949006767191</v>
      </c>
      <c r="M3339" s="36" t="n">
        <f aca="false">Sens!$M$3308*1000/(mw_open*he_open+Sens!$M$3306*Sens!$M$3303)</f>
        <v>0.991949006767192</v>
      </c>
    </row>
    <row r="3340" customFormat="false" ht="17.15" hidden="false" customHeight="false" outlineLevel="0" collapsed="false">
      <c r="A3340" s="5" t="s">
        <v>614</v>
      </c>
      <c r="B3340" s="0" t="s">
        <v>57</v>
      </c>
      <c r="H3340" s="36" t="n">
        <f aca="false">Sens!$H$3339*(Sens!$H$3308+wacc*ext_sh*(Sens!$G$3325+Sens!$H$3325)/2/(1-tax)-Sens!$H$3328)/Sens!$H$3308</f>
        <v>1.3149781212103</v>
      </c>
      <c r="I3340" s="36" t="n">
        <f aca="false">Sens!$I$3339*(Sens!$I$3308+wacc*ext_sh*(Sens!$H$3325+Sens!$I$3325)/2/(1-tax)-Sens!$I$3328)/Sens!$I$3308</f>
        <v>1.25742005569107</v>
      </c>
      <c r="J3340" s="36" t="n">
        <f aca="false">Sens!$J$3339*(Sens!$J$3308+wacc*ext_sh*(Sens!$I$3325+Sens!$J$3325)/2/(1-tax)-Sens!$J$3328)/Sens!$J$3308</f>
        <v>1.21838845868559</v>
      </c>
      <c r="K3340" s="36" t="n">
        <f aca="false">Sens!$K$3339*(Sens!$K$3308+wacc*ext_sh*(Sens!$J$3325+Sens!$K$3325)/2/(1-tax)-Sens!$K$3328)/Sens!$K$3308</f>
        <v>1.18402644209548</v>
      </c>
      <c r="L3340" s="36" t="n">
        <f aca="false">Sens!$L$3339*(Sens!$L$3308+wacc*ext_sh*(Sens!$K$3325+Sens!$L$3325)/2/(1-tax)-Sens!$L$3328)/Sens!$L$3308</f>
        <v>1.15111215322059</v>
      </c>
      <c r="M3340" s="36" t="n">
        <f aca="false">Sens!$M$3339*(Sens!$M$3308+wacc*ext_sh*(Sens!$L$3325+Sens!$M$3325)/2/(1-tax)-Sens!$M$3328)/Sens!$M$3308</f>
        <v>1.1397166845677</v>
      </c>
    </row>
    <row r="3341" customFormat="false" ht="17.15" hidden="false" customHeight="false" outlineLevel="0" collapsed="false">
      <c r="A3341" s="5" t="s">
        <v>615</v>
      </c>
      <c r="B3341" s="0" t="s">
        <v>52</v>
      </c>
      <c r="C3341" s="12" t="n">
        <f aca="false">Sens!$C$3309/tk_pq</f>
        <v>0.195316432429398</v>
      </c>
      <c r="D3341" s="12" t="n">
        <f aca="false">Sens!$D$3309/tk_pq</f>
        <v>0.195316432429398</v>
      </c>
      <c r="E3341" s="12" t="n">
        <f aca="false">Sens!$E$3309/tk_pq</f>
        <v>0.195316432429398</v>
      </c>
      <c r="F3341" s="12" t="n">
        <f aca="false">Sens!$F$3309/tk_pq</f>
        <v>0.202241827274866</v>
      </c>
      <c r="G3341" s="12" t="n">
        <f aca="false">Sens!$G$3309/tk_pq</f>
        <v>0.199675016194063</v>
      </c>
      <c r="H3341" s="12" t="n">
        <f aca="false">Sens!$H$3309/tk_pq</f>
        <v>0.212647947710325</v>
      </c>
      <c r="I3341" s="12" t="n">
        <f aca="false">Sens!$I$3309/tk_pq</f>
        <v>0.219285125475351</v>
      </c>
      <c r="J3341" s="12" t="n">
        <f aca="false">Sens!$J$3309/tk_pq</f>
        <v>0.222492493217189</v>
      </c>
      <c r="K3341" s="12" t="n">
        <f aca="false">Sens!$K$3309/tk_pq</f>
        <v>0.224371415939166</v>
      </c>
      <c r="L3341" s="12" t="n">
        <f aca="false">Sens!$L$3309/tk_pq</f>
        <v>0.225603749825993</v>
      </c>
      <c r="M3341" s="12" t="n">
        <f aca="false">Sens!$M$3309/tk_pq</f>
        <v>0.22647376274628</v>
      </c>
      <c r="N3341" s="12" t="n">
        <f aca="false">Sens!$N$3309/tk_pq</f>
        <v>0.195316432429398</v>
      </c>
      <c r="O3341" s="12" t="n">
        <f aca="false">Sens!$O$3309/tk_pq</f>
        <v>0.195316432429398</v>
      </c>
      <c r="P3341" s="5" t="s">
        <v>616</v>
      </c>
    </row>
    <row r="3344" customFormat="false" ht="17.15" hidden="false" customHeight="false" outlineLevel="0" collapsed="false">
      <c r="A3344" s="1" t="s">
        <v>643</v>
      </c>
    </row>
    <row r="3345" customFormat="false" ht="17.15" hidden="false" customHeight="false" outlineLevel="0" collapsed="false">
      <c r="A3345" s="0" t="s">
        <v>644</v>
      </c>
      <c r="B3345" s="0" t="s">
        <v>73</v>
      </c>
      <c r="C3345" s="38" t="n">
        <f aca="false">Sens!$C$3308</f>
        <v>2.32100535697364</v>
      </c>
      <c r="D3345" s="38" t="n">
        <f aca="false">Sens!$D$3308</f>
        <v>8.70377008865116</v>
      </c>
      <c r="E3345" s="38" t="n">
        <f aca="false">Sens!$E$3308</f>
        <v>8.51035297557002</v>
      </c>
      <c r="F3345" s="38" t="n">
        <f aca="false">Sens!$F$3308</f>
        <v>14.9634336447205</v>
      </c>
      <c r="G3345" s="38" t="n">
        <f aca="false">Sens!$G$3308</f>
        <v>23.4737866202905</v>
      </c>
      <c r="H3345" s="38" t="n">
        <f aca="false">Sens!$H$3308</f>
        <v>60.1658907497746</v>
      </c>
      <c r="I3345" s="38" t="n">
        <f aca="false">Sens!$I$3308</f>
        <v>101.503699136432</v>
      </c>
      <c r="J3345" s="38" t="n">
        <f aca="false">Sens!$J$3308</f>
        <v>143.025407151278</v>
      </c>
      <c r="K3345" s="38" t="n">
        <f aca="false">Sens!$K$3308</f>
        <v>184.608415042187</v>
      </c>
      <c r="L3345" s="38" t="n">
        <f aca="false">Sens!$L$3308</f>
        <v>226.219286513125</v>
      </c>
      <c r="M3345" s="38" t="n">
        <f aca="false">Sens!$M$3308</f>
        <v>267.845161450232</v>
      </c>
      <c r="N3345" s="38" t="n">
        <f aca="false">Sens!$N$3308</f>
        <v>3.04631953102791</v>
      </c>
      <c r="O3345" s="38" t="n">
        <f aca="false">Sens!$O$3308</f>
        <v>5.65745055762326</v>
      </c>
      <c r="P3345" s="8" t="s">
        <v>645</v>
      </c>
    </row>
    <row r="3346" customFormat="false" ht="17.15" hidden="false" customHeight="false" outlineLevel="0" collapsed="false">
      <c r="A3346" s="0" t="s">
        <v>646</v>
      </c>
      <c r="B3346" s="0" t="s">
        <v>73</v>
      </c>
      <c r="C3346" s="38" t="n">
        <f aca="false">Sens!$C$3312</f>
        <v>105.234994643026</v>
      </c>
      <c r="D3346" s="38" t="n">
        <f aca="false">Sens!$D$3312</f>
        <v>120.021229911349</v>
      </c>
      <c r="E3346" s="38" t="n">
        <f aca="false">Sens!$E$3312</f>
        <v>71.30864702443</v>
      </c>
      <c r="F3346" s="38" t="n">
        <f aca="false">Sens!$F$3312</f>
        <v>78.5950104186653</v>
      </c>
      <c r="G3346" s="38" t="n">
        <f aca="false">Sens!$G$3312</f>
        <v>149.903657443095</v>
      </c>
      <c r="H3346" s="38" t="n">
        <f aca="false">Sens!$H$3312</f>
        <v>180.893560768142</v>
      </c>
      <c r="I3346" s="38" t="n">
        <f aca="false">Sens!$I$3312</f>
        <v>210.64839721501</v>
      </c>
      <c r="J3346" s="38" t="n">
        <f aca="false">Sens!$J$3312</f>
        <v>236.398909446495</v>
      </c>
      <c r="K3346" s="38" t="n">
        <f aca="false">Sens!$K$3312</f>
        <v>255.310822202215</v>
      </c>
      <c r="L3346" s="38" t="n">
        <f aca="false">Sens!$L$3312</f>
        <v>275.735687978392</v>
      </c>
      <c r="M3346" s="38" t="n">
        <f aca="false">Sens!$M$3312</f>
        <v>297.794543016663</v>
      </c>
      <c r="N3346" s="38" t="n">
        <f aca="false">Sens!$N$3312</f>
        <v>57.0936804689721</v>
      </c>
      <c r="O3346" s="38" t="n">
        <f aca="false">Sens!$O$3312</f>
        <v>62.9275494423768</v>
      </c>
      <c r="P3346" s="8" t="s">
        <v>645</v>
      </c>
    </row>
    <row r="3347" customFormat="false" ht="17.15" hidden="false" customHeight="false" outlineLevel="0" collapsed="false">
      <c r="A3347" s="1" t="s">
        <v>476</v>
      </c>
      <c r="B3347" s="8" t="s">
        <v>73</v>
      </c>
      <c r="C3347" s="38" t="n">
        <f aca="false">Q!$D$7</f>
        <v>107.556</v>
      </c>
      <c r="D3347" s="38" t="n">
        <f aca="false">Q!$E$7</f>
        <v>128.725</v>
      </c>
      <c r="E3347" s="38" t="n">
        <f aca="false">Q!$P$7</f>
        <v>79.819</v>
      </c>
      <c r="F3347" s="38" t="n">
        <f aca="false">Sens!$F$3345+Sens!$F$3346</f>
        <v>93.5584440633857</v>
      </c>
      <c r="G3347" s="38" t="n">
        <f aca="false">Sens!$G$3345+Sens!$G$3346</f>
        <v>173.377444063386</v>
      </c>
      <c r="H3347" s="38" t="n">
        <f aca="false">Sens!$H$3345+Sens!$H$3346</f>
        <v>241.059451517916</v>
      </c>
      <c r="I3347" s="38" t="n">
        <f aca="false">Sens!$I$3345+Sens!$I$3346</f>
        <v>312.152096351442</v>
      </c>
      <c r="J3347" s="38" t="n">
        <f aca="false">Sens!$J$3345+Sens!$J$3346</f>
        <v>379.424316597773</v>
      </c>
      <c r="K3347" s="38" t="n">
        <f aca="false">Sens!$K$3345+Sens!$K$3346</f>
        <v>439.919237244402</v>
      </c>
      <c r="L3347" s="38" t="n">
        <f aca="false">Sens!$L$3345+Sens!$L$3346</f>
        <v>501.954974491517</v>
      </c>
      <c r="M3347" s="38" t="n">
        <f aca="false">Sens!$M$3345+Sens!$M$3346</f>
        <v>565.639704466895</v>
      </c>
      <c r="N3347" s="38" t="n">
        <f aca="false">Q!$N$7</f>
        <v>60.14</v>
      </c>
      <c r="O3347" s="38" t="n">
        <f aca="false">Q!$O$7</f>
        <v>68.585</v>
      </c>
      <c r="P3347" s="5" t="s">
        <v>647</v>
      </c>
    </row>
    <row r="3348" customFormat="false" ht="15" hidden="false" customHeight="false" outlineLevel="0" collapsed="false">
      <c r="A3348" s="3" t="s">
        <v>648</v>
      </c>
      <c r="B3348" s="8" t="s">
        <v>73</v>
      </c>
      <c r="C3348" s="38" t="n">
        <f aca="false">Q!$D$8</f>
        <v>637.959</v>
      </c>
      <c r="D3348" s="38" t="n">
        <f aca="false">Q!$E$8</f>
        <v>716.924</v>
      </c>
      <c r="E3348" s="38" t="n">
        <f aca="false">Q!$P$8</f>
        <v>382.125</v>
      </c>
      <c r="F3348" s="38" t="n">
        <f aca="false">Sens!$F$3281+Sens!$F$3347</f>
        <v>450.494873271816</v>
      </c>
      <c r="G3348" s="38" t="n">
        <f aca="false">Sens!$G$3281+Sens!$G$3347</f>
        <v>832.619873271816</v>
      </c>
      <c r="H3348" s="38" t="n">
        <f aca="false">Sens!$H$3281+Sens!$H$3347</f>
        <v>970.995189139617</v>
      </c>
      <c r="I3348" s="38" t="n">
        <f aca="false">Sens!$I$3281+Sens!$I$3347</f>
        <v>1110.44766604932</v>
      </c>
      <c r="J3348" s="38" t="n">
        <f aca="false">Sens!$J$3281+Sens!$J$3347</f>
        <v>1241.16113892356</v>
      </c>
      <c r="K3348" s="38" t="n">
        <f aca="false">Sens!$K$3281+Sens!$K$3347</f>
        <v>1357.47672934633</v>
      </c>
      <c r="L3348" s="38" t="n">
        <f aca="false">Sens!$L$3281+Sens!$L$3347</f>
        <v>1479.24006423468</v>
      </c>
      <c r="M3348" s="38" t="n">
        <f aca="false">Sens!$M$3281+Sens!$M$3347</f>
        <v>1606.8537230104</v>
      </c>
      <c r="N3348" s="38" t="n">
        <f aca="false">Q!$N$8</f>
        <v>323.369</v>
      </c>
      <c r="O3348" s="38" t="n">
        <f aca="false">Q!$O$8</f>
        <v>393.555</v>
      </c>
    </row>
    <row r="3349" customFormat="false" ht="17.15" hidden="false" customHeight="false" outlineLevel="0" collapsed="false">
      <c r="A3349" s="24" t="s">
        <v>656</v>
      </c>
      <c r="B3349" s="25" t="s">
        <v>73</v>
      </c>
      <c r="C3349" s="39" t="n">
        <f aca="false">Sens!$C$3281-(Sens!$C$3283+Sens!$C$3284)</f>
        <v>0</v>
      </c>
      <c r="D3349" s="39" t="n">
        <f aca="false">Sens!$D$3281-(Sens!$D$3283+Sens!$D$3284)</f>
        <v>0</v>
      </c>
      <c r="E3349" s="39" t="n">
        <f aca="false">Sens!$E$3281-(Sens!$E$3283+Sens!$E$3284)</f>
        <v>0</v>
      </c>
      <c r="F3349" s="39" t="n">
        <f aca="false">Sens!$F$3281-(Sens!$F$3283+Sens!$F$3284)</f>
        <v>0</v>
      </c>
      <c r="G3349" s="39" t="n">
        <f aca="false">Sens!$G$3281-(Sens!$G$3283+Sens!$G$3284)</f>
        <v>0</v>
      </c>
      <c r="H3349" s="39" t="n">
        <f aca="false">Sens!$H$3281-(Sens!$H$3283+Sens!$H$3284)</f>
        <v>0</v>
      </c>
      <c r="I3349" s="39" t="n">
        <f aca="false">Sens!$I$3281-(Sens!$I$3283+Sens!$I$3284)</f>
        <v>0</v>
      </c>
      <c r="J3349" s="39" t="n">
        <f aca="false">Sens!$J$3281-(Sens!$J$3283+Sens!$J$3284)</f>
        <v>0</v>
      </c>
      <c r="K3349" s="39" t="n">
        <f aca="false">Sens!$K$3281-(Sens!$K$3283+Sens!$K$3284)</f>
        <v>0</v>
      </c>
      <c r="L3349" s="39" t="n">
        <f aca="false">Sens!$L$3281-(Sens!$L$3283+Sens!$L$3284)</f>
        <v>0</v>
      </c>
      <c r="M3349" s="39" t="n">
        <f aca="false">Sens!$M$3281-(Sens!$M$3283+Sens!$M$3284)</f>
        <v>0</v>
      </c>
      <c r="N3349" s="39" t="n">
        <f aca="false">Sens!$N$3281-(Sens!$N$3283+Sens!$N$3284)</f>
        <v>0</v>
      </c>
      <c r="O3349" s="39" t="n">
        <f aca="false">Sens!$O$3281-(Sens!$O$3283+Sens!$O$3284)</f>
        <v>0</v>
      </c>
    </row>
    <row r="3350" customFormat="false" ht="17.15" hidden="false" customHeight="false" outlineLevel="0" collapsed="false">
      <c r="A3350" s="24" t="s">
        <v>657</v>
      </c>
      <c r="B3350" s="25" t="s">
        <v>73</v>
      </c>
      <c r="C3350" s="39" t="n">
        <f aca="false">Sens!$C$3345+Sens!$C$3346-Sens!$C$3347</f>
        <v>0</v>
      </c>
      <c r="D3350" s="39" t="n">
        <f aca="false">Sens!$D$3345+Sens!$D$3346-Sens!$D$3347</f>
        <v>0</v>
      </c>
      <c r="E3350" s="39" t="n">
        <f aca="false">Sens!$E$3345+Sens!$E$3346-Sens!$E$3347</f>
        <v>0</v>
      </c>
      <c r="F3350" s="39" t="n">
        <f aca="false">Sens!$F$3345+Sens!$F$3346-Sens!$F$3347</f>
        <v>0</v>
      </c>
      <c r="G3350" s="39" t="n">
        <f aca="false">Sens!$G$3345+Sens!$G$3346-Sens!$G$3347</f>
        <v>0</v>
      </c>
      <c r="H3350" s="39" t="n">
        <f aca="false">Sens!$H$3345+Sens!$H$3346-Sens!$H$3347</f>
        <v>0</v>
      </c>
      <c r="I3350" s="39" t="n">
        <f aca="false">Sens!$I$3345+Sens!$I$3346-Sens!$I$3347</f>
        <v>0</v>
      </c>
      <c r="J3350" s="39" t="n">
        <f aca="false">Sens!$J$3345+Sens!$J$3346-Sens!$J$3347</f>
        <v>0</v>
      </c>
      <c r="K3350" s="39" t="n">
        <f aca="false">Sens!$K$3345+Sens!$K$3346-Sens!$K$3347</f>
        <v>0</v>
      </c>
      <c r="L3350" s="39" t="n">
        <f aca="false">Sens!$L$3345+Sens!$L$3346-Sens!$L$3347</f>
        <v>0</v>
      </c>
      <c r="M3350" s="39" t="n">
        <f aca="false">Sens!$M$3345+Sens!$M$3346-Sens!$M$3347</f>
        <v>0</v>
      </c>
      <c r="N3350" s="39" t="n">
        <f aca="false">Sens!$N$3345+Sens!$N$3346-Sens!$N$3347</f>
        <v>0</v>
      </c>
      <c r="O3350" s="39" t="n">
        <f aca="false">Sens!$O$3345+Sens!$O$3346-Sens!$O$3347</f>
        <v>0</v>
      </c>
    </row>
    <row r="3351" customFormat="false" ht="17.15" hidden="false" customHeight="false" outlineLevel="0" collapsed="false">
      <c r="A3351" s="24" t="s">
        <v>658</v>
      </c>
      <c r="B3351" s="25" t="s">
        <v>73</v>
      </c>
      <c r="C3351" s="39" t="n">
        <f aca="false">Sens!$C$3283+Sens!$C$3284+Sens!$C$3347-Sens!$C$3348</f>
        <v>0</v>
      </c>
      <c r="D3351" s="39" t="n">
        <f aca="false">Sens!$D$3283+Sens!$D$3284+Sens!$D$3347-Sens!$D$3348</f>
        <v>0</v>
      </c>
      <c r="E3351" s="39" t="n">
        <f aca="false">Sens!$E$3283+Sens!$E$3284+Sens!$E$3347-Sens!$E$3348</f>
        <v>0</v>
      </c>
      <c r="F3351" s="39" t="n">
        <f aca="false">Sens!$F$3283+Sens!$F$3284+Sens!$F$3347-Sens!$F$3348</f>
        <v>0</v>
      </c>
      <c r="G3351" s="39" t="n">
        <f aca="false">Sens!$G$3283+Sens!$G$3284+Sens!$G$3347-Sens!$G$3348</f>
        <v>0</v>
      </c>
      <c r="H3351" s="39" t="n">
        <f aca="false">Sens!$H$3283+Sens!$H$3284+Sens!$H$3347-Sens!$H$3348</f>
        <v>0</v>
      </c>
      <c r="I3351" s="39" t="n">
        <f aca="false">Sens!$I$3283+Sens!$I$3284+Sens!$I$3347-Sens!$I$3348</f>
        <v>0</v>
      </c>
      <c r="J3351" s="39" t="n">
        <f aca="false">Sens!$J$3283+Sens!$J$3284+Sens!$J$3347-Sens!$J$3348</f>
        <v>0</v>
      </c>
      <c r="K3351" s="39" t="n">
        <f aca="false">Sens!$K$3283+Sens!$K$3284+Sens!$K$3347-Sens!$K$3348</f>
        <v>0</v>
      </c>
      <c r="L3351" s="39" t="n">
        <f aca="false">Sens!$L$3283+Sens!$L$3284+Sens!$L$3347-Sens!$L$3348</f>
        <v>0</v>
      </c>
      <c r="M3351" s="39" t="n">
        <f aca="false">Sens!$M$3283+Sens!$M$3284+Sens!$M$3347-Sens!$M$3348</f>
        <v>0</v>
      </c>
      <c r="N3351" s="39" t="n">
        <f aca="false">Sens!$N$3283+Sens!$N$3284+Sens!$N$3347-Sens!$N$3348</f>
        <v>0</v>
      </c>
      <c r="O3351" s="39" t="n">
        <f aca="false">Sens!$O$3283+Sens!$O$3284+Sens!$O$3347-Sens!$O$3348</f>
        <v>0</v>
      </c>
    </row>
    <row r="3352" customFormat="false" ht="15" hidden="false" customHeight="false" outlineLevel="0" collapsed="false">
      <c r="A3352" s="5" t="s">
        <v>652</v>
      </c>
      <c r="B3352" s="0" t="s">
        <v>52</v>
      </c>
      <c r="G3352" s="12" t="n">
        <f aca="false">Sens!$G$3348/Sens!$D$3348-1</f>
        <v>0.161378156222718</v>
      </c>
      <c r="H3352" s="12" t="n">
        <f aca="false">Sens!$H$3348/Sens!$G$3348-1</f>
        <v>0.166192665236357</v>
      </c>
      <c r="I3352" s="12" t="n">
        <f aca="false">Sens!$I$3348/Sens!$H$3348-1</f>
        <v>0.143618092519351</v>
      </c>
      <c r="J3352" s="12" t="n">
        <f aca="false">Sens!$J$3348/Sens!$I$3348-1</f>
        <v>0.117712411733268</v>
      </c>
      <c r="K3352" s="12" t="n">
        <f aca="false">Sens!$K$3348/Sens!$J$3348-1</f>
        <v>0.0937151404237868</v>
      </c>
      <c r="L3352" s="12" t="n">
        <f aca="false">Sens!$L$3348/Sens!$K$3348-1</f>
        <v>0.0896982852494186</v>
      </c>
      <c r="M3352" s="12" t="n">
        <f aca="false">Sens!$M$3348/Sens!$L$3348-1</f>
        <v>0.0862697420528154</v>
      </c>
    </row>
    <row r="3353" customFormat="false" ht="17.15" hidden="false" customHeight="false" outlineLevel="0" collapsed="false">
      <c r="A3353" s="0" t="s">
        <v>653</v>
      </c>
      <c r="B3353" s="0" t="s">
        <v>52</v>
      </c>
      <c r="C3353" s="12" t="n">
        <f aca="false">Sens!$C$3347/Sens!$C$3348</f>
        <v>0.168593906504964</v>
      </c>
      <c r="D3353" s="12" t="n">
        <f aca="false">Sens!$D$3347/Sens!$D$3348</f>
        <v>0.179551807444025</v>
      </c>
      <c r="E3353" s="12" t="n">
        <f aca="false">Sens!$E$3347/Sens!$E$3348</f>
        <v>0.208881910369643</v>
      </c>
      <c r="F3353" s="12" t="n">
        <f aca="false">Sens!$F$3347/Sens!$F$3348</f>
        <v>0.207679264769203</v>
      </c>
      <c r="G3353" s="12" t="n">
        <f aca="false">Sens!$G$3347/Sens!$G$3348</f>
        <v>0.208231210458731</v>
      </c>
      <c r="H3353" s="12" t="n">
        <f aca="false">Sens!$H$3347/Sens!$H$3348</f>
        <v>0.248260191414043</v>
      </c>
      <c r="I3353" s="12" t="n">
        <f aca="false">Sens!$I$3347/Sens!$I$3348</f>
        <v>0.28110473450946</v>
      </c>
      <c r="J3353" s="12" t="n">
        <f aca="false">Sens!$J$3347/Sens!$J$3348</f>
        <v>0.30570109287086</v>
      </c>
      <c r="K3353" s="12" t="n">
        <f aca="false">Sens!$K$3347/Sens!$K$3348</f>
        <v>0.324071291782835</v>
      </c>
      <c r="L3353" s="12" t="n">
        <f aca="false">Sens!$L$3347/Sens!$L$3348</f>
        <v>0.339333003903741</v>
      </c>
      <c r="M3353" s="12" t="n">
        <f aca="false">Sens!$M$3347/Sens!$M$3348</f>
        <v>0.3520169237354</v>
      </c>
      <c r="N3353" s="12" t="n">
        <f aca="false">Sens!$N$3347/Sens!$N$3348</f>
        <v>0.185979484737251</v>
      </c>
      <c r="O3353" s="12" t="n">
        <f aca="false">Sens!$O$3347/Sens!$O$3348</f>
        <v>0.174270432341096</v>
      </c>
    </row>
    <row r="3354" customFormat="false" ht="17.15" hidden="false" customHeight="false" outlineLevel="0" collapsed="false">
      <c r="A3354" s="0" t="s">
        <v>654</v>
      </c>
      <c r="B3354" s="0" t="s">
        <v>52</v>
      </c>
      <c r="C3354" s="12" t="n">
        <f aca="false">Sens!$C$3345/Sens!$C$3347</f>
        <v>0.0215795060896058</v>
      </c>
      <c r="D3354" s="12" t="n">
        <f aca="false">Sens!$D$3345/Sens!$D$3347</f>
        <v>0.0676152269462122</v>
      </c>
      <c r="E3354" s="12" t="n">
        <f aca="false">Sens!$E$3345/Sens!$E$3347</f>
        <v>0.106620641395783</v>
      </c>
      <c r="F3354" s="12" t="n">
        <f aca="false">Sens!$F$3345/Sens!$F$3347</f>
        <v>0.159936751776064</v>
      </c>
      <c r="G3354" s="12" t="n">
        <f aca="false">Sens!$G$3345/Sens!$G$3347</f>
        <v>0.135391237003751</v>
      </c>
      <c r="H3354" s="12" t="n">
        <f aca="false">Sens!$H$3345/Sens!$H$3347</f>
        <v>0.249589428545194</v>
      </c>
      <c r="I3354" s="12" t="n">
        <f aca="false">Sens!$I$3345/Sens!$I$3347</f>
        <v>0.325173850577483</v>
      </c>
      <c r="J3354" s="12" t="n">
        <f aca="false">Sens!$J$3345/Sens!$J$3347</f>
        <v>0.376953718817392</v>
      </c>
      <c r="K3354" s="12" t="n">
        <f aca="false">Sens!$K$3345/Sens!$K$3347</f>
        <v>0.419641605578676</v>
      </c>
      <c r="L3354" s="12" t="n">
        <f aca="false">Sens!$L$3345/Sens!$L$3347</f>
        <v>0.450676451094615</v>
      </c>
      <c r="M3354" s="12" t="n">
        <f aca="false">Sens!$M$3345/Sens!$M$3347</f>
        <v>0.473526096798086</v>
      </c>
      <c r="N3354" s="12" t="n">
        <f aca="false">Sens!$N$3345/Sens!$N$3347</f>
        <v>0.0506537999838362</v>
      </c>
      <c r="O3354" s="12" t="n">
        <f aca="false">Sens!$O$3345/Sens!$O$3347</f>
        <v>0.0824881615167056</v>
      </c>
    </row>
    <row r="3357" customFormat="false" ht="19.4" hidden="false" customHeight="false" outlineLevel="0" collapsed="false">
      <c r="A3357" s="31" t="s">
        <v>1117</v>
      </c>
    </row>
    <row r="3358" customFormat="false" ht="17.15" hidden="false" customHeight="false" outlineLevel="0" collapsed="false">
      <c r="A3358" s="6" t="s">
        <v>16</v>
      </c>
      <c r="B3358" s="6" t="s">
        <v>17</v>
      </c>
      <c r="C3358" s="20" t="s">
        <v>457</v>
      </c>
      <c r="D3358" s="20" t="s">
        <v>458</v>
      </c>
      <c r="E3358" s="20" t="s">
        <v>540</v>
      </c>
      <c r="F3358" s="20" t="s">
        <v>541</v>
      </c>
      <c r="G3358" s="20" t="s">
        <v>542</v>
      </c>
      <c r="H3358" s="20" t="s">
        <v>543</v>
      </c>
      <c r="I3358" s="20" t="s">
        <v>544</v>
      </c>
      <c r="J3358" s="20" t="s">
        <v>545</v>
      </c>
      <c r="K3358" s="20" t="s">
        <v>546</v>
      </c>
      <c r="L3358" s="20" t="s">
        <v>547</v>
      </c>
      <c r="M3358" s="20" t="s">
        <v>548</v>
      </c>
      <c r="N3358" s="20" t="s">
        <v>549</v>
      </c>
      <c r="O3358" s="20" t="s">
        <v>550</v>
      </c>
      <c r="P3358" s="6" t="s">
        <v>23</v>
      </c>
      <c r="R3358" s="20" t="n">
        <v>2023</v>
      </c>
      <c r="S3358" s="20" t="n">
        <v>2024</v>
      </c>
      <c r="T3358" s="20" t="n">
        <v>2025</v>
      </c>
      <c r="U3358" s="20" t="n">
        <v>2026</v>
      </c>
      <c r="V3358" s="20" t="n">
        <v>2027</v>
      </c>
      <c r="W3358" s="20" t="n">
        <v>2028</v>
      </c>
      <c r="X3358" s="20" t="n">
        <v>2029</v>
      </c>
      <c r="Y3358" s="20" t="n">
        <v>2030</v>
      </c>
      <c r="Z3358" s="20" t="n">
        <v>2031</v>
      </c>
      <c r="AA3358" s="20" t="n">
        <v>2032</v>
      </c>
    </row>
    <row r="3359" customFormat="false" ht="17.15" hidden="false" customHeight="false" outlineLevel="0" collapsed="false">
      <c r="A3359" s="1" t="s">
        <v>669</v>
      </c>
    </row>
    <row r="3360" customFormat="false" ht="15" hidden="false" customHeight="false" outlineLevel="0" collapsed="false">
      <c r="A3360" s="0" t="s">
        <v>479</v>
      </c>
      <c r="B3360" s="0" t="s">
        <v>73</v>
      </c>
      <c r="C3360" s="38" t="n">
        <f aca="false">Sens!$C$3269</f>
        <v>247.029</v>
      </c>
      <c r="D3360" s="38" t="n">
        <f aca="false">Sens!$D$3269</f>
        <v>269.287</v>
      </c>
      <c r="E3360" s="38" t="n">
        <f aca="false">Sens!$E$3269</f>
        <v>134.686</v>
      </c>
      <c r="F3360" s="38" t="n">
        <f aca="false">Sens!$F$3269</f>
        <v>160.728085930082</v>
      </c>
      <c r="G3360" s="38" t="n">
        <f aca="false">Sens!$G$3269</f>
        <v>295.414085930082</v>
      </c>
      <c r="H3360" s="38" t="n">
        <f aca="false">Sens!$H$3269</f>
        <v>320.828163943375</v>
      </c>
      <c r="I3360" s="38" t="n">
        <f aca="false">Sens!$I$3269</f>
        <v>344.575578072228</v>
      </c>
      <c r="J3360" s="38" t="n">
        <f aca="false">Sens!$J$3269</f>
        <v>365.942555779681</v>
      </c>
      <c r="K3360" s="38" t="n">
        <f aca="false">Sens!$K$3269</f>
        <v>384.239683568665</v>
      </c>
      <c r="L3360" s="38" t="n">
        <f aca="false">Sens!$L$3269</f>
        <v>403.451667747098</v>
      </c>
      <c r="M3360" s="38" t="n">
        <f aca="false">Sens!$M$3269</f>
        <v>423.624251134453</v>
      </c>
      <c r="N3360" s="38" t="n">
        <f aca="false">Sens!$N$3269</f>
        <v>118.892</v>
      </c>
      <c r="O3360" s="38" t="n">
        <f aca="false">Sens!$O$3269</f>
        <v>150.395</v>
      </c>
    </row>
    <row r="3361" customFormat="false" ht="15" hidden="false" customHeight="false" outlineLevel="0" collapsed="false">
      <c r="A3361" s="0" t="s">
        <v>480</v>
      </c>
      <c r="B3361" s="0" t="s">
        <v>73</v>
      </c>
      <c r="C3361" s="38" t="n">
        <f aca="false">Sens!$C$3271</f>
        <v>21.215</v>
      </c>
      <c r="D3361" s="38" t="n">
        <f aca="false">Sens!$D$3271</f>
        <v>22.561</v>
      </c>
      <c r="E3361" s="38" t="n">
        <f aca="false">Sens!$E$3271</f>
        <v>11.579</v>
      </c>
      <c r="F3361" s="38" t="n">
        <f aca="false">Sens!$F$3271</f>
        <v>12.0952613121125</v>
      </c>
      <c r="G3361" s="38" t="n">
        <f aca="false">Sens!$G$3271</f>
        <v>23.6742613121125</v>
      </c>
      <c r="H3361" s="38" t="n">
        <f aca="false">Sens!$H$3271</f>
        <v>24.8803243963206</v>
      </c>
      <c r="I3361" s="38" t="n">
        <f aca="false">Sens!$I$3271</f>
        <v>25.9741308664154</v>
      </c>
      <c r="J3361" s="38" t="n">
        <f aca="false">Sens!$J$3271</f>
        <v>26.9346894124267</v>
      </c>
      <c r="K3361" s="38" t="n">
        <f aca="false">Sens!$K$3271</f>
        <v>27.7427300947995</v>
      </c>
      <c r="L3361" s="38" t="n">
        <f aca="false">Sens!$L$3271</f>
        <v>28.5750119976435</v>
      </c>
      <c r="M3361" s="38" t="n">
        <f aca="false">Sens!$M$3271</f>
        <v>29.4322623575728</v>
      </c>
      <c r="N3361" s="38" t="n">
        <f aca="false">Sens!$N$3271</f>
        <v>11.128</v>
      </c>
      <c r="O3361" s="38" t="n">
        <f aca="false">Sens!$O$3271</f>
        <v>11.433</v>
      </c>
    </row>
    <row r="3362" customFormat="false" ht="15" hidden="false" customHeight="false" outlineLevel="0" collapsed="false">
      <c r="A3362" s="0" t="s">
        <v>481</v>
      </c>
      <c r="B3362" s="0" t="s">
        <v>73</v>
      </c>
      <c r="C3362" s="38" t="n">
        <f aca="false">Sens!$C$3273</f>
        <v>156.146</v>
      </c>
      <c r="D3362" s="38" t="n">
        <f aca="false">Sens!$D$3273</f>
        <v>172.162</v>
      </c>
      <c r="E3362" s="38" t="n">
        <f aca="false">Sens!$E$3273</f>
        <v>88.358</v>
      </c>
      <c r="F3362" s="38" t="n">
        <f aca="false">Sens!$F$3273</f>
        <v>103.62028337149</v>
      </c>
      <c r="G3362" s="38" t="n">
        <f aca="false">Sens!$G$3273</f>
        <v>191.97828337149</v>
      </c>
      <c r="H3362" s="38" t="n">
        <f aca="false">Sens!$H$3273</f>
        <v>212.128608444755</v>
      </c>
      <c r="I3362" s="38" t="n">
        <f aca="false">Sens!$I$3273</f>
        <v>231.92183134134</v>
      </c>
      <c r="J3362" s="38" t="n">
        <f aca="false">Sens!$J$3273</f>
        <v>250.859136487863</v>
      </c>
      <c r="K3362" s="38" t="n">
        <f aca="false">Sens!$K$3273</f>
        <v>268.419276042014</v>
      </c>
      <c r="L3362" s="38" t="n">
        <f aca="false">Sens!$L$3273</f>
        <v>287.208625364954</v>
      </c>
      <c r="M3362" s="38" t="n">
        <f aca="false">Sens!$M$3273</f>
        <v>307.313229140501</v>
      </c>
      <c r="N3362" s="38" t="n">
        <f aca="false">Sens!$N$3273</f>
        <v>76.86</v>
      </c>
      <c r="O3362" s="38" t="n">
        <f aca="false">Sens!$O$3273</f>
        <v>95.302</v>
      </c>
    </row>
    <row r="3363" customFormat="false" ht="15" hidden="false" customHeight="false" outlineLevel="0" collapsed="false">
      <c r="A3363" s="0" t="s">
        <v>482</v>
      </c>
      <c r="B3363" s="0" t="s">
        <v>73</v>
      </c>
      <c r="C3363" s="38" t="n">
        <f aca="false">Sens!$C$3275</f>
        <v>56.214</v>
      </c>
      <c r="D3363" s="38" t="n">
        <f aca="false">Sens!$D$3275</f>
        <v>68.635</v>
      </c>
      <c r="E3363" s="38" t="n">
        <f aca="false">Sens!$E$3275</f>
        <v>37.052</v>
      </c>
      <c r="F3363" s="38" t="n">
        <f aca="false">Sens!$F$3275</f>
        <v>48.1533381827382</v>
      </c>
      <c r="G3363" s="38" t="n">
        <f aca="false">Sens!$G$3275</f>
        <v>85.2053381827382</v>
      </c>
      <c r="H3363" s="38" t="n">
        <f aca="false">Sens!$H$3275</f>
        <v>102.29336185894</v>
      </c>
      <c r="I3363" s="38" t="n">
        <f aca="false">Sens!$I$3275</f>
        <v>119.379837585241</v>
      </c>
      <c r="J3363" s="38" t="n">
        <f aca="false">Sens!$J$3275</f>
        <v>135.319079048844</v>
      </c>
      <c r="K3363" s="38" t="n">
        <f aca="false">Sens!$K$3275</f>
        <v>148.850986953729</v>
      </c>
      <c r="L3363" s="38" t="n">
        <f aca="false">Sens!$L$3275</f>
        <v>163.736085649102</v>
      </c>
      <c r="M3363" s="38" t="n">
        <f aca="false">Sens!$M$3275</f>
        <v>180.109694214012</v>
      </c>
      <c r="N3363" s="38" t="n">
        <f aca="false">Sens!$N$3275</f>
        <v>29.615</v>
      </c>
      <c r="O3363" s="38" t="n">
        <f aca="false">Sens!$O$3275</f>
        <v>39.02</v>
      </c>
    </row>
    <row r="3364" customFormat="false" ht="15" hidden="false" customHeight="false" outlineLevel="0" collapsed="false">
      <c r="A3364" s="0" t="s">
        <v>483</v>
      </c>
      <c r="B3364" s="0" t="s">
        <v>73</v>
      </c>
      <c r="C3364" s="38" t="n">
        <f aca="false">Sens!$C$3277</f>
        <v>44.374</v>
      </c>
      <c r="D3364" s="38" t="n">
        <f aca="false">Sens!$D$3277</f>
        <v>49.619</v>
      </c>
      <c r="E3364" s="38" t="n">
        <f aca="false">Sens!$E$3277</f>
        <v>27.157</v>
      </c>
      <c r="F3364" s="38" t="n">
        <f aca="false">Sens!$F$3277</f>
        <v>28.9776360923374</v>
      </c>
      <c r="G3364" s="38" t="n">
        <f aca="false">Sens!$G$3277</f>
        <v>56.1346360923374</v>
      </c>
      <c r="H3364" s="38" t="n">
        <f aca="false">Sens!$H$3277</f>
        <v>62.4937078946075</v>
      </c>
      <c r="I3364" s="38" t="n">
        <f aca="false">Sens!$I$3277</f>
        <v>68.6715233062498</v>
      </c>
      <c r="J3364" s="38" t="n">
        <f aca="false">Sens!$J$3277</f>
        <v>74.4692882949818</v>
      </c>
      <c r="K3364" s="38" t="n">
        <f aca="false">Sens!$K$3277</f>
        <v>79.6821384756306</v>
      </c>
      <c r="L3364" s="38" t="n">
        <f aca="false">Sens!$L$3277</f>
        <v>85.2598881689247</v>
      </c>
      <c r="M3364" s="38" t="n">
        <f aca="false">Sens!$M$3277</f>
        <v>91.2280803407494</v>
      </c>
      <c r="N3364" s="38" t="n">
        <f aca="false">Sens!$N$3277</f>
        <v>23.923</v>
      </c>
      <c r="O3364" s="38" t="n">
        <f aca="false">Sens!$O$3277</f>
        <v>25.696</v>
      </c>
    </row>
    <row r="3365" customFormat="false" ht="15" hidden="false" customHeight="false" outlineLevel="0" collapsed="false">
      <c r="A3365" s="0" t="s">
        <v>484</v>
      </c>
      <c r="B3365" s="0" t="s">
        <v>73</v>
      </c>
      <c r="C3365" s="38" t="n">
        <f aca="false">Sens!$C$3279</f>
        <v>5.425</v>
      </c>
      <c r="D3365" s="38" t="n">
        <f aca="false">Sens!$D$3279</f>
        <v>5.935</v>
      </c>
      <c r="E3365" s="38" t="n">
        <f aca="false">Sens!$E$3279</f>
        <v>3.474</v>
      </c>
      <c r="F3365" s="38" t="n">
        <f aca="false">Sens!$F$3279</f>
        <v>3.36182431966931</v>
      </c>
      <c r="G3365" s="38" t="n">
        <f aca="false">Sens!$G$3279</f>
        <v>6.83582431966931</v>
      </c>
      <c r="H3365" s="38" t="n">
        <f aca="false">Sens!$H$3279</f>
        <v>7.31157108370141</v>
      </c>
      <c r="I3365" s="38" t="n">
        <f aca="false">Sens!$I$3279</f>
        <v>7.77266852639815</v>
      </c>
      <c r="J3365" s="38" t="n">
        <f aca="false">Sens!$J$3279</f>
        <v>8.2120733019884</v>
      </c>
      <c r="K3365" s="38" t="n">
        <f aca="false">Sens!$K$3279</f>
        <v>8.62267696708783</v>
      </c>
      <c r="L3365" s="38" t="n">
        <f aca="false">Sens!$L$3279</f>
        <v>9.05381081544222</v>
      </c>
      <c r="M3365" s="38" t="n">
        <f aca="false">Sens!$M$3279</f>
        <v>9.50650135621433</v>
      </c>
      <c r="N3365" s="38" t="n">
        <f aca="false">Sens!$N$3279</f>
        <v>2.811</v>
      </c>
      <c r="O3365" s="38" t="n">
        <f aca="false">Sens!$O$3279</f>
        <v>3.124</v>
      </c>
    </row>
    <row r="3366" customFormat="false" ht="17.15" hidden="false" customHeight="false" outlineLevel="0" collapsed="false">
      <c r="A3366" s="0" t="s">
        <v>670</v>
      </c>
      <c r="B3366" s="0" t="s">
        <v>73</v>
      </c>
      <c r="C3366" s="38" t="n">
        <f aca="false">Sens!$C$3347</f>
        <v>107.556</v>
      </c>
      <c r="D3366" s="38" t="n">
        <f aca="false">Sens!$D$3347</f>
        <v>128.725</v>
      </c>
      <c r="E3366" s="38" t="n">
        <f aca="false">Sens!$E$3347</f>
        <v>79.819</v>
      </c>
      <c r="F3366" s="38" t="n">
        <f aca="false">Sens!$F$3347</f>
        <v>93.5584440633857</v>
      </c>
      <c r="G3366" s="38" t="n">
        <f aca="false">Sens!$G$3347</f>
        <v>173.377444063386</v>
      </c>
      <c r="H3366" s="38" t="n">
        <f aca="false">Sens!$H$3347</f>
        <v>241.059451517916</v>
      </c>
      <c r="I3366" s="38" t="n">
        <f aca="false">Sens!$I$3347</f>
        <v>312.152096351442</v>
      </c>
      <c r="J3366" s="38" t="n">
        <f aca="false">Sens!$J$3347</f>
        <v>379.424316597773</v>
      </c>
      <c r="K3366" s="38" t="n">
        <f aca="false">Sens!$K$3347</f>
        <v>439.919237244402</v>
      </c>
      <c r="L3366" s="38" t="n">
        <f aca="false">Sens!$L$3347</f>
        <v>501.954974491517</v>
      </c>
      <c r="M3366" s="38" t="n">
        <f aca="false">Sens!$M$3347</f>
        <v>565.639704466895</v>
      </c>
      <c r="N3366" s="38" t="n">
        <f aca="false">Sens!$N$3347</f>
        <v>60.14</v>
      </c>
      <c r="O3366" s="38" t="n">
        <f aca="false">Sens!$O$3347</f>
        <v>68.585</v>
      </c>
    </row>
    <row r="3367" customFormat="false" ht="15" hidden="false" customHeight="false" outlineLevel="0" collapsed="false">
      <c r="A3367" s="1" t="s">
        <v>472</v>
      </c>
      <c r="B3367" s="8" t="s">
        <v>73</v>
      </c>
      <c r="C3367" s="38" t="n">
        <f aca="false">Sens!$C$3283</f>
        <v>387.497</v>
      </c>
      <c r="D3367" s="38" t="n">
        <f aca="false">Sens!$D$3283</f>
        <v>426.305</v>
      </c>
      <c r="E3367" s="38" t="n">
        <f aca="false">Sens!$E$3283</f>
        <v>220.32</v>
      </c>
      <c r="F3367" s="38" t="n">
        <f aca="false">Sens!$F$3283</f>
        <v>256.304015003807</v>
      </c>
      <c r="G3367" s="38" t="n">
        <f aca="false">Sens!$G$3283</f>
        <v>476.624015003807</v>
      </c>
      <c r="H3367" s="38" t="n">
        <f aca="false">Sens!$H$3283</f>
        <v>527.734391091543</v>
      </c>
      <c r="I3367" s="38" t="n">
        <f aca="false">Sens!$I$3283</f>
        <v>577.157693029577</v>
      </c>
      <c r="J3367" s="38" t="n">
        <f aca="false">Sens!$J$3283</f>
        <v>623.024923663827</v>
      </c>
      <c r="K3367" s="38" t="n">
        <f aca="false">Sens!$K$3283</f>
        <v>663.382568393781</v>
      </c>
      <c r="L3367" s="38" t="n">
        <f aca="false">Sens!$L$3283</f>
        <v>706.564873010432</v>
      </c>
      <c r="M3367" s="38" t="n">
        <f aca="false">Sens!$M$3283</f>
        <v>752.784687406019</v>
      </c>
      <c r="N3367" s="38" t="n">
        <f aca="false">Sens!$N$3283</f>
        <v>192.955</v>
      </c>
      <c r="O3367" s="38" t="n">
        <f aca="false">Sens!$O$3283</f>
        <v>233.35</v>
      </c>
    </row>
    <row r="3368" customFormat="false" ht="15" hidden="false" customHeight="false" outlineLevel="0" collapsed="false">
      <c r="A3368" s="1" t="s">
        <v>475</v>
      </c>
      <c r="B3368" s="8" t="s">
        <v>73</v>
      </c>
      <c r="C3368" s="38" t="n">
        <f aca="false">Sens!$C$3284</f>
        <v>142.906</v>
      </c>
      <c r="D3368" s="38" t="n">
        <f aca="false">Sens!$D$3284</f>
        <v>161.894</v>
      </c>
      <c r="E3368" s="38" t="n">
        <f aca="false">Sens!$E$3284</f>
        <v>81.986</v>
      </c>
      <c r="F3368" s="38" t="n">
        <f aca="false">Sens!$F$3284</f>
        <v>100.632414204623</v>
      </c>
      <c r="G3368" s="38" t="n">
        <f aca="false">Sens!$G$3284</f>
        <v>182.618414204623</v>
      </c>
      <c r="H3368" s="38" t="n">
        <f aca="false">Sens!$H$3284</f>
        <v>202.201346530158</v>
      </c>
      <c r="I3368" s="38" t="n">
        <f aca="false">Sens!$I$3284</f>
        <v>221.137876668296</v>
      </c>
      <c r="J3368" s="38" t="n">
        <f aca="false">Sens!$J$3284</f>
        <v>238.711898661958</v>
      </c>
      <c r="K3368" s="38" t="n">
        <f aca="false">Sens!$K$3284</f>
        <v>254.174923708144</v>
      </c>
      <c r="L3368" s="38" t="n">
        <f aca="false">Sens!$L$3284</f>
        <v>270.720216732733</v>
      </c>
      <c r="M3368" s="38" t="n">
        <f aca="false">Sens!$M$3284</f>
        <v>288.429331137484</v>
      </c>
      <c r="N3368" s="38" t="n">
        <f aca="false">Sens!$N$3284</f>
        <v>70.274</v>
      </c>
      <c r="O3368" s="38" t="n">
        <f aca="false">Sens!$O$3284</f>
        <v>91.62</v>
      </c>
    </row>
    <row r="3369" customFormat="false" ht="15" hidden="false" customHeight="false" outlineLevel="0" collapsed="false">
      <c r="A3369" s="1" t="s">
        <v>476</v>
      </c>
      <c r="B3369" s="8" t="s">
        <v>73</v>
      </c>
      <c r="C3369" s="38" t="n">
        <f aca="false">Sens!$C$3347</f>
        <v>107.556</v>
      </c>
      <c r="D3369" s="38" t="n">
        <f aca="false">Sens!$D$3347</f>
        <v>128.725</v>
      </c>
      <c r="E3369" s="38" t="n">
        <f aca="false">Sens!$E$3347</f>
        <v>79.819</v>
      </c>
      <c r="F3369" s="38" t="n">
        <f aca="false">Sens!$F$3347</f>
        <v>93.5584440633857</v>
      </c>
      <c r="G3369" s="38" t="n">
        <f aca="false">Sens!$G$3347</f>
        <v>173.377444063386</v>
      </c>
      <c r="H3369" s="38" t="n">
        <f aca="false">Sens!$H$3347</f>
        <v>241.059451517916</v>
      </c>
      <c r="I3369" s="38" t="n">
        <f aca="false">Sens!$I$3347</f>
        <v>312.152096351442</v>
      </c>
      <c r="J3369" s="38" t="n">
        <f aca="false">Sens!$J$3347</f>
        <v>379.424316597773</v>
      </c>
      <c r="K3369" s="38" t="n">
        <f aca="false">Sens!$K$3347</f>
        <v>439.919237244402</v>
      </c>
      <c r="L3369" s="38" t="n">
        <f aca="false">Sens!$L$3347</f>
        <v>501.954974491517</v>
      </c>
      <c r="M3369" s="38" t="n">
        <f aca="false">Sens!$M$3347</f>
        <v>565.639704466895</v>
      </c>
      <c r="N3369" s="38" t="n">
        <f aca="false">Sens!$N$3347</f>
        <v>60.14</v>
      </c>
      <c r="O3369" s="38" t="n">
        <f aca="false">Sens!$O$3347</f>
        <v>68.585</v>
      </c>
    </row>
    <row r="3370" customFormat="false" ht="17.15" hidden="false" customHeight="false" outlineLevel="0" collapsed="false">
      <c r="A3370" s="0" t="s">
        <v>644</v>
      </c>
      <c r="B3370" s="0" t="s">
        <v>73</v>
      </c>
      <c r="C3370" s="38" t="n">
        <f aca="false">Sens!$C$3345</f>
        <v>2.32100535697364</v>
      </c>
      <c r="D3370" s="38" t="n">
        <f aca="false">Sens!$D$3345</f>
        <v>8.70377008865116</v>
      </c>
      <c r="E3370" s="38" t="n">
        <f aca="false">Sens!$E$3345</f>
        <v>8.51035297557002</v>
      </c>
      <c r="F3370" s="38" t="n">
        <f aca="false">Sens!$F$3345</f>
        <v>14.9634336447205</v>
      </c>
      <c r="G3370" s="38" t="n">
        <f aca="false">Sens!$G$3345</f>
        <v>23.4737866202905</v>
      </c>
      <c r="H3370" s="38" t="n">
        <f aca="false">Sens!$H$3345</f>
        <v>60.1658907497746</v>
      </c>
      <c r="I3370" s="38" t="n">
        <f aca="false">Sens!$I$3345</f>
        <v>101.503699136432</v>
      </c>
      <c r="J3370" s="38" t="n">
        <f aca="false">Sens!$J$3345</f>
        <v>143.025407151278</v>
      </c>
      <c r="K3370" s="38" t="n">
        <f aca="false">Sens!$K$3345</f>
        <v>184.608415042187</v>
      </c>
      <c r="L3370" s="38" t="n">
        <f aca="false">Sens!$L$3345</f>
        <v>226.219286513125</v>
      </c>
      <c r="M3370" s="38" t="n">
        <f aca="false">Sens!$M$3345</f>
        <v>267.845161450232</v>
      </c>
      <c r="N3370" s="38" t="n">
        <f aca="false">Sens!$N$3345</f>
        <v>3.04631953102791</v>
      </c>
      <c r="O3370" s="38" t="n">
        <f aca="false">Sens!$O$3345</f>
        <v>5.65745055762326</v>
      </c>
    </row>
    <row r="3371" customFormat="false" ht="17.15" hidden="false" customHeight="false" outlineLevel="0" collapsed="false">
      <c r="A3371" s="0" t="s">
        <v>646</v>
      </c>
      <c r="B3371" s="0" t="s">
        <v>73</v>
      </c>
      <c r="C3371" s="38" t="n">
        <f aca="false">Sens!$C$3346</f>
        <v>105.234994643026</v>
      </c>
      <c r="D3371" s="38" t="n">
        <f aca="false">Sens!$D$3346</f>
        <v>120.021229911349</v>
      </c>
      <c r="E3371" s="38" t="n">
        <f aca="false">Sens!$E$3346</f>
        <v>71.30864702443</v>
      </c>
      <c r="F3371" s="38" t="n">
        <f aca="false">Sens!$F$3346</f>
        <v>78.5950104186653</v>
      </c>
      <c r="G3371" s="38" t="n">
        <f aca="false">Sens!$G$3346</f>
        <v>149.903657443095</v>
      </c>
      <c r="H3371" s="38" t="n">
        <f aca="false">Sens!$H$3346</f>
        <v>180.893560768142</v>
      </c>
      <c r="I3371" s="38" t="n">
        <f aca="false">Sens!$I$3346</f>
        <v>210.64839721501</v>
      </c>
      <c r="J3371" s="38" t="n">
        <f aca="false">Sens!$J$3346</f>
        <v>236.398909446495</v>
      </c>
      <c r="K3371" s="38" t="n">
        <f aca="false">Sens!$K$3346</f>
        <v>255.310822202215</v>
      </c>
      <c r="L3371" s="38" t="n">
        <f aca="false">Sens!$L$3346</f>
        <v>275.735687978392</v>
      </c>
      <c r="M3371" s="38" t="n">
        <f aca="false">Sens!$M$3346</f>
        <v>297.794543016663</v>
      </c>
      <c r="N3371" s="38" t="n">
        <f aca="false">Sens!$N$3346</f>
        <v>57.0936804689721</v>
      </c>
      <c r="O3371" s="38" t="n">
        <f aca="false">Sens!$O$3346</f>
        <v>62.9275494423768</v>
      </c>
    </row>
    <row r="3372" customFormat="false" ht="15" hidden="false" customHeight="false" outlineLevel="0" collapsed="false">
      <c r="A3372" s="3" t="s">
        <v>477</v>
      </c>
      <c r="B3372" s="8" t="s">
        <v>73</v>
      </c>
      <c r="C3372" s="38" t="n">
        <f aca="false">Sens!$C$3348</f>
        <v>637.959</v>
      </c>
      <c r="D3372" s="38" t="n">
        <f aca="false">Sens!$D$3348</f>
        <v>716.924</v>
      </c>
      <c r="E3372" s="38" t="n">
        <f aca="false">Sens!$E$3348</f>
        <v>382.125</v>
      </c>
      <c r="F3372" s="38" t="n">
        <f aca="false">Sens!$F$3348</f>
        <v>450.494873271816</v>
      </c>
      <c r="G3372" s="38" t="n">
        <f aca="false">Sens!$G$3348</f>
        <v>832.619873271816</v>
      </c>
      <c r="H3372" s="38" t="n">
        <f aca="false">Sens!$H$3348</f>
        <v>970.995189139617</v>
      </c>
      <c r="I3372" s="38" t="n">
        <f aca="false">Sens!$I$3348</f>
        <v>1110.44766604932</v>
      </c>
      <c r="J3372" s="38" t="n">
        <f aca="false">Sens!$J$3348</f>
        <v>1241.16113892356</v>
      </c>
      <c r="K3372" s="38" t="n">
        <f aca="false">Sens!$K$3348</f>
        <v>1357.47672934633</v>
      </c>
      <c r="L3372" s="38" t="n">
        <f aca="false">Sens!$L$3348</f>
        <v>1479.24006423468</v>
      </c>
      <c r="M3372" s="38" t="n">
        <f aca="false">Sens!$M$3348</f>
        <v>1606.8537230104</v>
      </c>
      <c r="N3372" s="38" t="n">
        <f aca="false">Sens!$N$3348</f>
        <v>323.369</v>
      </c>
      <c r="O3372" s="38" t="n">
        <f aca="false">Sens!$O$3348</f>
        <v>393.555</v>
      </c>
    </row>
    <row r="3373" customFormat="false" ht="17.15" hidden="false" customHeight="false" outlineLevel="0" collapsed="false">
      <c r="A3373" s="24" t="s">
        <v>656</v>
      </c>
      <c r="B3373" s="25" t="s">
        <v>73</v>
      </c>
      <c r="C3373" s="39" t="n">
        <f aca="false">Sens!$C$3360+Sens!$C$3361+Sens!$C$3362+Sens!$C$3363+Sens!$C$3364+Sens!$C$3365-(Sens!$C$3367+Sens!$C$3368)</f>
        <v>0</v>
      </c>
      <c r="D3373" s="39" t="n">
        <f aca="false">Sens!$D$3360+Sens!$D$3361+Sens!$D$3362+Sens!$D$3363+Sens!$D$3364+Sens!$D$3365-(Sens!$D$3367+Sens!$D$3368)</f>
        <v>0</v>
      </c>
      <c r="E3373" s="39" t="n">
        <f aca="false">Sens!$E$3360+Sens!$E$3361+Sens!$E$3362+Sens!$E$3363+Sens!$E$3364+Sens!$E$3365-(Sens!$E$3367+Sens!$E$3368)</f>
        <v>0</v>
      </c>
      <c r="F3373" s="39" t="n">
        <f aca="false">Sens!$F$3360+Sens!$F$3361+Sens!$F$3362+Sens!$F$3363+Sens!$F$3364+Sens!$F$3365-(Sens!$F$3367+Sens!$F$3368)</f>
        <v>0</v>
      </c>
      <c r="G3373" s="39" t="n">
        <f aca="false">Sens!$G$3360+Sens!$G$3361+Sens!$G$3362+Sens!$G$3363+Sens!$G$3364+Sens!$G$3365-(Sens!$G$3367+Sens!$G$3368)</f>
        <v>0</v>
      </c>
      <c r="H3373" s="39" t="n">
        <f aca="false">Sens!$H$3360+Sens!$H$3361+Sens!$H$3362+Sens!$H$3363+Sens!$H$3364+Sens!$H$3365-(Sens!$H$3367+Sens!$H$3368)</f>
        <v>0</v>
      </c>
      <c r="I3373" s="39" t="n">
        <f aca="false">Sens!$I$3360+Sens!$I$3361+Sens!$I$3362+Sens!$I$3363+Sens!$I$3364+Sens!$I$3365-(Sens!$I$3367+Sens!$I$3368)</f>
        <v>0</v>
      </c>
      <c r="J3373" s="39" t="n">
        <f aca="false">Sens!$J$3360+Sens!$J$3361+Sens!$J$3362+Sens!$J$3363+Sens!$J$3364+Sens!$J$3365-(Sens!$J$3367+Sens!$J$3368)</f>
        <v>0</v>
      </c>
      <c r="K3373" s="39" t="n">
        <f aca="false">Sens!$K$3360+Sens!$K$3361+Sens!$K$3362+Sens!$K$3363+Sens!$K$3364+Sens!$K$3365-(Sens!$K$3367+Sens!$K$3368)</f>
        <v>0</v>
      </c>
      <c r="L3373" s="39" t="n">
        <f aca="false">Sens!$L$3360+Sens!$L$3361+Sens!$L$3362+Sens!$L$3363+Sens!$L$3364+Sens!$L$3365-(Sens!$L$3367+Sens!$L$3368)</f>
        <v>0</v>
      </c>
      <c r="M3373" s="39" t="n">
        <f aca="false">Sens!$M$3360+Sens!$M$3361+Sens!$M$3362+Sens!$M$3363+Sens!$M$3364+Sens!$M$3365-(Sens!$M$3367+Sens!$M$3368)</f>
        <v>0</v>
      </c>
      <c r="N3373" s="39" t="n">
        <f aca="false">Sens!$N$3360+Sens!$N$3361+Sens!$N$3362+Sens!$N$3363+Sens!$N$3364+Sens!$N$3365-(Sens!$N$3367+Sens!$N$3368)</f>
        <v>0</v>
      </c>
      <c r="O3373" s="39" t="n">
        <f aca="false">Sens!$O$3360+Sens!$O$3361+Sens!$O$3362+Sens!$O$3363+Sens!$O$3364+Sens!$O$3365-(Sens!$O$3367+Sens!$O$3368)</f>
        <v>0</v>
      </c>
    </row>
    <row r="3374" customFormat="false" ht="17.15" hidden="false" customHeight="false" outlineLevel="0" collapsed="false">
      <c r="A3374" s="24" t="s">
        <v>657</v>
      </c>
      <c r="B3374" s="25" t="s">
        <v>73</v>
      </c>
      <c r="C3374" s="39" t="n">
        <f aca="false">Sens!$C$3370+Sens!$C$3371-Sens!$C$3369</f>
        <v>0</v>
      </c>
      <c r="D3374" s="39" t="n">
        <f aca="false">Sens!$D$3370+Sens!$D$3371-Sens!$D$3369</f>
        <v>0</v>
      </c>
      <c r="E3374" s="39" t="n">
        <f aca="false">Sens!$E$3370+Sens!$E$3371-Sens!$E$3369</f>
        <v>0</v>
      </c>
      <c r="F3374" s="39" t="n">
        <f aca="false">Sens!$F$3370+Sens!$F$3371-Sens!$F$3369</f>
        <v>0</v>
      </c>
      <c r="G3374" s="39" t="n">
        <f aca="false">Sens!$G$3370+Sens!$G$3371-Sens!$G$3369</f>
        <v>0</v>
      </c>
      <c r="H3374" s="39" t="n">
        <f aca="false">Sens!$H$3370+Sens!$H$3371-Sens!$H$3369</f>
        <v>0</v>
      </c>
      <c r="I3374" s="39" t="n">
        <f aca="false">Sens!$I$3370+Sens!$I$3371-Sens!$I$3369</f>
        <v>0</v>
      </c>
      <c r="J3374" s="39" t="n">
        <f aca="false">Sens!$J$3370+Sens!$J$3371-Sens!$J$3369</f>
        <v>0</v>
      </c>
      <c r="K3374" s="39" t="n">
        <f aca="false">Sens!$K$3370+Sens!$K$3371-Sens!$K$3369</f>
        <v>0</v>
      </c>
      <c r="L3374" s="39" t="n">
        <f aca="false">Sens!$L$3370+Sens!$L$3371-Sens!$L$3369</f>
        <v>0</v>
      </c>
      <c r="M3374" s="39" t="n">
        <f aca="false">Sens!$M$3370+Sens!$M$3371-Sens!$M$3369</f>
        <v>0</v>
      </c>
      <c r="N3374" s="39" t="n">
        <f aca="false">Sens!$N$3370+Sens!$N$3371-Sens!$N$3369</f>
        <v>0</v>
      </c>
      <c r="O3374" s="39" t="n">
        <f aca="false">Sens!$O$3370+Sens!$O$3371-Sens!$O$3369</f>
        <v>0</v>
      </c>
    </row>
    <row r="3375" customFormat="false" ht="17.15" hidden="false" customHeight="false" outlineLevel="0" collapsed="false">
      <c r="A3375" s="24" t="s">
        <v>711</v>
      </c>
      <c r="B3375" s="25" t="s">
        <v>73</v>
      </c>
      <c r="C3375" s="39" t="n">
        <f aca="false">Sens!$C$3360+Sens!$C$3361+Sens!$C$3362+Sens!$C$3363+Sens!$C$3364+Sens!$C$3365+Sens!$C$3366-Sens!$C$3372</f>
        <v>0</v>
      </c>
      <c r="D3375" s="39" t="n">
        <f aca="false">Sens!$D$3360+Sens!$D$3361+Sens!$D$3362+Sens!$D$3363+Sens!$D$3364+Sens!$D$3365+Sens!$D$3366-Sens!$D$3372</f>
        <v>0</v>
      </c>
      <c r="E3375" s="39" t="n">
        <f aca="false">Sens!$E$3360+Sens!$E$3361+Sens!$E$3362+Sens!$E$3363+Sens!$E$3364+Sens!$E$3365+Sens!$E$3366-Sens!$E$3372</f>
        <v>0</v>
      </c>
      <c r="F3375" s="39" t="n">
        <f aca="false">Sens!$F$3360+Sens!$F$3361+Sens!$F$3362+Sens!$F$3363+Sens!$F$3364+Sens!$F$3365+Sens!$F$3366-Sens!$F$3372</f>
        <v>0</v>
      </c>
      <c r="G3375" s="39" t="n">
        <f aca="false">Sens!$G$3360+Sens!$G$3361+Sens!$G$3362+Sens!$G$3363+Sens!$G$3364+Sens!$G$3365+Sens!$G$3366-Sens!$G$3372</f>
        <v>0</v>
      </c>
      <c r="H3375" s="39" t="n">
        <f aca="false">Sens!$H$3360+Sens!$H$3361+Sens!$H$3362+Sens!$H$3363+Sens!$H$3364+Sens!$H$3365+Sens!$H$3366-Sens!$H$3372</f>
        <v>0</v>
      </c>
      <c r="I3375" s="39" t="n">
        <f aca="false">Sens!$I$3360+Sens!$I$3361+Sens!$I$3362+Sens!$I$3363+Sens!$I$3364+Sens!$I$3365+Sens!$I$3366-Sens!$I$3372</f>
        <v>0</v>
      </c>
      <c r="J3375" s="39" t="n">
        <f aca="false">Sens!$J$3360+Sens!$J$3361+Sens!$J$3362+Sens!$J$3363+Sens!$J$3364+Sens!$J$3365+Sens!$J$3366-Sens!$J$3372</f>
        <v>0</v>
      </c>
      <c r="K3375" s="39" t="n">
        <f aca="false">Sens!$K$3360+Sens!$K$3361+Sens!$K$3362+Sens!$K$3363+Sens!$K$3364+Sens!$K$3365+Sens!$K$3366-Sens!$K$3372</f>
        <v>0</v>
      </c>
      <c r="L3375" s="39" t="n">
        <f aca="false">Sens!$L$3360+Sens!$L$3361+Sens!$L$3362+Sens!$L$3363+Sens!$L$3364+Sens!$L$3365+Sens!$L$3366-Sens!$L$3372</f>
        <v>0</v>
      </c>
      <c r="M3375" s="39" t="n">
        <f aca="false">Sens!$M$3360+Sens!$M$3361+Sens!$M$3362+Sens!$M$3363+Sens!$M$3364+Sens!$M$3365+Sens!$M$3366-Sens!$M$3372</f>
        <v>0</v>
      </c>
      <c r="N3375" s="39" t="n">
        <f aca="false">Sens!$N$3360+Sens!$N$3361+Sens!$N$3362+Sens!$N$3363+Sens!$N$3364+Sens!$N$3365+Sens!$N$3366-Sens!$N$3372</f>
        <v>0</v>
      </c>
      <c r="O3375" s="39" t="n">
        <f aca="false">Sens!$O$3360+Sens!$O$3361+Sens!$O$3362+Sens!$O$3363+Sens!$O$3364+Sens!$O$3365+Sens!$O$3366-Sens!$O$3372</f>
        <v>0</v>
      </c>
    </row>
    <row r="3376" customFormat="false" ht="17.15" hidden="false" customHeight="false" outlineLevel="0" collapsed="false">
      <c r="A3376" s="24" t="s">
        <v>658</v>
      </c>
      <c r="B3376" s="25" t="s">
        <v>73</v>
      </c>
      <c r="C3376" s="39" t="n">
        <f aca="false">Sens!$C$3367+Sens!$C$3368+Sens!$C$3369-Sens!$C$3372</f>
        <v>0</v>
      </c>
      <c r="D3376" s="39" t="n">
        <f aca="false">Sens!$D$3367+Sens!$D$3368+Sens!$D$3369-Sens!$D$3372</f>
        <v>0</v>
      </c>
      <c r="E3376" s="39" t="n">
        <f aca="false">Sens!$E$3367+Sens!$E$3368+Sens!$E$3369-Sens!$E$3372</f>
        <v>0</v>
      </c>
      <c r="F3376" s="39" t="n">
        <f aca="false">Sens!$F$3367+Sens!$F$3368+Sens!$F$3369-Sens!$F$3372</f>
        <v>0</v>
      </c>
      <c r="G3376" s="39" t="n">
        <f aca="false">Sens!$G$3367+Sens!$G$3368+Sens!$G$3369-Sens!$G$3372</f>
        <v>0</v>
      </c>
      <c r="H3376" s="39" t="n">
        <f aca="false">Sens!$H$3367+Sens!$H$3368+Sens!$H$3369-Sens!$H$3372</f>
        <v>0</v>
      </c>
      <c r="I3376" s="39" t="n">
        <f aca="false">Sens!$I$3367+Sens!$I$3368+Sens!$I$3369-Sens!$I$3372</f>
        <v>0</v>
      </c>
      <c r="J3376" s="39" t="n">
        <f aca="false">Sens!$J$3367+Sens!$J$3368+Sens!$J$3369-Sens!$J$3372</f>
        <v>0</v>
      </c>
      <c r="K3376" s="39" t="n">
        <f aca="false">Sens!$K$3367+Sens!$K$3368+Sens!$K$3369-Sens!$K$3372</f>
        <v>0</v>
      </c>
      <c r="L3376" s="39" t="n">
        <f aca="false">Sens!$L$3367+Sens!$L$3368+Sens!$L$3369-Sens!$L$3372</f>
        <v>0</v>
      </c>
      <c r="M3376" s="39" t="n">
        <f aca="false">Sens!$M$3367+Sens!$M$3368+Sens!$M$3369-Sens!$M$3372</f>
        <v>0</v>
      </c>
      <c r="N3376" s="39" t="n">
        <f aca="false">Sens!$N$3367+Sens!$N$3368+Sens!$N$3369-Sens!$N$3372</f>
        <v>0</v>
      </c>
      <c r="O3376" s="39" t="n">
        <f aca="false">Sens!$O$3367+Sens!$O$3368+Sens!$O$3369-Sens!$O$3372</f>
        <v>0</v>
      </c>
    </row>
    <row r="3377" customFormat="false" ht="17.15" hidden="false" customHeight="false" outlineLevel="0" collapsed="false">
      <c r="A3377" s="1" t="s">
        <v>672</v>
      </c>
    </row>
    <row r="3378" customFormat="false" ht="17.15" hidden="false" customHeight="false" outlineLevel="0" collapsed="false">
      <c r="A3378" s="0" t="s">
        <v>673</v>
      </c>
      <c r="B3378" s="0" t="s">
        <v>73</v>
      </c>
      <c r="C3378" s="38" t="n">
        <f aca="false">Sens!$C$3285*m_ad_hi</f>
        <v>24.6409877297074</v>
      </c>
      <c r="D3378" s="38" t="n">
        <f aca="false">Sens!$D$3285*m_ad_hi</f>
        <v>29.8464740759505</v>
      </c>
      <c r="E3378" s="38" t="n">
        <f aca="false">Sens!$E$3285*m_ad_hi</f>
        <v>16.2020534954649</v>
      </c>
      <c r="F3378" s="38" t="n">
        <f aca="false">Sens!$F$3285*m_ad_hi</f>
        <v>20.7463731389518</v>
      </c>
      <c r="G3378" s="38" t="n">
        <f aca="false">Sens!$G$3285*m_ad_hi</f>
        <v>36.9614350519063</v>
      </c>
      <c r="H3378" s="38" t="n">
        <f aca="false">Sens!$H$3285*m_ad_hi</f>
        <v>44.3740912392312</v>
      </c>
      <c r="I3378" s="38" t="n">
        <f aca="false">Sens!$I$3285*m_ad_hi</f>
        <v>51.7860759375277</v>
      </c>
      <c r="J3378" s="38" t="n">
        <f aca="false">Sens!$J$3285*m_ad_hi</f>
        <v>58.7003990386239</v>
      </c>
      <c r="K3378" s="38" t="n">
        <f aca="false">Sens!$K$3285*m_ad_hi</f>
        <v>64.5704389424863</v>
      </c>
      <c r="L3378" s="38" t="n">
        <f aca="false">Sens!$L$3285*m_ad_hi</f>
        <v>71.0274828367349</v>
      </c>
      <c r="M3378" s="38" t="n">
        <f aca="false">Sens!$M$3285*m_ad_hi</f>
        <v>78.1302311204084</v>
      </c>
      <c r="N3378" s="38" t="n">
        <f aca="false">Sens!$N$3285*m_ad_hi</f>
        <v>13.0252266847498</v>
      </c>
      <c r="O3378" s="38" t="n">
        <f aca="false">Sens!$O$3285*m_ad_hi</f>
        <v>16.8113678185679</v>
      </c>
    </row>
    <row r="3379" customFormat="false" ht="17.15" hidden="false" customHeight="false" outlineLevel="0" collapsed="false">
      <c r="A3379" s="0" t="s">
        <v>674</v>
      </c>
      <c r="B3379" s="0" t="s">
        <v>73</v>
      </c>
      <c r="C3379" s="38" t="n">
        <f aca="false">Sens!$C$3283-Sens!$C$3285</f>
        <v>346.428687117154</v>
      </c>
      <c r="D3379" s="38" t="n">
        <f aca="false">Sens!$D$3283-Sens!$D$3285</f>
        <v>376.560876540083</v>
      </c>
      <c r="E3379" s="38" t="n">
        <f aca="false">Sens!$E$3283-Sens!$E$3285</f>
        <v>193.316577507559</v>
      </c>
      <c r="F3379" s="38" t="n">
        <f aca="false">Sens!$F$3283-Sens!$F$3285</f>
        <v>221.726726438887</v>
      </c>
      <c r="G3379" s="38" t="n">
        <f aca="false">Sens!$G$3283-Sens!$G$3285</f>
        <v>415.02162325063</v>
      </c>
      <c r="H3379" s="38" t="n">
        <f aca="false">Sens!$H$3283-Sens!$H$3285</f>
        <v>453.777572359491</v>
      </c>
      <c r="I3379" s="38" t="n">
        <f aca="false">Sens!$I$3283-Sens!$I$3285</f>
        <v>490.847566467031</v>
      </c>
      <c r="J3379" s="38" t="n">
        <f aca="false">Sens!$J$3283-Sens!$J$3285</f>
        <v>525.190925266121</v>
      </c>
      <c r="K3379" s="38" t="n">
        <f aca="false">Sens!$K$3283-Sens!$K$3285</f>
        <v>555.765170156304</v>
      </c>
      <c r="L3379" s="38" t="n">
        <f aca="false">Sens!$L$3283-Sens!$L$3285</f>
        <v>588.185734949207</v>
      </c>
      <c r="M3379" s="38" t="n">
        <f aca="false">Sens!$M$3283-Sens!$M$3285</f>
        <v>622.567635538672</v>
      </c>
      <c r="N3379" s="38" t="n">
        <f aca="false">Sens!$N$3283-Sens!$N$3285</f>
        <v>171.24628885875</v>
      </c>
      <c r="O3379" s="38" t="n">
        <f aca="false">Sens!$O$3283-Sens!$O$3285</f>
        <v>205.33105363572</v>
      </c>
    </row>
    <row r="3380" customFormat="false" ht="17.15" hidden="false" customHeight="false" outlineLevel="0" collapsed="false">
      <c r="A3380" s="0" t="s">
        <v>675</v>
      </c>
      <c r="B3380" s="0" t="s">
        <v>73</v>
      </c>
      <c r="C3380" s="38" t="n">
        <f aca="false">Sens!$C$3331*Sens!$C$3282</f>
        <v>0.123617442257179</v>
      </c>
      <c r="D3380" s="38" t="n">
        <f aca="false">Sens!$D$3331*Sens!$D$3282</f>
        <v>0.874366899302609</v>
      </c>
      <c r="E3380" s="38" t="n">
        <f aca="false">Sens!$E$3331*Sens!$E$3282</f>
        <v>1.29318830502574</v>
      </c>
      <c r="F3380" s="38" t="n">
        <f aca="false">Sens!$F$3331*Sens!$F$3282</f>
        <v>1.51802024162534</v>
      </c>
      <c r="G3380" s="38" t="n">
        <f aca="false">Sens!$G$3331*Sens!$G$3282</f>
        <v>2.81130189308167</v>
      </c>
      <c r="H3380" s="38" t="n">
        <f aca="false">Sens!$H$3331*Sens!$H$3282</f>
        <v>7.38966789318209</v>
      </c>
      <c r="I3380" s="38" t="n">
        <f aca="false">Sens!$I$3331*Sens!$I$3282</f>
        <v>12.8987443661473</v>
      </c>
      <c r="J3380" s="38" t="n">
        <f aca="false">Sens!$J$3331*Sens!$J$3282</f>
        <v>18.5570025453645</v>
      </c>
      <c r="K3380" s="38" t="n">
        <f aca="false">Sens!$K$3331*Sens!$K$3282</f>
        <v>24.3158972773405</v>
      </c>
      <c r="L3380" s="38" t="n">
        <f aca="false">Sens!$L$3331*Sens!$L$3282</f>
        <v>29.7827375558674</v>
      </c>
      <c r="M3380" s="38" t="n">
        <f aca="false">Sens!$M$3331*Sens!$M$3282</f>
        <v>35.3532344973194</v>
      </c>
      <c r="N3380" s="38" t="n">
        <f aca="false">Sens!$N$3331*Sens!$N$3282</f>
        <v>0.389180508437431</v>
      </c>
      <c r="O3380" s="38" t="n">
        <f aca="false">Sens!$O$3331*Sens!$O$3282</f>
        <v>0.485052120082802</v>
      </c>
    </row>
    <row r="3381" customFormat="false" ht="17.15" hidden="false" customHeight="false" outlineLevel="0" collapsed="false">
      <c r="A3381" s="0" t="s">
        <v>676</v>
      </c>
      <c r="B3381" s="0" t="s">
        <v>52</v>
      </c>
      <c r="C3381" s="28" t="n">
        <f aca="false">(Sens!$C$3382-Sens!$C$3378+Sens!$C$3380)/Sens!$C$3379</f>
        <v>0.00129789976774559</v>
      </c>
      <c r="D3381" s="28" t="n">
        <f aca="false">(Sens!$D$3382-Sens!$D$3378+Sens!$D$3380)/Sens!$D$3379</f>
        <v>0.00171789706168073</v>
      </c>
      <c r="E3381" s="28" t="n">
        <f aca="false">(Sens!$E$3382-Sens!$E$3378+Sens!$E$3380)/Sens!$E$3379</f>
        <v>0.0128345682587096</v>
      </c>
      <c r="F3381" s="28" t="n">
        <f aca="false">Sens!$O$3381+(Sens!$E$3381-Sens!$N$3381)</f>
        <v>0.00830058867948629</v>
      </c>
      <c r="G3381" s="28" t="n">
        <f aca="false">(Sens!$G$3382-Sens!$G$3378+Sens!$G$3380)/Sens!$G$3379</f>
        <v>0.0103818255544677</v>
      </c>
      <c r="H3381" s="28" t="n">
        <f aca="false">Sens!$G$3381+step_na</f>
        <v>0.0133818255544677</v>
      </c>
      <c r="I3381" s="28" t="n">
        <f aca="false">Sens!$H$3381+step_na</f>
        <v>0.0163818255544677</v>
      </c>
      <c r="J3381" s="28" t="n">
        <f aca="false">Sens!$I$3381+step_na</f>
        <v>0.0193818255544677</v>
      </c>
      <c r="K3381" s="28" t="n">
        <f aca="false">Sens!$J$3381+step_na</f>
        <v>0.0223818255544677</v>
      </c>
      <c r="L3381" s="28" t="n">
        <f aca="false">Sens!$K$3381</f>
        <v>0.0223818255544677</v>
      </c>
      <c r="M3381" s="28" t="n">
        <f aca="false">Sens!$L$3381</f>
        <v>0.0223818255544677</v>
      </c>
      <c r="N3381" s="28" t="n">
        <f aca="false">(Sens!$N$3382-Sens!$N$3378+Sens!$N$3380)/Sens!$N$3379</f>
        <v>0.00421588011336783</v>
      </c>
      <c r="O3381" s="28" t="n">
        <f aca="false">(Sens!$O$3382-Sens!$O$3378+Sens!$O$3380)/Sens!$O$3379</f>
        <v>-0.000318099465855462</v>
      </c>
      <c r="P3381" s="8" t="s">
        <v>677</v>
      </c>
    </row>
    <row r="3382" customFormat="false" ht="17.15" hidden="false" customHeight="false" outlineLevel="0" collapsed="false">
      <c r="A3382" s="1" t="s">
        <v>678</v>
      </c>
      <c r="B3382" s="8" t="s">
        <v>73</v>
      </c>
      <c r="C3382" s="38" t="n">
        <f aca="false">Q!$D$22</f>
        <v>24.967</v>
      </c>
      <c r="D3382" s="38" t="n">
        <f aca="false">Q!$E$22</f>
        <v>29.619</v>
      </c>
      <c r="E3382" s="38" t="n">
        <f aca="false">Q!$P$22</f>
        <v>17.39</v>
      </c>
      <c r="F3382" s="38" t="n">
        <f aca="false">Sens!$F$3378+Sens!$F$3379*Sens!$F$3381-Sens!$F$3380</f>
        <v>21.0688152527447</v>
      </c>
      <c r="G3382" s="38" t="n">
        <f aca="false">Sens!$E$3382+Sens!$F$3382</f>
        <v>38.4588152527447</v>
      </c>
      <c r="H3382" s="38" t="n">
        <f aca="false">Sens!$H$3378+Sens!$H$3379*Sens!$H$3381-Sens!$H$3380</f>
        <v>43.0567956598936</v>
      </c>
      <c r="I3382" s="38" t="n">
        <f aca="false">Sens!$I$3378+Sens!$I$3379*Sens!$I$3381-Sens!$I$3380</f>
        <v>46.9283107790782</v>
      </c>
      <c r="J3382" s="38" t="n">
        <f aca="false">Sens!$J$3378+Sens!$J$3379*Sens!$J$3381-Sens!$J$3380</f>
        <v>50.3225553895568</v>
      </c>
      <c r="K3382" s="38" t="n">
        <f aca="false">Sens!$K$3378+Sens!$K$3379*Sens!$K$3381-Sens!$K$3380</f>
        <v>52.6935807528332</v>
      </c>
      <c r="L3382" s="38" t="n">
        <f aca="false">Sens!$L$3378+Sens!$L$3379*Sens!$L$3381-Sens!$L$3380</f>
        <v>54.409415794127</v>
      </c>
      <c r="M3382" s="38" t="n">
        <f aca="false">Sens!$M$3378+Sens!$M$3379*Sens!$M$3381-Sens!$M$3380</f>
        <v>56.711196837573</v>
      </c>
      <c r="N3382" s="38" t="n">
        <f aca="false">Q!$N$22</f>
        <v>13.358</v>
      </c>
      <c r="O3382" s="38" t="n">
        <f aca="false">Q!$O$22</f>
        <v>16.261</v>
      </c>
    </row>
    <row r="3383" customFormat="false" ht="17.15" hidden="false" customHeight="false" outlineLevel="0" collapsed="false">
      <c r="A3383" s="0" t="s">
        <v>679</v>
      </c>
      <c r="B3383" s="0" t="s">
        <v>73</v>
      </c>
      <c r="C3383" s="38" t="n">
        <f aca="false">Sens!$C$3286*m_ad_hi</f>
        <v>9.08741227029259</v>
      </c>
      <c r="D3383" s="38" t="n">
        <f aca="false">Sens!$D$3286*m_ad_hi</f>
        <v>11.3345259240495</v>
      </c>
      <c r="E3383" s="38" t="n">
        <f aca="false">Sens!$E$3286*m_ad_hi</f>
        <v>6.02914650453514</v>
      </c>
      <c r="F3383" s="38" t="n">
        <f aca="false">Sens!$F$3286*m_ad_hi</f>
        <v>8.1456297706911</v>
      </c>
      <c r="G3383" s="38" t="n">
        <f aca="false">Sens!$G$3286*m_ad_hi</f>
        <v>14.1617678577366</v>
      </c>
      <c r="H3383" s="38" t="n">
        <f aca="false">Sens!$H$3286*m_ad_hi</f>
        <v>17.001925876133</v>
      </c>
      <c r="I3383" s="38" t="n">
        <f aca="false">Sens!$I$3286*m_ad_hi</f>
        <v>19.8418266136169</v>
      </c>
      <c r="J3383" s="38" t="n">
        <f aca="false">Sens!$J$3286*m_ad_hi</f>
        <v>22.4910483906827</v>
      </c>
      <c r="K3383" s="38" t="n">
        <f aca="false">Sens!$K$3286*m_ad_hi</f>
        <v>24.7401532297509</v>
      </c>
      <c r="L3383" s="38" t="n">
        <f aca="false">Sens!$L$3286*m_ad_hi</f>
        <v>27.214168552726</v>
      </c>
      <c r="M3383" s="38" t="n">
        <f aca="false">Sens!$M$3286*m_ad_hi</f>
        <v>29.9355854079986</v>
      </c>
      <c r="N3383" s="38" t="n">
        <f aca="false">Sens!$N$3286*m_ad_hi</f>
        <v>4.74377331525022</v>
      </c>
      <c r="O3383" s="38" t="n">
        <f aca="false">Sens!$O$3286*m_ad_hi</f>
        <v>6.60063218143213</v>
      </c>
    </row>
    <row r="3384" customFormat="false" ht="17.15" hidden="false" customHeight="false" outlineLevel="0" collapsed="false">
      <c r="A3384" s="0" t="s">
        <v>680</v>
      </c>
      <c r="B3384" s="0" t="s">
        <v>73</v>
      </c>
      <c r="C3384" s="38" t="n">
        <f aca="false">Sens!$C$3284-Sens!$C$3286</f>
        <v>127.760312882846</v>
      </c>
      <c r="D3384" s="38" t="n">
        <f aca="false">Sens!$D$3284-Sens!$D$3286</f>
        <v>143.003123459917</v>
      </c>
      <c r="E3384" s="38" t="n">
        <f aca="false">Sens!$E$3284-Sens!$E$3286</f>
        <v>71.9374224924414</v>
      </c>
      <c r="F3384" s="38" t="n">
        <f aca="false">Sens!$F$3284-Sens!$F$3286</f>
        <v>87.0563645868046</v>
      </c>
      <c r="G3384" s="38" t="n">
        <f aca="false">Sens!$G$3284-Sens!$G$3286</f>
        <v>159.015467775062</v>
      </c>
      <c r="H3384" s="38" t="n">
        <f aca="false">Sens!$H$3284-Sens!$H$3286</f>
        <v>173.864803403269</v>
      </c>
      <c r="I3384" s="38" t="n">
        <f aca="false">Sens!$I$3284-Sens!$I$3286</f>
        <v>188.068165645601</v>
      </c>
      <c r="J3384" s="38" t="n">
        <f aca="false">Sens!$J$3284-Sens!$J$3286</f>
        <v>201.22681801082</v>
      </c>
      <c r="K3384" s="38" t="n">
        <f aca="false">Sens!$K$3284-Sens!$K$3286</f>
        <v>212.941334991893</v>
      </c>
      <c r="L3384" s="38" t="n">
        <f aca="false">Sens!$L$3284-Sens!$L$3286</f>
        <v>225.363269144856</v>
      </c>
      <c r="M3384" s="38" t="n">
        <f aca="false">Sens!$M$3284-Sens!$M$3286</f>
        <v>238.536688790819</v>
      </c>
      <c r="N3384" s="38" t="n">
        <f aca="false">Sens!$N$3284-Sens!$N$3286</f>
        <v>62.3677111412496</v>
      </c>
      <c r="O3384" s="38" t="n">
        <f aca="false">Sens!$O$3284-Sens!$O$3286</f>
        <v>80.6189463642798</v>
      </c>
    </row>
    <row r="3385" customFormat="false" ht="17.15" hidden="false" customHeight="false" outlineLevel="0" collapsed="false">
      <c r="A3385" s="0" t="s">
        <v>681</v>
      </c>
      <c r="B3385" s="0" t="s">
        <v>73</v>
      </c>
      <c r="C3385" s="38" t="n">
        <f aca="false">Sens!$C$3331*(1-Sens!$C$3282)</f>
        <v>0.0455891896019953</v>
      </c>
      <c r="D3385" s="38" t="n">
        <f aca="false">Sens!$D$3331*(1-Sens!$D$3282)</f>
        <v>0.332050421167231</v>
      </c>
      <c r="E3385" s="38" t="n">
        <f aca="false">Sens!$E$3331*(1-Sens!$E$3282)</f>
        <v>0.481224293644882</v>
      </c>
      <c r="F3385" s="38" t="n">
        <f aca="false">Sens!$F$3331*(1-Sens!$F$3282)</f>
        <v>0.596018918096053</v>
      </c>
      <c r="G3385" s="38" t="n">
        <f aca="false">Sens!$G$3331*(1-Sens!$G$3282)</f>
        <v>1.07714986531035</v>
      </c>
      <c r="H3385" s="38" t="n">
        <f aca="false">Sens!$H$3331*(1-Sens!$H$3282)</f>
        <v>2.83135005721638</v>
      </c>
      <c r="I3385" s="38" t="n">
        <f aca="false">Sens!$I$3331*(1-Sens!$I$3282)</f>
        <v>4.9421518161602</v>
      </c>
      <c r="J3385" s="38" t="n">
        <f aca="false">Sens!$J$3331*(1-Sens!$J$3282)</f>
        <v>7.11011252170866</v>
      </c>
      <c r="K3385" s="38" t="n">
        <f aca="false">Sens!$K$3331*(1-Sens!$K$3282)</f>
        <v>9.31663210615807</v>
      </c>
      <c r="L3385" s="38" t="n">
        <f aca="false">Sens!$L$3331*(1-Sens!$L$3282)</f>
        <v>11.411251074039</v>
      </c>
      <c r="M3385" s="38" t="n">
        <f aca="false">Sens!$M$3331*(1-Sens!$M$3282)</f>
        <v>13.5455860755423</v>
      </c>
      <c r="N3385" s="38" t="n">
        <f aca="false">Sens!$N$3331*(1-Sens!$N$3282)</f>
        <v>0.141739115596548</v>
      </c>
      <c r="O3385" s="38" t="n">
        <f aca="false">Sens!$O$3331*(1-Sens!$O$3282)</f>
        <v>0.190445576353059</v>
      </c>
    </row>
    <row r="3386" customFormat="false" ht="17.15" hidden="false" customHeight="false" outlineLevel="0" collapsed="false">
      <c r="A3386" s="0" t="s">
        <v>682</v>
      </c>
      <c r="B3386" s="0" t="s">
        <v>52</v>
      </c>
      <c r="C3386" s="28" t="n">
        <f aca="false">(Sens!$C$3387-Sens!$C$3383+Sens!$C$3385)/Sens!$C$3384</f>
        <v>-0.0410911883528698</v>
      </c>
      <c r="D3386" s="28" t="n">
        <f aca="false">(Sens!$D$3387-Sens!$D$3383+Sens!$D$3385)/Sens!$D$3384</f>
        <v>-0.043722649908656</v>
      </c>
      <c r="E3386" s="28" t="n">
        <f aca="false">(Sens!$E$3387-Sens!$E$3383+Sens!$E$3385)/Sens!$E$3384</f>
        <v>-0.0334585550537782</v>
      </c>
      <c r="F3386" s="28" t="n">
        <f aca="false">Sens!$O$3386+(Sens!$E$3386-Sens!$N$3386)</f>
        <v>-0.0516705754164325</v>
      </c>
      <c r="G3386" s="28" t="n">
        <f aca="false">(Sens!$G$3387-Sens!$G$3383+Sens!$G$3385)/Sens!$G$3384</f>
        <v>-0.0433433280933634</v>
      </c>
      <c r="H3386" s="28" t="n">
        <f aca="false">Sens!$G$3386+step_in</f>
        <v>-0.0433433280933634</v>
      </c>
      <c r="I3386" s="28" t="n">
        <f aca="false">Sens!$H$3386+step_in</f>
        <v>-0.0433433280933634</v>
      </c>
      <c r="J3386" s="28" t="n">
        <f aca="false">Sens!$I$3386+step_in</f>
        <v>-0.0433433280933634</v>
      </c>
      <c r="K3386" s="28" t="n">
        <f aca="false">Sens!$J$3386+step_in</f>
        <v>-0.0433433280933634</v>
      </c>
      <c r="L3386" s="28" t="n">
        <f aca="false">Sens!$K$3386</f>
        <v>-0.0433433280933634</v>
      </c>
      <c r="M3386" s="28" t="n">
        <f aca="false">Sens!$L$3386</f>
        <v>-0.0433433280933634</v>
      </c>
      <c r="N3386" s="28" t="n">
        <f aca="false">(Sens!$N$3387-Sens!$N$3383+Sens!$N$3385)/Sens!$N$3384</f>
        <v>-0.0335275122557876</v>
      </c>
      <c r="O3386" s="28" t="n">
        <f aca="false">(Sens!$O$3387-Sens!$O$3383+Sens!$O$3385)/Sens!$O$3384</f>
        <v>-0.0517395326184419</v>
      </c>
      <c r="P3386" s="8" t="s">
        <v>677</v>
      </c>
    </row>
    <row r="3387" customFormat="false" ht="17.15" hidden="false" customHeight="false" outlineLevel="0" collapsed="false">
      <c r="A3387" s="1" t="s">
        <v>683</v>
      </c>
      <c r="B3387" s="8" t="s">
        <v>73</v>
      </c>
      <c r="C3387" s="38" t="n">
        <f aca="false">Q!$D$23</f>
        <v>3.792</v>
      </c>
      <c r="D3387" s="38" t="n">
        <f aca="false">Q!$E$23</f>
        <v>4.75</v>
      </c>
      <c r="E3387" s="38" t="n">
        <f aca="false">Q!$P$23</f>
        <v>3.141</v>
      </c>
      <c r="F3387" s="38" t="n">
        <f aca="false">Sens!$F$3383+Sens!$F$3384*Sens!$F$3386-Sens!$F$3385</f>
        <v>3.05135840073211</v>
      </c>
      <c r="G3387" s="38" t="n">
        <f aca="false">Sens!$E$3387+Sens!$F$3387</f>
        <v>6.19235840073211</v>
      </c>
      <c r="H3387" s="38" t="n">
        <f aca="false">Sens!$H$3383+Sens!$H$3384*Sens!$H$3386-Sens!$H$3385</f>
        <v>6.63469660112062</v>
      </c>
      <c r="I3387" s="38" t="n">
        <f aca="false">Sens!$I$3383+Sens!$I$3384*Sens!$I$3386-Sens!$I$3385</f>
        <v>6.7481745899624</v>
      </c>
      <c r="J3387" s="38" t="n">
        <f aca="false">Sens!$J$3383+Sens!$J$3384*Sens!$J$3386-Sens!$J$3385</f>
        <v>6.65909587474747</v>
      </c>
      <c r="K3387" s="38" t="n">
        <f aca="false">Sens!$K$3383+Sens!$K$3384*Sens!$K$3386-Sens!$K$3385</f>
        <v>6.19393497640042</v>
      </c>
      <c r="L3387" s="38" t="n">
        <f aca="false">Sens!$L$3383+Sens!$L$3384*Sens!$L$3386-Sens!$L$3385</f>
        <v>6.03492336394852</v>
      </c>
      <c r="M3387" s="38" t="n">
        <f aca="false">Sens!$M$3383+Sens!$M$3384*Sens!$M$3386-Sens!$M$3385</f>
        <v>6.05102536789129</v>
      </c>
      <c r="N3387" s="38" t="n">
        <f aca="false">Q!$N$23</f>
        <v>2.511</v>
      </c>
      <c r="O3387" s="38" t="n">
        <f aca="false">Q!$O$23</f>
        <v>2.239</v>
      </c>
    </row>
    <row r="3388" customFormat="false" ht="17.15" hidden="false" customHeight="false" outlineLevel="0" collapsed="false">
      <c r="A3388" s="0" t="s">
        <v>684</v>
      </c>
      <c r="B3388" s="0" t="s">
        <v>73</v>
      </c>
      <c r="C3388" s="38" t="n">
        <f aca="false">Sens!$C$3328</f>
        <v>1.64417882953695</v>
      </c>
      <c r="D3388" s="38" t="n">
        <f aca="false">Sens!$D$3328</f>
        <v>3.8781008067718</v>
      </c>
      <c r="E3388" s="38" t="n">
        <f aca="false">Sens!$E$3328</f>
        <v>1.41270258088753</v>
      </c>
      <c r="F3388" s="38" t="n">
        <f aca="false">Sens!$F$3328</f>
        <v>6.50727700583486</v>
      </c>
      <c r="G3388" s="38" t="n">
        <f aca="false">Sens!$G$3328</f>
        <v>7.9199795867224</v>
      </c>
      <c r="H3388" s="38" t="n">
        <f aca="false">Sens!$H$3328</f>
        <v>19.2818189481807</v>
      </c>
      <c r="I3388" s="38" t="n">
        <f aca="false">Sens!$I$3328</f>
        <v>30.140114407202</v>
      </c>
      <c r="J3388" s="38" t="n">
        <f aca="false">Sens!$J$3328</f>
        <v>40.3569468829854</v>
      </c>
      <c r="K3388" s="38" t="n">
        <f aca="false">Sens!$K$3328</f>
        <v>50.0782975081929</v>
      </c>
      <c r="L3388" s="38" t="n">
        <f aca="false">Sens!$L$3328</f>
        <v>61.443331993499</v>
      </c>
      <c r="M3388" s="38" t="n">
        <f aca="false">Sens!$M$3328</f>
        <v>72.2498791587849</v>
      </c>
      <c r="N3388" s="38" t="n">
        <f aca="false">Sens!$N$3328</f>
        <v>0.92264103489199</v>
      </c>
      <c r="O3388" s="38" t="n">
        <f aca="false">Sens!$O$3328</f>
        <v>2.95545977187981</v>
      </c>
    </row>
    <row r="3389" customFormat="false" ht="17.15" hidden="false" customHeight="false" outlineLevel="0" collapsed="false">
      <c r="A3389" s="0" t="s">
        <v>604</v>
      </c>
      <c r="B3389" s="0" t="s">
        <v>73</v>
      </c>
      <c r="C3389" s="38" t="n">
        <f aca="false">Sens!$C$3333</f>
        <v>38.1898211704631</v>
      </c>
      <c r="D3389" s="38" t="n">
        <f aca="false">Sens!$D$3333</f>
        <v>41.7278991932282</v>
      </c>
      <c r="E3389" s="38" t="n">
        <f aca="false">Sens!$E$3333</f>
        <v>29.3692974191125</v>
      </c>
      <c r="F3389" s="38" t="n">
        <f aca="false">Sens!$F$3333</f>
        <v>29.458060516894</v>
      </c>
      <c r="G3389" s="38" t="n">
        <f aca="false">Sens!$G$3333</f>
        <v>58.8273579360065</v>
      </c>
      <c r="H3389" s="38" t="n">
        <f aca="false">Sens!$H$3333</f>
        <v>67.8004040185081</v>
      </c>
      <c r="I3389" s="38" t="n">
        <f aca="false">Sens!$I$3333</f>
        <v>78.9527630302702</v>
      </c>
      <c r="J3389" s="38" t="n">
        <f aca="false">Sens!$J$3333</f>
        <v>88.6042681781841</v>
      </c>
      <c r="K3389" s="38" t="n">
        <f aca="false">Sens!$K$3333</f>
        <v>95.6926096324389</v>
      </c>
      <c r="L3389" s="38" t="n">
        <f aca="false">Sens!$L$3333</f>
        <v>103.348018403034</v>
      </c>
      <c r="M3389" s="38" t="n">
        <f aca="false">Sens!$M$3333</f>
        <v>111.615859875277</v>
      </c>
      <c r="N3389" s="38" t="n">
        <f aca="false">Sens!$N$3333</f>
        <v>20.784358965108</v>
      </c>
      <c r="O3389" s="38" t="n">
        <f aca="false">Sens!$O$3333</f>
        <v>20.9435402281202</v>
      </c>
    </row>
    <row r="3390" customFormat="false" ht="17.15" hidden="false" customHeight="false" outlineLevel="0" collapsed="false">
      <c r="A3390" s="1" t="s">
        <v>685</v>
      </c>
      <c r="B3390" s="8" t="s">
        <v>73</v>
      </c>
      <c r="C3390" s="38" t="n">
        <f aca="false">Q!$D$24</f>
        <v>39.834</v>
      </c>
      <c r="D3390" s="38" t="n">
        <f aca="false">Q!$E$24</f>
        <v>45.606</v>
      </c>
      <c r="E3390" s="38" t="n">
        <f aca="false">Q!$P$24</f>
        <v>30.782</v>
      </c>
      <c r="F3390" s="38" t="n">
        <f aca="false">Sens!$F$3388+Sens!$F$3389</f>
        <v>35.9653375227289</v>
      </c>
      <c r="G3390" s="38" t="n">
        <f aca="false">Sens!$G$3388+Sens!$G$3389</f>
        <v>66.7473375227289</v>
      </c>
      <c r="H3390" s="38" t="n">
        <f aca="false">Sens!$H$3388+Sens!$H$3389</f>
        <v>87.0822229666888</v>
      </c>
      <c r="I3390" s="38" t="n">
        <f aca="false">Sens!$I$3388+Sens!$I$3389</f>
        <v>109.092877437472</v>
      </c>
      <c r="J3390" s="38" t="n">
        <f aca="false">Sens!$J$3388+Sens!$J$3389</f>
        <v>128.96121506117</v>
      </c>
      <c r="K3390" s="38" t="n">
        <f aca="false">Sens!$K$3388+Sens!$K$3389</f>
        <v>145.770907140632</v>
      </c>
      <c r="L3390" s="38" t="n">
        <f aca="false">Sens!$L$3388+Sens!$L$3389</f>
        <v>164.791350396533</v>
      </c>
      <c r="M3390" s="38" t="n">
        <f aca="false">Sens!$M$3388+Sens!$M$3389</f>
        <v>183.865739034062</v>
      </c>
      <c r="N3390" s="38" t="n">
        <f aca="false">Q!$N$24</f>
        <v>21.707</v>
      </c>
      <c r="O3390" s="38" t="n">
        <f aca="false">Q!$O$24</f>
        <v>23.899</v>
      </c>
    </row>
    <row r="3391" customFormat="false" ht="17.15" hidden="false" customHeight="false" outlineLevel="0" collapsed="false">
      <c r="A3391" s="5" t="s">
        <v>686</v>
      </c>
      <c r="B3391" s="0" t="s">
        <v>73</v>
      </c>
      <c r="C3391" s="38" t="n">
        <f aca="false">Q!$D$26</f>
        <v>0</v>
      </c>
      <c r="D3391" s="38" t="n">
        <f aca="false">Q!$E$26</f>
        <v>0</v>
      </c>
      <c r="E3391" s="38" t="n">
        <f aca="false">Q!$P$26</f>
        <v>0</v>
      </c>
      <c r="F3391" s="41" t="n">
        <v>0</v>
      </c>
      <c r="G3391" s="38" t="n">
        <f aca="false">Sens!$E$3391+Sens!$F$3391</f>
        <v>0</v>
      </c>
      <c r="H3391" s="41" t="n">
        <v>0</v>
      </c>
      <c r="I3391" s="41" t="n">
        <v>0</v>
      </c>
      <c r="J3391" s="41" t="n">
        <v>0</v>
      </c>
      <c r="K3391" s="41" t="n">
        <v>0</v>
      </c>
      <c r="L3391" s="41" t="n">
        <v>0</v>
      </c>
      <c r="M3391" s="41" t="n">
        <v>0</v>
      </c>
      <c r="N3391" s="38" t="n">
        <f aca="false">Q!$N$26</f>
        <v>0</v>
      </c>
      <c r="O3391" s="38" t="n">
        <f aca="false">Q!$O$26</f>
        <v>0</v>
      </c>
    </row>
    <row r="3392" customFormat="false" ht="15" hidden="false" customHeight="false" outlineLevel="0" collapsed="false">
      <c r="A3392" s="3" t="s">
        <v>494</v>
      </c>
      <c r="B3392" s="8" t="s">
        <v>73</v>
      </c>
      <c r="C3392" s="38" t="n">
        <f aca="false">Q!$D$25</f>
        <v>68.593</v>
      </c>
      <c r="D3392" s="38" t="n">
        <f aca="false">Q!$E$25</f>
        <v>79.975</v>
      </c>
      <c r="E3392" s="38" t="n">
        <f aca="false">Q!$P$25</f>
        <v>51.313</v>
      </c>
      <c r="F3392" s="38" t="n">
        <f aca="false">Sens!$F$3382+Sens!$F$3387+Sens!$F$3390+Sens!$F$3391</f>
        <v>60.0855111762056</v>
      </c>
      <c r="G3392" s="38" t="n">
        <f aca="false">Sens!$G$3382+Sens!$G$3387+Sens!$G$3390+Sens!$G$3391</f>
        <v>111.398511176206</v>
      </c>
      <c r="H3392" s="38" t="n">
        <f aca="false">Sens!$H$3382+Sens!$H$3387+Sens!$H$3390+Sens!$H$3391</f>
        <v>136.773715227703</v>
      </c>
      <c r="I3392" s="38" t="n">
        <f aca="false">Sens!$I$3382+Sens!$I$3387+Sens!$I$3390+Sens!$I$3391</f>
        <v>162.769362806513</v>
      </c>
      <c r="J3392" s="38" t="n">
        <f aca="false">Sens!$J$3382+Sens!$J$3387+Sens!$J$3390+Sens!$J$3391</f>
        <v>185.942866325474</v>
      </c>
      <c r="K3392" s="38" t="n">
        <f aca="false">Sens!$K$3382+Sens!$K$3387+Sens!$K$3390+Sens!$K$3391</f>
        <v>204.658422869865</v>
      </c>
      <c r="L3392" s="38" t="n">
        <f aca="false">Sens!$L$3382+Sens!$L$3387+Sens!$L$3390+Sens!$L$3391</f>
        <v>225.235689554608</v>
      </c>
      <c r="M3392" s="38" t="n">
        <f aca="false">Sens!$M$3382+Sens!$M$3387+Sens!$M$3390+Sens!$M$3391</f>
        <v>246.627961239526</v>
      </c>
      <c r="N3392" s="38" t="n">
        <f aca="false">Q!$N$25</f>
        <v>37.576</v>
      </c>
      <c r="O3392" s="38" t="n">
        <f aca="false">Q!$O$25</f>
        <v>42.399</v>
      </c>
    </row>
    <row r="3393" customFormat="false" ht="17.15" hidden="false" customHeight="false" outlineLevel="0" collapsed="false">
      <c r="A3393" s="24" t="s">
        <v>712</v>
      </c>
      <c r="B3393" s="25" t="s">
        <v>73</v>
      </c>
      <c r="C3393" s="39" t="n">
        <f aca="false">Sens!$C$3382+Sens!$C$3387+Sens!$C$3390+Sens!$C$3391-Sens!$C$3392</f>
        <v>0</v>
      </c>
      <c r="D3393" s="39" t="n">
        <f aca="false">Sens!$D$3382+Sens!$D$3387+Sens!$D$3390+Sens!$D$3391-Sens!$D$3392</f>
        <v>0</v>
      </c>
      <c r="E3393" s="39" t="n">
        <f aca="false">Sens!$E$3382+Sens!$E$3387+Sens!$E$3390+Sens!$E$3391-Sens!$E$3392</f>
        <v>0</v>
      </c>
      <c r="F3393" s="39" t="n">
        <f aca="false">Sens!$F$3382+Sens!$F$3387+Sens!$F$3390+Sens!$F$3391-Sens!$F$3392</f>
        <v>0</v>
      </c>
      <c r="G3393" s="39" t="n">
        <f aca="false">Sens!$G$3382+Sens!$G$3387+Sens!$G$3390+Sens!$G$3391-Sens!$G$3392</f>
        <v>0</v>
      </c>
      <c r="H3393" s="39" t="n">
        <f aca="false">Sens!$H$3382+Sens!$H$3387+Sens!$H$3390+Sens!$H$3391-Sens!$H$3392</f>
        <v>0</v>
      </c>
      <c r="I3393" s="39" t="n">
        <f aca="false">Sens!$I$3382+Sens!$I$3387+Sens!$I$3390+Sens!$I$3391-Sens!$I$3392</f>
        <v>0</v>
      </c>
      <c r="J3393" s="39" t="n">
        <f aca="false">Sens!$J$3382+Sens!$J$3387+Sens!$J$3390+Sens!$J$3391-Sens!$J$3392</f>
        <v>0</v>
      </c>
      <c r="K3393" s="39" t="n">
        <f aca="false">Sens!$K$3382+Sens!$K$3387+Sens!$K$3390+Sens!$K$3391-Sens!$K$3392</f>
        <v>0</v>
      </c>
      <c r="L3393" s="39" t="n">
        <f aca="false">Sens!$L$3382+Sens!$L$3387+Sens!$L$3390+Sens!$L$3391-Sens!$L$3392</f>
        <v>0</v>
      </c>
      <c r="M3393" s="39" t="n">
        <f aca="false">Sens!$M$3382+Sens!$M$3387+Sens!$M$3390+Sens!$M$3391-Sens!$M$3392</f>
        <v>0</v>
      </c>
      <c r="N3393" s="39" t="n">
        <f aca="false">Sens!$N$3382+Sens!$N$3387+Sens!$N$3390+Sens!$N$3391-Sens!$N$3392</f>
        <v>0</v>
      </c>
      <c r="O3393" s="39" t="n">
        <f aca="false">Sens!$O$3382+Sens!$O$3387+Sens!$O$3390+Sens!$O$3391-Sens!$O$3392</f>
        <v>0</v>
      </c>
    </row>
    <row r="3394" customFormat="false" ht="17.15" hidden="false" customHeight="false" outlineLevel="0" collapsed="false">
      <c r="A3394" s="0" t="s">
        <v>688</v>
      </c>
      <c r="B3394" s="0" t="s">
        <v>52</v>
      </c>
      <c r="C3394" s="12" t="n">
        <f aca="false">Sens!$C$3382/Sens!$C$3367</f>
        <v>0.0644314665661928</v>
      </c>
      <c r="D3394" s="12" t="n">
        <f aca="false">Sens!$D$3382/Sens!$D$3367</f>
        <v>0.0694784250712518</v>
      </c>
      <c r="E3394" s="12" t="n">
        <f aca="false">Sens!$E$3382/Sens!$E$3367</f>
        <v>0.0789306463326071</v>
      </c>
      <c r="F3394" s="12" t="n">
        <f aca="false">Sens!$F$3382/Sens!$F$3367</f>
        <v>0.0822024393665145</v>
      </c>
      <c r="G3394" s="12" t="n">
        <f aca="false">Sens!$G$3382/Sens!$G$3367</f>
        <v>0.080690049267529</v>
      </c>
      <c r="H3394" s="12" t="n">
        <f aca="false">Sens!$H$3382/Sens!$H$3367</f>
        <v>0.0815880040920524</v>
      </c>
      <c r="I3394" s="12" t="n">
        <f aca="false">Sens!$I$3382/Sens!$I$3367</f>
        <v>0.0813093394506194</v>
      </c>
      <c r="J3394" s="12" t="n">
        <f aca="false">Sens!$J$3382/Sens!$J$3367</f>
        <v>0.080771335910006</v>
      </c>
      <c r="K3394" s="12" t="n">
        <f aca="false">Sens!$K$3382/Sens!$K$3367</f>
        <v>0.0794316632111964</v>
      </c>
      <c r="L3394" s="12" t="n">
        <f aca="false">Sens!$L$3382/Sens!$L$3367</f>
        <v>0.0770055487789919</v>
      </c>
      <c r="M3394" s="12" t="n">
        <f aca="false">Sens!$M$3382/Sens!$M$3367</f>
        <v>0.0753352157480662</v>
      </c>
      <c r="N3394" s="12" t="n">
        <f aca="false">Sens!$N$3382/Sens!$N$3367</f>
        <v>0.069228576611127</v>
      </c>
      <c r="O3394" s="12" t="n">
        <f aca="false">Sens!$O$3382/Sens!$O$3367</f>
        <v>0.069685022498393</v>
      </c>
    </row>
    <row r="3395" customFormat="false" ht="17.15" hidden="false" customHeight="false" outlineLevel="0" collapsed="false">
      <c r="A3395" s="0" t="s">
        <v>689</v>
      </c>
      <c r="B3395" s="0" t="s">
        <v>52</v>
      </c>
      <c r="C3395" s="12" t="n">
        <f aca="false">Sens!$C$3387/Sens!$C$3368</f>
        <v>0.026534925055631</v>
      </c>
      <c r="D3395" s="12" t="n">
        <f aca="false">Sens!$D$3387/Sens!$D$3368</f>
        <v>0.0293401855535103</v>
      </c>
      <c r="E3395" s="12" t="n">
        <f aca="false">Sens!$E$3387/Sens!$E$3368</f>
        <v>0.03831141902276</v>
      </c>
      <c r="F3395" s="12" t="n">
        <f aca="false">Sens!$F$3387/Sens!$F$3368</f>
        <v>0.0303218244821949</v>
      </c>
      <c r="G3395" s="12" t="n">
        <f aca="false">Sens!$G$3387/Sens!$G$3368</f>
        <v>0.0339087294548161</v>
      </c>
      <c r="H3395" s="12" t="n">
        <f aca="false">Sens!$H$3387/Sens!$H$3368</f>
        <v>0.0328123265001654</v>
      </c>
      <c r="I3395" s="12" t="n">
        <f aca="false">Sens!$I$3387/Sens!$I$3368</f>
        <v>0.0305156886356677</v>
      </c>
      <c r="J3395" s="12" t="n">
        <f aca="false">Sens!$J$3387/Sens!$J$3368</f>
        <v>0.0278959528706923</v>
      </c>
      <c r="K3395" s="12" t="n">
        <f aca="false">Sens!$K$3387/Sens!$K$3368</f>
        <v>0.0243687885729931</v>
      </c>
      <c r="L3395" s="12" t="n">
        <f aca="false">Sens!$L$3387/Sens!$L$3368</f>
        <v>0.0222921045084212</v>
      </c>
      <c r="M3395" s="12" t="n">
        <f aca="false">Sens!$M$3387/Sens!$M$3368</f>
        <v>0.0209792303162364</v>
      </c>
      <c r="N3395" s="12" t="n">
        <f aca="false">Sens!$N$3387/Sens!$N$3368</f>
        <v>0.0357315650169337</v>
      </c>
      <c r="O3395" s="12" t="n">
        <f aca="false">Sens!$O$3387/Sens!$O$3368</f>
        <v>0.0244378956559703</v>
      </c>
    </row>
    <row r="3396" customFormat="false" ht="17.15" hidden="false" customHeight="false" outlineLevel="0" collapsed="false">
      <c r="A3396" s="13" t="s">
        <v>690</v>
      </c>
      <c r="B3396" s="13" t="s">
        <v>52</v>
      </c>
      <c r="C3396" s="16" t="n">
        <f aca="false">Sens!$C$3390/Sens!$C$3369</f>
        <v>0.370355907620217</v>
      </c>
      <c r="D3396" s="16" t="n">
        <f aca="false">Sens!$D$3390/Sens!$D$3369</f>
        <v>0.35429015342785</v>
      </c>
      <c r="E3396" s="16" t="n">
        <f aca="false">Sens!$E$3390/Sens!$E$3369</f>
        <v>0.385647527531039</v>
      </c>
      <c r="F3396" s="16" t="n">
        <f aca="false">Sens!$F$3390/Sens!$F$3369</f>
        <v>0.384415729470259</v>
      </c>
      <c r="G3396" s="16" t="n">
        <f aca="false">Sens!$G$3390/Sens!$G$3369</f>
        <v>0.38498282105443</v>
      </c>
      <c r="H3396" s="16" t="n">
        <f aca="false">Sens!$H$3390/Sens!$H$3369</f>
        <v>0.361247909668527</v>
      </c>
      <c r="I3396" s="16" t="n">
        <f aca="false">Sens!$I$3390/Sens!$I$3369</f>
        <v>0.349486287974975</v>
      </c>
      <c r="J3396" s="16" t="n">
        <f aca="false">Sens!$J$3390/Sens!$J$3369</f>
        <v>0.339886531832068</v>
      </c>
      <c r="K3396" s="16" t="n">
        <f aca="false">Sens!$K$3390/Sens!$K$3369</f>
        <v>0.33135833762061</v>
      </c>
      <c r="L3396" s="16" t="n">
        <f aca="false">Sens!$L$3390/Sens!$L$3369</f>
        <v>0.328299068185284</v>
      </c>
      <c r="M3396" s="16" t="n">
        <f aca="false">Sens!$M$3390/Sens!$M$3369</f>
        <v>0.325058049465166</v>
      </c>
      <c r="N3396" s="16" t="n">
        <f aca="false">Sens!$N$3390/Sens!$N$3369</f>
        <v>0.360941137346192</v>
      </c>
      <c r="O3396" s="16" t="n">
        <f aca="false">Sens!$O$3390/Sens!$O$3369</f>
        <v>0.348458117664212</v>
      </c>
    </row>
    <row r="3397" customFormat="false" ht="17.15" hidden="false" customHeight="false" outlineLevel="0" collapsed="false">
      <c r="A3397" s="0" t="s">
        <v>691</v>
      </c>
      <c r="B3397" s="0" t="s">
        <v>52</v>
      </c>
      <c r="C3397" s="12" t="n">
        <f aca="false">Sens!$C$3388/Sens!$C$3370</f>
        <v>0.708390794789371</v>
      </c>
      <c r="D3397" s="12" t="n">
        <f aca="false">Sens!$D$3388/Sens!$D$3370</f>
        <v>0.445565630441968</v>
      </c>
      <c r="E3397" s="12" t="n">
        <f aca="false">Sens!$E$3388/Sens!$E$3370</f>
        <v>0.165998118402711</v>
      </c>
      <c r="F3397" s="12" t="n">
        <f aca="false">Sens!$F$3388/Sens!$F$3370</f>
        <v>0.434878595403858</v>
      </c>
      <c r="G3397" s="12" t="n">
        <f aca="false">Sens!$G$3388/Sens!$G$3370</f>
        <v>0.3373967615381</v>
      </c>
      <c r="H3397" s="12" t="n">
        <f aca="false">Sens!$H$3388/Sens!$H$3370</f>
        <v>0.320477578041224</v>
      </c>
      <c r="I3397" s="12" t="n">
        <f aca="false">Sens!$I$3388/Sens!$I$3370</f>
        <v>0.296936118226494</v>
      </c>
      <c r="J3397" s="12" t="n">
        <f aca="false">Sens!$J$3388/Sens!$J$3370</f>
        <v>0.282166278613001</v>
      </c>
      <c r="K3397" s="12" t="n">
        <f aca="false">Sens!$K$3388/Sens!$K$3370</f>
        <v>0.271267685694333</v>
      </c>
      <c r="L3397" s="12" t="n">
        <f aca="false">Sens!$L$3388/Sens!$L$3370</f>
        <v>0.27160960915653</v>
      </c>
      <c r="M3397" s="12" t="n">
        <f aca="false">Sens!$M$3388/Sens!$M$3370</f>
        <v>0.26974494804234</v>
      </c>
      <c r="N3397" s="12" t="n">
        <f aca="false">Sens!$N$3388/Sens!$N$3370</f>
        <v>0.302870734830849</v>
      </c>
      <c r="O3397" s="12" t="n">
        <f aca="false">Sens!$O$3388/Sens!$O$3370</f>
        <v>0.52240134346334</v>
      </c>
    </row>
    <row r="3398" customFormat="false" ht="15" hidden="false" customHeight="false" outlineLevel="0" collapsed="false">
      <c r="A3398" s="5" t="s">
        <v>692</v>
      </c>
      <c r="B3398" s="0" t="s">
        <v>52</v>
      </c>
      <c r="C3398" s="12" t="n">
        <f aca="false">Sens!$C$3392/Sens!$C$3372</f>
        <v>0.107519448742004</v>
      </c>
      <c r="D3398" s="12" t="n">
        <f aca="false">Sens!$D$3392/Sens!$D$3372</f>
        <v>0.111552967957552</v>
      </c>
      <c r="E3398" s="12" t="n">
        <f aca="false">Sens!$E$3392/Sens!$E$3372</f>
        <v>0.13428328426562</v>
      </c>
      <c r="F3398" s="12" t="n">
        <f aca="false">Sens!$F$3392/Sens!$F$3372</f>
        <v>0.133376681381126</v>
      </c>
      <c r="G3398" s="12" t="n">
        <f aca="false">Sens!$G$3392/Sens!$G$3372</f>
        <v>0.133792760360692</v>
      </c>
      <c r="H3398" s="12" t="n">
        <f aca="false">Sens!$H$3392/Sens!$H$3372</f>
        <v>0.140859312957973</v>
      </c>
      <c r="I3398" s="12" t="n">
        <f aca="false">Sens!$I$3392/Sens!$I$3372</f>
        <v>0.146579949495147</v>
      </c>
      <c r="J3398" s="12" t="n">
        <f aca="false">Sens!$J$3392/Sens!$J$3372</f>
        <v>0.149813638611614</v>
      </c>
      <c r="K3398" s="12" t="n">
        <f aca="false">Sens!$K$3392/Sens!$K$3372</f>
        <v>0.150763853586216</v>
      </c>
      <c r="L3398" s="12" t="n">
        <f aca="false">Sens!$L$3392/Sens!$L$3372</f>
        <v>0.152264459975359</v>
      </c>
      <c r="M3398" s="12" t="n">
        <f aca="false">Sens!$M$3392/Sens!$M$3372</f>
        <v>0.153485010930226</v>
      </c>
      <c r="N3398" s="12" t="n">
        <f aca="false">Sens!$N$3392/Sens!$N$3372</f>
        <v>0.116201614873411</v>
      </c>
      <c r="O3398" s="12" t="n">
        <f aca="false">Sens!$O$3392/Sens!$O$3372</f>
        <v>0.107733353660861</v>
      </c>
    </row>
    <row r="3399" customFormat="false" ht="17.15" hidden="false" customHeight="false" outlineLevel="0" collapsed="false">
      <c r="A3399" s="1" t="s">
        <v>693</v>
      </c>
    </row>
    <row r="3400" customFormat="false" ht="17.15" hidden="false" customHeight="false" outlineLevel="0" collapsed="false">
      <c r="A3400" s="5" t="s">
        <v>694</v>
      </c>
      <c r="B3400" s="0" t="s">
        <v>52</v>
      </c>
      <c r="D3400" s="28" t="n">
        <f aca="false">(Q!$E$29+Q!$E$30-(1-ext_sh)*Sens!$D$3324)/Sens!$D$3281</f>
        <v>0.0334674312393194</v>
      </c>
    </row>
    <row r="3401" customFormat="false" ht="17.15" hidden="false" customHeight="false" outlineLevel="0" collapsed="false">
      <c r="A3401" s="0" t="s">
        <v>498</v>
      </c>
      <c r="B3401" s="0" t="s">
        <v>73</v>
      </c>
      <c r="C3401" s="38" t="n">
        <f aca="false">Q!$D$29</f>
        <v>14.285</v>
      </c>
      <c r="D3401" s="38" t="n">
        <f aca="false">Q!$E$29</f>
        <v>15.503</v>
      </c>
      <c r="E3401" s="38" t="n">
        <f aca="false">Q!$P$29</f>
        <v>8.78</v>
      </c>
      <c r="F3401" s="38" t="n">
        <f aca="false">(Sens!$D$3400*Sens!$F$3281+(1-ext_sh)*Sens!$F$3324)*Sens!$F$3282</f>
        <v>9.51361751569285</v>
      </c>
      <c r="G3401" s="38" t="n">
        <f aca="false">Sens!$E$3401+Sens!$F$3401</f>
        <v>18.2936175156929</v>
      </c>
      <c r="H3401" s="38" t="n">
        <f aca="false">(Sens!$D$3400*Sens!$H$3281+(1-ext_sh)*Sens!$H$3324)*Sens!$H$3282</f>
        <v>22.7653661801943</v>
      </c>
      <c r="I3401" s="38" t="n">
        <f aca="false">(Sens!$D$3400*Sens!$I$3281+(1-ext_sh)*Sens!$I$3324)*Sens!$I$3282</f>
        <v>28.4281317305062</v>
      </c>
      <c r="J3401" s="38" t="n">
        <f aca="false">(Sens!$D$3400*Sens!$J$3281+(1-ext_sh)*Sens!$J$3324)*Sens!$J$3282</f>
        <v>34.1182922009732</v>
      </c>
      <c r="K3401" s="38" t="n">
        <f aca="false">(Sens!$D$3400*Sens!$K$3281+(1-ext_sh)*Sens!$K$3324)*Sens!$K$3282</f>
        <v>39.7237727987046</v>
      </c>
      <c r="L3401" s="38" t="n">
        <f aca="false">(Sens!$D$3400*Sens!$L$3281+(1-ext_sh)*Sens!$L$3324)*Sens!$L$3282</f>
        <v>45.1313127180263</v>
      </c>
      <c r="M3401" s="38" t="n">
        <f aca="false">(Sens!$D$3400*Sens!$M$3281+(1-ext_sh)*Sens!$M$3324)*Sens!$M$3282</f>
        <v>50.743940615442</v>
      </c>
      <c r="N3401" s="38" t="n">
        <f aca="false">Q!$N$29</f>
        <v>7.272</v>
      </c>
      <c r="O3401" s="38" t="n">
        <f aca="false">Q!$O$29</f>
        <v>8.231</v>
      </c>
    </row>
    <row r="3402" customFormat="false" ht="17.15" hidden="false" customHeight="false" outlineLevel="0" collapsed="false">
      <c r="A3402" s="0" t="s">
        <v>500</v>
      </c>
      <c r="B3402" s="0" t="s">
        <v>73</v>
      </c>
      <c r="C3402" s="38" t="n">
        <f aca="false">Q!$D$30</f>
        <v>4.462</v>
      </c>
      <c r="D3402" s="38" t="n">
        <f aca="false">Q!$E$30</f>
        <v>4.907</v>
      </c>
      <c r="E3402" s="38" t="n">
        <f aca="false">Q!$P$30</f>
        <v>2.57</v>
      </c>
      <c r="F3402" s="38" t="n">
        <f aca="false">(Sens!$D$3400*Sens!$F$3281+(1-ext_sh)*Sens!$F$3324)*(1-Sens!$F$3282)</f>
        <v>3.7353230631574</v>
      </c>
      <c r="G3402" s="38" t="n">
        <f aca="false">Sens!$E$3402+Sens!$F$3402</f>
        <v>6.3053230631574</v>
      </c>
      <c r="H3402" s="38" t="n">
        <f aca="false">(Sens!$D$3400*Sens!$H$3281+(1-ext_sh)*Sens!$H$3324)*(1-Sens!$H$3282)</f>
        <v>8.72254636724805</v>
      </c>
      <c r="I3402" s="38" t="n">
        <f aca="false">(Sens!$D$3400*Sens!$I$3281+(1-ext_sh)*Sens!$I$3324)*(1-Sens!$I$3282)</f>
        <v>10.8922340713019</v>
      </c>
      <c r="J3402" s="38" t="n">
        <f aca="false">(Sens!$D$3400*Sens!$J$3281+(1-ext_sh)*Sens!$J$3324)*(1-Sens!$J$3282)</f>
        <v>13.0724181345791</v>
      </c>
      <c r="K3402" s="38" t="n">
        <f aca="false">(Sens!$D$3400*Sens!$K$3281+(1-ext_sh)*Sens!$K$3324)*(1-Sens!$K$3282)</f>
        <v>15.2201571183236</v>
      </c>
      <c r="L3402" s="38" t="n">
        <f aca="false">(Sens!$D$3400*Sens!$L$3281+(1-ext_sh)*Sens!$L$3324)*(1-Sens!$L$3282)</f>
        <v>17.2920551631732</v>
      </c>
      <c r="M3402" s="38" t="n">
        <f aca="false">(Sens!$D$3400*Sens!$M$3281+(1-ext_sh)*Sens!$M$3324)*(1-Sens!$M$3282)</f>
        <v>19.4425326336348</v>
      </c>
      <c r="N3402" s="38" t="n">
        <f aca="false">Q!$N$30</f>
        <v>2.316</v>
      </c>
      <c r="O3402" s="38" t="n">
        <f aca="false">Q!$O$30</f>
        <v>2.591</v>
      </c>
    </row>
    <row r="3403" customFormat="false" ht="17.15" hidden="false" customHeight="false" outlineLevel="0" collapsed="false">
      <c r="A3403" s="0" t="s">
        <v>501</v>
      </c>
      <c r="B3403" s="0" t="s">
        <v>73</v>
      </c>
      <c r="C3403" s="38" t="n">
        <f aca="false">Sens!$C$3336</f>
        <v>13.32</v>
      </c>
      <c r="D3403" s="38" t="n">
        <f aca="false">Sens!$D$3336</f>
        <v>21.45</v>
      </c>
      <c r="E3403" s="38" t="n">
        <f aca="false">Sens!$E$3336</f>
        <v>15.353</v>
      </c>
      <c r="F3403" s="38" t="n">
        <f aca="false">Sens!$F$3336</f>
        <v>17.3614451462707</v>
      </c>
      <c r="G3403" s="38" t="n">
        <f aca="false">Sens!$G$3336</f>
        <v>32.7144451462707</v>
      </c>
      <c r="H3403" s="38" t="n">
        <f aca="false">Sens!$H$3336</f>
        <v>56.1966092719415</v>
      </c>
      <c r="I3403" s="38" t="n">
        <f aca="false">Sens!$I$3336</f>
        <v>82.9744039068297</v>
      </c>
      <c r="J3403" s="38" t="n">
        <f aca="false">Sens!$J$3336</f>
        <v>109.943252237669</v>
      </c>
      <c r="K3403" s="38" t="n">
        <f aca="false">Sens!$K$3336</f>
        <v>136.406703436571</v>
      </c>
      <c r="L3403" s="38" t="n">
        <f aca="false">Sens!$L$3336</f>
        <v>161.485870454155</v>
      </c>
      <c r="M3403" s="38" t="n">
        <f aca="false">Sens!$M$3336</f>
        <v>187.389846618199</v>
      </c>
      <c r="N3403" s="38" t="n">
        <f aca="false">Sens!$N$3336</f>
        <v>9.234</v>
      </c>
      <c r="O3403" s="38" t="n">
        <f aca="false">Sens!$O$3336</f>
        <v>12.216</v>
      </c>
    </row>
    <row r="3404" customFormat="false" ht="17.15" hidden="false" customHeight="false" outlineLevel="0" collapsed="false">
      <c r="A3404" s="5" t="s">
        <v>695</v>
      </c>
      <c r="B3404" s="0" t="s">
        <v>73</v>
      </c>
      <c r="C3404" s="38" t="n">
        <f aca="false">Sens!$C$3401+Sens!$C$3402+Sens!$C$3403</f>
        <v>32.067</v>
      </c>
      <c r="D3404" s="38" t="n">
        <f aca="false">Sens!$D$3401+Sens!$D$3402+Sens!$D$3403</f>
        <v>41.86</v>
      </c>
      <c r="E3404" s="38" t="n">
        <f aca="false">Sens!$E$3401+Sens!$E$3402+Sens!$E$3403</f>
        <v>26.703</v>
      </c>
      <c r="F3404" s="38" t="n">
        <f aca="false">Sens!$F$3401+Sens!$F$3402+Sens!$F$3403</f>
        <v>30.6103857251209</v>
      </c>
      <c r="G3404" s="38" t="n">
        <f aca="false">Sens!$G$3401+Sens!$G$3402+Sens!$G$3403</f>
        <v>57.3133857251209</v>
      </c>
      <c r="H3404" s="38" t="n">
        <f aca="false">Sens!$H$3401+Sens!$H$3402+Sens!$H$3403</f>
        <v>87.6845218193838</v>
      </c>
      <c r="I3404" s="38" t="n">
        <f aca="false">Sens!$I$3401+Sens!$I$3402+Sens!$I$3403</f>
        <v>122.294769708638</v>
      </c>
      <c r="J3404" s="38" t="n">
        <f aca="false">Sens!$J$3401+Sens!$J$3402+Sens!$J$3403</f>
        <v>157.133962573221</v>
      </c>
      <c r="K3404" s="38" t="n">
        <f aca="false">Sens!$K$3401+Sens!$K$3402+Sens!$K$3403</f>
        <v>191.350633353599</v>
      </c>
      <c r="L3404" s="38" t="n">
        <f aca="false">Sens!$L$3401+Sens!$L$3402+Sens!$L$3403</f>
        <v>223.909238335354</v>
      </c>
      <c r="M3404" s="38" t="n">
        <f aca="false">Sens!$M$3401+Sens!$M$3402+Sens!$M$3403</f>
        <v>257.576319867276</v>
      </c>
      <c r="N3404" s="38" t="n">
        <f aca="false">Sens!$N$3401+Sens!$N$3402+Sens!$N$3403</f>
        <v>18.822</v>
      </c>
      <c r="O3404" s="38" t="n">
        <f aca="false">Sens!$O$3401+Sens!$O$3402+Sens!$O$3403</f>
        <v>23.038</v>
      </c>
    </row>
    <row r="3405" customFormat="false" ht="17.15" hidden="false" customHeight="false" outlineLevel="0" collapsed="false">
      <c r="A3405" s="0" t="s">
        <v>696</v>
      </c>
      <c r="B3405" s="0" t="s">
        <v>73</v>
      </c>
      <c r="C3405" s="38" t="n">
        <f aca="false">Sens!$C$3378+Sens!$C$3383</f>
        <v>33.7284</v>
      </c>
      <c r="D3405" s="38" t="n">
        <f aca="false">Sens!$D$3378+Sens!$D$3383</f>
        <v>41.181</v>
      </c>
      <c r="E3405" s="38" t="n">
        <f aca="false">Sens!$E$3378+Sens!$E$3383</f>
        <v>22.2312</v>
      </c>
      <c r="F3405" s="38" t="n">
        <f aca="false">Sens!$F$3378+Sens!$F$3383</f>
        <v>28.8920029096429</v>
      </c>
      <c r="G3405" s="38" t="n">
        <f aca="false">Sens!$G$3378+Sens!$G$3383</f>
        <v>51.1232029096429</v>
      </c>
      <c r="H3405" s="38" t="n">
        <f aca="false">Sens!$H$3378+Sens!$H$3383</f>
        <v>61.3760171153642</v>
      </c>
      <c r="I3405" s="38" t="n">
        <f aca="false">Sens!$I$3378+Sens!$I$3383</f>
        <v>71.6279025511446</v>
      </c>
      <c r="J3405" s="38" t="n">
        <f aca="false">Sens!$J$3378+Sens!$J$3383</f>
        <v>81.1914474293065</v>
      </c>
      <c r="K3405" s="38" t="n">
        <f aca="false">Sens!$K$3378+Sens!$K$3383</f>
        <v>89.3105921722372</v>
      </c>
      <c r="L3405" s="38" t="n">
        <f aca="false">Sens!$L$3378+Sens!$L$3383</f>
        <v>98.2416513894609</v>
      </c>
      <c r="M3405" s="38" t="n">
        <f aca="false">Sens!$M$3378+Sens!$M$3383</f>
        <v>108.065816528407</v>
      </c>
      <c r="N3405" s="38" t="n">
        <f aca="false">Sens!$N$3378+Sens!$N$3383</f>
        <v>17.769</v>
      </c>
      <c r="O3405" s="38" t="n">
        <f aca="false">Sens!$O$3378+Sens!$O$3383</f>
        <v>23.412</v>
      </c>
    </row>
    <row r="3406" customFormat="false" ht="17.15" hidden="false" customHeight="false" outlineLevel="0" collapsed="false">
      <c r="A3406" s="0" t="s">
        <v>697</v>
      </c>
      <c r="B3406" s="0" t="s">
        <v>73</v>
      </c>
      <c r="C3406" s="38" t="n">
        <f aca="false">Sens!$C$3382+Sens!$C$3387+Sens!$C$3401+Sens!$C$3402-Sens!$C$3405</f>
        <v>13.7776</v>
      </c>
      <c r="D3406" s="38" t="n">
        <f aca="false">Sens!$D$3382+Sens!$D$3387+Sens!$D$3401+Sens!$D$3402-Sens!$D$3405</f>
        <v>13.598</v>
      </c>
      <c r="E3406" s="38" t="n">
        <f aca="false">Sens!$E$3382+Sens!$E$3387+Sens!$E$3401+Sens!$E$3402-Sens!$E$3405</f>
        <v>9.6498</v>
      </c>
      <c r="F3406" s="38" t="n">
        <f aca="false">Sens!$F$3382+Sens!$F$3387+Sens!$F$3401+Sens!$F$3402-Sens!$F$3405</f>
        <v>8.47711132268411</v>
      </c>
      <c r="G3406" s="38" t="n">
        <f aca="false">Sens!$G$3382+Sens!$G$3387+Sens!$G$3401+Sens!$G$3402-Sens!$G$3405</f>
        <v>18.1269113226841</v>
      </c>
      <c r="H3406" s="38" t="n">
        <f aca="false">Sens!$H$3382+Sens!$H$3387+Sens!$H$3401+Sens!$H$3402-Sens!$H$3405</f>
        <v>19.8033876930923</v>
      </c>
      <c r="I3406" s="38" t="n">
        <f aca="false">Sens!$I$3382+Sens!$I$3387+Sens!$I$3401+Sens!$I$3402-Sens!$I$3405</f>
        <v>21.3689486197041</v>
      </c>
      <c r="J3406" s="38" t="n">
        <f aca="false">Sens!$J$3382+Sens!$J$3387+Sens!$J$3401+Sens!$J$3402-Sens!$J$3405</f>
        <v>22.98091417055</v>
      </c>
      <c r="K3406" s="38" t="n">
        <f aca="false">Sens!$K$3382+Sens!$K$3387+Sens!$K$3401+Sens!$K$3402-Sens!$K$3405</f>
        <v>24.5208534740247</v>
      </c>
      <c r="L3406" s="38" t="n">
        <f aca="false">Sens!$L$3382+Sens!$L$3387+Sens!$L$3401+Sens!$L$3402-Sens!$L$3405</f>
        <v>24.6260556498141</v>
      </c>
      <c r="M3406" s="38" t="n">
        <f aca="false">Sens!$M$3382+Sens!$M$3387+Sens!$M$3401+Sens!$M$3402-Sens!$M$3405</f>
        <v>24.8828789261341</v>
      </c>
      <c r="N3406" s="38" t="n">
        <f aca="false">Sens!$N$3382+Sens!$N$3387+Sens!$N$3401+Sens!$N$3402-Sens!$N$3405</f>
        <v>7.688</v>
      </c>
      <c r="O3406" s="38" t="n">
        <f aca="false">Sens!$O$3382+Sens!$O$3387+Sens!$O$3401+Sens!$O$3402-Sens!$O$3405</f>
        <v>5.91000000000001</v>
      </c>
    </row>
    <row r="3407" customFormat="false" ht="17.15" hidden="false" customHeight="false" outlineLevel="0" collapsed="false">
      <c r="A3407" s="0" t="s">
        <v>698</v>
      </c>
      <c r="B3407" s="0" t="s">
        <v>73</v>
      </c>
      <c r="C3407" s="38" t="n">
        <f aca="false">Sens!$C$3389+Sens!$C$3403-ext_sh*Sens!$C$3324</f>
        <v>51.3470500115664</v>
      </c>
      <c r="D3407" s="38" t="n">
        <f aca="false">Sens!$D$3389+Sens!$D$3403-ext_sh*Sens!$D$3324</f>
        <v>60.2799375433739</v>
      </c>
      <c r="E3407" s="38" t="n">
        <f aca="false">Sens!$E$3389+Sens!$E$3403-ext_sh*Sens!$E$3324</f>
        <v>39.5095167090767</v>
      </c>
      <c r="F3407" s="38" t="n">
        <f aca="false">Sens!$F$3389+Sens!$F$3403-ext_sh*Sens!$F$3324</f>
        <v>41.606724953129</v>
      </c>
      <c r="G3407" s="38" t="n">
        <f aca="false">Sens!$G$3389+Sens!$G$3403-ext_sh*Sens!$G$3324</f>
        <v>81.1162416622057</v>
      </c>
      <c r="H3407" s="38" t="n">
        <f aca="false">Sens!$H$3389+Sens!$H$3403-ext_sh*Sens!$H$3324</f>
        <v>95.7616595325849</v>
      </c>
      <c r="I3407" s="38" t="n">
        <f aca="false">Sens!$I$3389+Sens!$I$3403-ext_sh*Sens!$I$3324</f>
        <v>111.513312079935</v>
      </c>
      <c r="J3407" s="38" t="n">
        <f aca="false">Sens!$J$3389+Sens!$J$3403-ext_sh*Sens!$J$3324</f>
        <v>125.145150463955</v>
      </c>
      <c r="K3407" s="38" t="n">
        <f aca="false">Sens!$K$3389+Sens!$K$3403-ext_sh*Sens!$K$3324</f>
        <v>135.156762501071</v>
      </c>
      <c r="L3407" s="38" t="n">
        <f aca="false">Sens!$L$3389+Sens!$L$3403-ext_sh*Sens!$L$3324</f>
        <v>145.969303501157</v>
      </c>
      <c r="M3407" s="38" t="n">
        <f aca="false">Sens!$M$3389+Sens!$M$3403-ext_sh*Sens!$M$3324</f>
        <v>157.646847781249</v>
      </c>
      <c r="N3407" s="38" t="n">
        <f aca="false">Sens!$N$3389+Sens!$N$3403-ext_sh*Sens!$N$3324</f>
        <v>28.5693781401809</v>
      </c>
      <c r="O3407" s="38" t="n">
        <f aca="false">Sens!$O$3389+Sens!$O$3403-ext_sh*Sens!$O$3324</f>
        <v>31.7105594031931</v>
      </c>
    </row>
    <row r="3408" customFormat="false" ht="17.15" hidden="false" customHeight="false" outlineLevel="0" collapsed="false">
      <c r="A3408" s="0" t="s">
        <v>699</v>
      </c>
      <c r="B3408" s="0" t="s">
        <v>73</v>
      </c>
      <c r="C3408" s="38" t="n">
        <f aca="false">Sens!$C$3327</f>
        <v>1.80694998843362</v>
      </c>
      <c r="D3408" s="38" t="n">
        <f aca="false">Sens!$D$3327</f>
        <v>6.77606245662607</v>
      </c>
      <c r="E3408" s="38" t="n">
        <f aca="false">Sens!$E$3327</f>
        <v>6.62548329092326</v>
      </c>
      <c r="F3408" s="38" t="n">
        <f aca="false">Sens!$F$3327</f>
        <v>11.7200577158706</v>
      </c>
      <c r="G3408" s="38" t="n">
        <f aca="false">Sens!$G$3327</f>
        <v>18.3455410067939</v>
      </c>
      <c r="H3408" s="38" t="n">
        <f aca="false">Sens!$H$3327</f>
        <v>47.5171727060453</v>
      </c>
      <c r="I3408" s="38" t="n">
        <f aca="false">Sens!$I$3327</f>
        <v>80.5539692643667</v>
      </c>
      <c r="J3408" s="38" t="n">
        <f aca="false">Sens!$J$3327</f>
        <v>113.759316834883</v>
      </c>
      <c r="K3408" s="38" t="n">
        <f aca="false">Sens!$K$3327</f>
        <v>147.020848076132</v>
      </c>
      <c r="L3408" s="38" t="n">
        <f aca="false">Sens!$L$3327</f>
        <v>180.307917349531</v>
      </c>
      <c r="M3408" s="38" t="n">
        <f aca="false">Sens!$M$3327</f>
        <v>213.608737871012</v>
      </c>
      <c r="N3408" s="38" t="n">
        <f aca="false">Sens!$N$3327</f>
        <v>2.37162185981912</v>
      </c>
      <c r="O3408" s="38" t="n">
        <f aca="false">Sens!$O$3327</f>
        <v>4.40444059680694</v>
      </c>
    </row>
    <row r="3409" customFormat="false" ht="17.15" hidden="false" customHeight="false" outlineLevel="0" collapsed="false">
      <c r="A3409" s="0" t="s">
        <v>700</v>
      </c>
      <c r="B3409" s="0" t="s">
        <v>73</v>
      </c>
      <c r="C3409" s="38" t="n">
        <f aca="false">Sens!$C$3392+Sens!$C$3404</f>
        <v>100.66</v>
      </c>
      <c r="D3409" s="38" t="n">
        <f aca="false">Sens!$D$3392+Sens!$D$3404</f>
        <v>121.835</v>
      </c>
      <c r="E3409" s="38" t="n">
        <f aca="false">Sens!$E$3392+Sens!$E$3404</f>
        <v>78.016</v>
      </c>
      <c r="F3409" s="38" t="n">
        <f aca="false">Sens!$F$3392+Sens!$F$3404</f>
        <v>90.6958969013266</v>
      </c>
      <c r="G3409" s="38" t="n">
        <f aca="false">Sens!$G$3392+Sens!$G$3404</f>
        <v>168.711896901327</v>
      </c>
      <c r="H3409" s="38" t="n">
        <f aca="false">Sens!$H$3392+Sens!$H$3404</f>
        <v>224.458237047087</v>
      </c>
      <c r="I3409" s="38" t="n">
        <f aca="false">Sens!$I$3392+Sens!$I$3404</f>
        <v>285.064132515151</v>
      </c>
      <c r="J3409" s="38" t="n">
        <f aca="false">Sens!$J$3392+Sens!$J$3404</f>
        <v>343.076828898695</v>
      </c>
      <c r="K3409" s="38" t="n">
        <f aca="false">Sens!$K$3392+Sens!$K$3404</f>
        <v>396.009056223465</v>
      </c>
      <c r="L3409" s="38" t="n">
        <f aca="false">Sens!$L$3392+Sens!$L$3404</f>
        <v>449.144927889963</v>
      </c>
      <c r="M3409" s="38" t="n">
        <f aca="false">Sens!$M$3392+Sens!$M$3404</f>
        <v>504.204281106802</v>
      </c>
      <c r="N3409" s="38" t="n">
        <f aca="false">Sens!$N$3392+Sens!$N$3404</f>
        <v>56.398</v>
      </c>
      <c r="O3409" s="38" t="n">
        <f aca="false">Sens!$O$3392+Sens!$O$3404</f>
        <v>65.437</v>
      </c>
    </row>
    <row r="3410" customFormat="false" ht="17.15" hidden="false" customHeight="false" outlineLevel="0" collapsed="false">
      <c r="A3410" s="1" t="s">
        <v>701</v>
      </c>
    </row>
    <row r="3411" customFormat="false" ht="15" hidden="false" customHeight="false" outlineLevel="0" collapsed="false">
      <c r="A3411" s="5" t="s">
        <v>504</v>
      </c>
      <c r="B3411" s="0" t="s">
        <v>73</v>
      </c>
      <c r="C3411" s="38" t="n">
        <f aca="false">Q!$D$34</f>
        <v>2.406</v>
      </c>
      <c r="D3411" s="38" t="n">
        <f aca="false">Q!$E$34</f>
        <v>2.274</v>
      </c>
      <c r="E3411" s="38" t="n">
        <f aca="false">Q!$P$34</f>
        <v>2.114</v>
      </c>
      <c r="F3411" s="38" t="n">
        <f aca="false">Sens!$F$3447</f>
        <v>3.24888964316061</v>
      </c>
      <c r="G3411" s="38" t="n">
        <f aca="false">Sens!$E$3411+Sens!$F$3411</f>
        <v>5.36288964316061</v>
      </c>
      <c r="H3411" s="38" t="n">
        <f aca="false">Sens!$H$3447</f>
        <v>7.42354178632123</v>
      </c>
      <c r="I3411" s="38" t="n">
        <f aca="false">Sens!$I$3447</f>
        <v>7.44791559409006</v>
      </c>
      <c r="J3411" s="38" t="n">
        <f aca="false">Sens!$J$3447</f>
        <v>7.58600602233655</v>
      </c>
      <c r="K3411" s="38" t="n">
        <f aca="false">Sens!$K$3447</f>
        <v>7.58600602233655</v>
      </c>
      <c r="L3411" s="38" t="n">
        <f aca="false">Sens!$L$3447</f>
        <v>7.58600602233655</v>
      </c>
      <c r="M3411" s="38" t="n">
        <f aca="false">Sens!$M$3447</f>
        <v>7.58600602233655</v>
      </c>
      <c r="N3411" s="38" t="n">
        <f aca="false">Q!$N$34</f>
        <v>1.057</v>
      </c>
      <c r="O3411" s="38" t="n">
        <f aca="false">Q!$O$34</f>
        <v>1.217</v>
      </c>
    </row>
    <row r="3412" customFormat="false" ht="15" hidden="false" customHeight="false" outlineLevel="0" collapsed="false">
      <c r="A3412" s="5" t="s">
        <v>702</v>
      </c>
      <c r="B3412" s="0" t="s">
        <v>73</v>
      </c>
      <c r="F3412" s="38" t="n">
        <f aca="false">Sens!$F$3448</f>
        <v>2.59</v>
      </c>
      <c r="H3412" s="38" t="n">
        <f aca="false">Sens!$H$3448</f>
        <v>4.01677953456348</v>
      </c>
      <c r="I3412" s="38" t="n">
        <f aca="false">Sens!$I$3448</f>
        <v>2.10589651022864</v>
      </c>
      <c r="J3412" s="38" t="n">
        <f aca="false">Sens!$J$3448</f>
        <v>2.10589651022864</v>
      </c>
      <c r="K3412" s="38" t="n">
        <f aca="false">Sens!$K$3448</f>
        <v>3.89090268942261</v>
      </c>
      <c r="L3412" s="38" t="n">
        <f aca="false">Sens!$L$3448</f>
        <v>7.49254587366414</v>
      </c>
      <c r="M3412" s="38" t="n">
        <f aca="false">Sens!$M$3448</f>
        <v>11.6316504113269</v>
      </c>
    </row>
    <row r="3413" customFormat="false" ht="17.15" hidden="false" customHeight="false" outlineLevel="0" collapsed="false">
      <c r="A3413" s="5" t="s">
        <v>703</v>
      </c>
      <c r="B3413" s="0" t="s">
        <v>73</v>
      </c>
      <c r="C3413" s="38" t="n">
        <f aca="false">Q!$D$39</f>
        <v>2.427</v>
      </c>
      <c r="D3413" s="38" t="n">
        <f aca="false">Q!$E$39</f>
        <v>19.61</v>
      </c>
      <c r="E3413" s="38" t="n">
        <f aca="false">Q!$P$39</f>
        <v>71.492</v>
      </c>
      <c r="F3413" s="41" t="n">
        <v>0</v>
      </c>
      <c r="G3413" s="38" t="n">
        <f aca="false">Sens!$E$3413+Sens!$F$3413</f>
        <v>71.492</v>
      </c>
      <c r="H3413" s="41" t="n">
        <v>0</v>
      </c>
      <c r="I3413" s="41" t="n">
        <v>0</v>
      </c>
      <c r="J3413" s="41" t="n">
        <v>0</v>
      </c>
      <c r="K3413" s="41" t="n">
        <v>0</v>
      </c>
      <c r="L3413" s="41" t="n">
        <v>0</v>
      </c>
      <c r="M3413" s="41" t="n">
        <v>0</v>
      </c>
      <c r="N3413" s="38" t="n">
        <f aca="false">Q!$N$39</f>
        <v>6.017</v>
      </c>
      <c r="O3413" s="38" t="n">
        <f aca="false">Q!$O$39</f>
        <v>13.593</v>
      </c>
      <c r="P3413" s="5" t="s">
        <v>704</v>
      </c>
    </row>
    <row r="3414" customFormat="false" ht="15" hidden="false" customHeight="false" outlineLevel="0" collapsed="false">
      <c r="A3414" s="5" t="s">
        <v>507</v>
      </c>
      <c r="B3414" s="0" t="s">
        <v>73</v>
      </c>
      <c r="C3414" s="38" t="n">
        <f aca="false">Q!$D$36</f>
        <v>68.614</v>
      </c>
      <c r="D3414" s="38" t="n">
        <f aca="false">Q!$E$36</f>
        <v>97.311</v>
      </c>
      <c r="E3414" s="38" t="n">
        <f aca="false">Q!$P$36</f>
        <v>120.691</v>
      </c>
      <c r="F3414" s="38" t="n">
        <f aca="false">Sens!$F$3392-Sens!$F$3411+Sens!$F$3412+Sens!$F$3413</f>
        <v>59.426621533045</v>
      </c>
      <c r="G3414" s="38" t="n">
        <f aca="false">Sens!$E$3414+Sens!$F$3414</f>
        <v>180.117621533045</v>
      </c>
      <c r="H3414" s="38" t="n">
        <f aca="false">Sens!$H$3392-Sens!$H$3411+Sens!$H$3412+Sens!$H$3413</f>
        <v>133.366952975945</v>
      </c>
      <c r="I3414" s="38" t="n">
        <f aca="false">Sens!$I$3392-Sens!$I$3411+Sens!$I$3412+Sens!$I$3413</f>
        <v>157.427343722652</v>
      </c>
      <c r="J3414" s="38" t="n">
        <f aca="false">Sens!$J$3392-Sens!$J$3411+Sens!$J$3412+Sens!$J$3413</f>
        <v>180.462756813366</v>
      </c>
      <c r="K3414" s="38" t="n">
        <f aca="false">Sens!$K$3392-Sens!$K$3411+Sens!$K$3412+Sens!$K$3413</f>
        <v>200.963319536951</v>
      </c>
      <c r="L3414" s="38" t="n">
        <f aca="false">Sens!$L$3392-Sens!$L$3411+Sens!$L$3412+Sens!$L$3413</f>
        <v>225.142229405936</v>
      </c>
      <c r="M3414" s="38" t="n">
        <f aca="false">Sens!$M$3392-Sens!$M$3411+Sens!$M$3412+Sens!$M$3413</f>
        <v>250.673605628516</v>
      </c>
      <c r="N3414" s="38" t="n">
        <f aca="false">Q!$N$36</f>
        <v>42.536</v>
      </c>
      <c r="O3414" s="38" t="n">
        <f aca="false">Q!$O$36</f>
        <v>54.775</v>
      </c>
    </row>
    <row r="3415" customFormat="false" ht="15" hidden="false" customHeight="false" outlineLevel="0" collapsed="false">
      <c r="A3415" s="5" t="s">
        <v>508</v>
      </c>
      <c r="B3415" s="0" t="s">
        <v>73</v>
      </c>
      <c r="C3415" s="38" t="n">
        <f aca="false">Q!$D$37</f>
        <v>9.265</v>
      </c>
      <c r="D3415" s="38" t="n">
        <f aca="false">Q!$E$37</f>
        <v>19.087</v>
      </c>
      <c r="E3415" s="38" t="n">
        <f aca="false">Q!$P$37</f>
        <v>27.759</v>
      </c>
      <c r="F3415" s="38" t="n">
        <f aca="false">Sens!$F$3414*tax</f>
        <v>10.3155419675005</v>
      </c>
      <c r="G3415" s="38" t="n">
        <f aca="false">Sens!$E$3415+Sens!$F$3415</f>
        <v>38.0745419675005</v>
      </c>
      <c r="H3415" s="38" t="n">
        <f aca="false">Sens!$H$3414*tax</f>
        <v>23.1504393992181</v>
      </c>
      <c r="I3415" s="38" t="n">
        <f aca="false">Sens!$I$3414*tax</f>
        <v>27.326950937302</v>
      </c>
      <c r="J3415" s="38" t="n">
        <f aca="false">Sens!$J$3414*tax</f>
        <v>31.3255422141734</v>
      </c>
      <c r="K3415" s="38" t="n">
        <f aca="false">Sens!$K$3414*tax</f>
        <v>34.8841226900117</v>
      </c>
      <c r="L3415" s="38" t="n">
        <f aca="false">Sens!$L$3414*tax</f>
        <v>39.0812073138318</v>
      </c>
      <c r="M3415" s="38" t="n">
        <f aca="false">Sens!$M$3414*tax</f>
        <v>43.5130591694117</v>
      </c>
      <c r="N3415" s="38" t="n">
        <f aca="false">Q!$N$37</f>
        <v>7.231</v>
      </c>
      <c r="O3415" s="38" t="n">
        <f aca="false">Q!$O$37</f>
        <v>11.856</v>
      </c>
    </row>
    <row r="3416" customFormat="false" ht="15" hidden="false" customHeight="false" outlineLevel="0" collapsed="false">
      <c r="A3416" s="3" t="s">
        <v>509</v>
      </c>
      <c r="B3416" s="8" t="s">
        <v>73</v>
      </c>
      <c r="C3416" s="38" t="n">
        <f aca="false">Q!$D$38</f>
        <v>59.248</v>
      </c>
      <c r="D3416" s="38" t="n">
        <f aca="false">Q!$E$38</f>
        <v>77.67</v>
      </c>
      <c r="E3416" s="38" t="n">
        <f aca="false">Q!$P$38</f>
        <v>92.902</v>
      </c>
      <c r="F3416" s="38" t="n">
        <f aca="false">Sens!$F$3414-Sens!$F$3415</f>
        <v>49.1110795655445</v>
      </c>
      <c r="G3416" s="38" t="n">
        <f aca="false">Sens!$E$3416+Sens!$F$3416</f>
        <v>142.013079565545</v>
      </c>
      <c r="H3416" s="38" t="n">
        <f aca="false">Sens!$H$3414-Sens!$H$3415</f>
        <v>110.216513576727</v>
      </c>
      <c r="I3416" s="38" t="n">
        <f aca="false">Sens!$I$3414-Sens!$I$3415</f>
        <v>130.10039278535</v>
      </c>
      <c r="J3416" s="38" t="n">
        <f aca="false">Sens!$J$3414-Sens!$J$3415</f>
        <v>149.137214599192</v>
      </c>
      <c r="K3416" s="38" t="n">
        <f aca="false">Sens!$K$3414-Sens!$K$3415</f>
        <v>166.07919684694</v>
      </c>
      <c r="L3416" s="38" t="n">
        <f aca="false">Sens!$L$3414-Sens!$L$3415</f>
        <v>186.061022092104</v>
      </c>
      <c r="M3416" s="38" t="n">
        <f aca="false">Sens!$M$3414-Sens!$M$3415</f>
        <v>207.160546459104</v>
      </c>
      <c r="N3416" s="38" t="n">
        <f aca="false">Q!$N$38</f>
        <v>35.291</v>
      </c>
      <c r="O3416" s="38" t="n">
        <f aca="false">Q!$O$38</f>
        <v>42.379</v>
      </c>
    </row>
    <row r="3417" customFormat="false" ht="17.15" hidden="false" customHeight="false" outlineLevel="0" collapsed="false">
      <c r="A3417" s="5" t="s">
        <v>512</v>
      </c>
      <c r="B3417" s="5" t="s">
        <v>33</v>
      </c>
      <c r="C3417" s="22" t="n">
        <f aca="false">Q!$D$41</f>
        <v>10.721</v>
      </c>
      <c r="D3417" s="22" t="n">
        <f aca="false">Q!$E$41</f>
        <v>10.827</v>
      </c>
      <c r="E3417" s="22" t="n">
        <f aca="false">(Q!$L$41+Q!$M$41)/2</f>
        <v>10.8885</v>
      </c>
      <c r="F3417" s="22" t="n">
        <f aca="false">Sens!$G$3417</f>
        <v>10.924806</v>
      </c>
      <c r="G3417" s="22" t="n">
        <f aca="false">Q!$M$41*(1+sh_g*0.25)</f>
        <v>10.924806</v>
      </c>
      <c r="H3417" s="22" t="n">
        <f aca="false">Sens!$G$3417*(1+sh_g)</f>
        <v>11.012204448</v>
      </c>
      <c r="I3417" s="22" t="n">
        <f aca="false">Sens!$H$3417*(1+sh_g)</f>
        <v>11.100302083584</v>
      </c>
      <c r="J3417" s="22" t="n">
        <f aca="false">Sens!$I$3417*(1+sh_g)</f>
        <v>11.1891045002527</v>
      </c>
      <c r="K3417" s="22" t="n">
        <f aca="false">Sens!$J$3417*(1+sh_g)</f>
        <v>11.2786173362547</v>
      </c>
      <c r="L3417" s="22" t="n">
        <f aca="false">Sens!$K$3417*(1+sh_g)</f>
        <v>11.3688462749447</v>
      </c>
      <c r="M3417" s="22" t="n">
        <f aca="false">Sens!$L$3417*(1+sh_g)</f>
        <v>11.4597970451443</v>
      </c>
      <c r="P3417" s="5" t="s">
        <v>705</v>
      </c>
    </row>
    <row r="3418" customFormat="false" ht="17.15" hidden="false" customHeight="false" outlineLevel="0" collapsed="false">
      <c r="A3418" s="42" t="s">
        <v>706</v>
      </c>
      <c r="B3418" s="13" t="s">
        <v>27</v>
      </c>
      <c r="C3418" s="43" t="n">
        <f aca="false">Sens!$C$3416/Sens!$C$3417</f>
        <v>5.52635015390355</v>
      </c>
      <c r="D3418" s="43" t="n">
        <f aca="false">Sens!$D$3416/Sens!$D$3417</f>
        <v>7.1737323358271</v>
      </c>
      <c r="E3418" s="43" t="n">
        <f aca="false">Sens!$E$3416/Sens!$E$3417</f>
        <v>8.53212104513937</v>
      </c>
      <c r="F3418" s="13"/>
      <c r="G3418" s="43" t="n">
        <f aca="false">Sens!$G$3416/Sens!$G$3417</f>
        <v>12.9991397161235</v>
      </c>
      <c r="H3418" s="43" t="n">
        <f aca="false">Sens!$H$3416/Sens!$H$3417</f>
        <v>10.0085785818065</v>
      </c>
      <c r="I3418" s="43" t="n">
        <f aca="false">Sens!$I$3416/Sens!$I$3417</f>
        <v>11.7204371381705</v>
      </c>
      <c r="J3418" s="43" t="n">
        <f aca="false">Sens!$J$3416/Sens!$J$3417</f>
        <v>13.3287891444596</v>
      </c>
      <c r="K3418" s="43" t="n">
        <f aca="false">Sens!$K$3416/Sens!$K$3417</f>
        <v>14.7251380107635</v>
      </c>
      <c r="L3418" s="43" t="n">
        <f aca="false">Sens!$L$3416/Sens!$L$3417</f>
        <v>16.3658666492972</v>
      </c>
      <c r="M3418" s="43" t="n">
        <f aca="false">Sens!$M$3416/Sens!$M$3417</f>
        <v>18.077156658449</v>
      </c>
      <c r="N3418" s="13"/>
      <c r="O3418" s="13"/>
    </row>
    <row r="3419" customFormat="false" ht="17.15" hidden="false" customHeight="false" outlineLevel="0" collapsed="false">
      <c r="A3419" s="0" t="s">
        <v>707</v>
      </c>
      <c r="B3419" s="0" t="s">
        <v>27</v>
      </c>
      <c r="C3419" s="30" t="n">
        <f aca="false">(Sens!$C$3416-Sens!$C$3413*(1-tax))/Sens!$C$3417</f>
        <v>5.33926775917445</v>
      </c>
      <c r="D3419" s="30" t="n">
        <f aca="false">(Sens!$D$3416-Sens!$D$3413*(1-tax))/Sens!$D$3417</f>
        <v>5.67691812755503</v>
      </c>
      <c r="E3419" s="30" t="n">
        <f aca="false">(Sens!$E$3416-Sens!$E$3413*(1-tax))/Sens!$E$3417</f>
        <v>3.10602057006846</v>
      </c>
      <c r="G3419" s="30" t="n">
        <f aca="false">(Sens!$G$3416-Sens!$G$3413*(1-tax))/Sens!$G$3417</f>
        <v>7.59107159822654</v>
      </c>
      <c r="H3419" s="30" t="n">
        <f aca="false">(Sens!$H$3416-Sens!$H$3413*(1-tax))/Sens!$H$3417</f>
        <v>10.0085785818065</v>
      </c>
      <c r="I3419" s="30" t="n">
        <f aca="false">(Sens!$I$3416-Sens!$I$3413*(1-tax))/Sens!$I$3417</f>
        <v>11.7204371381705</v>
      </c>
      <c r="J3419" s="30" t="n">
        <f aca="false">(Sens!$J$3416-Sens!$J$3413*(1-tax))/Sens!$J$3417</f>
        <v>13.3287891444596</v>
      </c>
      <c r="K3419" s="30" t="n">
        <f aca="false">(Sens!$K$3416-Sens!$K$3413*(1-tax))/Sens!$K$3417</f>
        <v>14.7251380107635</v>
      </c>
      <c r="L3419" s="30" t="n">
        <f aca="false">(Sens!$L$3416-Sens!$L$3413*(1-tax))/Sens!$L$3417</f>
        <v>16.3658666492972</v>
      </c>
      <c r="M3419" s="30" t="n">
        <f aca="false">(Sens!$M$3416-Sens!$M$3413*(1-tax))/Sens!$M$3417</f>
        <v>18.077156658449</v>
      </c>
      <c r="P3419" s="5" t="s">
        <v>708</v>
      </c>
    </row>
    <row r="3420" customFormat="false" ht="17.15" hidden="false" customHeight="false" outlineLevel="0" collapsed="false">
      <c r="A3420" s="0" t="s">
        <v>709</v>
      </c>
      <c r="B3420" s="0" t="s">
        <v>52</v>
      </c>
      <c r="H3420" s="12" t="n">
        <f aca="false">Sens!$H$3418/Sens!$G$3418-1</f>
        <v>-0.230058388449173</v>
      </c>
      <c r="I3420" s="12" t="n">
        <f aca="false">Sens!$I$3418/Sens!$H$3418-1</f>
        <v>0.171039128320959</v>
      </c>
      <c r="J3420" s="12" t="n">
        <f aca="false">Sens!$J$3418/Sens!$I$3418-1</f>
        <v>0.137226281522481</v>
      </c>
      <c r="K3420" s="12" t="n">
        <f aca="false">Sens!$K$3418/Sens!$J$3418-1</f>
        <v>0.104761869301852</v>
      </c>
      <c r="L3420" s="12" t="n">
        <f aca="false">Sens!$L$3418/Sens!$K$3418-1</f>
        <v>0.111423650992907</v>
      </c>
      <c r="M3420" s="12" t="n">
        <f aca="false">Sens!$M$3418/Sens!$L$3418-1</f>
        <v>0.104564582238322</v>
      </c>
    </row>
    <row r="3423" customFormat="false" ht="19.4" hidden="false" customHeight="false" outlineLevel="0" collapsed="false">
      <c r="A3423" s="31" t="s">
        <v>1118</v>
      </c>
    </row>
    <row r="3424" customFormat="false" ht="17.15" hidden="false" customHeight="false" outlineLevel="0" collapsed="false">
      <c r="A3424" s="6" t="s">
        <v>16</v>
      </c>
      <c r="B3424" s="6" t="s">
        <v>17</v>
      </c>
      <c r="C3424" s="20" t="s">
        <v>457</v>
      </c>
      <c r="D3424" s="20" t="s">
        <v>458</v>
      </c>
      <c r="E3424" s="20" t="s">
        <v>540</v>
      </c>
      <c r="F3424" s="20" t="s">
        <v>541</v>
      </c>
      <c r="G3424" s="20" t="s">
        <v>542</v>
      </c>
      <c r="H3424" s="20" t="s">
        <v>543</v>
      </c>
      <c r="I3424" s="20" t="s">
        <v>544</v>
      </c>
      <c r="J3424" s="20" t="s">
        <v>545</v>
      </c>
      <c r="K3424" s="20" t="s">
        <v>546</v>
      </c>
      <c r="L3424" s="20" t="s">
        <v>547</v>
      </c>
      <c r="M3424" s="20" t="s">
        <v>548</v>
      </c>
      <c r="N3424" s="20" t="s">
        <v>549</v>
      </c>
      <c r="O3424" s="20" t="s">
        <v>550</v>
      </c>
      <c r="P3424" s="6" t="s">
        <v>23</v>
      </c>
      <c r="R3424" s="20" t="n">
        <v>2023</v>
      </c>
      <c r="S3424" s="20" t="n">
        <v>2024</v>
      </c>
      <c r="T3424" s="20" t="n">
        <v>2025</v>
      </c>
      <c r="U3424" s="20" t="n">
        <v>2026</v>
      </c>
      <c r="V3424" s="20" t="n">
        <v>2027</v>
      </c>
      <c r="W3424" s="20" t="n">
        <v>2028</v>
      </c>
      <c r="X3424" s="20" t="n">
        <v>2029</v>
      </c>
      <c r="Y3424" s="20" t="n">
        <v>2030</v>
      </c>
      <c r="Z3424" s="20" t="n">
        <v>2031</v>
      </c>
      <c r="AA3424" s="20" t="n">
        <v>2032</v>
      </c>
    </row>
    <row r="3425" customFormat="false" ht="15" hidden="false" customHeight="false" outlineLevel="0" collapsed="false">
      <c r="A3425" s="5" t="s">
        <v>509</v>
      </c>
      <c r="B3425" s="0" t="s">
        <v>73</v>
      </c>
      <c r="C3425" s="38" t="n">
        <f aca="false">Sens!$C$3416</f>
        <v>59.248</v>
      </c>
      <c r="D3425" s="38" t="n">
        <f aca="false">Sens!$D$3416</f>
        <v>77.67</v>
      </c>
      <c r="E3425" s="38" t="n">
        <f aca="false">Sens!$E$3416</f>
        <v>92.902</v>
      </c>
      <c r="F3425" s="38" t="n">
        <f aca="false">Sens!$F$3416</f>
        <v>49.1110795655445</v>
      </c>
      <c r="G3425" s="38" t="n">
        <f aca="false">Sens!$G$3416</f>
        <v>142.013079565545</v>
      </c>
      <c r="H3425" s="38" t="n">
        <f aca="false">Sens!$H$3416</f>
        <v>110.216513576727</v>
      </c>
      <c r="I3425" s="38" t="n">
        <f aca="false">Sens!$I$3416</f>
        <v>130.10039278535</v>
      </c>
      <c r="J3425" s="38" t="n">
        <f aca="false">Sens!$J$3416</f>
        <v>149.137214599192</v>
      </c>
      <c r="K3425" s="38" t="n">
        <f aca="false">Sens!$K$3416</f>
        <v>166.07919684694</v>
      </c>
      <c r="L3425" s="38" t="n">
        <f aca="false">Sens!$L$3416</f>
        <v>186.061022092104</v>
      </c>
      <c r="M3425" s="38" t="n">
        <f aca="false">Sens!$M$3416</f>
        <v>207.160546459104</v>
      </c>
    </row>
    <row r="3426" customFormat="false" ht="17.15" hidden="false" customHeight="false" outlineLevel="0" collapsed="false">
      <c r="A3426" s="5" t="s">
        <v>731</v>
      </c>
      <c r="B3426" s="0" t="s">
        <v>73</v>
      </c>
      <c r="C3426" s="38" t="n">
        <f aca="false">Sens!$C$3404</f>
        <v>32.067</v>
      </c>
      <c r="D3426" s="38" t="n">
        <f aca="false">Sens!$D$3404</f>
        <v>41.86</v>
      </c>
      <c r="E3426" s="38" t="n">
        <f aca="false">Sens!$E$3404</f>
        <v>26.703</v>
      </c>
      <c r="F3426" s="38" t="n">
        <f aca="false">Sens!$F$3404</f>
        <v>30.6103857251209</v>
      </c>
      <c r="G3426" s="38" t="n">
        <f aca="false">Sens!$G$3404</f>
        <v>57.3133857251209</v>
      </c>
      <c r="H3426" s="38" t="n">
        <f aca="false">Sens!$H$3404</f>
        <v>87.6845218193838</v>
      </c>
      <c r="I3426" s="38" t="n">
        <f aca="false">Sens!$I$3404</f>
        <v>122.294769708638</v>
      </c>
      <c r="J3426" s="38" t="n">
        <f aca="false">Sens!$J$3404</f>
        <v>157.133962573221</v>
      </c>
      <c r="K3426" s="38" t="n">
        <f aca="false">Sens!$K$3404</f>
        <v>191.350633353599</v>
      </c>
      <c r="L3426" s="38" t="n">
        <f aca="false">Sens!$L$3404</f>
        <v>223.909238335354</v>
      </c>
      <c r="M3426" s="38" t="n">
        <f aca="false">Sens!$M$3404</f>
        <v>257.576319867276</v>
      </c>
    </row>
    <row r="3427" customFormat="false" ht="15" hidden="false" customHeight="false" outlineLevel="0" collapsed="false">
      <c r="A3427" s="5" t="s">
        <v>732</v>
      </c>
      <c r="B3427" s="0" t="s">
        <v>73</v>
      </c>
      <c r="C3427" s="38" t="n">
        <f aca="false">Q!$D$48</f>
        <v>22.011</v>
      </c>
      <c r="D3427" s="38" t="n">
        <f aca="false">Q!$E$48</f>
        <v>19.467</v>
      </c>
      <c r="E3427" s="38" t="n">
        <f aca="false">Q!$P$48</f>
        <v>10.07</v>
      </c>
      <c r="F3427" s="38" t="n">
        <f aca="false">sbc_r*Sens!$F$3348</f>
        <v>11.2170714500462</v>
      </c>
      <c r="G3427" s="38" t="n">
        <f aca="false">Sens!$E$3427+Sens!$F$3427</f>
        <v>21.2870714500462</v>
      </c>
      <c r="H3427" s="38" t="n">
        <f aca="false">sbc_r*Sens!$H$3348</f>
        <v>24.1772394325528</v>
      </c>
      <c r="I3427" s="38" t="n">
        <f aca="false">sbc_r*Sens!$I$3348</f>
        <v>27.6495284422397</v>
      </c>
      <c r="J3427" s="38" t="n">
        <f aca="false">sbc_r*Sens!$J$3348</f>
        <v>30.9042211184633</v>
      </c>
      <c r="K3427" s="38" t="n">
        <f aca="false">sbc_r*Sens!$K$3348</f>
        <v>33.8004145402678</v>
      </c>
      <c r="L3427" s="38" t="n">
        <f aca="false">sbc_r*Sens!$L$3348</f>
        <v>36.8322537652494</v>
      </c>
      <c r="M3427" s="38" t="n">
        <f aca="false">sbc_r*Sens!$M$3348</f>
        <v>40.0097627968013</v>
      </c>
    </row>
    <row r="3428" customFormat="false" ht="17.15" hidden="false" customHeight="false" outlineLevel="0" collapsed="false">
      <c r="A3428" s="5" t="s">
        <v>733</v>
      </c>
      <c r="B3428" s="0" t="s">
        <v>73</v>
      </c>
      <c r="C3428" s="38" t="n">
        <f aca="false">Q!$D$44-Sens!$C$3425-Sens!$C$3426-Sens!$C$3427</f>
        <v>2.551</v>
      </c>
      <c r="D3428" s="38" t="n">
        <f aca="false">Q!$E$44-Sens!$D$3425-Sens!$D$3426-Sens!$D$3427</f>
        <v>0.51700000000001</v>
      </c>
      <c r="E3428" s="38" t="n">
        <f aca="false">Q!$P$44-Sens!$E$3425-Sens!$E$3426-Sens!$E$3427</f>
        <v>-58.256</v>
      </c>
      <c r="F3428" s="38" t="n">
        <f aca="false">wc_2h26+oth_r*Sens!$F$3348</f>
        <v>7.34599241893378</v>
      </c>
      <c r="G3428" s="38" t="n">
        <f aca="false">Sens!$E$3428+Sens!$F$3428</f>
        <v>-50.9100075810662</v>
      </c>
      <c r="H3428" s="38" t="n">
        <f aca="false">oth_r*Sens!$H$3348</f>
        <v>11.6369707537667</v>
      </c>
      <c r="I3428" s="38" t="n">
        <f aca="false">oth_r*Sens!$I$3348</f>
        <v>13.3082502961262</v>
      </c>
      <c r="J3428" s="38" t="n">
        <f aca="false">oth_r*Sens!$J$3348</f>
        <v>14.8747965344332</v>
      </c>
      <c r="K3428" s="38" t="n">
        <f aca="false">oth_r*Sens!$K$3348</f>
        <v>16.2687901804328</v>
      </c>
      <c r="L3428" s="38" t="n">
        <f aca="false">oth_r*Sens!$L$3348</f>
        <v>17.7280727627002</v>
      </c>
      <c r="M3428" s="38" t="n">
        <f aca="false">oth_r*Sens!$M$3348</f>
        <v>19.2574690270319</v>
      </c>
      <c r="P3428" s="8" t="s">
        <v>734</v>
      </c>
    </row>
    <row r="3429" customFormat="false" ht="15" hidden="false" customHeight="false" outlineLevel="0" collapsed="false">
      <c r="A3429" s="3" t="s">
        <v>515</v>
      </c>
      <c r="B3429" s="8" t="s">
        <v>73</v>
      </c>
      <c r="C3429" s="38" t="n">
        <f aca="false">Q!$D$44</f>
        <v>115.877</v>
      </c>
      <c r="D3429" s="38" t="n">
        <f aca="false">Q!$E$44</f>
        <v>139.514</v>
      </c>
      <c r="E3429" s="38" t="n">
        <f aca="false">Q!$P$44</f>
        <v>71.419</v>
      </c>
      <c r="F3429" s="38" t="n">
        <f aca="false">Sens!$F$3425+Sens!$F$3426+Sens!$F$3427+Sens!$F$3428</f>
        <v>98.2845291596455</v>
      </c>
      <c r="G3429" s="38" t="n">
        <f aca="false">Sens!$E$3429+Sens!$F$3429</f>
        <v>169.703529159645</v>
      </c>
      <c r="H3429" s="38" t="n">
        <f aca="false">Sens!$H$3425+Sens!$H$3426+Sens!$H$3427+Sens!$H$3428</f>
        <v>233.71524558243</v>
      </c>
      <c r="I3429" s="38" t="n">
        <f aca="false">Sens!$I$3425+Sens!$I$3426+Sens!$I$3427+Sens!$I$3428</f>
        <v>293.352941232353</v>
      </c>
      <c r="J3429" s="38" t="n">
        <f aca="false">Sens!$J$3425+Sens!$J$3426+Sens!$J$3427+Sens!$J$3428</f>
        <v>352.05019482531</v>
      </c>
      <c r="K3429" s="38" t="n">
        <f aca="false">Sens!$K$3425+Sens!$K$3426+Sens!$K$3427+Sens!$K$3428</f>
        <v>407.49903492124</v>
      </c>
      <c r="L3429" s="38" t="n">
        <f aca="false">Sens!$L$3425+Sens!$L$3426+Sens!$L$3427+Sens!$L$3428</f>
        <v>464.530586955408</v>
      </c>
      <c r="M3429" s="38" t="n">
        <f aca="false">Sens!$M$3425+Sens!$M$3426+Sens!$M$3427+Sens!$M$3428</f>
        <v>524.004098150214</v>
      </c>
    </row>
    <row r="3430" customFormat="false" ht="17.15" hidden="false" customHeight="false" outlineLevel="0" collapsed="false">
      <c r="A3430" s="5" t="s">
        <v>735</v>
      </c>
      <c r="B3430" s="0" t="s">
        <v>73</v>
      </c>
      <c r="C3430" s="38" t="n">
        <f aca="false">Sens!$C$3317</f>
        <v>25.2781053077374</v>
      </c>
      <c r="D3430" s="38" t="n">
        <f aca="false">Sens!$D$3317</f>
        <v>69.5686316310026</v>
      </c>
      <c r="E3430" s="38" t="n">
        <f aca="false">Sens!$E$3317</f>
        <v>64.1899206485108</v>
      </c>
      <c r="F3430" s="38" t="n">
        <f aca="false">Sens!$F$3317</f>
        <v>96.2481299895</v>
      </c>
      <c r="G3430" s="38" t="n">
        <f aca="false">Sens!$G$3317</f>
        <v>160.438050638011</v>
      </c>
      <c r="H3430" s="38" t="n">
        <f aca="false">Sens!$H$3317</f>
        <v>198.57136494475</v>
      </c>
      <c r="I3430" s="38" t="n">
        <f aca="false">Sens!$I$3317</f>
        <v>204.6464699105</v>
      </c>
      <c r="J3430" s="38" t="n">
        <f aca="false">Sens!$J$3317</f>
        <v>209.8832381105</v>
      </c>
      <c r="K3430" s="38" t="n">
        <f aca="false">Sens!$K$3317</f>
        <v>215.1200063105</v>
      </c>
      <c r="L3430" s="38" t="n">
        <f aca="false">Sens!$L$3317</f>
        <v>251.7773837105</v>
      </c>
      <c r="M3430" s="38" t="n">
        <f aca="false">Sens!$M$3317</f>
        <v>311.87584476575</v>
      </c>
    </row>
    <row r="3431" customFormat="false" ht="17.15" hidden="false" customHeight="false" outlineLevel="0" collapsed="false">
      <c r="A3431" s="5" t="s">
        <v>736</v>
      </c>
      <c r="B3431" s="0" t="s">
        <v>73</v>
      </c>
      <c r="C3431" s="38" t="n">
        <f aca="false">cx_awso*Sens!$C$3346</f>
        <v>21.0469989286053</v>
      </c>
      <c r="D3431" s="38" t="n">
        <f aca="false">cx_awso*Sens!$D$3346</f>
        <v>24.0042459822698</v>
      </c>
      <c r="E3431" s="38" t="n">
        <f aca="false">cx_awso*Sens!$E$3346</f>
        <v>14.261729404886</v>
      </c>
      <c r="F3431" s="38" t="n">
        <f aca="false">cx_awso*Sens!$F$3346</f>
        <v>15.7190020837331</v>
      </c>
      <c r="G3431" s="38" t="n">
        <f aca="false">Sens!$E$3431+Sens!$F$3431</f>
        <v>29.9807314886191</v>
      </c>
      <c r="H3431" s="38" t="n">
        <f aca="false">cx_awso*Sens!$H$3346</f>
        <v>36.1787121536283</v>
      </c>
      <c r="I3431" s="38" t="n">
        <f aca="false">cx_awso*Sens!$I$3346</f>
        <v>42.1296794430021</v>
      </c>
      <c r="J3431" s="38" t="n">
        <f aca="false">cx_awso*Sens!$J$3346</f>
        <v>47.279781889299</v>
      </c>
      <c r="K3431" s="38" t="n">
        <f aca="false">cx_awso*Sens!$K$3346</f>
        <v>51.0621644404429</v>
      </c>
      <c r="L3431" s="38" t="n">
        <f aca="false">cx_awso*Sens!$L$3346</f>
        <v>55.1471375956783</v>
      </c>
      <c r="M3431" s="38" t="n">
        <f aca="false">cx_awso*Sens!$M$3346</f>
        <v>59.5589086033326</v>
      </c>
    </row>
    <row r="3432" customFormat="false" ht="17.15" hidden="false" customHeight="false" outlineLevel="0" collapsed="false">
      <c r="A3432" s="5" t="s">
        <v>737</v>
      </c>
      <c r="B3432" s="0" t="s">
        <v>73</v>
      </c>
      <c r="C3432" s="38" t="n">
        <f aca="false">Q!$D$46-Sens!$C$3430-Sens!$C$3431</f>
        <v>31.3328957636573</v>
      </c>
      <c r="D3432" s="38" t="n">
        <f aca="false">Q!$E$46-Sens!$D$3430-Sens!$D$3431</f>
        <v>34.7471223867276</v>
      </c>
      <c r="E3432" s="38" t="n">
        <f aca="false">Q!$P$46-Sens!$E$3430-Sens!$E$3431</f>
        <v>17.8583499466032</v>
      </c>
      <c r="F3432" s="38" t="n">
        <f aca="false">cx_rt*Sens!$F$3281</f>
        <v>21.0855744229195</v>
      </c>
      <c r="G3432" s="38" t="n">
        <f aca="false">Sens!$E$3432+Sens!$F$3432</f>
        <v>38.9439243695228</v>
      </c>
      <c r="H3432" s="38" t="n">
        <f aca="false">cx_rt*Sens!$H$3281</f>
        <v>43.1200434029767</v>
      </c>
      <c r="I3432" s="38" t="n">
        <f aca="false">cx_rt*Sens!$I$3281</f>
        <v>47.1583152318763</v>
      </c>
      <c r="J3432" s="38" t="n">
        <f aca="false">cx_rt*Sens!$J$3281</f>
        <v>50.9060281137911</v>
      </c>
      <c r="K3432" s="38" t="n">
        <f aca="false">cx_rt*Sens!$K$3281</f>
        <v>54.2035645673053</v>
      </c>
      <c r="L3432" s="38" t="n">
        <f aca="false">cx_rt*Sens!$L$3281</f>
        <v>57.7318979121519</v>
      </c>
      <c r="M3432" s="38" t="n">
        <f aca="false">cx_rt*Sens!$M$3281</f>
        <v>61.5084196557756</v>
      </c>
    </row>
    <row r="3433" customFormat="false" ht="15" hidden="false" customHeight="false" outlineLevel="0" collapsed="false">
      <c r="A3433" s="3" t="s">
        <v>738</v>
      </c>
      <c r="B3433" s="8" t="s">
        <v>73</v>
      </c>
      <c r="C3433" s="38" t="n">
        <f aca="false">Q!$D$46</f>
        <v>77.658</v>
      </c>
      <c r="D3433" s="38" t="n">
        <f aca="false">Q!$E$46</f>
        <v>128.32</v>
      </c>
      <c r="E3433" s="38" t="n">
        <f aca="false">Q!$P$46</f>
        <v>96.31</v>
      </c>
      <c r="F3433" s="38" t="n">
        <f aca="false">Sens!$F$3430+Sens!$F$3431+Sens!$F$3432</f>
        <v>133.052706496153</v>
      </c>
      <c r="G3433" s="38" t="n">
        <f aca="false">Sens!$E$3433+Sens!$F$3433</f>
        <v>229.362706496153</v>
      </c>
      <c r="H3433" s="38" t="n">
        <f aca="false">Sens!$H$3430+Sens!$H$3431+Sens!$H$3432</f>
        <v>277.870120501355</v>
      </c>
      <c r="I3433" s="38" t="n">
        <f aca="false">Sens!$I$3430+Sens!$I$3431+Sens!$I$3432</f>
        <v>293.934464585378</v>
      </c>
      <c r="J3433" s="38" t="n">
        <f aca="false">Sens!$J$3430+Sens!$J$3431+Sens!$J$3432</f>
        <v>308.06904811359</v>
      </c>
      <c r="K3433" s="38" t="n">
        <f aca="false">Sens!$K$3430+Sens!$K$3431+Sens!$K$3432</f>
        <v>320.385735318248</v>
      </c>
      <c r="L3433" s="38" t="n">
        <f aca="false">Sens!$L$3430+Sens!$L$3431+Sens!$L$3432</f>
        <v>364.65641921833</v>
      </c>
      <c r="M3433" s="38" t="n">
        <f aca="false">Sens!$M$3430+Sens!$M$3431+Sens!$M$3432</f>
        <v>432.943173024858</v>
      </c>
    </row>
    <row r="3434" customFormat="false" ht="17.15" hidden="false" customHeight="false" outlineLevel="0" collapsed="false">
      <c r="A3434" s="5" t="s">
        <v>523</v>
      </c>
      <c r="B3434" s="0" t="s">
        <v>73</v>
      </c>
      <c r="C3434" s="38" t="n">
        <f aca="false">Q!$D$50</f>
        <v>2.043</v>
      </c>
      <c r="D3434" s="38" t="n">
        <f aca="false">Q!$E$50</f>
        <v>1.557</v>
      </c>
      <c r="E3434" s="38" t="n">
        <f aca="false">lease_pr/2</f>
        <v>0.8</v>
      </c>
      <c r="F3434" s="38" t="n">
        <f aca="false">lease_pr/2</f>
        <v>0.8</v>
      </c>
      <c r="G3434" s="38" t="n">
        <f aca="false">Sens!$E$3434+Sens!$F$3434</f>
        <v>1.6</v>
      </c>
      <c r="H3434" s="38" t="n">
        <f aca="false">lease_pr</f>
        <v>1.6</v>
      </c>
      <c r="I3434" s="38" t="n">
        <f aca="false">lease_pr</f>
        <v>1.6</v>
      </c>
      <c r="J3434" s="38" t="n">
        <f aca="false">lease_pr</f>
        <v>1.6</v>
      </c>
      <c r="K3434" s="38" t="n">
        <f aca="false">lease_pr</f>
        <v>1.6</v>
      </c>
      <c r="L3434" s="38" t="n">
        <f aca="false">lease_pr</f>
        <v>1.6</v>
      </c>
      <c r="M3434" s="38" t="n">
        <f aca="false">lease_pr</f>
        <v>1.6</v>
      </c>
      <c r="P3434" s="8" t="s">
        <v>739</v>
      </c>
    </row>
    <row r="3435" customFormat="false" ht="15" hidden="false" customHeight="false" outlineLevel="0" collapsed="false">
      <c r="A3435" s="46" t="s">
        <v>740</v>
      </c>
      <c r="B3435" s="13" t="s">
        <v>73</v>
      </c>
      <c r="C3435" s="47" t="n">
        <f aca="false">Sens!$C$3429-Sens!$C$3433-Sens!$C$3434</f>
        <v>36.176</v>
      </c>
      <c r="D3435" s="47" t="n">
        <f aca="false">Sens!$D$3429-Sens!$D$3433-Sens!$D$3434</f>
        <v>9.63700000000002</v>
      </c>
      <c r="E3435" s="47" t="n">
        <f aca="false">Sens!$E$3429-Sens!$E$3433-Sens!$E$3434</f>
        <v>-25.691</v>
      </c>
      <c r="F3435" s="47" t="n">
        <f aca="false">Sens!$F$3429-Sens!$F$3433-Sens!$F$3434</f>
        <v>-35.5681773365071</v>
      </c>
      <c r="G3435" s="47" t="n">
        <f aca="false">Sens!$G$3429-Sens!$G$3433-Sens!$G$3434</f>
        <v>-61.2591773365071</v>
      </c>
      <c r="H3435" s="47" t="n">
        <f aca="false">Sens!$H$3429-Sens!$H$3433-Sens!$H$3434</f>
        <v>-45.7548749189247</v>
      </c>
      <c r="I3435" s="47" t="n">
        <f aca="false">Sens!$I$3429-Sens!$I$3433-Sens!$I$3434</f>
        <v>-2.1815233530252</v>
      </c>
      <c r="J3435" s="47" t="n">
        <f aca="false">Sens!$J$3429-Sens!$J$3433-Sens!$J$3434</f>
        <v>42.3811467117197</v>
      </c>
      <c r="K3435" s="47" t="n">
        <f aca="false">Sens!$K$3429-Sens!$K$3433-Sens!$K$3434</f>
        <v>85.5132996029917</v>
      </c>
      <c r="L3435" s="47" t="n">
        <f aca="false">Sens!$L$3429-Sens!$L$3433-Sens!$L$3434</f>
        <v>98.2741677370781</v>
      </c>
      <c r="M3435" s="47" t="n">
        <f aca="false">Sens!$M$3429-Sens!$M$3433-Sens!$M$3434</f>
        <v>89.4609251253557</v>
      </c>
      <c r="N3435" s="13"/>
      <c r="O3435" s="13"/>
    </row>
    <row r="3436" customFormat="false" ht="17.15" hidden="false" customHeight="false" outlineLevel="0" collapsed="false">
      <c r="A3436" s="5" t="s">
        <v>741</v>
      </c>
      <c r="B3436" s="0" t="s">
        <v>73</v>
      </c>
      <c r="C3436" s="38" t="n">
        <f aca="false">dps*Sens!$C$3417</f>
        <v>0</v>
      </c>
      <c r="D3436" s="38" t="n">
        <f aca="false">dps*Sens!$D$3417</f>
        <v>0</v>
      </c>
      <c r="E3436" s="38" t="n">
        <f aca="false">dps*Sens!$E$3417</f>
        <v>0</v>
      </c>
      <c r="F3436" s="38" t="n">
        <f aca="false">0</f>
        <v>0</v>
      </c>
      <c r="G3436" s="38" t="n">
        <f aca="false">dps*Sens!$G$3417</f>
        <v>0</v>
      </c>
      <c r="H3436" s="38" t="n">
        <f aca="false">dps*Sens!$H$3417</f>
        <v>0</v>
      </c>
      <c r="I3436" s="38" t="n">
        <f aca="false">dps*Sens!$I$3417</f>
        <v>0</v>
      </c>
      <c r="J3436" s="38" t="n">
        <f aca="false">dps*Sens!$J$3417</f>
        <v>0</v>
      </c>
      <c r="K3436" s="38" t="n">
        <f aca="false">dps*Sens!$K$3417</f>
        <v>0</v>
      </c>
      <c r="L3436" s="38" t="n">
        <f aca="false">dps*Sens!$L$3417</f>
        <v>0</v>
      </c>
      <c r="M3436" s="38" t="n">
        <f aca="false">dps*Sens!$M$3417</f>
        <v>0</v>
      </c>
      <c r="P3436" s="8" t="s">
        <v>742</v>
      </c>
    </row>
    <row r="3437" customFormat="false" ht="17.15" hidden="false" customHeight="false" outlineLevel="0" collapsed="false">
      <c r="A3437" s="5" t="s">
        <v>743</v>
      </c>
      <c r="B3437" s="0" t="s">
        <v>73</v>
      </c>
      <c r="C3437" s="38" t="n">
        <f aca="false">0</f>
        <v>0</v>
      </c>
      <c r="D3437" s="38" t="n">
        <f aca="false">0</f>
        <v>0</v>
      </c>
      <c r="E3437" s="38" t="n">
        <f aca="false">0</f>
        <v>0</v>
      </c>
      <c r="F3437" s="38" t="n">
        <f aca="false">0</f>
        <v>0</v>
      </c>
      <c r="G3437" s="38" t="n">
        <f aca="false">0</f>
        <v>0</v>
      </c>
      <c r="H3437" s="38" t="n">
        <f aca="false">0</f>
        <v>0</v>
      </c>
      <c r="I3437" s="38" t="n">
        <f aca="false">0</f>
        <v>0</v>
      </c>
      <c r="J3437" s="38" t="n">
        <f aca="false">0</f>
        <v>0</v>
      </c>
      <c r="K3437" s="38" t="n">
        <f aca="false">0</f>
        <v>0</v>
      </c>
      <c r="L3437" s="38" t="n">
        <f aca="false">0</f>
        <v>0</v>
      </c>
      <c r="M3437" s="38" t="n">
        <f aca="false">0</f>
        <v>0</v>
      </c>
      <c r="P3437" s="8" t="s">
        <v>744</v>
      </c>
    </row>
    <row r="3438" customFormat="false" ht="15" hidden="false" customHeight="false" outlineLevel="0" collapsed="false">
      <c r="A3438" s="3" t="s">
        <v>745</v>
      </c>
      <c r="B3438" s="8" t="s">
        <v>73</v>
      </c>
      <c r="C3438" s="38" t="n">
        <f aca="false">Sens!$C$3435-Sens!$C$3436</f>
        <v>36.176</v>
      </c>
      <c r="D3438" s="38" t="n">
        <f aca="false">Sens!$D$3435-Sens!$D$3436</f>
        <v>9.63700000000002</v>
      </c>
      <c r="E3438" s="38" t="n">
        <f aca="false">Sens!$E$3435-Sens!$E$3436</f>
        <v>-25.691</v>
      </c>
      <c r="F3438" s="38" t="n">
        <f aca="false">Sens!$F$3435-Sens!$F$3436</f>
        <v>-35.5681773365071</v>
      </c>
      <c r="G3438" s="38" t="n">
        <f aca="false">Sens!$G$3435-Sens!$G$3436</f>
        <v>-61.2591773365071</v>
      </c>
      <c r="H3438" s="38" t="n">
        <f aca="false">Sens!$H$3435-Sens!$H$3436</f>
        <v>-45.7548749189247</v>
      </c>
      <c r="I3438" s="38" t="n">
        <f aca="false">Sens!$I$3435-Sens!$I$3436</f>
        <v>-2.1815233530252</v>
      </c>
      <c r="J3438" s="38" t="n">
        <f aca="false">Sens!$J$3435-Sens!$J$3436</f>
        <v>42.3811467117197</v>
      </c>
      <c r="K3438" s="38" t="n">
        <f aca="false">Sens!$K$3435-Sens!$K$3436</f>
        <v>85.5132996029917</v>
      </c>
      <c r="L3438" s="38" t="n">
        <f aca="false">Sens!$L$3435-Sens!$L$3436</f>
        <v>98.2741677370781</v>
      </c>
      <c r="M3438" s="38" t="n">
        <f aca="false">Sens!$M$3435-Sens!$M$3436</f>
        <v>89.4609251253557</v>
      </c>
    </row>
    <row r="3439" customFormat="false" ht="17.15" hidden="false" customHeight="false" outlineLevel="0" collapsed="false">
      <c r="A3439" s="5" t="s">
        <v>746</v>
      </c>
      <c r="B3439" s="0" t="s">
        <v>73</v>
      </c>
      <c r="E3439" s="38" t="n">
        <f aca="false">Q!$P$53</f>
        <v>39.767</v>
      </c>
      <c r="F3439" s="38" t="n">
        <f aca="false">inv_2h26</f>
        <v>21.3</v>
      </c>
      <c r="G3439" s="38" t="n">
        <f aca="false">Sens!$E$3439+Sens!$F$3439</f>
        <v>61.067</v>
      </c>
      <c r="H3439" s="41" t="n">
        <v>0</v>
      </c>
      <c r="I3439" s="41" t="n">
        <v>0</v>
      </c>
      <c r="J3439" s="41" t="n">
        <v>0</v>
      </c>
      <c r="K3439" s="41" t="n">
        <v>0</v>
      </c>
      <c r="L3439" s="41" t="n">
        <v>0</v>
      </c>
      <c r="M3439" s="41" t="n">
        <v>0</v>
      </c>
    </row>
    <row r="3440" customFormat="false" ht="17.15" hidden="false" customHeight="false" outlineLevel="0" collapsed="false">
      <c r="A3440" s="5" t="s">
        <v>747</v>
      </c>
      <c r="B3440" s="0" t="s">
        <v>73</v>
      </c>
      <c r="F3440" s="38" t="n">
        <f aca="false">iss_2h26</f>
        <v>29.25</v>
      </c>
      <c r="G3440" s="38" t="n">
        <f aca="false">Sens!$F$3440</f>
        <v>29.25</v>
      </c>
      <c r="H3440" s="41" t="n">
        <v>0</v>
      </c>
      <c r="I3440" s="41" t="n">
        <v>0</v>
      </c>
      <c r="J3440" s="41" t="n">
        <v>0</v>
      </c>
      <c r="K3440" s="41" t="n">
        <v>0</v>
      </c>
      <c r="L3440" s="41" t="n">
        <v>0</v>
      </c>
      <c r="M3440" s="41" t="n">
        <v>0</v>
      </c>
    </row>
    <row r="3441" customFormat="false" ht="17.15" hidden="false" customHeight="false" outlineLevel="0" collapsed="false">
      <c r="A3441" s="5" t="s">
        <v>748</v>
      </c>
      <c r="B3441" s="0" t="s">
        <v>73</v>
      </c>
      <c r="F3441" s="38" t="n">
        <f aca="false">cash_q2</f>
        <v>122.988</v>
      </c>
      <c r="G3441" s="38" t="n">
        <f aca="false">cash_q2</f>
        <v>122.988</v>
      </c>
      <c r="H3441" s="38" t="n">
        <f aca="false">Sens!$G$3444</f>
        <v>95.3698226634929</v>
      </c>
      <c r="I3441" s="38" t="n">
        <f aca="false">Sens!$H$3444</f>
        <v>50</v>
      </c>
      <c r="J3441" s="38" t="n">
        <f aca="false">Sens!$I$3444</f>
        <v>50</v>
      </c>
      <c r="K3441" s="38" t="n">
        <f aca="false">Sens!$J$3444</f>
        <v>92.3811467117197</v>
      </c>
      <c r="L3441" s="38" t="n">
        <f aca="false">Sens!$K$3444</f>
        <v>177.894446314711</v>
      </c>
      <c r="M3441" s="38" t="n">
        <f aca="false">Sens!$L$3444</f>
        <v>276.168614051789</v>
      </c>
    </row>
    <row r="3442" customFormat="false" ht="15" hidden="false" customHeight="false" outlineLevel="0" collapsed="false">
      <c r="A3442" s="5" t="s">
        <v>749</v>
      </c>
      <c r="B3442" s="0" t="s">
        <v>73</v>
      </c>
      <c r="F3442" s="38" t="n">
        <f aca="false">Sens!$F$3441+Sens!$F$3438-Sens!$F$3437-Sens!$F$3439+Sens!$F$3440</f>
        <v>95.3698226634929</v>
      </c>
      <c r="H3442" s="38" t="n">
        <f aca="false">Sens!$H$3441+Sens!$H$3438-Sens!$H$3437-Sens!$H$3439+Sens!$H$3440</f>
        <v>49.6149477445683</v>
      </c>
      <c r="I3442" s="38" t="n">
        <f aca="false">Sens!$I$3441+Sens!$I$3438-Sens!$I$3437-Sens!$I$3439+Sens!$I$3440</f>
        <v>47.8184766469748</v>
      </c>
      <c r="J3442" s="38" t="n">
        <f aca="false">Sens!$J$3441+Sens!$J$3438-Sens!$J$3437-Sens!$J$3439+Sens!$J$3440</f>
        <v>92.3811467117197</v>
      </c>
      <c r="K3442" s="38" t="n">
        <f aca="false">Sens!$K$3441+Sens!$K$3438-Sens!$K$3437-Sens!$K$3439+Sens!$K$3440</f>
        <v>177.894446314711</v>
      </c>
      <c r="L3442" s="38" t="n">
        <f aca="false">Sens!$L$3441+Sens!$L$3438-Sens!$L$3437-Sens!$L$3439+Sens!$L$3440</f>
        <v>276.168614051789</v>
      </c>
      <c r="M3442" s="38" t="n">
        <f aca="false">Sens!$M$3441+Sens!$M$3438-Sens!$M$3437-Sens!$M$3439+Sens!$M$3440</f>
        <v>365.629539177145</v>
      </c>
    </row>
    <row r="3443" customFormat="false" ht="17.15" hidden="false" customHeight="false" outlineLevel="0" collapsed="false">
      <c r="A3443" s="5" t="s">
        <v>750</v>
      </c>
      <c r="B3443" s="0" t="s">
        <v>73</v>
      </c>
      <c r="F3443" s="38" t="n">
        <f aca="false">MAX(0,min_cash-Sens!$F$3442)</f>
        <v>0</v>
      </c>
      <c r="G3443" s="38" t="n">
        <f aca="false">Sens!$F$3443</f>
        <v>0</v>
      </c>
      <c r="H3443" s="38" t="n">
        <f aca="false">MAX(0,min_cash-Sens!$H$3442)</f>
        <v>0.385052255431752</v>
      </c>
      <c r="I3443" s="38" t="n">
        <f aca="false">MAX(0,min_cash-Sens!$I$3442)</f>
        <v>2.18152335302521</v>
      </c>
      <c r="J3443" s="38" t="n">
        <f aca="false">MAX(0,min_cash-Sens!$J$3442)</f>
        <v>0</v>
      </c>
      <c r="K3443" s="38" t="n">
        <f aca="false">MAX(0,min_cash-Sens!$K$3442)</f>
        <v>0</v>
      </c>
      <c r="L3443" s="38" t="n">
        <f aca="false">MAX(0,min_cash-Sens!$L$3442)</f>
        <v>0</v>
      </c>
      <c r="M3443" s="38" t="n">
        <f aca="false">MAX(0,min_cash-Sens!$M$3442)</f>
        <v>0</v>
      </c>
      <c r="P3443" s="5" t="s">
        <v>751</v>
      </c>
    </row>
    <row r="3444" customFormat="false" ht="15" hidden="false" customHeight="false" outlineLevel="0" collapsed="false">
      <c r="A3444" s="5" t="s">
        <v>752</v>
      </c>
      <c r="B3444" s="0" t="s">
        <v>73</v>
      </c>
      <c r="D3444" s="38" t="n">
        <f aca="false">Q!$E$61</f>
        <v>123.029</v>
      </c>
      <c r="E3444" s="38" t="n">
        <f aca="false">Q!$M$61</f>
        <v>122.988</v>
      </c>
      <c r="F3444" s="38" t="n">
        <f aca="false">Sens!$F$3442+Sens!$F$3443</f>
        <v>95.3698226634929</v>
      </c>
      <c r="G3444" s="38" t="n">
        <f aca="false">Sens!$F$3444</f>
        <v>95.3698226634929</v>
      </c>
      <c r="H3444" s="38" t="n">
        <f aca="false">Sens!$H$3442+Sens!$H$3443</f>
        <v>50</v>
      </c>
      <c r="I3444" s="38" t="n">
        <f aca="false">Sens!$I$3442+Sens!$I$3443</f>
        <v>50</v>
      </c>
      <c r="J3444" s="38" t="n">
        <f aca="false">Sens!$J$3442+Sens!$J$3443</f>
        <v>92.3811467117197</v>
      </c>
      <c r="K3444" s="38" t="n">
        <f aca="false">Sens!$K$3442+Sens!$K$3443</f>
        <v>177.894446314711</v>
      </c>
      <c r="L3444" s="38" t="n">
        <f aca="false">Sens!$L$3442+Sens!$L$3443</f>
        <v>276.168614051789</v>
      </c>
      <c r="M3444" s="38" t="n">
        <f aca="false">Sens!$M$3442+Sens!$M$3443</f>
        <v>365.629539177145</v>
      </c>
    </row>
    <row r="3445" customFormat="false" ht="15" hidden="false" customHeight="false" outlineLevel="0" collapsed="false">
      <c r="A3445" s="5" t="s">
        <v>753</v>
      </c>
      <c r="B3445" s="0" t="s">
        <v>73</v>
      </c>
      <c r="D3445" s="38" t="n">
        <f aca="false">Q!$E$62</f>
        <v>68.836</v>
      </c>
      <c r="E3445" s="38" t="n">
        <f aca="false">Q!$M$62</f>
        <v>132.995</v>
      </c>
      <c r="F3445" s="38" t="n">
        <f aca="false">debt_q2+Sens!$F$3440+Sens!$F$3443</f>
        <v>162.245</v>
      </c>
      <c r="G3445" s="38" t="n">
        <f aca="false">Sens!$F$3445</f>
        <v>162.245</v>
      </c>
      <c r="H3445" s="38" t="n">
        <f aca="false">Sens!$G$3445+Sens!$H$3443</f>
        <v>162.630052255432</v>
      </c>
      <c r="I3445" s="38" t="n">
        <f aca="false">Sens!$H$3445+Sens!$I$3443</f>
        <v>164.811575608457</v>
      </c>
      <c r="J3445" s="38" t="n">
        <f aca="false">Sens!$I$3445+Sens!$J$3443</f>
        <v>164.811575608457</v>
      </c>
      <c r="K3445" s="38" t="n">
        <f aca="false">Sens!$J$3445+Sens!$K$3443</f>
        <v>164.811575608457</v>
      </c>
      <c r="L3445" s="38" t="n">
        <f aca="false">Sens!$K$3445+Sens!$L$3443</f>
        <v>164.811575608457</v>
      </c>
      <c r="M3445" s="38" t="n">
        <f aca="false">Sens!$L$3445+Sens!$M$3443</f>
        <v>164.811575608457</v>
      </c>
    </row>
    <row r="3446" customFormat="false" ht="15" hidden="false" customHeight="false" outlineLevel="0" collapsed="false">
      <c r="A3446" s="5" t="s">
        <v>754</v>
      </c>
      <c r="B3446" s="0" t="s">
        <v>73</v>
      </c>
      <c r="D3446" s="38" t="n">
        <f aca="false">Sens!$D$3445-Sens!$D$3444</f>
        <v>-54.193</v>
      </c>
      <c r="E3446" s="38" t="n">
        <f aca="false">Sens!$E$3445-Sens!$E$3444</f>
        <v>10.007</v>
      </c>
      <c r="F3446" s="38" t="n">
        <f aca="false">Sens!$F$3445-Sens!$F$3444</f>
        <v>66.8751773365071</v>
      </c>
      <c r="G3446" s="38" t="n">
        <f aca="false">Sens!$G$3445-Sens!$G$3444</f>
        <v>66.8751773365071</v>
      </c>
      <c r="H3446" s="38" t="n">
        <f aca="false">Sens!$H$3445-Sens!$H$3444</f>
        <v>112.630052255432</v>
      </c>
      <c r="I3446" s="38" t="n">
        <f aca="false">Sens!$I$3445-Sens!$I$3444</f>
        <v>114.811575608457</v>
      </c>
      <c r="J3446" s="38" t="n">
        <f aca="false">Sens!$J$3445-Sens!$J$3444</f>
        <v>72.4304288967373</v>
      </c>
      <c r="K3446" s="38" t="n">
        <f aca="false">Sens!$K$3445-Sens!$K$3444</f>
        <v>-13.0828707062544</v>
      </c>
      <c r="L3446" s="38" t="n">
        <f aca="false">Sens!$L$3445-Sens!$L$3444</f>
        <v>-111.357038443332</v>
      </c>
      <c r="M3446" s="38" t="n">
        <f aca="false">Sens!$M$3445-Sens!$M$3444</f>
        <v>-200.817963568688</v>
      </c>
    </row>
    <row r="3447" customFormat="false" ht="17.15" hidden="false" customHeight="false" outlineLevel="0" collapsed="false">
      <c r="A3447" s="5" t="s">
        <v>755</v>
      </c>
      <c r="B3447" s="0" t="s">
        <v>73</v>
      </c>
      <c r="F3447" s="38" t="n">
        <f aca="false">debt_q2*kd_book*0.5+iss_2h26*kd_new*0.25</f>
        <v>3.24888964316061</v>
      </c>
      <c r="H3447" s="38" t="n">
        <f aca="false">debt_q2*kd_book+(Sens!$G$3445-debt_q2)*kd_new</f>
        <v>7.42354178632123</v>
      </c>
      <c r="I3447" s="38" t="n">
        <f aca="false">debt_q2*kd_book+(Sens!$H$3445-debt_q2)*kd_new</f>
        <v>7.44791559409006</v>
      </c>
      <c r="J3447" s="38" t="n">
        <f aca="false">debt_q2*kd_book+(Sens!$I$3445-debt_q2)*kd_new</f>
        <v>7.58600602233655</v>
      </c>
      <c r="K3447" s="38" t="n">
        <f aca="false">debt_q2*kd_book+(Sens!$J$3445-debt_q2)*kd_new</f>
        <v>7.58600602233655</v>
      </c>
      <c r="L3447" s="38" t="n">
        <f aca="false">debt_q2*kd_book+(Sens!$K$3445-debt_q2)*kd_new</f>
        <v>7.58600602233655</v>
      </c>
      <c r="M3447" s="38" t="n">
        <f aca="false">debt_q2*kd_book+(Sens!$L$3445-debt_q2)*kd_new</f>
        <v>7.58600602233655</v>
      </c>
    </row>
    <row r="3448" customFormat="false" ht="17.15" hidden="false" customHeight="false" outlineLevel="0" collapsed="false">
      <c r="A3448" s="5" t="s">
        <v>756</v>
      </c>
      <c r="B3448" s="0" t="s">
        <v>73</v>
      </c>
      <c r="F3448" s="38" t="n">
        <f aca="false">cash_q2*y_cash*0.5</f>
        <v>2.59</v>
      </c>
      <c r="H3448" s="38" t="n">
        <f aca="false">Sens!$G$3444*y_cash</f>
        <v>4.01677953456348</v>
      </c>
      <c r="I3448" s="38" t="n">
        <f aca="false">Sens!$H$3444*y_cash</f>
        <v>2.10589651022864</v>
      </c>
      <c r="J3448" s="38" t="n">
        <f aca="false">Sens!$I$3444*y_cash</f>
        <v>2.10589651022864</v>
      </c>
      <c r="K3448" s="38" t="n">
        <f aca="false">Sens!$J$3444*y_cash</f>
        <v>3.89090268942261</v>
      </c>
      <c r="L3448" s="38" t="n">
        <f aca="false">Sens!$K$3444*y_cash</f>
        <v>7.49254587366414</v>
      </c>
      <c r="M3448" s="38" t="n">
        <f aca="false">Sens!$L$3444*y_cash</f>
        <v>11.6316504113269</v>
      </c>
    </row>
    <row r="3449" customFormat="false" ht="17.15" hidden="false" customHeight="false" outlineLevel="0" collapsed="false">
      <c r="A3449" s="46" t="s">
        <v>757</v>
      </c>
      <c r="B3449" s="13" t="s">
        <v>73</v>
      </c>
      <c r="C3449" s="13"/>
      <c r="D3449" s="13"/>
      <c r="E3449" s="13"/>
      <c r="F3449" s="13"/>
      <c r="G3449" s="47" t="n">
        <f aca="false">SUM(Sens!$G$3438:$K$3438)</f>
        <v>18.6988707062544</v>
      </c>
      <c r="H3449" s="13"/>
      <c r="I3449" s="13"/>
      <c r="J3449" s="13"/>
      <c r="K3449" s="13"/>
      <c r="L3449" s="13"/>
      <c r="M3449" s="13"/>
      <c r="N3449" s="13"/>
      <c r="O3449" s="13"/>
    </row>
    <row r="3450" customFormat="false" ht="17.15" hidden="false" customHeight="false" outlineLevel="0" collapsed="false">
      <c r="A3450" s="0" t="s">
        <v>724</v>
      </c>
      <c r="B3450" s="0" t="s">
        <v>73</v>
      </c>
      <c r="G3450" s="38" t="n">
        <f aca="false">SUM(Sens!$G$3443:$K$3443)</f>
        <v>2.56657560845696</v>
      </c>
    </row>
    <row r="3453" customFormat="false" ht="19.4" hidden="false" customHeight="false" outlineLevel="0" collapsed="false">
      <c r="A3453" s="31" t="s">
        <v>1119</v>
      </c>
    </row>
    <row r="3454" customFormat="false" ht="17.15" hidden="false" customHeight="false" outlineLevel="0" collapsed="false">
      <c r="A3454" s="6" t="s">
        <v>16</v>
      </c>
      <c r="B3454" s="6" t="s">
        <v>17</v>
      </c>
      <c r="C3454" s="20" t="s">
        <v>457</v>
      </c>
      <c r="D3454" s="20" t="s">
        <v>458</v>
      </c>
      <c r="E3454" s="20" t="s">
        <v>540</v>
      </c>
      <c r="F3454" s="20" t="s">
        <v>541</v>
      </c>
      <c r="G3454" s="20" t="s">
        <v>542</v>
      </c>
      <c r="H3454" s="20" t="s">
        <v>543</v>
      </c>
      <c r="I3454" s="20" t="s">
        <v>544</v>
      </c>
      <c r="J3454" s="20" t="s">
        <v>545</v>
      </c>
      <c r="K3454" s="20" t="s">
        <v>546</v>
      </c>
      <c r="L3454" s="20" t="s">
        <v>547</v>
      </c>
      <c r="M3454" s="20" t="s">
        <v>548</v>
      </c>
      <c r="N3454" s="20" t="s">
        <v>549</v>
      </c>
      <c r="O3454" s="20" t="s">
        <v>550</v>
      </c>
      <c r="P3454" s="6" t="s">
        <v>23</v>
      </c>
      <c r="R3454" s="20" t="n">
        <v>2023</v>
      </c>
      <c r="S3454" s="20" t="n">
        <v>2024</v>
      </c>
      <c r="T3454" s="20" t="n">
        <v>2025</v>
      </c>
      <c r="U3454" s="20" t="n">
        <v>2026</v>
      </c>
      <c r="V3454" s="20" t="n">
        <v>2027</v>
      </c>
      <c r="W3454" s="20" t="n">
        <v>2028</v>
      </c>
      <c r="X3454" s="20" t="n">
        <v>2029</v>
      </c>
      <c r="Y3454" s="20" t="n">
        <v>2030</v>
      </c>
      <c r="Z3454" s="20" t="n">
        <v>2031</v>
      </c>
      <c r="AA3454" s="20" t="n">
        <v>2032</v>
      </c>
    </row>
    <row r="3455" customFormat="false" ht="17.15" hidden="false" customHeight="false" outlineLevel="0" collapsed="false">
      <c r="A3455" s="1" t="s">
        <v>852</v>
      </c>
    </row>
    <row r="3456" customFormat="false" ht="17.15" hidden="false" customHeight="false" outlineLevel="0" collapsed="false">
      <c r="A3456" s="0" t="s">
        <v>853</v>
      </c>
      <c r="B3456" s="0" t="s">
        <v>73</v>
      </c>
      <c r="H3456" s="38" t="n">
        <f aca="false">Sens!$H$3392*(1-tax)</f>
        <v>113.031914615703</v>
      </c>
      <c r="I3456" s="38" t="n">
        <f aca="false">Sens!$I$3392*(1-tax)</f>
        <v>134.515120015338</v>
      </c>
      <c r="J3456" s="38" t="n">
        <f aca="false">Sens!$J$3392*(1-tax)</f>
        <v>153.66606189581</v>
      </c>
      <c r="K3456" s="38" t="n">
        <f aca="false">Sens!$K$3392*(1-tax)</f>
        <v>169.132887416994</v>
      </c>
      <c r="L3456" s="38" t="n">
        <f aca="false">Sens!$L$3392*(1-tax)</f>
        <v>186.138259005111</v>
      </c>
      <c r="M3456" s="38" t="n">
        <f aca="false">Sens!$M$3392*(1-tax)</f>
        <v>203.817163336254</v>
      </c>
    </row>
    <row r="3457" customFormat="false" ht="15" hidden="false" customHeight="false" outlineLevel="0" collapsed="false">
      <c r="A3457" s="5" t="s">
        <v>854</v>
      </c>
      <c r="B3457" s="0" t="s">
        <v>73</v>
      </c>
      <c r="H3457" s="38" t="n">
        <f aca="false">Sens!$H$3404</f>
        <v>87.6845218193838</v>
      </c>
      <c r="I3457" s="38" t="n">
        <f aca="false">Sens!$I$3404</f>
        <v>122.294769708638</v>
      </c>
      <c r="J3457" s="38" t="n">
        <f aca="false">Sens!$J$3404</f>
        <v>157.133962573221</v>
      </c>
      <c r="K3457" s="38" t="n">
        <f aca="false">Sens!$K$3404</f>
        <v>191.350633353599</v>
      </c>
      <c r="L3457" s="38" t="n">
        <f aca="false">Sens!$L$3404</f>
        <v>223.909238335354</v>
      </c>
      <c r="M3457" s="38" t="n">
        <f aca="false">Sens!$M$3404</f>
        <v>257.576319867276</v>
      </c>
    </row>
    <row r="3458" customFormat="false" ht="15" hidden="false" customHeight="false" outlineLevel="0" collapsed="false">
      <c r="A3458" s="5" t="s">
        <v>855</v>
      </c>
      <c r="B3458" s="0" t="s">
        <v>73</v>
      </c>
      <c r="H3458" s="38" t="n">
        <f aca="false">Sens!$H$3433</f>
        <v>277.870120501355</v>
      </c>
      <c r="I3458" s="38" t="n">
        <f aca="false">Sens!$I$3433</f>
        <v>293.934464585378</v>
      </c>
      <c r="J3458" s="38" t="n">
        <f aca="false">Sens!$J$3433</f>
        <v>308.06904811359</v>
      </c>
      <c r="K3458" s="38" t="n">
        <f aca="false">Sens!$K$3433</f>
        <v>320.385735318248</v>
      </c>
      <c r="L3458" s="38" t="n">
        <f aca="false">Sens!$L$3433</f>
        <v>364.65641921833</v>
      </c>
      <c r="M3458" s="38" t="n">
        <f aca="false">Sens!$M$3433</f>
        <v>432.943173024858</v>
      </c>
    </row>
    <row r="3459" customFormat="false" ht="15" hidden="false" customHeight="false" outlineLevel="0" collapsed="false">
      <c r="A3459" s="5" t="s">
        <v>856</v>
      </c>
      <c r="B3459" s="0" t="s">
        <v>73</v>
      </c>
      <c r="H3459" s="38" t="n">
        <f aca="false">Sens!$H$3434</f>
        <v>1.6</v>
      </c>
      <c r="I3459" s="38" t="n">
        <f aca="false">Sens!$I$3434</f>
        <v>1.6</v>
      </c>
      <c r="J3459" s="38" t="n">
        <f aca="false">Sens!$J$3434</f>
        <v>1.6</v>
      </c>
      <c r="K3459" s="38" t="n">
        <f aca="false">Sens!$K$3434</f>
        <v>1.6</v>
      </c>
      <c r="L3459" s="38" t="n">
        <f aca="false">Sens!$L$3434</f>
        <v>1.6</v>
      </c>
      <c r="M3459" s="38" t="n">
        <f aca="false">Sens!$M$3434</f>
        <v>1.6</v>
      </c>
    </row>
    <row r="3460" customFormat="false" ht="15" hidden="false" customHeight="false" outlineLevel="0" collapsed="false">
      <c r="A3460" s="5" t="s">
        <v>857</v>
      </c>
      <c r="B3460" s="0" t="s">
        <v>73</v>
      </c>
      <c r="H3460" s="38" t="n">
        <f aca="false">Sens!$H$3428</f>
        <v>11.6369707537667</v>
      </c>
      <c r="I3460" s="38" t="n">
        <f aca="false">Sens!$I$3428</f>
        <v>13.3082502961262</v>
      </c>
      <c r="J3460" s="38" t="n">
        <f aca="false">Sens!$J$3428</f>
        <v>14.8747965344332</v>
      </c>
      <c r="K3460" s="38" t="n">
        <f aca="false">Sens!$K$3428</f>
        <v>16.2687901804328</v>
      </c>
      <c r="L3460" s="38" t="n">
        <f aca="false">Sens!$L$3428</f>
        <v>17.7280727627002</v>
      </c>
      <c r="M3460" s="38" t="n">
        <f aca="false">Sens!$M$3428</f>
        <v>19.2574690270319</v>
      </c>
    </row>
    <row r="3461" customFormat="false" ht="17.15" hidden="false" customHeight="false" outlineLevel="0" collapsed="false">
      <c r="A3461" s="1" t="s">
        <v>858</v>
      </c>
      <c r="B3461" s="8" t="s">
        <v>73</v>
      </c>
      <c r="H3461" s="38" t="n">
        <f aca="false">Sens!$H$3456+Sens!$H$3457-Sens!$H$3458-Sens!$H$3459+Sens!$H$3460</f>
        <v>-67.1167133125014</v>
      </c>
      <c r="I3461" s="38" t="n">
        <f aca="false">Sens!$I$3456+Sens!$I$3457-Sens!$I$3458-Sens!$I$3459+Sens!$I$3460</f>
        <v>-25.416324565276</v>
      </c>
      <c r="J3461" s="38" t="n">
        <f aca="false">Sens!$J$3456+Sens!$J$3457-Sens!$J$3458-Sens!$J$3459+Sens!$J$3460</f>
        <v>16.0057728898736</v>
      </c>
      <c r="K3461" s="38" t="n">
        <f aca="false">Sens!$K$3456+Sens!$K$3457-Sens!$K$3458-Sens!$K$3459+Sens!$K$3460</f>
        <v>54.7665756327781</v>
      </c>
      <c r="L3461" s="38" t="n">
        <f aca="false">Sens!$L$3456+Sens!$L$3457-Sens!$L$3458-Sens!$L$3459+Sens!$L$3460</f>
        <v>61.5191508848359</v>
      </c>
      <c r="M3461" s="38" t="n">
        <f aca="false">Sens!$M$3456+Sens!$M$3457-Sens!$M$3458-Sens!$M$3459+Sens!$M$3460</f>
        <v>46.1077792057039</v>
      </c>
    </row>
    <row r="3462" customFormat="false" ht="15" hidden="false" customHeight="false" outlineLevel="0" collapsed="false">
      <c r="A3462" s="5" t="s">
        <v>859</v>
      </c>
      <c r="B3462" s="0" t="s">
        <v>57</v>
      </c>
      <c r="H3462" s="51" t="n">
        <f aca="false">1/(1+wacc)^(2027-2026-0.5)</f>
        <v>0.942858177653364</v>
      </c>
      <c r="I3462" s="51" t="n">
        <f aca="false">1/(1+wacc)^(2028-2026-0.5)</f>
        <v>0.838183517758688</v>
      </c>
      <c r="J3462" s="51" t="n">
        <f aca="false">1/(1+wacc)^(2029-2026-0.5)</f>
        <v>0.745129677074952</v>
      </c>
      <c r="K3462" s="51" t="n">
        <f aca="false">1/(1+wacc)^(2030-2026-0.5)</f>
        <v>0.662406530186232</v>
      </c>
      <c r="L3462" s="51" t="n">
        <f aca="false">1/(1+wacc)^(2031-2026-0.5)</f>
        <v>0.588867179409399</v>
      </c>
      <c r="M3462" s="51" t="n">
        <f aca="false">1/(1+wacc)^(2032-2026-0.5)</f>
        <v>0.52349205387225</v>
      </c>
    </row>
    <row r="3463" customFormat="false" ht="15" hidden="false" customHeight="false" outlineLevel="0" collapsed="false">
      <c r="A3463" s="5" t="s">
        <v>860</v>
      </c>
      <c r="B3463" s="0" t="s">
        <v>73</v>
      </c>
      <c r="H3463" s="38" t="n">
        <f aca="false">Sens!$H$3461*Sens!$H$3462</f>
        <v>-63.2815420039084</v>
      </c>
      <c r="I3463" s="38" t="n">
        <f aca="false">Sens!$I$3461*Sens!$I$3462</f>
        <v>-21.3035443326196</v>
      </c>
      <c r="J3463" s="38" t="n">
        <f aca="false">Sens!$J$3461*Sens!$J$3462</f>
        <v>11.9263763847666</v>
      </c>
      <c r="K3463" s="38" t="n">
        <f aca="false">Sens!$K$3461*Sens!$K$3462</f>
        <v>36.2777373350904</v>
      </c>
      <c r="L3463" s="38" t="n">
        <f aca="false">Sens!$L$3461*Sens!$L$3462</f>
        <v>36.2266088612145</v>
      </c>
      <c r="M3463" s="38" t="n">
        <f aca="false">Sens!$M$3461*Sens!$M$3462</f>
        <v>24.1370560358822</v>
      </c>
    </row>
    <row r="3464" customFormat="false" ht="15" hidden="false" customHeight="false" outlineLevel="0" collapsed="false">
      <c r="A3464" s="5" t="s">
        <v>861</v>
      </c>
      <c r="B3464" s="0" t="s">
        <v>73</v>
      </c>
      <c r="C3464" s="38" t="n">
        <f aca="false">SUM(Sens!$H$3463:$M$3463)</f>
        <v>23.9826922804257</v>
      </c>
    </row>
    <row r="3465" customFormat="false" ht="17.15" hidden="false" customHeight="false" outlineLevel="0" collapsed="false">
      <c r="A3465" s="5" t="s">
        <v>862</v>
      </c>
      <c r="B3465" s="0" t="s">
        <v>73</v>
      </c>
      <c r="C3465" s="38" t="n">
        <f aca="false">Sens!$M$3456*(1+tg)*(1-tg/ronic)/(wacc-tg)</f>
        <v>1681.03027733909</v>
      </c>
    </row>
    <row r="3466" customFormat="false" ht="15" hidden="false" customHeight="false" outlineLevel="0" collapsed="false">
      <c r="A3466" s="5" t="s">
        <v>863</v>
      </c>
      <c r="B3466" s="0" t="s">
        <v>73</v>
      </c>
      <c r="C3466" s="38" t="n">
        <f aca="false">Sens!$C$3465/(1+wacc)^6</f>
        <v>829.720846417945</v>
      </c>
    </row>
    <row r="3467" customFormat="false" ht="17.15" hidden="false" customHeight="false" outlineLevel="0" collapsed="false">
      <c r="A3467" s="5" t="s">
        <v>864</v>
      </c>
      <c r="B3467" s="0" t="s">
        <v>73</v>
      </c>
      <c r="C3467" s="38" t="n">
        <f aca="false">Sens!$C$3464+Sens!$C$3466</f>
        <v>853.70353869837</v>
      </c>
    </row>
    <row r="3468" customFormat="false" ht="17.15" hidden="false" customHeight="false" outlineLevel="0" collapsed="false">
      <c r="A3468" s="5" t="s">
        <v>865</v>
      </c>
      <c r="B3468" s="0" t="s">
        <v>52</v>
      </c>
      <c r="C3468" s="12" t="n">
        <f aca="false">Sens!$C$3466/Sens!$C$3467</f>
        <v>0.971907469990119</v>
      </c>
    </row>
    <row r="3469" customFormat="false" ht="17.15" hidden="false" customHeight="false" outlineLevel="0" collapsed="false">
      <c r="A3469" s="5" t="s">
        <v>866</v>
      </c>
      <c r="B3469" s="0" t="s">
        <v>73</v>
      </c>
      <c r="C3469" s="38" t="n">
        <f aca="false">Sens!$G$3446</f>
        <v>66.8751773365071</v>
      </c>
    </row>
    <row r="3470" customFormat="false" ht="17.15" hidden="false" customHeight="false" outlineLevel="0" collapsed="false">
      <c r="A3470" s="5" t="s">
        <v>867</v>
      </c>
      <c r="B3470" s="0" t="s">
        <v>73</v>
      </c>
      <c r="C3470" s="38" t="n">
        <f aca="false">(ant_val*ant_sh+oai_val*oai_sh)*(1-liq_disc)</f>
        <v>178.944</v>
      </c>
    </row>
    <row r="3471" customFormat="false" ht="15" hidden="false" customHeight="false" outlineLevel="0" collapsed="false">
      <c r="A3471" s="5" t="s">
        <v>868</v>
      </c>
      <c r="B3471" s="0" t="s">
        <v>73</v>
      </c>
      <c r="C3471" s="38" t="n">
        <f aca="false">Sens!$C$3467-Sens!$C$3469+Sens!$C$3470</f>
        <v>965.772361361863</v>
      </c>
    </row>
    <row r="3472" customFormat="false" ht="17.15" hidden="false" customHeight="false" outlineLevel="0" collapsed="false">
      <c r="A3472" s="5" t="s">
        <v>869</v>
      </c>
      <c r="B3472" s="0" t="s">
        <v>27</v>
      </c>
      <c r="C3472" s="30" t="n">
        <f aca="false">Sens!$C$3471/sh_val</f>
        <v>87.5561984329606</v>
      </c>
    </row>
    <row r="3473" customFormat="false" ht="17.15" hidden="false" customHeight="false" outlineLevel="0" collapsed="false">
      <c r="A3473" s="1" t="s">
        <v>870</v>
      </c>
      <c r="B3473" s="8" t="s">
        <v>27</v>
      </c>
      <c r="C3473" s="30" t="n">
        <f aca="false">Sens!$C$3472*(1+ke)^tp_yf</f>
        <v>96.700998610766</v>
      </c>
    </row>
    <row r="3474" customFormat="false" ht="17.15" hidden="false" customHeight="false" outlineLevel="0" collapsed="false">
      <c r="A3474" s="3" t="s">
        <v>871</v>
      </c>
    </row>
    <row r="3475" customFormat="false" ht="17.15" hidden="false" customHeight="false" outlineLevel="0" collapsed="false">
      <c r="A3475" s="5" t="s">
        <v>872</v>
      </c>
      <c r="B3475" s="0" t="s">
        <v>73</v>
      </c>
      <c r="C3475" s="38" t="n">
        <f aca="false">0.25*Sens!$H$3405+0.75*Sens!$I$3405</f>
        <v>69.0649311921995</v>
      </c>
    </row>
    <row r="3476" customFormat="false" ht="15" hidden="false" customHeight="false" outlineLevel="0" collapsed="false">
      <c r="A3476" s="5" t="s">
        <v>873</v>
      </c>
      <c r="B3476" s="0" t="s">
        <v>57</v>
      </c>
      <c r="C3476" s="30" t="n">
        <f aca="false">m_ads*m_x</f>
        <v>9.11</v>
      </c>
    </row>
    <row r="3477" customFormat="false" ht="17.15" hidden="false" customHeight="false" outlineLevel="0" collapsed="false">
      <c r="A3477" s="5" t="s">
        <v>874</v>
      </c>
      <c r="B3477" s="0" t="s">
        <v>73</v>
      </c>
      <c r="C3477" s="38" t="n">
        <f aca="false">Sens!$C$3475*Sens!$C$3476</f>
        <v>629.181523160937</v>
      </c>
    </row>
    <row r="3478" customFormat="false" ht="17.15" hidden="false" customHeight="false" outlineLevel="0" collapsed="false">
      <c r="A3478" s="5" t="s">
        <v>875</v>
      </c>
      <c r="B3478" s="0" t="s">
        <v>73</v>
      </c>
      <c r="C3478" s="38" t="n">
        <f aca="false">0.25*Sens!$H$3406+0.75*Sens!$I$3406</f>
        <v>20.9775583880512</v>
      </c>
    </row>
    <row r="3479" customFormat="false" ht="15" hidden="false" customHeight="false" outlineLevel="0" collapsed="false">
      <c r="A3479" s="5" t="s">
        <v>876</v>
      </c>
      <c r="B3479" s="0" t="s">
        <v>57</v>
      </c>
      <c r="C3479" s="30" t="n">
        <f aca="false">m_retail*m_x</f>
        <v>17.72</v>
      </c>
    </row>
    <row r="3480" customFormat="false" ht="17.15" hidden="false" customHeight="false" outlineLevel="0" collapsed="false">
      <c r="A3480" s="5" t="s">
        <v>877</v>
      </c>
      <c r="B3480" s="0" t="s">
        <v>73</v>
      </c>
      <c r="C3480" s="38" t="n">
        <f aca="false">Sens!$C$3478*Sens!$C$3479</f>
        <v>371.722334636267</v>
      </c>
    </row>
    <row r="3481" customFormat="false" ht="17.15" hidden="false" customHeight="false" outlineLevel="0" collapsed="false">
      <c r="A3481" s="0" t="s">
        <v>878</v>
      </c>
      <c r="B3481" s="0" t="s">
        <v>73</v>
      </c>
      <c r="C3481" s="38" t="n">
        <f aca="false">0.25*Sens!$H$3407+0.75*Sens!$I$3407</f>
        <v>107.575398943098</v>
      </c>
    </row>
    <row r="3482" customFormat="false" ht="17.15" hidden="false" customHeight="false" outlineLevel="0" collapsed="false">
      <c r="A3482" s="0" t="s">
        <v>879</v>
      </c>
      <c r="B3482" s="0" t="s">
        <v>57</v>
      </c>
      <c r="C3482" s="30" t="n">
        <f aca="false">m_cloud*m_x</f>
        <v>13.82</v>
      </c>
    </row>
    <row r="3483" customFormat="false" ht="17.15" hidden="false" customHeight="false" outlineLevel="0" collapsed="false">
      <c r="A3483" s="0" t="s">
        <v>880</v>
      </c>
      <c r="B3483" s="0" t="s">
        <v>73</v>
      </c>
      <c r="C3483" s="38" t="n">
        <f aca="false">Sens!$C$3481*Sens!$C$3482</f>
        <v>1486.69201339361</v>
      </c>
    </row>
    <row r="3484" customFormat="false" ht="17.15" hidden="false" customHeight="false" outlineLevel="0" collapsed="false">
      <c r="A3484" s="0" t="s">
        <v>881</v>
      </c>
      <c r="B3484" s="0" t="s">
        <v>73</v>
      </c>
      <c r="C3484" s="38" t="n">
        <f aca="false">0.25*Sens!$H$3408+0.75*Sens!$I$3408</f>
        <v>72.2947701247864</v>
      </c>
    </row>
    <row r="3485" customFormat="false" ht="17.15" hidden="false" customHeight="false" outlineLevel="0" collapsed="false">
      <c r="A3485" s="0" t="s">
        <v>882</v>
      </c>
      <c r="B3485" s="0" t="s">
        <v>57</v>
      </c>
      <c r="C3485" s="30" t="n">
        <f aca="false">m_ai</f>
        <v>6</v>
      </c>
    </row>
    <row r="3486" customFormat="false" ht="17.15" hidden="false" customHeight="false" outlineLevel="0" collapsed="false">
      <c r="A3486" s="0" t="s">
        <v>883</v>
      </c>
      <c r="B3486" s="0" t="s">
        <v>73</v>
      </c>
      <c r="C3486" s="38" t="n">
        <f aca="false">Sens!$C$3484*Sens!$C$3485</f>
        <v>433.768620748718</v>
      </c>
    </row>
    <row r="3487" customFormat="false" ht="17.15" hidden="false" customHeight="false" outlineLevel="0" collapsed="false">
      <c r="A3487" s="5" t="s">
        <v>884</v>
      </c>
      <c r="B3487" s="0" t="s">
        <v>73</v>
      </c>
      <c r="C3487" s="38" t="n">
        <f aca="false">Sens!$C$3477+Sens!$C$3480+Sens!$C$3483+Sens!$C$3486</f>
        <v>2921.36449193953</v>
      </c>
    </row>
    <row r="3488" customFormat="false" ht="17.15" hidden="false" customHeight="false" outlineLevel="0" collapsed="false">
      <c r="A3488" s="5" t="s">
        <v>885</v>
      </c>
      <c r="B3488" s="0" t="s">
        <v>73</v>
      </c>
      <c r="C3488" s="38" t="n">
        <f aca="false">Sens!$H$3446</f>
        <v>112.630052255432</v>
      </c>
    </row>
    <row r="3489" customFormat="false" ht="15" hidden="false" customHeight="false" outlineLevel="0" collapsed="false">
      <c r="A3489" s="5" t="s">
        <v>886</v>
      </c>
      <c r="B3489" s="0" t="s">
        <v>73</v>
      </c>
      <c r="C3489" s="38" t="n">
        <f aca="false">Sens!$C$3487-Sens!$C$3488+Sens!$C$3470</f>
        <v>2987.6784396841</v>
      </c>
    </row>
    <row r="3490" customFormat="false" ht="15" hidden="false" customHeight="false" outlineLevel="0" collapsed="false">
      <c r="A3490" s="3" t="s">
        <v>887</v>
      </c>
      <c r="B3490" s="8" t="s">
        <v>27</v>
      </c>
      <c r="C3490" s="30" t="n">
        <f aca="false">Sens!$C$3489/sh_val</f>
        <v>270.860688071446</v>
      </c>
    </row>
    <row r="3491" customFormat="false" ht="17.15" hidden="false" customHeight="false" outlineLevel="0" collapsed="false">
      <c r="A3491" s="46" t="s">
        <v>888</v>
      </c>
      <c r="B3491" s="13" t="s">
        <v>27</v>
      </c>
      <c r="C3491" s="43" t="n">
        <f aca="false">w_dcf*Sens!$C$3473+(1-w_dcf)*Sens!$C$3490</f>
        <v>183.780843341106</v>
      </c>
      <c r="D3491" s="13"/>
      <c r="E3491" s="13"/>
      <c r="F3491" s="13"/>
      <c r="G3491" s="13"/>
      <c r="H3491" s="13"/>
      <c r="I3491" s="13"/>
      <c r="J3491" s="13"/>
      <c r="K3491" s="13"/>
      <c r="L3491" s="13"/>
      <c r="M3491" s="13"/>
      <c r="N3491" s="13"/>
      <c r="O3491" s="13"/>
    </row>
    <row r="3492" customFormat="false" ht="17.15" hidden="false" customHeight="false" outlineLevel="0" collapsed="false">
      <c r="A3492" s="5" t="s">
        <v>889</v>
      </c>
      <c r="B3492" s="0" t="s">
        <v>27</v>
      </c>
      <c r="C3492" s="30" t="n">
        <f aca="false">0.45*Sens!$C$3473+0.55*Sens!$C$3490</f>
        <v>192.48882781414</v>
      </c>
    </row>
    <row r="3495" customFormat="false" ht="19.4" hidden="false" customHeight="false" outlineLevel="0" collapsed="false">
      <c r="A3495" s="31" t="s">
        <v>1120</v>
      </c>
    </row>
    <row r="3496" customFormat="false" ht="17.15" hidden="false" customHeight="false" outlineLevel="0" collapsed="false">
      <c r="A3496" s="6" t="s">
        <v>16</v>
      </c>
      <c r="B3496" s="6" t="s">
        <v>17</v>
      </c>
      <c r="C3496" s="20" t="s">
        <v>457</v>
      </c>
      <c r="D3496" s="20" t="s">
        <v>458</v>
      </c>
      <c r="E3496" s="20" t="s">
        <v>540</v>
      </c>
      <c r="F3496" s="20" t="s">
        <v>541</v>
      </c>
      <c r="G3496" s="20" t="s">
        <v>542</v>
      </c>
      <c r="H3496" s="20" t="s">
        <v>543</v>
      </c>
      <c r="I3496" s="20" t="s">
        <v>544</v>
      </c>
      <c r="J3496" s="20" t="s">
        <v>545</v>
      </c>
      <c r="K3496" s="20" t="s">
        <v>546</v>
      </c>
      <c r="L3496" s="20" t="s">
        <v>547</v>
      </c>
      <c r="M3496" s="20" t="s">
        <v>548</v>
      </c>
      <c r="N3496" s="20" t="s">
        <v>549</v>
      </c>
      <c r="O3496" s="20" t="s">
        <v>550</v>
      </c>
      <c r="P3496" s="6" t="s">
        <v>23</v>
      </c>
      <c r="R3496" s="20" t="n">
        <v>2023</v>
      </c>
      <c r="S3496" s="20" t="n">
        <v>2024</v>
      </c>
      <c r="T3496" s="20" t="n">
        <v>2025</v>
      </c>
      <c r="U3496" s="20" t="n">
        <v>2026</v>
      </c>
      <c r="V3496" s="20" t="n">
        <v>2027</v>
      </c>
      <c r="W3496" s="20" t="n">
        <v>2028</v>
      </c>
      <c r="X3496" s="20" t="n">
        <v>2029</v>
      </c>
      <c r="Y3496" s="20" t="n">
        <v>2030</v>
      </c>
      <c r="Z3496" s="20" t="n">
        <v>2031</v>
      </c>
      <c r="AA3496" s="20" t="n">
        <v>2032</v>
      </c>
    </row>
    <row r="3497" customFormat="false" ht="17.15" hidden="false" customHeight="false" outlineLevel="0" collapsed="false">
      <c r="A3497" s="1" t="s">
        <v>621</v>
      </c>
    </row>
    <row r="3498" customFormat="false" ht="17.15" hidden="false" customHeight="false" outlineLevel="0" collapsed="false">
      <c r="A3498" s="0" t="s">
        <v>479</v>
      </c>
      <c r="B3498" s="0" t="s">
        <v>73</v>
      </c>
      <c r="C3498" s="38" t="n">
        <f aca="false">Q!$D$10</f>
        <v>247.029</v>
      </c>
      <c r="D3498" s="38" t="n">
        <f aca="false">Q!$E$10</f>
        <v>269.287</v>
      </c>
      <c r="E3498" s="38" t="n">
        <f aca="false">Q!$P$10</f>
        <v>134.686</v>
      </c>
      <c r="F3498" s="38" t="n">
        <f aca="false">Sens!$O$3498*(1+Sens!$F$3499)-pd_amt*Q!$O$10/(Q!$O$10+Q!$O$12)</f>
        <v>160.728085930082</v>
      </c>
      <c r="G3498" s="38" t="n">
        <f aca="false">Sens!$E$3498+Sens!$F$3498</f>
        <v>295.414085930082</v>
      </c>
      <c r="H3498" s="38" t="n">
        <f aca="false">Sens!$G$3498*(1+Sens!$H$3499)</f>
        <v>320.828163943375</v>
      </c>
      <c r="I3498" s="38" t="n">
        <f aca="false">Sens!$H$3498*(1+Sens!$I$3499)</f>
        <v>344.575578072228</v>
      </c>
      <c r="J3498" s="38" t="n">
        <f aca="false">Sens!$I$3498*(1+Sens!$J$3499)</f>
        <v>365.942555779681</v>
      </c>
      <c r="K3498" s="38" t="n">
        <f aca="false">Sens!$J$3498*(1+Sens!$K$3499)</f>
        <v>384.239683568665</v>
      </c>
      <c r="L3498" s="38" t="n">
        <f aca="false">Sens!$K$3498*(1+Sens!$L$3499)</f>
        <v>403.451667747098</v>
      </c>
      <c r="M3498" s="38" t="n">
        <f aca="false">Sens!$L$3498*(1+Sens!$M$3499)</f>
        <v>423.624251134453</v>
      </c>
      <c r="N3498" s="38" t="n">
        <f aca="false">Q!$N$10</f>
        <v>118.892</v>
      </c>
      <c r="O3498" s="38" t="n">
        <f aca="false">Q!$O$10</f>
        <v>150.395</v>
      </c>
      <c r="P3498" s="8" t="s">
        <v>622</v>
      </c>
    </row>
    <row r="3499" customFormat="false" ht="17.15" hidden="false" customHeight="false" outlineLevel="0" collapsed="false">
      <c r="A3499" s="0" t="s">
        <v>623</v>
      </c>
      <c r="B3499" s="0" t="s">
        <v>52</v>
      </c>
      <c r="E3499" s="12" t="n">
        <f aca="false">Sens!$E$3498/Sens!$N$3498-1</f>
        <v>0.132843252699929</v>
      </c>
      <c r="F3499" s="12" t="n">
        <f aca="false">Sens!$O$3498/(Q!$F$10+Q!$G$10)-1</f>
        <v>0.0980382135842941</v>
      </c>
      <c r="G3499" s="12" t="n">
        <f aca="false">Sens!$G$3498/Sens!$D$3498-1</f>
        <v>0.0970231980380869</v>
      </c>
      <c r="H3499" s="12" t="n">
        <f aca="false">Sens!$F$3499+(g_os-Sens!$F$3499)*1/4</f>
        <v>0.0860286601882206</v>
      </c>
      <c r="I3499" s="12" t="n">
        <f aca="false">Sens!$F$3499+(g_os-Sens!$F$3499)*2/4</f>
        <v>0.074019106792147</v>
      </c>
      <c r="J3499" s="12" t="n">
        <f aca="false">Sens!$F$3499+(g_os-Sens!$F$3499)*3/4</f>
        <v>0.0620095533960735</v>
      </c>
      <c r="K3499" s="12" t="n">
        <f aca="false">Sens!$F$3499+(g_os-Sens!$F$3499)*4/4</f>
        <v>0.05</v>
      </c>
      <c r="L3499" s="12" t="n">
        <f aca="false">g_os</f>
        <v>0.05</v>
      </c>
      <c r="M3499" s="12" t="n">
        <f aca="false">g_os</f>
        <v>0.05</v>
      </c>
      <c r="P3499" s="8" t="s">
        <v>624</v>
      </c>
    </row>
    <row r="3500" customFormat="false" ht="17.15" hidden="false" customHeight="false" outlineLevel="0" collapsed="false">
      <c r="A3500" s="0" t="s">
        <v>480</v>
      </c>
      <c r="B3500" s="0" t="s">
        <v>73</v>
      </c>
      <c r="C3500" s="38" t="n">
        <f aca="false">Q!$D$11</f>
        <v>21.215</v>
      </c>
      <c r="D3500" s="38" t="n">
        <f aca="false">Q!$E$11</f>
        <v>22.561</v>
      </c>
      <c r="E3500" s="38" t="n">
        <f aca="false">Q!$P$11</f>
        <v>11.579</v>
      </c>
      <c r="F3500" s="38" t="n">
        <f aca="false">Sens!$O$3500*(1+Sens!$F$3501)</f>
        <v>12.0952613121125</v>
      </c>
      <c r="G3500" s="38" t="n">
        <f aca="false">Sens!$E$3500+Sens!$F$3500</f>
        <v>23.6742613121125</v>
      </c>
      <c r="H3500" s="38" t="n">
        <f aca="false">Sens!$G$3500*(1+Sens!$H$3501)</f>
        <v>24.8803243963206</v>
      </c>
      <c r="I3500" s="38" t="n">
        <f aca="false">Sens!$H$3500*(1+Sens!$I$3501)</f>
        <v>25.9741308664154</v>
      </c>
      <c r="J3500" s="38" t="n">
        <f aca="false">Sens!$I$3500*(1+Sens!$J$3501)</f>
        <v>26.9346894124267</v>
      </c>
      <c r="K3500" s="38" t="n">
        <f aca="false">Sens!$J$3500*(1+Sens!$K$3501)</f>
        <v>27.7427300947995</v>
      </c>
      <c r="L3500" s="38" t="n">
        <f aca="false">Sens!$K$3500*(1+Sens!$L$3501)</f>
        <v>28.5750119976435</v>
      </c>
      <c r="M3500" s="38" t="n">
        <f aca="false">Sens!$L$3500*(1+Sens!$M$3501)</f>
        <v>29.4322623575728</v>
      </c>
      <c r="N3500" s="38" t="n">
        <f aca="false">Q!$N$11</f>
        <v>11.128</v>
      </c>
      <c r="O3500" s="38" t="n">
        <f aca="false">Q!$O$11</f>
        <v>11.433</v>
      </c>
      <c r="P3500" s="8" t="s">
        <v>622</v>
      </c>
    </row>
    <row r="3501" customFormat="false" ht="17.15" hidden="false" customHeight="false" outlineLevel="0" collapsed="false">
      <c r="A3501" s="0" t="s">
        <v>625</v>
      </c>
      <c r="B3501" s="0" t="s">
        <v>52</v>
      </c>
      <c r="E3501" s="12" t="n">
        <f aca="false">Sens!$E$3500/Sens!$N$3500-1</f>
        <v>0.0405283968368082</v>
      </c>
      <c r="F3501" s="12" t="n">
        <f aca="false">Sens!$O$3500/(Q!$F$11+Q!$G$11)-1</f>
        <v>0.0579254187100955</v>
      </c>
      <c r="G3501" s="12" t="n">
        <f aca="false">Sens!$G$3500/Sens!$D$3500-1</f>
        <v>0.0493445021103904</v>
      </c>
      <c r="H3501" s="12" t="n">
        <f aca="false">Sens!$F$3501+(g_ps-Sens!$F$3501)*1/4</f>
        <v>0.0509440640325716</v>
      </c>
      <c r="I3501" s="12" t="n">
        <f aca="false">Sens!$F$3501+(g_ps-Sens!$F$3501)*2/4</f>
        <v>0.0439627093550477</v>
      </c>
      <c r="J3501" s="12" t="n">
        <f aca="false">Sens!$F$3501+(g_ps-Sens!$F$3501)*3/4</f>
        <v>0.0369813546775239</v>
      </c>
      <c r="K3501" s="12" t="n">
        <f aca="false">Sens!$F$3501+(g_ps-Sens!$F$3501)*4/4</f>
        <v>0.03</v>
      </c>
      <c r="L3501" s="12" t="n">
        <f aca="false">g_ps</f>
        <v>0.03</v>
      </c>
      <c r="M3501" s="12" t="n">
        <f aca="false">g_ps</f>
        <v>0.03</v>
      </c>
      <c r="P3501" s="8" t="s">
        <v>626</v>
      </c>
    </row>
    <row r="3502" customFormat="false" ht="17.15" hidden="false" customHeight="false" outlineLevel="0" collapsed="false">
      <c r="A3502" s="0" t="s">
        <v>481</v>
      </c>
      <c r="B3502" s="0" t="s">
        <v>73</v>
      </c>
      <c r="C3502" s="38" t="n">
        <f aca="false">Q!$D$12</f>
        <v>156.146</v>
      </c>
      <c r="D3502" s="38" t="n">
        <f aca="false">Q!$E$12</f>
        <v>172.162</v>
      </c>
      <c r="E3502" s="38" t="n">
        <f aca="false">Q!$P$12</f>
        <v>88.358</v>
      </c>
      <c r="F3502" s="38" t="n">
        <f aca="false">Sens!$O$3502*(1+Sens!$F$3503)-pd_amt*Q!$O$12/(Q!$O$10+Q!$O$12)</f>
        <v>103.62028337149</v>
      </c>
      <c r="G3502" s="38" t="n">
        <f aca="false">Sens!$E$3502+Sens!$F$3502</f>
        <v>191.97828337149</v>
      </c>
      <c r="H3502" s="38" t="n">
        <f aca="false">Sens!$G$3502*(1+Sens!$H$3503)</f>
        <v>212.128608444755</v>
      </c>
      <c r="I3502" s="38" t="n">
        <f aca="false">Sens!$H$3502*(1+Sens!$I$3503)</f>
        <v>231.92183134134</v>
      </c>
      <c r="J3502" s="38" t="n">
        <f aca="false">Sens!$I$3502*(1+Sens!$J$3503)</f>
        <v>250.859136487863</v>
      </c>
      <c r="K3502" s="38" t="n">
        <f aca="false">Sens!$J$3502*(1+Sens!$K$3503)</f>
        <v>268.419276042014</v>
      </c>
      <c r="L3502" s="38" t="n">
        <f aca="false">Sens!$K$3502*(1+Sens!$L$3503)</f>
        <v>287.208625364954</v>
      </c>
      <c r="M3502" s="38" t="n">
        <f aca="false">Sens!$L$3502*(1+Sens!$M$3503)</f>
        <v>307.313229140501</v>
      </c>
      <c r="N3502" s="38" t="n">
        <f aca="false">Q!$N$12</f>
        <v>76.86</v>
      </c>
      <c r="O3502" s="38" t="n">
        <f aca="false">Q!$O$12</f>
        <v>95.302</v>
      </c>
      <c r="P3502" s="8" t="s">
        <v>622</v>
      </c>
    </row>
    <row r="3503" customFormat="false" ht="17.15" hidden="false" customHeight="false" outlineLevel="0" collapsed="false">
      <c r="A3503" s="0" t="s">
        <v>627</v>
      </c>
      <c r="B3503" s="0" t="s">
        <v>52</v>
      </c>
      <c r="E3503" s="12" t="n">
        <f aca="false">Sens!$E$3502/Sens!$N$3502-1</f>
        <v>0.1495966692688</v>
      </c>
      <c r="F3503" s="12" t="n">
        <f aca="false">Sens!$O$3502/(Q!$F$12+Q!$G$12)-1</f>
        <v>0.11661530890813</v>
      </c>
      <c r="G3503" s="12" t="n">
        <f aca="false">Sens!$G$3502/Sens!$D$3502-1</f>
        <v>0.115102539303041</v>
      </c>
      <c r="H3503" s="12" t="n">
        <f aca="false">Sens!$F$3503+(g_sp-Sens!$F$3503)*1/4</f>
        <v>0.104961481681098</v>
      </c>
      <c r="I3503" s="12" t="n">
        <f aca="false">Sens!$F$3503+(g_sp-Sens!$F$3503)*2/4</f>
        <v>0.0933076544540651</v>
      </c>
      <c r="J3503" s="12" t="n">
        <f aca="false">Sens!$F$3503+(g_sp-Sens!$F$3503)*3/4</f>
        <v>0.0816538272270325</v>
      </c>
      <c r="K3503" s="12" t="n">
        <f aca="false">Sens!$F$3503+(g_sp-Sens!$F$3503)*4/4</f>
        <v>0.07</v>
      </c>
      <c r="L3503" s="12" t="n">
        <f aca="false">g_sp</f>
        <v>0.07</v>
      </c>
      <c r="M3503" s="12" t="n">
        <f aca="false">g_sp</f>
        <v>0.07</v>
      </c>
      <c r="P3503" s="8" t="s">
        <v>628</v>
      </c>
    </row>
    <row r="3504" customFormat="false" ht="17.15" hidden="false" customHeight="false" outlineLevel="0" collapsed="false">
      <c r="A3504" s="0" t="s">
        <v>482</v>
      </c>
      <c r="B3504" s="0" t="s">
        <v>73</v>
      </c>
      <c r="C3504" s="38" t="n">
        <f aca="false">Q!$D$13</f>
        <v>56.214</v>
      </c>
      <c r="D3504" s="38" t="n">
        <f aca="false">Q!$E$13</f>
        <v>68.635</v>
      </c>
      <c r="E3504" s="38" t="n">
        <f aca="false">Q!$P$13</f>
        <v>37.052</v>
      </c>
      <c r="F3504" s="38" t="n">
        <f aca="false">Sens!$O$3504*(1+Sens!$F$3505)</f>
        <v>48.1533381827382</v>
      </c>
      <c r="G3504" s="38" t="n">
        <f aca="false">Sens!$E$3504+Sens!$F$3504</f>
        <v>85.2053381827382</v>
      </c>
      <c r="H3504" s="38" t="n">
        <f aca="false">Sens!$G$3504*(1+Sens!$H$3505)</f>
        <v>101.65432182257</v>
      </c>
      <c r="I3504" s="38" t="n">
        <f aca="false">Sens!$H$3504*(1+Sens!$I$3505)</f>
        <v>117.109241268605</v>
      </c>
      <c r="J3504" s="38" t="n">
        <f aca="false">Sens!$I$3504*(1+Sens!$J$3505)</f>
        <v>130.110361525097</v>
      </c>
      <c r="K3504" s="38" t="n">
        <f aca="false">Sens!$J$3504*(1+Sens!$K$3505)</f>
        <v>139.218086831854</v>
      </c>
      <c r="L3504" s="38" t="n">
        <f aca="false">Sens!$K$3504*(1+Sens!$L$3505)</f>
        <v>148.963352910084</v>
      </c>
      <c r="M3504" s="38" t="n">
        <f aca="false">Sens!$L$3504*(1+Sens!$M$3505)</f>
        <v>159.39078761379</v>
      </c>
      <c r="N3504" s="38" t="n">
        <f aca="false">Q!$N$13</f>
        <v>29.615</v>
      </c>
      <c r="O3504" s="38" t="n">
        <f aca="false">Q!$O$13</f>
        <v>39.02</v>
      </c>
      <c r="P3504" s="8" t="s">
        <v>622</v>
      </c>
    </row>
    <row r="3505" customFormat="false" ht="17.15" hidden="false" customHeight="false" outlineLevel="0" collapsed="false">
      <c r="A3505" s="0" t="s">
        <v>629</v>
      </c>
      <c r="B3505" s="0" t="s">
        <v>52</v>
      </c>
      <c r="E3505" s="12" t="n">
        <f aca="false">Sens!$E$3504/Sens!$N$3504-1</f>
        <v>0.25112274185379</v>
      </c>
      <c r="F3505" s="12" t="n">
        <f aca="false">Sens!$O$3504/(Q!$F$13+Q!$G$13)-1</f>
        <v>0.234068123596572</v>
      </c>
      <c r="G3505" s="12" t="n">
        <f aca="false">Sens!$G$3504/Sens!$D$3504-1</f>
        <v>0.241426942270536</v>
      </c>
      <c r="H3505" s="12" t="n">
        <f aca="false">Sens!$F$3505+(g_ad_lo-Sens!$F$3505)*1/4</f>
        <v>0.193051092697429</v>
      </c>
      <c r="I3505" s="12" t="n">
        <f aca="false">Sens!$F$3505+(g_ad_lo-Sens!$F$3505)*2/4</f>
        <v>0.152034061798286</v>
      </c>
      <c r="J3505" s="12" t="n">
        <f aca="false">Sens!$F$3505+(g_ad_lo-Sens!$F$3505)*3/4</f>
        <v>0.111017030899143</v>
      </c>
      <c r="K3505" s="12" t="n">
        <f aca="false">Sens!$F$3505+(g_ad_lo-Sens!$F$3505)*4/4</f>
        <v>0.07</v>
      </c>
      <c r="L3505" s="12" t="n">
        <f aca="false">g_ad_lo</f>
        <v>0.07</v>
      </c>
      <c r="M3505" s="12" t="n">
        <f aca="false">g_ad_lo</f>
        <v>0.07</v>
      </c>
      <c r="P3505" s="8" t="s">
        <v>630</v>
      </c>
    </row>
    <row r="3506" customFormat="false" ht="17.15" hidden="false" customHeight="false" outlineLevel="0" collapsed="false">
      <c r="A3506" s="0" t="s">
        <v>483</v>
      </c>
      <c r="B3506" s="0" t="s">
        <v>73</v>
      </c>
      <c r="C3506" s="38" t="n">
        <f aca="false">Q!$D$14</f>
        <v>44.374</v>
      </c>
      <c r="D3506" s="38" t="n">
        <f aca="false">Q!$E$14</f>
        <v>49.619</v>
      </c>
      <c r="E3506" s="38" t="n">
        <f aca="false">Q!$P$14</f>
        <v>27.157</v>
      </c>
      <c r="F3506" s="38" t="n">
        <f aca="false">Sens!$O$3506*(1+Sens!$F$3507)</f>
        <v>28.9776360923374</v>
      </c>
      <c r="G3506" s="38" t="n">
        <f aca="false">Sens!$E$3506+Sens!$F$3506</f>
        <v>56.1346360923374</v>
      </c>
      <c r="H3506" s="38" t="n">
        <f aca="false">Sens!$G$3506*(1+Sens!$H$3507)</f>
        <v>62.4937078946075</v>
      </c>
      <c r="I3506" s="38" t="n">
        <f aca="false">Sens!$H$3506*(1+Sens!$I$3507)</f>
        <v>68.6715233062498</v>
      </c>
      <c r="J3506" s="38" t="n">
        <f aca="false">Sens!$I$3506*(1+Sens!$J$3507)</f>
        <v>74.4692882949818</v>
      </c>
      <c r="K3506" s="38" t="n">
        <f aca="false">Sens!$J$3506*(1+Sens!$K$3507)</f>
        <v>79.6821384756306</v>
      </c>
      <c r="L3506" s="38" t="n">
        <f aca="false">Sens!$K$3506*(1+Sens!$L$3507)</f>
        <v>85.2598881689247</v>
      </c>
      <c r="M3506" s="38" t="n">
        <f aca="false">Sens!$L$3506*(1+Sens!$M$3507)</f>
        <v>91.2280803407494</v>
      </c>
      <c r="N3506" s="38" t="n">
        <f aca="false">Q!$N$14</f>
        <v>23.923</v>
      </c>
      <c r="O3506" s="38" t="n">
        <f aca="false">Q!$O$14</f>
        <v>25.696</v>
      </c>
      <c r="P3506" s="8" t="s">
        <v>622</v>
      </c>
    </row>
    <row r="3507" customFormat="false" ht="17.15" hidden="false" customHeight="false" outlineLevel="0" collapsed="false">
      <c r="A3507" s="0" t="s">
        <v>631</v>
      </c>
      <c r="B3507" s="0" t="s">
        <v>52</v>
      </c>
      <c r="E3507" s="12" t="n">
        <f aca="false">Sens!$E$3506/Sens!$N$3506-1</f>
        <v>0.135183714417088</v>
      </c>
      <c r="F3507" s="12" t="n">
        <f aca="false">Sens!$O$3506/(Q!$F$14+Q!$G$14)-1</f>
        <v>0.127709997366804</v>
      </c>
      <c r="G3507" s="12" t="n">
        <f aca="false">Sens!$G$3506/Sens!$D$3506-1</f>
        <v>0.131313329416905</v>
      </c>
      <c r="H3507" s="12" t="n">
        <f aca="false">Sens!$F$3507+(g_sub-Sens!$F$3507)*1/4</f>
        <v>0.113282498025103</v>
      </c>
      <c r="I3507" s="12" t="n">
        <f aca="false">Sens!$F$3507+(g_sub-Sens!$F$3507)*2/4</f>
        <v>0.0988549986834021</v>
      </c>
      <c r="J3507" s="12" t="n">
        <f aca="false">Sens!$F$3507+(g_sub-Sens!$F$3507)*3/4</f>
        <v>0.084427499341701</v>
      </c>
      <c r="K3507" s="12" t="n">
        <f aca="false">Sens!$F$3507+(g_sub-Sens!$F$3507)*4/4</f>
        <v>0.07</v>
      </c>
      <c r="L3507" s="12" t="n">
        <f aca="false">g_sub</f>
        <v>0.07</v>
      </c>
      <c r="M3507" s="12" t="n">
        <f aca="false">g_sub</f>
        <v>0.07</v>
      </c>
      <c r="P3507" s="8" t="s">
        <v>632</v>
      </c>
    </row>
    <row r="3508" customFormat="false" ht="17.15" hidden="false" customHeight="false" outlineLevel="0" collapsed="false">
      <c r="A3508" s="0" t="s">
        <v>484</v>
      </c>
      <c r="B3508" s="0" t="s">
        <v>73</v>
      </c>
      <c r="C3508" s="38" t="n">
        <f aca="false">Q!$D$15</f>
        <v>5.425</v>
      </c>
      <c r="D3508" s="38" t="n">
        <f aca="false">Q!$E$15</f>
        <v>5.935</v>
      </c>
      <c r="E3508" s="38" t="n">
        <f aca="false">Q!$P$15</f>
        <v>3.474</v>
      </c>
      <c r="F3508" s="38" t="n">
        <f aca="false">Sens!$O$3508*(1+Sens!$F$3509)</f>
        <v>3.36182431966931</v>
      </c>
      <c r="G3508" s="38" t="n">
        <f aca="false">Sens!$E$3508+Sens!$F$3508</f>
        <v>6.83582431966931</v>
      </c>
      <c r="H3508" s="38" t="n">
        <f aca="false">Sens!$G$3508*(1+Sens!$H$3509)</f>
        <v>7.31157108370141</v>
      </c>
      <c r="I3508" s="38" t="n">
        <f aca="false">Sens!$H$3508*(1+Sens!$I$3509)</f>
        <v>7.77266852639815</v>
      </c>
      <c r="J3508" s="38" t="n">
        <f aca="false">Sens!$I$3508*(1+Sens!$J$3509)</f>
        <v>8.2120733019884</v>
      </c>
      <c r="K3508" s="38" t="n">
        <f aca="false">Sens!$J$3508*(1+Sens!$K$3509)</f>
        <v>8.62267696708783</v>
      </c>
      <c r="L3508" s="38" t="n">
        <f aca="false">Sens!$K$3508*(1+Sens!$L$3509)</f>
        <v>9.05381081544222</v>
      </c>
      <c r="M3508" s="38" t="n">
        <f aca="false">Sens!$L$3508*(1+Sens!$M$3509)</f>
        <v>9.50650135621433</v>
      </c>
      <c r="N3508" s="38" t="n">
        <f aca="false">Q!$N$15</f>
        <v>2.811</v>
      </c>
      <c r="O3508" s="38" t="n">
        <f aca="false">Q!$O$15</f>
        <v>3.124</v>
      </c>
      <c r="P3508" s="8" t="s">
        <v>622</v>
      </c>
    </row>
    <row r="3509" customFormat="false" ht="17.15" hidden="false" customHeight="false" outlineLevel="0" collapsed="false">
      <c r="A3509" s="0" t="s">
        <v>633</v>
      </c>
      <c r="B3509" s="0" t="s">
        <v>52</v>
      </c>
      <c r="E3509" s="12" t="n">
        <f aca="false">Sens!$E$3508/Sens!$N$3508-1</f>
        <v>0.235859124866596</v>
      </c>
      <c r="F3509" s="12" t="n">
        <f aca="false">Sens!$O$3508/(Q!$F$15+Q!$G$15)-1</f>
        <v>0.0761281433000345</v>
      </c>
      <c r="G3509" s="12" t="n">
        <f aca="false">Sens!$G$3508/Sens!$D$3508-1</f>
        <v>0.151781688234087</v>
      </c>
      <c r="H3509" s="12" t="n">
        <f aca="false">Sens!$F$3509+(g_ot-Sens!$F$3509)*1/4</f>
        <v>0.0695961074750259</v>
      </c>
      <c r="I3509" s="12" t="n">
        <f aca="false">Sens!$F$3509+(g_ot-Sens!$F$3509)*2/4</f>
        <v>0.0630640716500172</v>
      </c>
      <c r="J3509" s="12" t="n">
        <f aca="false">Sens!$F$3509+(g_ot-Sens!$F$3509)*3/4</f>
        <v>0.0565320358250086</v>
      </c>
      <c r="K3509" s="12" t="n">
        <f aca="false">Sens!$F$3509+(g_ot-Sens!$F$3509)*4/4</f>
        <v>0.05</v>
      </c>
      <c r="L3509" s="12" t="n">
        <f aca="false">g_ot</f>
        <v>0.05</v>
      </c>
      <c r="M3509" s="12" t="n">
        <f aca="false">g_ot</f>
        <v>0.05</v>
      </c>
      <c r="P3509" s="8" t="s">
        <v>634</v>
      </c>
    </row>
    <row r="3510" customFormat="false" ht="17.15" hidden="false" customHeight="false" outlineLevel="0" collapsed="false">
      <c r="A3510" s="3" t="s">
        <v>635</v>
      </c>
      <c r="B3510" s="8" t="s">
        <v>73</v>
      </c>
      <c r="C3510" s="38" t="n">
        <f aca="false">Sens!$C$3498+Sens!$C$3500+Sens!$C$3502+Sens!$C$3504+Sens!$C$3506+Sens!$C$3508</f>
        <v>530.403</v>
      </c>
      <c r="D3510" s="38" t="n">
        <f aca="false">Sens!$D$3498+Sens!$D$3500+Sens!$D$3502+Sens!$D$3504+Sens!$D$3506+Sens!$D$3508</f>
        <v>588.199</v>
      </c>
      <c r="E3510" s="38" t="n">
        <f aca="false">Sens!$E$3498+Sens!$E$3500+Sens!$E$3502+Sens!$E$3504+Sens!$E$3506+Sens!$E$3508</f>
        <v>302.306</v>
      </c>
      <c r="F3510" s="38" t="n">
        <f aca="false">Sens!$F$3498+Sens!$F$3500+Sens!$F$3502+Sens!$F$3504+Sens!$F$3506+Sens!$F$3508</f>
        <v>356.93642920843</v>
      </c>
      <c r="G3510" s="38" t="n">
        <f aca="false">Sens!$G$3498+Sens!$G$3500+Sens!$G$3502+Sens!$G$3504+Sens!$G$3506+Sens!$G$3508</f>
        <v>659.24242920843</v>
      </c>
      <c r="H3510" s="38" t="n">
        <f aca="false">Sens!$H$3498+Sens!$H$3500+Sens!$H$3502+Sens!$H$3504+Sens!$H$3506+Sens!$H$3508</f>
        <v>729.29669758533</v>
      </c>
      <c r="I3510" s="38" t="n">
        <f aca="false">Sens!$I$3498+Sens!$I$3500+Sens!$I$3502+Sens!$I$3504+Sens!$I$3506+Sens!$I$3508</f>
        <v>796.024973381237</v>
      </c>
      <c r="J3510" s="38" t="n">
        <f aca="false">Sens!$J$3498+Sens!$J$3500+Sens!$J$3502+Sens!$J$3504+Sens!$J$3506+Sens!$J$3508</f>
        <v>856.528104802038</v>
      </c>
      <c r="K3510" s="38" t="n">
        <f aca="false">Sens!$K$3498+Sens!$K$3500+Sens!$K$3502+Sens!$K$3504+Sens!$K$3506+Sens!$K$3508</f>
        <v>907.92459198005</v>
      </c>
      <c r="L3510" s="38" t="n">
        <f aca="false">Sens!$L$3498+Sens!$L$3500+Sens!$L$3502+Sens!$L$3504+Sens!$L$3506+Sens!$L$3508</f>
        <v>962.512357004147</v>
      </c>
      <c r="M3510" s="38" t="n">
        <f aca="false">Sens!$M$3498+Sens!$M$3500+Sens!$M$3502+Sens!$M$3504+Sens!$M$3506+Sens!$M$3508</f>
        <v>1020.49511194328</v>
      </c>
      <c r="N3510" s="38" t="n">
        <f aca="false">Sens!$N$3498+Sens!$N$3500+Sens!$N$3502+Sens!$N$3504+Sens!$N$3506+Sens!$N$3508</f>
        <v>263.229</v>
      </c>
      <c r="O3510" s="38" t="n">
        <f aca="false">Sens!$O$3498+Sens!$O$3500+Sens!$O$3502+Sens!$O$3504+Sens!$O$3506+Sens!$O$3508</f>
        <v>324.97</v>
      </c>
    </row>
    <row r="3511" customFormat="false" ht="17.15" hidden="false" customHeight="false" outlineLevel="0" collapsed="false">
      <c r="A3511" s="5" t="s">
        <v>636</v>
      </c>
      <c r="B3511" s="0" t="s">
        <v>52</v>
      </c>
      <c r="C3511" s="12" t="n">
        <f aca="false">Q!$D$5/(Q!$D$5+Q!$D$6)</f>
        <v>0.730570905519011</v>
      </c>
      <c r="D3511" s="12" t="n">
        <f aca="false">Q!$E$5/(Q!$E$5+Q!$E$6)</f>
        <v>0.724763217890544</v>
      </c>
      <c r="E3511" s="12" t="n">
        <f aca="false">Q!$P$5/(Q!$P$5+Q!$P$6)</f>
        <v>0.728797972914861</v>
      </c>
      <c r="F3511" s="12" t="n">
        <f aca="false">Sens!$O$3511</f>
        <v>0.718066283041511</v>
      </c>
      <c r="G3511" s="12" t="n">
        <f aca="false">Sens!$G$3512/Sens!$G$3510</f>
        <v>0.722987468473627</v>
      </c>
      <c r="H3511" s="12" t="n">
        <f aca="false">Sens!$G$3511</f>
        <v>0.722987468473627</v>
      </c>
      <c r="I3511" s="12" t="n">
        <f aca="false">Sens!$G$3511</f>
        <v>0.722987468473627</v>
      </c>
      <c r="J3511" s="12" t="n">
        <f aca="false">Sens!$G$3511</f>
        <v>0.722987468473627</v>
      </c>
      <c r="K3511" s="12" t="n">
        <f aca="false">Sens!$G$3511</f>
        <v>0.722987468473627</v>
      </c>
      <c r="L3511" s="12" t="n">
        <f aca="false">Sens!$G$3511</f>
        <v>0.722987468473627</v>
      </c>
      <c r="M3511" s="12" t="n">
        <f aca="false">Sens!$G$3511</f>
        <v>0.722987468473627</v>
      </c>
      <c r="N3511" s="12" t="n">
        <f aca="false">Q!$N$5/(Q!$N$5+Q!$N$6)</f>
        <v>0.733030935041352</v>
      </c>
      <c r="O3511" s="12" t="n">
        <f aca="false">Q!$O$5/(Q!$O$5+Q!$O$6)</f>
        <v>0.718066283041511</v>
      </c>
      <c r="P3511" s="8" t="s">
        <v>637</v>
      </c>
    </row>
    <row r="3512" customFormat="false" ht="17.15" hidden="false" customHeight="false" outlineLevel="0" collapsed="false">
      <c r="A3512" s="1" t="s">
        <v>472</v>
      </c>
      <c r="B3512" s="8" t="s">
        <v>73</v>
      </c>
      <c r="C3512" s="38" t="n">
        <f aca="false">Q!$D$5</f>
        <v>387.497</v>
      </c>
      <c r="D3512" s="38" t="n">
        <f aca="false">Q!$E$5</f>
        <v>426.305</v>
      </c>
      <c r="E3512" s="38" t="n">
        <f aca="false">Q!$P$5</f>
        <v>220.32</v>
      </c>
      <c r="F3512" s="38" t="n">
        <f aca="false">Sens!$F$3510*Sens!$F$3511</f>
        <v>256.304015003807</v>
      </c>
      <c r="G3512" s="38" t="n">
        <f aca="false">Sens!$E$3512+Sens!$F$3512</f>
        <v>476.624015003807</v>
      </c>
      <c r="H3512" s="38" t="n">
        <f aca="false">Sens!$H$3510*Sens!$H$3511</f>
        <v>527.272373153394</v>
      </c>
      <c r="I3512" s="38" t="n">
        <f aca="false">Sens!$I$3510*Sens!$I$3511</f>
        <v>575.516080346687</v>
      </c>
      <c r="J3512" s="38" t="n">
        <f aca="false">Sens!$J$3510*Sens!$J$3511</f>
        <v>619.259086167339</v>
      </c>
      <c r="K3512" s="38" t="n">
        <f aca="false">Sens!$K$3510*Sens!$K$3511</f>
        <v>656.418102320607</v>
      </c>
      <c r="L3512" s="38" t="n">
        <f aca="false">Sens!$L$3510*Sens!$L$3511</f>
        <v>695.884372365012</v>
      </c>
      <c r="M3512" s="38" t="n">
        <f aca="false">Sens!$M$3510*Sens!$M$3511</f>
        <v>737.805177573583</v>
      </c>
      <c r="N3512" s="38" t="n">
        <f aca="false">Q!$N$5</f>
        <v>192.955</v>
      </c>
      <c r="O3512" s="38" t="n">
        <f aca="false">Q!$O$5</f>
        <v>233.35</v>
      </c>
      <c r="P3512" s="5" t="s">
        <v>638</v>
      </c>
    </row>
    <row r="3513" customFormat="false" ht="17.15" hidden="false" customHeight="false" outlineLevel="0" collapsed="false">
      <c r="A3513" s="1" t="s">
        <v>475</v>
      </c>
      <c r="B3513" s="8" t="s">
        <v>73</v>
      </c>
      <c r="C3513" s="38" t="n">
        <f aca="false">Q!$D$6</f>
        <v>142.906</v>
      </c>
      <c r="D3513" s="38" t="n">
        <f aca="false">Q!$E$6</f>
        <v>161.894</v>
      </c>
      <c r="E3513" s="38" t="n">
        <f aca="false">Q!$P$6</f>
        <v>81.986</v>
      </c>
      <c r="F3513" s="38" t="n">
        <f aca="false">Sens!$F$3510*(1-Sens!$F$3511)</f>
        <v>100.632414204623</v>
      </c>
      <c r="G3513" s="38" t="n">
        <f aca="false">Sens!$E$3513+Sens!$F$3513</f>
        <v>182.618414204623</v>
      </c>
      <c r="H3513" s="38" t="n">
        <f aca="false">Sens!$H$3510*(1-Sens!$H$3511)</f>
        <v>202.024324431936</v>
      </c>
      <c r="I3513" s="38" t="n">
        <f aca="false">Sens!$I$3510*(1-Sens!$I$3511)</f>
        <v>220.50889303455</v>
      </c>
      <c r="J3513" s="38" t="n">
        <f aca="false">Sens!$J$3510*(1-Sens!$J$3511)</f>
        <v>237.269018634699</v>
      </c>
      <c r="K3513" s="38" t="n">
        <f aca="false">Sens!$K$3510*(1-Sens!$K$3511)</f>
        <v>251.506489659443</v>
      </c>
      <c r="L3513" s="38" t="n">
        <f aca="false">Sens!$L$3510*(1-Sens!$L$3511)</f>
        <v>266.627984639135</v>
      </c>
      <c r="M3513" s="38" t="n">
        <f aca="false">Sens!$M$3510*(1-Sens!$M$3511)</f>
        <v>282.689934369698</v>
      </c>
      <c r="N3513" s="38" t="n">
        <f aca="false">Q!$N$6</f>
        <v>70.274</v>
      </c>
      <c r="O3513" s="38" t="n">
        <f aca="false">Q!$O$6</f>
        <v>91.62</v>
      </c>
      <c r="P3513" s="5" t="s">
        <v>639</v>
      </c>
    </row>
    <row r="3514" customFormat="false" ht="17.15" hidden="false" customHeight="false" outlineLevel="0" collapsed="false">
      <c r="A3514" s="5" t="s">
        <v>640</v>
      </c>
      <c r="B3514" s="0" t="s">
        <v>73</v>
      </c>
      <c r="C3514" s="38" t="n">
        <f aca="false">Sens!$C$3504*Sens!$C$3511</f>
        <v>41.0683128828457</v>
      </c>
      <c r="D3514" s="38" t="n">
        <f aca="false">Sens!$D$3504*Sens!$D$3511</f>
        <v>49.7441234599175</v>
      </c>
      <c r="E3514" s="38" t="n">
        <f aca="false">Sens!$E$3504*Sens!$E$3511</f>
        <v>27.0034224924414</v>
      </c>
      <c r="F3514" s="38" t="n">
        <f aca="false">Sens!$F$3504*Sens!$F$3511</f>
        <v>34.5772885649197</v>
      </c>
      <c r="G3514" s="38" t="n">
        <f aca="false">Sens!$G$3504*Sens!$G$3511</f>
        <v>61.6023917531772</v>
      </c>
      <c r="H3514" s="38" t="n">
        <f aca="false">Sens!$H$3504*Sens!$H$3511</f>
        <v>73.4948007939031</v>
      </c>
      <c r="I3514" s="38" t="n">
        <f aca="false">Sens!$I$3504*Sens!$I$3511</f>
        <v>84.6685138796561</v>
      </c>
      <c r="J3514" s="38" t="n">
        <f aca="false">Sens!$J$3504*Sens!$J$3511</f>
        <v>94.0681609012183</v>
      </c>
      <c r="K3514" s="38" t="n">
        <f aca="false">Sens!$K$3504*Sens!$K$3511</f>
        <v>100.652932164304</v>
      </c>
      <c r="L3514" s="38" t="n">
        <f aca="false">Sens!$L$3504*Sens!$L$3511</f>
        <v>107.698637415805</v>
      </c>
      <c r="M3514" s="38" t="n">
        <f aca="false">Sens!$M$3504*Sens!$M$3511</f>
        <v>115.237542034911</v>
      </c>
      <c r="N3514" s="38" t="n">
        <f aca="false">Sens!$N$3504*Sens!$N$3511</f>
        <v>21.7087111412496</v>
      </c>
      <c r="O3514" s="38" t="n">
        <f aca="false">Sens!$O$3504*Sens!$O$3511</f>
        <v>28.0189463642798</v>
      </c>
      <c r="P3514" s="5" t="s">
        <v>641</v>
      </c>
    </row>
    <row r="3515" customFormat="false" ht="15" hidden="false" customHeight="false" outlineLevel="0" collapsed="false">
      <c r="A3515" s="5" t="s">
        <v>642</v>
      </c>
      <c r="B3515" s="0" t="s">
        <v>73</v>
      </c>
      <c r="C3515" s="38" t="n">
        <f aca="false">Sens!$C$3504-Sens!$C$3514</f>
        <v>15.1456871171543</v>
      </c>
      <c r="D3515" s="38" t="n">
        <f aca="false">Sens!$D$3504-Sens!$D$3514</f>
        <v>18.8908765400825</v>
      </c>
      <c r="E3515" s="38" t="n">
        <f aca="false">Sens!$E$3504-Sens!$E$3514</f>
        <v>10.0485775075586</v>
      </c>
      <c r="F3515" s="38" t="n">
        <f aca="false">Sens!$F$3504-Sens!$F$3514</f>
        <v>13.5760496178185</v>
      </c>
      <c r="G3515" s="38" t="n">
        <f aca="false">Sens!$G$3504-Sens!$G$3514</f>
        <v>23.6029464295611</v>
      </c>
      <c r="H3515" s="38" t="n">
        <f aca="false">Sens!$H$3504-Sens!$H$3514</f>
        <v>28.1595210286667</v>
      </c>
      <c r="I3515" s="38" t="n">
        <f aca="false">Sens!$I$3504-Sens!$I$3514</f>
        <v>32.4407273889491</v>
      </c>
      <c r="J3515" s="38" t="n">
        <f aca="false">Sens!$J$3504-Sens!$J$3514</f>
        <v>36.0422006238788</v>
      </c>
      <c r="K3515" s="38" t="n">
        <f aca="false">Sens!$K$3504-Sens!$K$3514</f>
        <v>38.5651546675503</v>
      </c>
      <c r="L3515" s="38" t="n">
        <f aca="false">Sens!$L$3504-Sens!$L$3514</f>
        <v>41.2647154942788</v>
      </c>
      <c r="M3515" s="38" t="n">
        <f aca="false">Sens!$M$3504-Sens!$M$3514</f>
        <v>44.1532455788783</v>
      </c>
      <c r="N3515" s="38" t="n">
        <f aca="false">Sens!$N$3504-Sens!$N$3514</f>
        <v>7.90628885875037</v>
      </c>
      <c r="O3515" s="38" t="n">
        <f aca="false">Sens!$O$3504-Sens!$O$3514</f>
        <v>11.0010536357202</v>
      </c>
    </row>
    <row r="3516" customFormat="false" ht="19.4" hidden="false" customHeight="false" outlineLevel="0" collapsed="false">
      <c r="A3516" s="31" t="s">
        <v>1121</v>
      </c>
    </row>
    <row r="3517" customFormat="false" ht="17.15" hidden="false" customHeight="false" outlineLevel="0" collapsed="false">
      <c r="A3517" s="6" t="s">
        <v>16</v>
      </c>
      <c r="B3517" s="6" t="s">
        <v>17</v>
      </c>
      <c r="C3517" s="20" t="s">
        <v>457</v>
      </c>
      <c r="D3517" s="20" t="s">
        <v>458</v>
      </c>
      <c r="E3517" s="20" t="s">
        <v>540</v>
      </c>
      <c r="F3517" s="20" t="s">
        <v>541</v>
      </c>
      <c r="G3517" s="20" t="s">
        <v>542</v>
      </c>
      <c r="H3517" s="20" t="s">
        <v>543</v>
      </c>
      <c r="I3517" s="20" t="s">
        <v>544</v>
      </c>
      <c r="J3517" s="20" t="s">
        <v>545</v>
      </c>
      <c r="K3517" s="20" t="s">
        <v>546</v>
      </c>
      <c r="L3517" s="20" t="s">
        <v>547</v>
      </c>
      <c r="M3517" s="20" t="s">
        <v>548</v>
      </c>
      <c r="N3517" s="20" t="s">
        <v>549</v>
      </c>
      <c r="O3517" s="20" t="s">
        <v>550</v>
      </c>
      <c r="P3517" s="6" t="s">
        <v>23</v>
      </c>
      <c r="R3517" s="20" t="n">
        <v>2023</v>
      </c>
      <c r="S3517" s="20" t="n">
        <v>2024</v>
      </c>
      <c r="T3517" s="20" t="n">
        <v>2025</v>
      </c>
      <c r="U3517" s="20" t="n">
        <v>2026</v>
      </c>
      <c r="V3517" s="20" t="n">
        <v>2027</v>
      </c>
      <c r="W3517" s="20" t="n">
        <v>2028</v>
      </c>
      <c r="X3517" s="20" t="n">
        <v>2029</v>
      </c>
      <c r="Y3517" s="20" t="n">
        <v>2030</v>
      </c>
      <c r="Z3517" s="20" t="n">
        <v>2031</v>
      </c>
      <c r="AA3517" s="20" t="n">
        <v>2032</v>
      </c>
    </row>
    <row r="3518" customFormat="false" ht="17.15" hidden="false" customHeight="false" outlineLevel="0" collapsed="false">
      <c r="A3518" s="1" t="s">
        <v>551</v>
      </c>
    </row>
    <row r="3519" customFormat="false" ht="17.15" hidden="false" customHeight="false" outlineLevel="0" collapsed="false">
      <c r="A3519" s="14" t="s">
        <v>552</v>
      </c>
      <c r="B3519" s="13" t="s">
        <v>108</v>
      </c>
      <c r="C3519" s="32" t="n">
        <f aca="false">mw_ye24</f>
        <v>360</v>
      </c>
      <c r="D3519" s="32" t="n">
        <f aca="false">mw_ye25</f>
        <v>1440</v>
      </c>
      <c r="E3519" s="32" t="n">
        <f aca="false">mw_open</f>
        <v>2080</v>
      </c>
      <c r="F3519" s="32" t="n">
        <f aca="false">Sens!$E$3519+pace_B*0.5</f>
        <v>3897.15</v>
      </c>
      <c r="G3519" s="32" t="n">
        <f aca="false">Sens!$F$3519</f>
        <v>3897.15</v>
      </c>
      <c r="H3519" s="32" t="n">
        <f aca="false">Sens!$G$3519+pace_B</f>
        <v>7531.45</v>
      </c>
      <c r="I3519" s="32" t="n">
        <f aca="false">Sens!$H$3519+pace_B</f>
        <v>11165.75</v>
      </c>
      <c r="J3519" s="32" t="n">
        <f aca="false">Sens!$I$3519+pace_B</f>
        <v>14800.05</v>
      </c>
      <c r="K3519" s="32" t="n">
        <f aca="false">Sens!$J$3519+pace_B</f>
        <v>18434.35</v>
      </c>
      <c r="L3519" s="32" t="n">
        <f aca="false">Sens!$K$3519+pace_B</f>
        <v>22068.65</v>
      </c>
      <c r="M3519" s="32" t="n">
        <f aca="false">Sens!$L$3519+pace_B</f>
        <v>25702.95</v>
      </c>
      <c r="N3519" s="32" t="n">
        <f aca="false">(mw_ye24+mw_ye25)/2</f>
        <v>900</v>
      </c>
      <c r="O3519" s="32" t="n">
        <f aca="false">mw_ye25</f>
        <v>1440</v>
      </c>
      <c r="P3519" s="5" t="s">
        <v>553</v>
      </c>
    </row>
    <row r="3520" customFormat="false" ht="17.15" hidden="false" customHeight="false" outlineLevel="0" collapsed="false">
      <c r="A3520" s="5" t="s">
        <v>554</v>
      </c>
      <c r="B3520" s="0" t="s">
        <v>108</v>
      </c>
      <c r="C3520" s="33" t="n">
        <f aca="false">(mw_ye23+mw_ye24)/2</f>
        <v>240</v>
      </c>
      <c r="D3520" s="33" t="n">
        <f aca="false">(Sens!$C$3519+Sens!$D$3519)/2</f>
        <v>900</v>
      </c>
      <c r="E3520" s="33" t="n">
        <f aca="false">(Sens!$D$3519+Sens!$E$3519)/2</f>
        <v>1760</v>
      </c>
      <c r="F3520" s="33" t="n">
        <f aca="false">(Sens!$E$3519+Sens!$F$3519)/2</f>
        <v>2988.575</v>
      </c>
      <c r="G3520" s="33" t="n">
        <f aca="false">(Sens!$E$3520+Sens!$F$3520)/2</f>
        <v>2374.2875</v>
      </c>
      <c r="H3520" s="33" t="n">
        <f aca="false">(Sens!$G$3519+Sens!$H$3519)/2</f>
        <v>5714.3</v>
      </c>
      <c r="I3520" s="33" t="n">
        <f aca="false">(Sens!$H$3519+Sens!$I$3519)/2</f>
        <v>9348.6</v>
      </c>
      <c r="J3520" s="33" t="n">
        <f aca="false">(Sens!$I$3519+Sens!$J$3519)/2</f>
        <v>12982.9</v>
      </c>
      <c r="K3520" s="33" t="n">
        <f aca="false">(Sens!$J$3519+Sens!$K$3519)/2</f>
        <v>16617.2</v>
      </c>
      <c r="L3520" s="33" t="n">
        <f aca="false">(Sens!$K$3519+Sens!$L$3519)/2</f>
        <v>20251.5</v>
      </c>
      <c r="M3520" s="33" t="n">
        <f aca="false">(Sens!$L$3519+Sens!$M$3519)/2</f>
        <v>23885.8</v>
      </c>
      <c r="N3520" s="33" t="n">
        <f aca="false">(Sens!$C$3519+Sens!$N$3519)/2</f>
        <v>630</v>
      </c>
      <c r="O3520" s="33" t="n">
        <f aca="false">(Sens!$N$3519+Sens!$O$3519)/2</f>
        <v>1170</v>
      </c>
    </row>
    <row r="3521" customFormat="false" ht="15" hidden="false" customHeight="false" outlineLevel="0" collapsed="false">
      <c r="A3521" s="5" t="s">
        <v>555</v>
      </c>
      <c r="B3521" s="5" t="s">
        <v>102</v>
      </c>
      <c r="C3521" s="34" t="n">
        <v>1</v>
      </c>
      <c r="D3521" s="34" t="n">
        <v>1</v>
      </c>
      <c r="E3521" s="34" t="n">
        <v>0.5</v>
      </c>
      <c r="F3521" s="34" t="n">
        <v>0.5</v>
      </c>
      <c r="G3521" s="34" t="n">
        <v>1</v>
      </c>
      <c r="H3521" s="34" t="n">
        <v>1</v>
      </c>
      <c r="I3521" s="34" t="n">
        <v>1</v>
      </c>
      <c r="J3521" s="34" t="n">
        <v>1</v>
      </c>
      <c r="K3521" s="34" t="n">
        <v>1</v>
      </c>
      <c r="L3521" s="34" t="n">
        <v>1</v>
      </c>
      <c r="M3521" s="34" t="n">
        <v>1</v>
      </c>
      <c r="N3521" s="34" t="n">
        <v>0.5</v>
      </c>
      <c r="O3521" s="34" t="n">
        <v>0.5</v>
      </c>
    </row>
    <row r="3522" customFormat="false" ht="17.15" hidden="false" customHeight="false" outlineLevel="0" collapsed="false">
      <c r="A3522" s="5" t="s">
        <v>556</v>
      </c>
      <c r="B3522" s="0" t="s">
        <v>108</v>
      </c>
      <c r="C3522" s="33" t="n">
        <f aca="false">Sens!$C$3519-mw_ye23</f>
        <v>240</v>
      </c>
      <c r="D3522" s="33" t="n">
        <f aca="false">Sens!$D$3519-Sens!$C$3519</f>
        <v>1080</v>
      </c>
      <c r="E3522" s="33" t="n">
        <f aca="false">Sens!$E$3519-Sens!$D$3519</f>
        <v>640</v>
      </c>
      <c r="F3522" s="33" t="n">
        <f aca="false">Sens!$F$3519-Sens!$E$3519</f>
        <v>1817.15</v>
      </c>
      <c r="G3522" s="33" t="n">
        <f aca="false">Sens!$E$3522+Sens!$F$3522</f>
        <v>2457.15</v>
      </c>
      <c r="H3522" s="33" t="n">
        <f aca="false">Sens!$H$3519-Sens!$G$3519</f>
        <v>3634.3</v>
      </c>
      <c r="I3522" s="33" t="n">
        <f aca="false">Sens!$I$3519-Sens!$H$3519</f>
        <v>3634.3</v>
      </c>
      <c r="J3522" s="33" t="n">
        <f aca="false">Sens!$J$3519-Sens!$I$3519</f>
        <v>3634.3</v>
      </c>
      <c r="K3522" s="33" t="n">
        <f aca="false">Sens!$K$3519-Sens!$J$3519</f>
        <v>3634.3</v>
      </c>
      <c r="L3522" s="33" t="n">
        <f aca="false">Sens!$L$3519-Sens!$K$3519</f>
        <v>3634.3</v>
      </c>
      <c r="M3522" s="33" t="n">
        <f aca="false">Sens!$M$3519-Sens!$L$3519</f>
        <v>3634.3</v>
      </c>
      <c r="N3522" s="33" t="n">
        <f aca="false">Sens!$N$3519-Sens!$C$3519</f>
        <v>540</v>
      </c>
      <c r="O3522" s="33" t="n">
        <f aca="false">Sens!$O$3519-Sens!$N$3519</f>
        <v>540</v>
      </c>
    </row>
    <row r="3523" customFormat="false" ht="17.15" hidden="false" customHeight="false" outlineLevel="0" collapsed="false">
      <c r="A3523" s="5" t="s">
        <v>557</v>
      </c>
      <c r="B3523" s="0" t="s">
        <v>108</v>
      </c>
      <c r="C3523" s="33" t="n">
        <f aca="false">Sens!$C$3522/ext_sh</f>
        <v>300</v>
      </c>
      <c r="D3523" s="33" t="n">
        <f aca="false">Sens!$D$3522/ext_sh</f>
        <v>1350</v>
      </c>
      <c r="E3523" s="33" t="n">
        <f aca="false">Sens!$E$3522/ext_sh</f>
        <v>800</v>
      </c>
      <c r="F3523" s="33" t="n">
        <f aca="false">Sens!$F$3522/ext_sh</f>
        <v>2271.4375</v>
      </c>
      <c r="G3523" s="33" t="n">
        <f aca="false">Sens!$G$3522/ext_sh</f>
        <v>3071.4375</v>
      </c>
      <c r="H3523" s="33" t="n">
        <f aca="false">Sens!$H$3522/ext_sh</f>
        <v>4542.875</v>
      </c>
      <c r="I3523" s="33" t="n">
        <f aca="false">Sens!$I$3522/ext_sh</f>
        <v>4542.875</v>
      </c>
      <c r="J3523" s="33" t="n">
        <f aca="false">Sens!$J$3522/ext_sh</f>
        <v>4542.875</v>
      </c>
      <c r="K3523" s="33" t="n">
        <f aca="false">Sens!$K$3522/ext_sh</f>
        <v>4542.875</v>
      </c>
      <c r="L3523" s="33" t="n">
        <f aca="false">Sens!$L$3522/ext_sh</f>
        <v>4542.875</v>
      </c>
      <c r="M3523" s="33" t="n">
        <f aca="false">Sens!$M$3522/ext_sh</f>
        <v>4542.875</v>
      </c>
      <c r="N3523" s="33" t="n">
        <f aca="false">Sens!$N$3522/ext_sh</f>
        <v>675</v>
      </c>
      <c r="O3523" s="33" t="n">
        <f aca="false">Sens!$O$3522/ext_sh</f>
        <v>675</v>
      </c>
      <c r="P3523" s="8" t="s">
        <v>558</v>
      </c>
      <c r="R3523" s="33" t="n">
        <f aca="false">mw_ye23/ext_sh</f>
        <v>150</v>
      </c>
      <c r="S3523" s="33" t="n">
        <f aca="false">Sens!$C$3523</f>
        <v>300</v>
      </c>
      <c r="T3523" s="33" t="n">
        <f aca="false">Sens!$D$3523</f>
        <v>1350</v>
      </c>
      <c r="U3523" s="33" t="n">
        <f aca="false">Sens!$G$3523</f>
        <v>3071.4375</v>
      </c>
      <c r="V3523" s="33" t="n">
        <f aca="false">Sens!$H$3523</f>
        <v>4542.875</v>
      </c>
      <c r="W3523" s="33" t="n">
        <f aca="false">Sens!$I$3523</f>
        <v>4542.875</v>
      </c>
      <c r="X3523" s="33" t="n">
        <f aca="false">Sens!$J$3523</f>
        <v>4542.875</v>
      </c>
      <c r="Y3523" s="33" t="n">
        <f aca="false">Sens!$K$3523</f>
        <v>4542.875</v>
      </c>
      <c r="Z3523" s="33" t="n">
        <f aca="false">Sens!$L$3523</f>
        <v>4542.875</v>
      </c>
      <c r="AA3523" s="33" t="n">
        <f aca="false">Sens!$M$3523</f>
        <v>4542.875</v>
      </c>
    </row>
    <row r="3524" customFormat="false" ht="17.15" hidden="false" customHeight="false" outlineLevel="0" collapsed="false">
      <c r="A3524" s="1" t="s">
        <v>559</v>
      </c>
    </row>
    <row r="3525" customFormat="false" ht="17.15" hidden="false" customHeight="false" outlineLevel="0" collapsed="false">
      <c r="A3525" s="0" t="s">
        <v>560</v>
      </c>
      <c r="B3525" s="0" t="s">
        <v>52</v>
      </c>
      <c r="F3525" s="35" t="n">
        <f aca="false">na_vr26</f>
        <v>0</v>
      </c>
      <c r="G3525" s="35" t="n">
        <f aca="false">na_vr26</f>
        <v>0</v>
      </c>
      <c r="H3525" s="35" t="n">
        <f aca="false">na_vr27</f>
        <v>0.5</v>
      </c>
      <c r="I3525" s="35" t="n">
        <f aca="false">na_vr28</f>
        <v>1</v>
      </c>
      <c r="J3525" s="35" t="n">
        <f aca="false">na_vr28</f>
        <v>1</v>
      </c>
      <c r="K3525" s="35" t="n">
        <f aca="false">na_vr28</f>
        <v>1</v>
      </c>
      <c r="L3525" s="35" t="n">
        <f aca="false">na_vr28</f>
        <v>1</v>
      </c>
      <c r="M3525" s="35" t="n">
        <f aca="false">na_vr28</f>
        <v>1</v>
      </c>
    </row>
    <row r="3526" customFormat="false" ht="17.15" hidden="false" customHeight="false" outlineLevel="0" collapsed="false">
      <c r="A3526" s="5" t="s">
        <v>561</v>
      </c>
      <c r="B3526" s="0" t="s">
        <v>151</v>
      </c>
      <c r="F3526" s="36" t="n">
        <f aca="false">cust_sh*tk_he_gb300*cf_chip+(1-cust_sh)*((1-Sens!$F$3525)*tk_he_gb300+Sens!$F$3525*tk_he_vr200)</f>
        <v>10.8864110021101</v>
      </c>
      <c r="G3526" s="36" t="n">
        <f aca="false">cust_sh*tk_he_gb300*cf_chip+(1-cust_sh)*((1-Sens!$G$3525)*tk_he_gb300+Sens!$G$3525*tk_he_vr200)</f>
        <v>10.8864110021101</v>
      </c>
      <c r="H3526" s="36" t="n">
        <f aca="false">cust_sh*tk_he_gb300*cf_chip+(1-cust_sh)*((1-Sens!$H$3525)*tk_he_gb300+Sens!$H$3525*tk_he_vr200)</f>
        <v>11.2211760027286</v>
      </c>
      <c r="I3526" s="36" t="n">
        <f aca="false">cust_sh*tk_he_gb300*cf_chip+(1-cust_sh)*((1-Sens!$I$3525)*tk_he_gb300+Sens!$I$3525*tk_he_vr200)</f>
        <v>11.5559410033471</v>
      </c>
      <c r="J3526" s="36" t="n">
        <f aca="false">cust_sh*tk_he_gb300*cf_chip+(1-cust_sh)*((1-Sens!$J$3525)*tk_he_gb300+Sens!$J$3525*tk_he_vr200)</f>
        <v>11.5559410033471</v>
      </c>
      <c r="K3526" s="36" t="n">
        <f aca="false">cust_sh*tk_he_gb300*cf_chip+(1-cust_sh)*((1-Sens!$K$3525)*tk_he_gb300+Sens!$K$3525*tk_he_vr200)</f>
        <v>11.5559410033471</v>
      </c>
      <c r="L3526" s="36" t="n">
        <f aca="false">cust_sh*tk_he_gb300*cf_chip+(1-cust_sh)*((1-Sens!$L$3525)*tk_he_gb300+Sens!$L$3525*tk_he_vr200)</f>
        <v>11.5559410033471</v>
      </c>
      <c r="M3526" s="36" t="n">
        <f aca="false">cust_sh*tk_he_gb300*cf_chip+(1-cust_sh)*((1-Sens!$M$3525)*tk_he_gb300+Sens!$M$3525*tk_he_vr200)</f>
        <v>11.5559410033471</v>
      </c>
    </row>
    <row r="3527" customFormat="false" ht="17.15" hidden="false" customHeight="false" outlineLevel="0" collapsed="false">
      <c r="A3527" s="5" t="s">
        <v>562</v>
      </c>
      <c r="B3527" s="0" t="s">
        <v>151</v>
      </c>
      <c r="F3527" s="36" t="n">
        <f aca="false">cust_sh*tk_ox_gb300+(1-cust_sh)*((1-Sens!$F$3525)*tk_ox_gb300+Sens!$F$3525*tk_ox_vr200)</f>
        <v>1.98263481314457</v>
      </c>
      <c r="G3527" s="36" t="n">
        <f aca="false">cust_sh*tk_ox_gb300+(1-cust_sh)*((1-Sens!$G$3525)*tk_ox_gb300+Sens!$G$3525*tk_ox_vr200)</f>
        <v>1.98263481314457</v>
      </c>
      <c r="H3527" s="36" t="n">
        <f aca="false">cust_sh*tk_ox_gb300+(1-cust_sh)*((1-Sens!$H$3525)*tk_ox_gb300+Sens!$H$3525*tk_ox_vr200)</f>
        <v>2.01034999693694</v>
      </c>
      <c r="I3527" s="36" t="n">
        <f aca="false">cust_sh*tk_ox_gb300+(1-cust_sh)*((1-Sens!$I$3525)*tk_ox_gb300+Sens!$I$3525*tk_ox_vr200)</f>
        <v>2.0380651807293</v>
      </c>
      <c r="J3527" s="36" t="n">
        <f aca="false">cust_sh*tk_ox_gb300+(1-cust_sh)*((1-Sens!$J$3525)*tk_ox_gb300+Sens!$J$3525*tk_ox_vr200)</f>
        <v>2.0380651807293</v>
      </c>
      <c r="K3527" s="36" t="n">
        <f aca="false">cust_sh*tk_ox_gb300+(1-cust_sh)*((1-Sens!$K$3525)*tk_ox_gb300+Sens!$K$3525*tk_ox_vr200)</f>
        <v>2.0380651807293</v>
      </c>
      <c r="L3527" s="36" t="n">
        <f aca="false">cust_sh*tk_ox_gb300+(1-cust_sh)*((1-Sens!$L$3525)*tk_ox_gb300+Sens!$L$3525*tk_ox_vr200)</f>
        <v>2.0380651807293</v>
      </c>
      <c r="M3527" s="36" t="n">
        <f aca="false">cust_sh*tk_ox_gb300+(1-cust_sh)*((1-Sens!$M$3525)*tk_ox_gb300+Sens!$M$3525*tk_ox_vr200)</f>
        <v>2.0380651807293</v>
      </c>
    </row>
    <row r="3528" customFormat="false" ht="17.15" hidden="false" customHeight="false" outlineLevel="0" collapsed="false">
      <c r="A3528" s="5" t="s">
        <v>563</v>
      </c>
      <c r="B3528" s="0" t="s">
        <v>170</v>
      </c>
      <c r="F3528" s="36" t="n">
        <f aca="false">cust_sh*tk_cx_gb300*cf_cx+(1-cust_sh)*((1-Sens!$F$3525)*tk_cx_gb300+Sens!$F$3525*tk_cx_vr200)</f>
        <v>32.237224</v>
      </c>
      <c r="G3528" s="36" t="n">
        <f aca="false">cust_sh*tk_cx_gb300*cf_cx+(1-cust_sh)*((1-Sens!$G$3525)*tk_cx_gb300+Sens!$G$3525*tk_cx_vr200)</f>
        <v>32.237224</v>
      </c>
      <c r="H3528" s="36" t="n">
        <f aca="false">cust_sh*tk_cx_gb300*cf_cx+(1-cust_sh)*((1-Sens!$H$3525)*tk_cx_gb300+Sens!$H$3525*tk_cx_vr200)</f>
        <v>33.574506</v>
      </c>
      <c r="I3528" s="36" t="n">
        <f aca="false">cust_sh*tk_cx_gb300*cf_cx+(1-cust_sh)*((1-Sens!$I$3525)*tk_cx_gb300+Sens!$I$3525*tk_cx_vr200)</f>
        <v>34.911788</v>
      </c>
      <c r="J3528" s="36" t="n">
        <f aca="false">cust_sh*tk_cx_gb300*cf_cx+(1-cust_sh)*((1-Sens!$J$3525)*tk_cx_gb300+Sens!$J$3525*tk_cx_vr200)</f>
        <v>34.911788</v>
      </c>
      <c r="K3528" s="36" t="n">
        <f aca="false">cust_sh*tk_cx_gb300*cf_cx+(1-cust_sh)*((1-Sens!$K$3525)*tk_cx_gb300+Sens!$K$3525*tk_cx_vr200)</f>
        <v>34.911788</v>
      </c>
      <c r="L3528" s="36" t="n">
        <f aca="false">cust_sh*tk_cx_gb300*cf_cx+(1-cust_sh)*((1-Sens!$L$3525)*tk_cx_gb300+Sens!$L$3525*tk_cx_vr200)</f>
        <v>34.911788</v>
      </c>
      <c r="M3528" s="36" t="n">
        <f aca="false">cust_sh*tk_cx_gb300*cf_cx+(1-cust_sh)*((1-Sens!$M$3525)*tk_cx_gb300+Sens!$M$3525*tk_cx_vr200)</f>
        <v>34.911788</v>
      </c>
    </row>
    <row r="3529" customFormat="false" ht="17.15" hidden="false" customHeight="false" outlineLevel="0" collapsed="false">
      <c r="A3529" s="5" t="s">
        <v>564</v>
      </c>
      <c r="B3529" s="0" t="s">
        <v>108</v>
      </c>
      <c r="F3529" s="33" t="n">
        <f aca="false">Sens!$F$3519-mw_open</f>
        <v>1817.15</v>
      </c>
      <c r="G3529" s="33" t="n">
        <f aca="false">Sens!$F$3529</f>
        <v>1817.15</v>
      </c>
      <c r="H3529" s="33" t="n">
        <f aca="false">Sens!$H$3519-mw_open</f>
        <v>5451.45</v>
      </c>
      <c r="I3529" s="33" t="n">
        <f aca="false">Sens!$I$3519-mw_open</f>
        <v>9085.75</v>
      </c>
      <c r="J3529" s="33" t="n">
        <f aca="false">Sens!$J$3519-mw_open</f>
        <v>12720.05</v>
      </c>
      <c r="K3529" s="33" t="n">
        <f aca="false">Sens!$K$3519-mw_open</f>
        <v>16354.35</v>
      </c>
      <c r="L3529" s="33" t="n">
        <f aca="false">Sens!$L$3519-mw_open</f>
        <v>19988.65</v>
      </c>
      <c r="M3529" s="33" t="n">
        <f aca="false">Sens!$M$3519-mw_open</f>
        <v>23622.95</v>
      </c>
    </row>
    <row r="3530" customFormat="false" ht="17.15" hidden="false" customHeight="false" outlineLevel="0" collapsed="false">
      <c r="A3530" s="0" t="s">
        <v>565</v>
      </c>
      <c r="B3530" s="0" t="s">
        <v>566</v>
      </c>
      <c r="F3530" s="33" t="n">
        <f aca="false">Sens!$F$3522*Sens!$F$3526</f>
        <v>19782.2417524844</v>
      </c>
      <c r="G3530" s="33" t="n">
        <f aca="false">Sens!$F$3530</f>
        <v>19782.2417524844</v>
      </c>
      <c r="H3530" s="33" t="n">
        <f aca="false">Sens!$G$3530+Sens!$H$3522*Sens!$H$3526</f>
        <v>60563.3616992009</v>
      </c>
      <c r="I3530" s="33" t="n">
        <f aca="false">Sens!$H$3530+Sens!$I$3522*Sens!$I$3526</f>
        <v>102561.118087665</v>
      </c>
      <c r="J3530" s="33" t="n">
        <f aca="false">Sens!$I$3530+Sens!$J$3522*Sens!$J$3526</f>
        <v>144558.87447613</v>
      </c>
      <c r="K3530" s="33" t="n">
        <f aca="false">Sens!$J$3530+Sens!$K$3522*Sens!$K$3526</f>
        <v>186556.630864594</v>
      </c>
      <c r="L3530" s="33" t="n">
        <f aca="false">Sens!$K$3530+Sens!$L$3522*Sens!$L$3526</f>
        <v>228554.387253058</v>
      </c>
      <c r="M3530" s="33" t="n">
        <f aca="false">Sens!$L$3530+Sens!$M$3522*Sens!$M$3526</f>
        <v>270552.143641523</v>
      </c>
    </row>
    <row r="3531" customFormat="false" ht="17.15" hidden="false" customHeight="false" outlineLevel="0" collapsed="false">
      <c r="A3531" s="0" t="s">
        <v>567</v>
      </c>
      <c r="B3531" s="0" t="s">
        <v>566</v>
      </c>
      <c r="F3531" s="33" t="n">
        <f aca="false">Sens!$F$3522*Sens!$F$3527</f>
        <v>3602.74485070566</v>
      </c>
      <c r="G3531" s="33" t="n">
        <f aca="false">Sens!$F$3531</f>
        <v>3602.74485070566</v>
      </c>
      <c r="H3531" s="33" t="n">
        <f aca="false">Sens!$G$3531+Sens!$H$3522*Sens!$H$3527</f>
        <v>10908.9598445736</v>
      </c>
      <c r="I3531" s="33" t="n">
        <f aca="false">Sens!$H$3531+Sens!$I$3522*Sens!$I$3527</f>
        <v>18315.9001308981</v>
      </c>
      <c r="J3531" s="33" t="n">
        <f aca="false">Sens!$I$3531+Sens!$J$3522*Sens!$J$3527</f>
        <v>25722.8404172225</v>
      </c>
      <c r="K3531" s="33" t="n">
        <f aca="false">Sens!$J$3531+Sens!$K$3522*Sens!$K$3527</f>
        <v>33129.780703547</v>
      </c>
      <c r="L3531" s="33" t="n">
        <f aca="false">Sens!$K$3531+Sens!$L$3522*Sens!$L$3527</f>
        <v>40536.7209898715</v>
      </c>
      <c r="M3531" s="33" t="n">
        <f aca="false">Sens!$L$3531+Sens!$M$3522*Sens!$M$3527</f>
        <v>47943.661276196</v>
      </c>
    </row>
    <row r="3532" customFormat="false" ht="17.15" hidden="false" customHeight="false" outlineLevel="0" collapsed="false">
      <c r="A3532" s="5" t="s">
        <v>568</v>
      </c>
      <c r="B3532" s="0" t="s">
        <v>151</v>
      </c>
      <c r="F3532" s="36" t="n">
        <f aca="false">IF(Sens!$F$3529&gt;0,Sens!$F$3530/Sens!$F$3529,Sens!$F$3526)</f>
        <v>10.8864110021101</v>
      </c>
      <c r="G3532" s="36" t="n">
        <f aca="false">IF(Sens!$G$3529&gt;0,Sens!$G$3530/Sens!$G$3529,Sens!$G$3526)</f>
        <v>10.8864110021101</v>
      </c>
      <c r="H3532" s="36" t="n">
        <f aca="false">IF(Sens!$H$3529&gt;0,Sens!$H$3530/Sens!$H$3529,Sens!$H$3526)</f>
        <v>11.1095876691891</v>
      </c>
      <c r="I3532" s="36" t="n">
        <f aca="false">IF(Sens!$I$3529&gt;0,Sens!$I$3530/Sens!$I$3529,Sens!$I$3526)</f>
        <v>11.2881290028523</v>
      </c>
      <c r="J3532" s="36" t="n">
        <f aca="false">IF(Sens!$J$3529&gt;0,Sens!$J$3530/Sens!$J$3529,Sens!$J$3526)</f>
        <v>11.3646467172794</v>
      </c>
      <c r="K3532" s="36" t="n">
        <f aca="false">IF(Sens!$K$3529&gt;0,Sens!$K$3530/Sens!$K$3529,Sens!$K$3526)</f>
        <v>11.4071565586278</v>
      </c>
      <c r="L3532" s="36" t="n">
        <f aca="false">IF(Sens!$L$3529&gt;0,Sens!$L$3530/Sens!$L$3529,Sens!$L$3526)</f>
        <v>11.4342082758495</v>
      </c>
      <c r="M3532" s="36" t="n">
        <f aca="false">IF(Sens!$M$3529&gt;0,Sens!$M$3530/Sens!$M$3529,Sens!$M$3526)</f>
        <v>11.4529363877722</v>
      </c>
    </row>
    <row r="3533" customFormat="false" ht="17.15" hidden="false" customHeight="false" outlineLevel="0" collapsed="false">
      <c r="A3533" s="5" t="s">
        <v>569</v>
      </c>
      <c r="B3533" s="0" t="s">
        <v>151</v>
      </c>
      <c r="F3533" s="36" t="n">
        <f aca="false">IF(Sens!$F$3529&gt;0,Sens!$F$3531/Sens!$F$3529,Sens!$F$3527)</f>
        <v>1.98263481314457</v>
      </c>
      <c r="G3533" s="36" t="n">
        <f aca="false">IF(Sens!$G$3529&gt;0,Sens!$G$3531/Sens!$G$3529,Sens!$G$3527)</f>
        <v>1.98263481314457</v>
      </c>
      <c r="H3533" s="36" t="n">
        <f aca="false">IF(Sens!$H$3529&gt;0,Sens!$H$3531/Sens!$H$3529,Sens!$H$3527)</f>
        <v>2.00111160233948</v>
      </c>
      <c r="I3533" s="36" t="n">
        <f aca="false">IF(Sens!$I$3529&gt;0,Sens!$I$3531/Sens!$I$3529,Sens!$I$3527)</f>
        <v>2.01589303369541</v>
      </c>
      <c r="J3533" s="36" t="n">
        <f aca="false">IF(Sens!$J$3529&gt;0,Sens!$J$3531/Sens!$J$3529,Sens!$J$3527)</f>
        <v>2.02222793284795</v>
      </c>
      <c r="K3533" s="36" t="n">
        <f aca="false">IF(Sens!$K$3529&gt;0,Sens!$K$3531/Sens!$K$3529,Sens!$K$3527)</f>
        <v>2.02574732126603</v>
      </c>
      <c r="L3533" s="36" t="n">
        <f aca="false">IF(Sens!$L$3529&gt;0,Sens!$L$3531/Sens!$L$3529,Sens!$L$3527)</f>
        <v>2.02798693207753</v>
      </c>
      <c r="M3533" s="36" t="n">
        <f aca="false">IF(Sens!$M$3529&gt;0,Sens!$M$3531/Sens!$M$3529,Sens!$M$3527)</f>
        <v>2.02953743187011</v>
      </c>
    </row>
    <row r="3534" customFormat="false" ht="17.15" hidden="false" customHeight="false" outlineLevel="0" collapsed="false">
      <c r="A3534" s="14" t="s">
        <v>570</v>
      </c>
      <c r="B3534" s="13" t="s">
        <v>151</v>
      </c>
      <c r="C3534" s="13"/>
      <c r="D3534" s="13"/>
      <c r="E3534" s="13"/>
      <c r="F3534" s="37" t="n">
        <f aca="false">Sens!$F$3532*k_B</f>
        <v>10.7987645808025</v>
      </c>
      <c r="G3534" s="37" t="n">
        <f aca="false">Sens!$G$3532*k_B</f>
        <v>10.7987645808025</v>
      </c>
      <c r="H3534" s="37" t="n">
        <f aca="false">Sens!$H$3532*k_B</f>
        <v>11.0201444540452</v>
      </c>
      <c r="I3534" s="37" t="n">
        <f aca="false">Sens!$I$3532*k_B</f>
        <v>11.1972483526393</v>
      </c>
      <c r="J3534" s="37" t="n">
        <f aca="false">Sens!$J$3532*k_B</f>
        <v>11.2731500234653</v>
      </c>
      <c r="K3534" s="37" t="n">
        <f aca="false">Sens!$K$3532*k_B</f>
        <v>11.3153176183687</v>
      </c>
      <c r="L3534" s="37" t="n">
        <f aca="false">Sens!$L$3532*k_B</f>
        <v>11.3421515423981</v>
      </c>
      <c r="M3534" s="37" t="n">
        <f aca="false">Sens!$M$3532*k_B</f>
        <v>11.3607288744184</v>
      </c>
      <c r="N3534" s="13"/>
      <c r="O3534" s="13"/>
      <c r="P3534" s="5" t="s">
        <v>571</v>
      </c>
    </row>
    <row r="3535" customFormat="false" ht="17.15" hidden="false" customHeight="false" outlineLevel="0" collapsed="false">
      <c r="A3535" s="5" t="s">
        <v>572</v>
      </c>
      <c r="B3535" s="0" t="s">
        <v>108</v>
      </c>
      <c r="F3535" s="33" t="n">
        <f aca="false">Sens!$F$3529/2</f>
        <v>908.575</v>
      </c>
      <c r="H3535" s="33" t="n">
        <f aca="false">(Sens!$G$3529+Sens!$H$3529)/2</f>
        <v>3634.3</v>
      </c>
      <c r="I3535" s="33" t="n">
        <f aca="false">(Sens!$H$3529+Sens!$I$3529)/2</f>
        <v>7268.6</v>
      </c>
      <c r="J3535" s="33" t="n">
        <f aca="false">(Sens!$I$3529+Sens!$J$3529)/2</f>
        <v>10902.9</v>
      </c>
      <c r="K3535" s="33" t="n">
        <f aca="false">(Sens!$J$3529+Sens!$K$3529)/2</f>
        <v>14537.2</v>
      </c>
      <c r="L3535" s="33" t="n">
        <f aca="false">(Sens!$K$3529+Sens!$L$3529)/2</f>
        <v>18171.5</v>
      </c>
      <c r="M3535" s="33" t="n">
        <f aca="false">(Sens!$L$3529+Sens!$M$3529)/2</f>
        <v>21805.8</v>
      </c>
    </row>
    <row r="3536" customFormat="false" ht="17.15" hidden="false" customHeight="false" outlineLevel="0" collapsed="false">
      <c r="A3536" s="1" t="s">
        <v>573</v>
      </c>
    </row>
    <row r="3537" customFormat="false" ht="17.15" hidden="false" customHeight="false" outlineLevel="0" collapsed="false">
      <c r="A3537" s="1" t="s">
        <v>574</v>
      </c>
      <c r="B3537" s="8" t="s">
        <v>73</v>
      </c>
      <c r="C3537" s="38" t="n">
        <f aca="false">Sens!$C$3520*rpm_open*Sens!$C$3521/1000</f>
        <v>2.32100535697364</v>
      </c>
      <c r="D3537" s="38" t="n">
        <f aca="false">Sens!$D$3520*rpm_open*Sens!$D$3521/1000</f>
        <v>8.70377008865116</v>
      </c>
      <c r="E3537" s="38" t="n">
        <f aca="false">Sens!$E$3520*rpm_open*Sens!$E$3521/1000</f>
        <v>8.51035297557002</v>
      </c>
      <c r="F3537" s="38" t="n">
        <f aca="false">(mw_open*rpm_open+Sens!$F$3535*Sens!$F$3534)*Sens!$F$3521/1000</f>
        <v>14.9634336447205</v>
      </c>
      <c r="G3537" s="38" t="n">
        <f aca="false">Sens!$E$3537+Sens!$F$3537</f>
        <v>23.4737866202905</v>
      </c>
      <c r="H3537" s="38" t="n">
        <f aca="false">(mw_open*rpm_open+Sens!$H$3535*Sens!$H$3534)/1000</f>
        <v>60.1658907497746</v>
      </c>
      <c r="I3537" s="38" t="n">
        <f aca="false">(mw_open*rpm_open+Sens!$I$3535*Sens!$I$3534)/1000</f>
        <v>101.503699136432</v>
      </c>
      <c r="J3537" s="38" t="n">
        <f aca="false">(mw_open*rpm_open+Sens!$J$3535*Sens!$J$3534)/1000</f>
        <v>143.025407151278</v>
      </c>
      <c r="K3537" s="38" t="n">
        <f aca="false">(mw_open*rpm_open+Sens!$K$3535*Sens!$K$3534)/1000</f>
        <v>184.608415042187</v>
      </c>
      <c r="L3537" s="38" t="n">
        <f aca="false">(mw_open*rpm_open+Sens!$L$3535*Sens!$L$3534)/1000</f>
        <v>226.219286513125</v>
      </c>
      <c r="M3537" s="38" t="n">
        <f aca="false">(mw_open*rpm_open+Sens!$M$3535*Sens!$M$3534)/1000</f>
        <v>267.845161450232</v>
      </c>
      <c r="N3537" s="38" t="n">
        <f aca="false">Sens!$N$3520*rpm_open*Sens!$N$3521/1000</f>
        <v>3.04631953102791</v>
      </c>
      <c r="O3537" s="38" t="n">
        <f aca="false">Sens!$O$3520*rpm_open*Sens!$O$3521/1000</f>
        <v>5.65745055762326</v>
      </c>
      <c r="P3537" s="5" t="s">
        <v>575</v>
      </c>
    </row>
    <row r="3538" customFormat="false" ht="17.15" hidden="false" customHeight="false" outlineLevel="0" collapsed="false">
      <c r="A3538" s="5" t="s">
        <v>576</v>
      </c>
      <c r="B3538" s="0" t="s">
        <v>151</v>
      </c>
      <c r="C3538" s="36" t="n">
        <f aca="false">Sens!$C$3537*1000/(Sens!$C$3520*Sens!$C$3521)</f>
        <v>9.67085565405685</v>
      </c>
      <c r="D3538" s="36" t="n">
        <f aca="false">Sens!$D$3537*1000/(Sens!$D$3520*Sens!$D$3521)</f>
        <v>9.67085565405685</v>
      </c>
      <c r="E3538" s="36" t="n">
        <f aca="false">Sens!$E$3537*1000/(Sens!$E$3520*Sens!$E$3521)</f>
        <v>9.67085565405685</v>
      </c>
      <c r="F3538" s="36" t="n">
        <f aca="false">Sens!$F$3537*1000/(Sens!$F$3520*Sens!$F$3521)</f>
        <v>10.0137581588017</v>
      </c>
      <c r="G3538" s="36" t="n">
        <f aca="false">Sens!$G$3537*1000/(Sens!$G$3520*Sens!$G$3521)</f>
        <v>9.88666562928478</v>
      </c>
      <c r="H3538" s="36" t="n">
        <f aca="false">Sens!$H$3537*1000/(Sens!$H$3520*Sens!$H$3521)</f>
        <v>10.5290045586992</v>
      </c>
      <c r="I3538" s="36" t="n">
        <f aca="false">Sens!$I$3537*1000/(Sens!$I$3520*Sens!$I$3521)</f>
        <v>10.8576363451674</v>
      </c>
      <c r="J3538" s="36" t="n">
        <f aca="false">Sens!$J$3537*1000/(Sens!$J$3520*Sens!$J$3521)</f>
        <v>11.0164452588619</v>
      </c>
      <c r="K3538" s="36" t="n">
        <f aca="false">Sens!$K$3537*1000/(Sens!$K$3520*Sens!$K$3521)</f>
        <v>11.1094778327388</v>
      </c>
      <c r="L3538" s="36" t="n">
        <f aca="false">Sens!$L$3537*1000/(Sens!$L$3520*Sens!$L$3521)</f>
        <v>11.1704953466718</v>
      </c>
      <c r="M3538" s="36" t="n">
        <f aca="false">Sens!$M$3537*1000/(Sens!$M$3520*Sens!$M$3521)</f>
        <v>11.2135729785158</v>
      </c>
      <c r="N3538" s="36" t="n">
        <f aca="false">Sens!$N$3537*1000/(Sens!$N$3520*Sens!$N$3521)</f>
        <v>9.67085565405685</v>
      </c>
      <c r="O3538" s="36" t="n">
        <f aca="false">Sens!$O$3537*1000/(Sens!$O$3520*Sens!$O$3521)</f>
        <v>9.67085565405685</v>
      </c>
    </row>
    <row r="3539" customFormat="false" ht="17.15" hidden="false" customHeight="false" outlineLevel="0" collapsed="false">
      <c r="A3539" s="0" t="s">
        <v>577</v>
      </c>
      <c r="B3539" s="0" t="s">
        <v>73</v>
      </c>
      <c r="C3539" s="38" t="n">
        <f aca="false">Sens!$C$3520/ext_sh*(ox_open+rent_mw)*Sens!$C$3521/1000</f>
        <v>0.642569210675032</v>
      </c>
      <c r="D3539" s="38" t="n">
        <f aca="false">Sens!$D$3520/ext_sh*(ox_open+rent_mw)*Sens!$D$3521/1000</f>
        <v>2.40963454003137</v>
      </c>
      <c r="E3539" s="38" t="n">
        <f aca="false">Sens!$E$3520/ext_sh*(ox_open+rent_mw)*Sens!$E$3521/1000</f>
        <v>2.35608710580845</v>
      </c>
      <c r="F3539" s="38" t="n">
        <f aca="false">((mw_open*ox_open+Sens!$F$3535*Sens!$F$3533)/ext_sh+Sens!$F$3520/ext_sh*rent_mw)*Sens!$F$3521/1000</f>
        <v>4.05421991106232</v>
      </c>
      <c r="G3539" s="38" t="n">
        <f aca="false">Sens!$E$3539+Sens!$F$3539</f>
        <v>6.41030701687077</v>
      </c>
      <c r="H3539" s="38" t="n">
        <f aca="false">((mw_open*ox_open+Sens!$H$3535*Sens!$H$3533)/ext_sh+Sens!$H$3520/ext_sh*rent_mw)*Sens!$H$3521/1000</f>
        <v>15.8108975546616</v>
      </c>
      <c r="I3539" s="38" t="n">
        <f aca="false">((mw_open*ox_open+Sens!$I$3535*Sens!$I$3533)/ext_sh+Sens!$I$3520/ext_sh*rent_mw)*Sens!$I$3521/1000</f>
        <v>26.1871623400817</v>
      </c>
      <c r="J3539" s="38" t="n">
        <f aca="false">((mw_open*ox_open+Sens!$J$3535*Sens!$J$3533)/ext_sh+Sens!$J$3520/ext_sh*rent_mw)*Sens!$J$3521/1000</f>
        <v>36.5826128954935</v>
      </c>
      <c r="K3539" s="38" t="n">
        <f aca="false">((mw_open*ox_open+Sens!$K$3535*Sens!$K$3533)/ext_sh+Sens!$K$3520/ext_sh*rent_mw)*Sens!$K$3521/1000</f>
        <v>46.9844587075692</v>
      </c>
      <c r="L3539" s="38" t="n">
        <f aca="false">((mw_open*ox_open+Sens!$L$3535*Sens!$L$3533)/ext_sh+Sens!$L$3520/ext_sh*rent_mw)*Sens!$L$3521/1000</f>
        <v>57.3892114544922</v>
      </c>
      <c r="M3539" s="38" t="n">
        <f aca="false">((mw_open*ox_open+Sens!$M$3535*Sens!$M$3533)/ext_sh+Sens!$M$3520/ext_sh*rent_mw)*Sens!$M$3521/1000</f>
        <v>67.7955294740252</v>
      </c>
      <c r="N3539" s="38" t="n">
        <f aca="false">Sens!$N$3520/ext_sh*(ox_open+rent_mw)*Sens!$N$3521/1000</f>
        <v>0.84337208901098</v>
      </c>
      <c r="O3539" s="38" t="n">
        <f aca="false">Sens!$O$3520/ext_sh*(ox_open+rent_mw)*Sens!$O$3521/1000</f>
        <v>1.56626245102039</v>
      </c>
    </row>
    <row r="3540" customFormat="false" ht="17.15" hidden="false" customHeight="false" outlineLevel="0" collapsed="false">
      <c r="A3540" s="0" t="s">
        <v>578</v>
      </c>
      <c r="B3540" s="0" t="s">
        <v>73</v>
      </c>
      <c r="C3540" s="38" t="n">
        <f aca="false">Q!$D$7</f>
        <v>107.556</v>
      </c>
      <c r="D3540" s="38" t="n">
        <f aca="false">Q!$E$7</f>
        <v>128.725</v>
      </c>
      <c r="E3540" s="38" t="n">
        <f aca="false">Q!$P$7</f>
        <v>79.819</v>
      </c>
      <c r="N3540" s="38" t="n">
        <f aca="false">Q!$N$7</f>
        <v>60.14</v>
      </c>
      <c r="O3540" s="38" t="n">
        <f aca="false">Q!$O$7</f>
        <v>68.585</v>
      </c>
    </row>
    <row r="3541" customFormat="false" ht="17.15" hidden="false" customHeight="false" outlineLevel="0" collapsed="false">
      <c r="A3541" s="1" t="s">
        <v>579</v>
      </c>
      <c r="B3541" s="8" t="s">
        <v>73</v>
      </c>
      <c r="C3541" s="38" t="n">
        <f aca="false">Sens!$C$3540-Sens!$C$3537</f>
        <v>105.234994643026</v>
      </c>
      <c r="D3541" s="38" t="n">
        <f aca="false">Sens!$D$3540-Sens!$D$3537</f>
        <v>120.021229911349</v>
      </c>
      <c r="E3541" s="38" t="n">
        <f aca="false">Sens!$E$3540-Sens!$E$3537</f>
        <v>71.30864702443</v>
      </c>
      <c r="F3541" s="38" t="n">
        <f aca="false">Sens!$O$3541*(1+Sens!$F$3542)</f>
        <v>78.5950104186653</v>
      </c>
      <c r="G3541" s="38" t="n">
        <f aca="false">Sens!$E$3541+Sens!$F$3541</f>
        <v>149.903657443095</v>
      </c>
      <c r="H3541" s="38" t="n">
        <f aca="false">Sens!$G$3541*(1+Sens!$H$3542)</f>
        <v>180.893560768142</v>
      </c>
      <c r="I3541" s="38" t="n">
        <f aca="false">Sens!$H$3541*(1+Sens!$I$3542)</f>
        <v>210.64839721501</v>
      </c>
      <c r="J3541" s="38" t="n">
        <f aca="false">Sens!$I$3541*(1+Sens!$J$3542)</f>
        <v>236.398909446495</v>
      </c>
      <c r="K3541" s="38" t="n">
        <f aca="false">Sens!$J$3541*(1+Sens!$K$3542)</f>
        <v>255.310822202215</v>
      </c>
      <c r="L3541" s="38" t="n">
        <f aca="false">Sens!$K$3541*(1+Sens!$L$3542)</f>
        <v>275.735687978392</v>
      </c>
      <c r="M3541" s="38" t="n">
        <f aca="false">Sens!$L$3541*(1+Sens!$M$3542)</f>
        <v>297.794543016663</v>
      </c>
      <c r="N3541" s="38" t="n">
        <f aca="false">Sens!$N$3540-Sens!$N$3537</f>
        <v>57.0936804689721</v>
      </c>
      <c r="O3541" s="38" t="n">
        <f aca="false">Sens!$O$3540-Sens!$O$3537</f>
        <v>62.9275494423768</v>
      </c>
      <c r="P3541" s="5" t="s">
        <v>580</v>
      </c>
    </row>
    <row r="3542" customFormat="false" ht="17.15" hidden="false" customHeight="false" outlineLevel="0" collapsed="false">
      <c r="A3542" s="0" t="s">
        <v>581</v>
      </c>
      <c r="B3542" s="0" t="s">
        <v>52</v>
      </c>
      <c r="E3542" s="12" t="n">
        <f aca="false">Sens!$E$3541/Sens!$N$3541-1</f>
        <v>0.248976181579029</v>
      </c>
      <c r="F3542" s="12" t="n">
        <f aca="false">Sens!$E$3542</f>
        <v>0.248976181579029</v>
      </c>
      <c r="G3542" s="12" t="n">
        <f aca="false">Sens!$G$3541/Sens!$D$3541-1</f>
        <v>0.248976181579029</v>
      </c>
      <c r="H3542" s="12" t="n">
        <f aca="false">Sens!$E$3542+(g_awso_lt-Sens!$E$3542)*1/4</f>
        <v>0.206732136184272</v>
      </c>
      <c r="I3542" s="12" t="n">
        <f aca="false">Sens!$E$3542+(g_awso_lt-Sens!$E$3542)*2/4</f>
        <v>0.164488090789515</v>
      </c>
      <c r="J3542" s="12" t="n">
        <f aca="false">Sens!$E$3542+(g_awso_lt-Sens!$E$3542)*3/4</f>
        <v>0.122244045394757</v>
      </c>
      <c r="K3542" s="12" t="n">
        <f aca="false">Sens!$E$3542+(g_awso_lt-Sens!$E$3542)*4/4</f>
        <v>0.08</v>
      </c>
      <c r="L3542" s="12" t="n">
        <f aca="false">g_awso_lt</f>
        <v>0.08</v>
      </c>
      <c r="M3542" s="12" t="n">
        <f aca="false">g_awso_lt</f>
        <v>0.08</v>
      </c>
      <c r="P3542" s="8" t="s">
        <v>582</v>
      </c>
    </row>
    <row r="3543" customFormat="false" ht="17.15" hidden="false" customHeight="false" outlineLevel="0" collapsed="false">
      <c r="A3543" s="1" t="s">
        <v>583</v>
      </c>
    </row>
    <row r="3544" customFormat="false" ht="17.15" hidden="false" customHeight="false" outlineLevel="0" collapsed="false">
      <c r="A3544" s="0" t="s">
        <v>584</v>
      </c>
      <c r="B3544" s="0" t="s">
        <v>73</v>
      </c>
      <c r="F3544" s="38" t="n">
        <f aca="false">cx_rt*Sens!$F$3510+cx_awso*Sens!$F$3541</f>
        <v>36.8045765066526</v>
      </c>
    </row>
    <row r="3545" customFormat="false" ht="17.15" hidden="false" customHeight="false" outlineLevel="0" collapsed="false">
      <c r="A3545" s="0" t="s">
        <v>585</v>
      </c>
      <c r="B3545" s="0" t="s">
        <v>52</v>
      </c>
      <c r="C3545" s="12" t="n">
        <f aca="false">tk_cx_h100/(tk_cx_h100+tk_fac*(1-colo_sh))</f>
        <v>0.730756458006641</v>
      </c>
      <c r="D3545" s="12" t="n">
        <f aca="false">tk_cx_h100/(tk_cx_h100+tk_fac*(1-colo_sh))</f>
        <v>0.730756458006641</v>
      </c>
      <c r="E3545" s="12" t="n">
        <f aca="false">Sens!$F$3545</f>
        <v>0.760792334328868</v>
      </c>
      <c r="F3545" s="12" t="n">
        <f aca="false">Sens!$F$3528/(Sens!$F$3528+tk_fac*(1-colo_sh))</f>
        <v>0.760792334328868</v>
      </c>
      <c r="G3545" s="12" t="n">
        <f aca="false">Sens!$G$3528/(Sens!$G$3528+tk_fac*(1-colo_sh))</f>
        <v>0.760792334328868</v>
      </c>
      <c r="H3545" s="12" t="n">
        <f aca="false">Sens!$H$3528/(Sens!$H$3528+tk_fac*(1-colo_sh))</f>
        <v>0.768110668862996</v>
      </c>
      <c r="I3545" s="12" t="n">
        <f aca="false">Sens!$I$3528/(Sens!$I$3528+tk_fac*(1-colo_sh))</f>
        <v>0.77499450139483</v>
      </c>
      <c r="J3545" s="12" t="n">
        <f aca="false">Sens!$J$3528/(Sens!$J$3528+tk_fac*(1-colo_sh))</f>
        <v>0.77499450139483</v>
      </c>
      <c r="K3545" s="12" t="n">
        <f aca="false">Sens!$K$3528/(Sens!$K$3528+tk_fac*(1-colo_sh))</f>
        <v>0.77499450139483</v>
      </c>
      <c r="L3545" s="12" t="n">
        <f aca="false">Sens!$L$3528/(Sens!$L$3528+tk_fac*(1-colo_sh))</f>
        <v>0.77499450139483</v>
      </c>
      <c r="M3545" s="12" t="n">
        <f aca="false">Sens!$M$3528/(Sens!$M$3528+tk_fac*(1-colo_sh))</f>
        <v>0.77499450139483</v>
      </c>
    </row>
    <row r="3546" customFormat="false" ht="17.15" hidden="false" customHeight="false" outlineLevel="0" collapsed="false">
      <c r="A3546" s="1" t="s">
        <v>586</v>
      </c>
      <c r="B3546" s="8" t="s">
        <v>73</v>
      </c>
      <c r="C3546" s="38" t="n">
        <f aca="false">Q!$D$46-cx_rt*Q!$D$16-cx_awso*Sens!$C$3541</f>
        <v>25.2781053077374</v>
      </c>
      <c r="D3546" s="38" t="n">
        <f aca="false">Q!$E$46-cx_rt*Q!$E$16-cx_awso*Sens!$D$3541</f>
        <v>69.5686316310026</v>
      </c>
      <c r="E3546" s="38" t="n">
        <f aca="false">Q!$P$46-cx_rt*Q!$P$16-cx_awso*Sens!$E$3541</f>
        <v>64.1899206485108</v>
      </c>
      <c r="F3546" s="38" t="n">
        <f aca="false">MAX(Sens!$F$3523*(Sens!$F$3528+tk_fac*(1-colo_sh))/1000,capex_g26-Q!$P$46-Sens!$F$3544)</f>
        <v>96.2481299895</v>
      </c>
      <c r="G3546" s="38" t="n">
        <f aca="false">Sens!$E$3546+Sens!$F$3546</f>
        <v>160.438050638011</v>
      </c>
      <c r="H3546" s="38" t="n">
        <f aca="false">Sens!$H$3523*(Sens!$H$3528+tk_fac*(1-colo_sh))/1000+Sens!$H$3547</f>
        <v>198.57136494475</v>
      </c>
      <c r="I3546" s="38" t="n">
        <f aca="false">Sens!$I$3523*(Sens!$I$3528+tk_fac*(1-colo_sh))/1000+Sens!$I$3547</f>
        <v>204.6464699105</v>
      </c>
      <c r="J3546" s="38" t="n">
        <f aca="false">Sens!$J$3523*(Sens!$J$3528+tk_fac*(1-colo_sh))/1000+Sens!$J$3547</f>
        <v>209.8832381105</v>
      </c>
      <c r="K3546" s="38" t="n">
        <f aca="false">Sens!$K$3523*(Sens!$K$3528+tk_fac*(1-colo_sh))/1000+Sens!$K$3547</f>
        <v>215.1200063105</v>
      </c>
      <c r="L3546" s="38" t="n">
        <f aca="false">Sens!$L$3523*(Sens!$L$3528+tk_fac*(1-colo_sh))/1000+Sens!$L$3547</f>
        <v>251.7773837105</v>
      </c>
      <c r="M3546" s="38" t="n">
        <f aca="false">Sens!$M$3523*(Sens!$M$3528+tk_fac*(1-colo_sh))/1000+Sens!$M$3547</f>
        <v>311.87584476575</v>
      </c>
      <c r="P3546" s="5" t="s">
        <v>587</v>
      </c>
      <c r="R3546" s="38" t="n">
        <f aca="false">Q!$C$46-cx_rt*Q!$C$16-cx_awso*(Q!$C$7-mw_ye23/2*rpm_open/1000)</f>
        <v>1.50429979529945</v>
      </c>
      <c r="S3546" s="38" t="n">
        <f aca="false">Sens!$C$3546</f>
        <v>25.2781053077374</v>
      </c>
      <c r="T3546" s="38" t="n">
        <f aca="false">Sens!$D$3546</f>
        <v>69.5686316310026</v>
      </c>
      <c r="U3546" s="38" t="n">
        <f aca="false">Sens!$G$3546</f>
        <v>160.438050638011</v>
      </c>
      <c r="V3546" s="38" t="n">
        <f aca="false">Sens!$H$3546</f>
        <v>198.57136494475</v>
      </c>
      <c r="W3546" s="38" t="n">
        <f aca="false">Sens!$I$3546</f>
        <v>204.6464699105</v>
      </c>
      <c r="X3546" s="38" t="n">
        <f aca="false">Sens!$J$3546</f>
        <v>209.8832381105</v>
      </c>
      <c r="Y3546" s="38" t="n">
        <f aca="false">Sens!$K$3546</f>
        <v>215.1200063105</v>
      </c>
      <c r="Z3546" s="38" t="n">
        <f aca="false">Sens!$L$3546</f>
        <v>251.7773837105</v>
      </c>
      <c r="AA3546" s="38" t="n">
        <f aca="false">Sens!$M$3546</f>
        <v>311.87584476575</v>
      </c>
    </row>
    <row r="3547" customFormat="false" ht="17.15" hidden="false" customHeight="false" outlineLevel="0" collapsed="false">
      <c r="A3547" s="0" t="s">
        <v>588</v>
      </c>
      <c r="B3547" s="0" t="s">
        <v>73</v>
      </c>
      <c r="H3547" s="38" t="n">
        <f aca="false">SUMPRODUCT(--(Sens!$R$3517:$AA$3517=2027-tk_life),Sens!$R$3523:$AA$3523)*Sens!$H$3528/1000</f>
        <v>0</v>
      </c>
      <c r="I3547" s="38" t="n">
        <f aca="false">SUMPRODUCT(--(Sens!$R$3517:$AA$3517=2028-tk_life),Sens!$R$3523:$AA$3523)*Sens!$I$3528/1000</f>
        <v>0</v>
      </c>
      <c r="J3547" s="38" t="n">
        <f aca="false">SUMPRODUCT(--(Sens!$R$3517:$AA$3517=2029-tk_life),Sens!$R$3523:$AA$3523)*Sens!$J$3528/1000</f>
        <v>5.2367682</v>
      </c>
      <c r="K3547" s="38" t="n">
        <f aca="false">SUMPRODUCT(--(Sens!$R$3517:$AA$3517=2030-tk_life),Sens!$R$3523:$AA$3523)*Sens!$K$3528/1000</f>
        <v>10.4735364</v>
      </c>
      <c r="L3547" s="38" t="n">
        <f aca="false">SUMPRODUCT(--(Sens!$R$3517:$AA$3517=2031-tk_life),Sens!$R$3523:$AA$3523)*Sens!$L$3528/1000</f>
        <v>47.1309138</v>
      </c>
      <c r="M3547" s="38" t="n">
        <f aca="false">SUMPRODUCT(--(Sens!$R$3517:$AA$3517=2032-tk_life),Sens!$R$3523:$AA$3523)*Sens!$M$3528/1000</f>
        <v>107.22937485525</v>
      </c>
    </row>
    <row r="3548" customFormat="false" ht="17.15" hidden="false" customHeight="false" outlineLevel="0" collapsed="false">
      <c r="A3548" s="5" t="s">
        <v>589</v>
      </c>
      <c r="B3548" s="0" t="s">
        <v>73</v>
      </c>
      <c r="C3548" s="38" t="n">
        <f aca="false">Sens!$C$3546*Sens!$C$3545</f>
        <v>18.472138699801</v>
      </c>
      <c r="D3548" s="38" t="n">
        <f aca="false">Sens!$D$3546*Sens!$D$3545</f>
        <v>50.8377268390402</v>
      </c>
      <c r="E3548" s="38" t="n">
        <f aca="false">Sens!$E$3546*Sens!$E$3545</f>
        <v>48.8351995705653</v>
      </c>
      <c r="F3548" s="38" t="n">
        <f aca="false">Sens!$F$3546*Sens!$F$3545</f>
        <v>73.2248394895</v>
      </c>
      <c r="G3548" s="38" t="n">
        <f aca="false">Sens!$E$3548+Sens!$F$3548</f>
        <v>122.060039060065</v>
      </c>
      <c r="H3548" s="38" t="n">
        <f aca="false">(Sens!$H$3546-Sens!$H$3547)*Sens!$H$3545+Sens!$H$3547</f>
        <v>152.52478394475</v>
      </c>
      <c r="I3548" s="38" t="n">
        <f aca="false">(Sens!$I$3546-Sens!$I$3547)*Sens!$I$3545+Sens!$I$3547</f>
        <v>158.5998889105</v>
      </c>
      <c r="J3548" s="38" t="n">
        <f aca="false">(Sens!$J$3546-Sens!$J$3547)*Sens!$J$3545+Sens!$J$3547</f>
        <v>163.8366571105</v>
      </c>
      <c r="K3548" s="38" t="n">
        <f aca="false">(Sens!$K$3546-Sens!$K$3547)*Sens!$K$3545+Sens!$K$3547</f>
        <v>169.0734253105</v>
      </c>
      <c r="L3548" s="38" t="n">
        <f aca="false">(Sens!$L$3546-Sens!$L$3547)*Sens!$L$3545+Sens!$L$3547</f>
        <v>205.7308027105</v>
      </c>
      <c r="M3548" s="38" t="n">
        <f aca="false">(Sens!$M$3546-Sens!$M$3547)*Sens!$M$3545+Sens!$M$3547</f>
        <v>265.82926376575</v>
      </c>
      <c r="R3548" s="38" t="n">
        <f aca="false">Sens!$R$3546*Sens!$C$3545</f>
        <v>1.09927679019314</v>
      </c>
      <c r="S3548" s="38" t="n">
        <f aca="false">Sens!$C$3548</f>
        <v>18.472138699801</v>
      </c>
      <c r="T3548" s="38" t="n">
        <f aca="false">Sens!$D$3548</f>
        <v>50.8377268390402</v>
      </c>
      <c r="U3548" s="38" t="n">
        <f aca="false">Sens!$G$3548</f>
        <v>122.060039060065</v>
      </c>
      <c r="V3548" s="38" t="n">
        <f aca="false">Sens!$H$3548</f>
        <v>152.52478394475</v>
      </c>
      <c r="W3548" s="38" t="n">
        <f aca="false">Sens!$I$3548</f>
        <v>158.5998889105</v>
      </c>
      <c r="X3548" s="38" t="n">
        <f aca="false">Sens!$J$3548</f>
        <v>163.8366571105</v>
      </c>
      <c r="Y3548" s="38" t="n">
        <f aca="false">Sens!$K$3548</f>
        <v>169.0734253105</v>
      </c>
      <c r="Z3548" s="38" t="n">
        <f aca="false">Sens!$L$3548</f>
        <v>205.7308027105</v>
      </c>
      <c r="AA3548" s="38" t="n">
        <f aca="false">Sens!$M$3548</f>
        <v>265.82926376575</v>
      </c>
    </row>
    <row r="3549" customFormat="false" ht="15" hidden="false" customHeight="false" outlineLevel="0" collapsed="false">
      <c r="A3549" s="5" t="s">
        <v>590</v>
      </c>
      <c r="B3549" s="0" t="s">
        <v>73</v>
      </c>
      <c r="C3549" s="38" t="n">
        <f aca="false">Sens!$C$3546-Sens!$C$3548</f>
        <v>6.80596660793636</v>
      </c>
      <c r="D3549" s="38" t="n">
        <f aca="false">Sens!$D$3546-Sens!$D$3548</f>
        <v>18.7309047919624</v>
      </c>
      <c r="E3549" s="38" t="n">
        <f aca="false">Sens!$E$3546-Sens!$E$3548</f>
        <v>15.3547210779455</v>
      </c>
      <c r="F3549" s="38" t="n">
        <f aca="false">Sens!$F$3546-Sens!$F$3548</f>
        <v>23.0232905</v>
      </c>
      <c r="G3549" s="38" t="n">
        <f aca="false">Sens!$G$3546-Sens!$G$3548</f>
        <v>38.3780115779455</v>
      </c>
      <c r="H3549" s="38" t="n">
        <f aca="false">Sens!$H$3546-Sens!$H$3548</f>
        <v>46.046581</v>
      </c>
      <c r="I3549" s="38" t="n">
        <f aca="false">Sens!$I$3546-Sens!$I$3548</f>
        <v>46.046581</v>
      </c>
      <c r="J3549" s="38" t="n">
        <f aca="false">Sens!$J$3546-Sens!$J$3548</f>
        <v>46.046581</v>
      </c>
      <c r="K3549" s="38" t="n">
        <f aca="false">Sens!$K$3546-Sens!$K$3548</f>
        <v>46.046581</v>
      </c>
      <c r="L3549" s="38" t="n">
        <f aca="false">Sens!$L$3546-Sens!$L$3548</f>
        <v>46.046581</v>
      </c>
      <c r="M3549" s="38" t="n">
        <f aca="false">Sens!$M$3546-Sens!$M$3548</f>
        <v>46.046581</v>
      </c>
      <c r="R3549" s="38" t="n">
        <f aca="false">Sens!$R$3546-Sens!$R$3548</f>
        <v>0.405023005106309</v>
      </c>
      <c r="S3549" s="38" t="n">
        <f aca="false">Sens!$S$3546-Sens!$S$3548</f>
        <v>6.80596660793636</v>
      </c>
      <c r="T3549" s="38" t="n">
        <f aca="false">Sens!$T$3546-Sens!$T$3548</f>
        <v>18.7309047919624</v>
      </c>
      <c r="U3549" s="38" t="n">
        <f aca="false">Sens!$U$3546-Sens!$U$3548</f>
        <v>38.3780115779455</v>
      </c>
      <c r="V3549" s="38" t="n">
        <f aca="false">Sens!$V$3546-Sens!$V$3548</f>
        <v>46.046581</v>
      </c>
      <c r="W3549" s="38" t="n">
        <f aca="false">Sens!$W$3546-Sens!$W$3548</f>
        <v>46.046581</v>
      </c>
      <c r="X3549" s="38" t="n">
        <f aca="false">Sens!$X$3546-Sens!$X$3548</f>
        <v>46.046581</v>
      </c>
      <c r="Y3549" s="38" t="n">
        <f aca="false">Sens!$Y$3546-Sens!$Y$3548</f>
        <v>46.046581</v>
      </c>
      <c r="Z3549" s="38" t="n">
        <f aca="false">Sens!$Z$3546-Sens!$Z$3548</f>
        <v>46.046581</v>
      </c>
      <c r="AA3549" s="38" t="n">
        <f aca="false">Sens!$AA$3546-Sens!$AA$3548</f>
        <v>46.046581</v>
      </c>
    </row>
    <row r="3550" customFormat="false" ht="17.15" hidden="false" customHeight="false" outlineLevel="0" collapsed="false">
      <c r="A3550" s="0" t="s">
        <v>591</v>
      </c>
      <c r="B3550" s="0" t="s">
        <v>52</v>
      </c>
      <c r="C3550" s="12" t="n">
        <f aca="false">Sens!$C$3546/Sens!$C$3662</f>
        <v>0.325505489553393</v>
      </c>
      <c r="D3550" s="12" t="n">
        <f aca="false">Sens!$D$3546/Sens!$D$3662</f>
        <v>0.54214956071542</v>
      </c>
      <c r="E3550" s="12" t="n">
        <f aca="false">Sens!$E$3546/Sens!$E$3662</f>
        <v>0.666492790452817</v>
      </c>
      <c r="F3550" s="12" t="n">
        <f aca="false">Sens!$F$3546/Sens!$F$3662</f>
        <v>0.723383481058938</v>
      </c>
      <c r="G3550" s="12" t="n">
        <f aca="false">Sens!$G$3546/Sens!$G$3662</f>
        <v>0.699494931364102</v>
      </c>
      <c r="H3550" s="12" t="n">
        <f aca="false">Sens!$H$3546/Sens!$H$3662</f>
        <v>0.714716449126955</v>
      </c>
      <c r="I3550" s="12" t="n">
        <f aca="false">Sens!$I$3546/Sens!$I$3662</f>
        <v>0.696549485017467</v>
      </c>
      <c r="J3550" s="12" t="n">
        <f aca="false">Sens!$J$3546/Sens!$J$3662</f>
        <v>0.681967499715412</v>
      </c>
      <c r="K3550" s="12" t="n">
        <f aca="false">Sens!$K$3546/Sens!$K$3662</f>
        <v>0.672635347798735</v>
      </c>
      <c r="L3550" s="12" t="n">
        <f aca="false">Sens!$L$3546/Sens!$L$3662</f>
        <v>0.692107307434887</v>
      </c>
      <c r="M3550" s="12" t="n">
        <f aca="false">Sens!$M$3546/Sens!$M$3662</f>
        <v>0.722404339410266</v>
      </c>
    </row>
    <row r="3551" customFormat="false" ht="17.15" hidden="false" customHeight="false" outlineLevel="0" collapsed="false">
      <c r="A3551" s="0" t="s">
        <v>592</v>
      </c>
      <c r="B3551" s="0" t="s">
        <v>73</v>
      </c>
      <c r="C3551" s="38" t="n">
        <f aca="false">Sens!$S$3551</f>
        <v>0.183212798365523</v>
      </c>
      <c r="D3551" s="38" t="n">
        <f aca="false">Sens!$T$3551</f>
        <v>3.2619025816657</v>
      </c>
      <c r="E3551" s="38" t="n">
        <f aca="false">Sens!$G$3551/2</f>
        <v>5.86742852741953</v>
      </c>
      <c r="F3551" s="38" t="n">
        <f aca="false">Sens!$G$3551/2</f>
        <v>5.86742852741953</v>
      </c>
      <c r="G3551" s="38" t="n">
        <f aca="false">Sens!$U$3551</f>
        <v>11.7348570548391</v>
      </c>
      <c r="H3551" s="38" t="n">
        <f aca="false">Sens!$V$3551</f>
        <v>32.0781968981833</v>
      </c>
      <c r="I3551" s="38" t="n">
        <f aca="false">Sens!$W$3551</f>
        <v>57.4989942223083</v>
      </c>
      <c r="J3551" s="38" t="n">
        <f aca="false">Sens!$X$3551</f>
        <v>83.932309040725</v>
      </c>
      <c r="K3551" s="38" t="n">
        <f aca="false">Sens!$Y$3551</f>
        <v>111.055205760776</v>
      </c>
      <c r="L3551" s="38" t="n">
        <f aca="false">Sens!$Z$3551</f>
        <v>136.155420195893</v>
      </c>
      <c r="M3551" s="38" t="n">
        <f aca="false">Sens!$AA$3551</f>
        <v>161.970932841136</v>
      </c>
      <c r="N3551" s="38" t="n">
        <f aca="false">Sens!$D$3551/2</f>
        <v>1.63095129083285</v>
      </c>
      <c r="O3551" s="38" t="n">
        <f aca="false">Sens!$D$3551/2</f>
        <v>1.63095129083285</v>
      </c>
      <c r="R3551" s="38" t="n">
        <f aca="false">SUMPRODUCT(--(Sens!$R$3517:$AA$3517&lt;Sens!R$3517),--(Sens!$R$3517:$AA$3517&gt;=Sens!R$3517-tk_life),Sens!$R$3548:$AA$3548)/tk_life</f>
        <v>0</v>
      </c>
      <c r="S3551" s="38" t="n">
        <f aca="false">SUMPRODUCT(--(Sens!$R$3517:$AA$3517&lt;Sens!S$3517),--(Sens!$R$3517:$AA$3517&gt;=Sens!S$3517-tk_life),Sens!$R$3548:$AA$3548)/tk_life</f>
        <v>0.183212798365523</v>
      </c>
      <c r="T3551" s="38" t="n">
        <f aca="false">SUMPRODUCT(--(Sens!$R$3517:$AA$3517&lt;Sens!T$3517),--(Sens!$R$3517:$AA$3517&gt;=Sens!T$3517-tk_life),Sens!$R$3548:$AA$3548)/tk_life</f>
        <v>3.2619025816657</v>
      </c>
      <c r="U3551" s="38" t="n">
        <f aca="false">SUMPRODUCT(--(Sens!$R$3517:$AA$3517&lt;Sens!U$3517),--(Sens!$R$3517:$AA$3517&gt;=Sens!U$3517-tk_life),Sens!$R$3548:$AA$3548)/tk_life</f>
        <v>11.7348570548391</v>
      </c>
      <c r="V3551" s="38" t="n">
        <f aca="false">SUMPRODUCT(--(Sens!$R$3517:$AA$3517&lt;Sens!V$3517),--(Sens!$R$3517:$AA$3517&gt;=Sens!V$3517-tk_life),Sens!$R$3548:$AA$3548)/tk_life</f>
        <v>32.0781968981833</v>
      </c>
      <c r="W3551" s="38" t="n">
        <f aca="false">SUMPRODUCT(--(Sens!$R$3517:$AA$3517&lt;Sens!W$3517),--(Sens!$R$3517:$AA$3517&gt;=Sens!W$3517-tk_life),Sens!$R$3548:$AA$3548)/tk_life</f>
        <v>57.4989942223083</v>
      </c>
      <c r="X3551" s="38" t="n">
        <f aca="false">SUMPRODUCT(--(Sens!$R$3517:$AA$3517&lt;Sens!X$3517),--(Sens!$R$3517:$AA$3517&gt;=Sens!X$3517-tk_life),Sens!$R$3548:$AA$3548)/tk_life</f>
        <v>83.932309040725</v>
      </c>
      <c r="Y3551" s="38" t="n">
        <f aca="false">SUMPRODUCT(--(Sens!$R$3517:$AA$3517&lt;Sens!Y$3517),--(Sens!$R$3517:$AA$3517&gt;=Sens!Y$3517-tk_life),Sens!$R$3548:$AA$3548)/tk_life</f>
        <v>111.055205760776</v>
      </c>
      <c r="Z3551" s="38" t="n">
        <f aca="false">SUMPRODUCT(--(Sens!$R$3517:$AA$3517&lt;Sens!Z$3517),--(Sens!$R$3517:$AA$3517&gt;=Sens!Z$3517-tk_life),Sens!$R$3548:$AA$3548)/tk_life</f>
        <v>136.155420195893</v>
      </c>
      <c r="AA3551" s="38" t="n">
        <f aca="false">SUMPRODUCT(--(Sens!$R$3517:$AA$3517&lt;Sens!AA$3517),--(Sens!$R$3517:$AA$3517&gt;=Sens!AA$3517-tk_life),Sens!$R$3548:$AA$3548)/tk_life</f>
        <v>161.970932841136</v>
      </c>
    </row>
    <row r="3552" customFormat="false" ht="17.15" hidden="false" customHeight="false" outlineLevel="0" collapsed="false">
      <c r="A3552" s="0" t="s">
        <v>593</v>
      </c>
      <c r="B3552" s="0" t="s">
        <v>73</v>
      </c>
      <c r="C3552" s="38" t="n">
        <f aca="false">Sens!$S$3552</f>
        <v>0.0202511502553155</v>
      </c>
      <c r="D3552" s="38" t="n">
        <f aca="false">Sens!$T$3552</f>
        <v>0.360549480652134</v>
      </c>
      <c r="E3552" s="38" t="n">
        <f aca="false">Sens!$G$3552/2</f>
        <v>0.648547360125127</v>
      </c>
      <c r="F3552" s="38" t="n">
        <f aca="false">Sens!$G$3552/2</f>
        <v>0.648547360125127</v>
      </c>
      <c r="G3552" s="38" t="n">
        <f aca="false">Sens!$U$3552</f>
        <v>1.29709472025025</v>
      </c>
      <c r="H3552" s="38" t="n">
        <f aca="false">Sens!$V$3552</f>
        <v>3.21599529914753</v>
      </c>
      <c r="I3552" s="38" t="n">
        <f aca="false">Sens!$W$3552</f>
        <v>5.51832434914753</v>
      </c>
      <c r="J3552" s="38" t="n">
        <f aca="false">Sens!$X$3552</f>
        <v>7.82065339914753</v>
      </c>
      <c r="K3552" s="38" t="n">
        <f aca="false">Sens!$Y$3552</f>
        <v>10.1229824491475</v>
      </c>
      <c r="L3552" s="38" t="n">
        <f aca="false">Sens!$Z$3552</f>
        <v>12.4253114991475</v>
      </c>
      <c r="M3552" s="38" t="n">
        <f aca="false">Sens!$AA$3552</f>
        <v>14.7276405491475</v>
      </c>
      <c r="N3552" s="38" t="n">
        <f aca="false">Sens!$D$3552/2</f>
        <v>0.180274740326067</v>
      </c>
      <c r="O3552" s="38" t="n">
        <f aca="false">Sens!$D$3552/2</f>
        <v>0.180274740326067</v>
      </c>
      <c r="R3552" s="38" t="n">
        <f aca="false">SUMPRODUCT(--(Sens!$R$3517:$AA$3517&lt;Sens!R$3517),Sens!$R$3549:$AA$3549)/fac_life</f>
        <v>0</v>
      </c>
      <c r="S3552" s="38" t="n">
        <f aca="false">SUMPRODUCT(--(Sens!$R$3517:$AA$3517&lt;Sens!S$3517),Sens!$R$3549:$AA$3549)/fac_life</f>
        <v>0.0202511502553155</v>
      </c>
      <c r="T3552" s="38" t="n">
        <f aca="false">SUMPRODUCT(--(Sens!$R$3517:$AA$3517&lt;Sens!T$3517),Sens!$R$3549:$AA$3549)/fac_life</f>
        <v>0.360549480652134</v>
      </c>
      <c r="U3552" s="38" t="n">
        <f aca="false">SUMPRODUCT(--(Sens!$R$3517:$AA$3517&lt;Sens!U$3517),Sens!$R$3549:$AA$3549)/fac_life</f>
        <v>1.29709472025025</v>
      </c>
      <c r="V3552" s="38" t="n">
        <f aca="false">SUMPRODUCT(--(Sens!$R$3517:$AA$3517&lt;Sens!V$3517),Sens!$R$3549:$AA$3549)/fac_life</f>
        <v>3.21599529914753</v>
      </c>
      <c r="W3552" s="38" t="n">
        <f aca="false">SUMPRODUCT(--(Sens!$R$3517:$AA$3517&lt;Sens!W$3517),Sens!$R$3549:$AA$3549)/fac_life</f>
        <v>5.51832434914753</v>
      </c>
      <c r="X3552" s="38" t="n">
        <f aca="false">SUMPRODUCT(--(Sens!$R$3517:$AA$3517&lt;Sens!X$3517),Sens!$R$3549:$AA$3549)/fac_life</f>
        <v>7.82065339914753</v>
      </c>
      <c r="Y3552" s="38" t="n">
        <f aca="false">SUMPRODUCT(--(Sens!$R$3517:$AA$3517&lt;Sens!Y$3517),Sens!$R$3549:$AA$3549)/fac_life</f>
        <v>10.1229824491475</v>
      </c>
      <c r="Z3552" s="38" t="n">
        <f aca="false">SUMPRODUCT(--(Sens!$R$3517:$AA$3517&lt;Sens!Z$3517),Sens!$R$3549:$AA$3549)/fac_life</f>
        <v>12.4253114991475</v>
      </c>
      <c r="AA3552" s="38" t="n">
        <f aca="false">SUMPRODUCT(--(Sens!$R$3517:$AA$3517&lt;Sens!AA$3517),Sens!$R$3549:$AA$3549)/fac_life</f>
        <v>14.7276405491475</v>
      </c>
    </row>
    <row r="3553" customFormat="false" ht="17.15" hidden="false" customHeight="false" outlineLevel="0" collapsed="false">
      <c r="A3553" s="1" t="s">
        <v>594</v>
      </c>
      <c r="B3553" s="8" t="s">
        <v>73</v>
      </c>
      <c r="C3553" s="38" t="n">
        <f aca="false">Sens!$C$3551+Sens!$C$3552</f>
        <v>0.203463948620839</v>
      </c>
      <c r="D3553" s="38" t="n">
        <f aca="false">Sens!$D$3551+Sens!$D$3552</f>
        <v>3.62245206231783</v>
      </c>
      <c r="E3553" s="38" t="n">
        <f aca="false">Sens!$E$3551+Sens!$E$3552</f>
        <v>6.51597588754466</v>
      </c>
      <c r="F3553" s="38" t="n">
        <f aca="false">Sens!$F$3551+Sens!$F$3552</f>
        <v>6.51597588754466</v>
      </c>
      <c r="G3553" s="38" t="n">
        <f aca="false">Sens!$G$3551+Sens!$G$3552</f>
        <v>13.0319517750893</v>
      </c>
      <c r="H3553" s="38" t="n">
        <f aca="false">Sens!$H$3551+Sens!$H$3552</f>
        <v>35.2941921973308</v>
      </c>
      <c r="I3553" s="38" t="n">
        <f aca="false">Sens!$I$3551+Sens!$I$3552</f>
        <v>63.0173185714558</v>
      </c>
      <c r="J3553" s="38" t="n">
        <f aca="false">Sens!$J$3551+Sens!$J$3552</f>
        <v>91.7529624398725</v>
      </c>
      <c r="K3553" s="38" t="n">
        <f aca="false">Sens!$K$3551+Sens!$K$3552</f>
        <v>121.178188209924</v>
      </c>
      <c r="L3553" s="38" t="n">
        <f aca="false">Sens!$L$3551+Sens!$L$3552</f>
        <v>148.58073169504</v>
      </c>
      <c r="M3553" s="38" t="n">
        <f aca="false">Sens!$M$3551+Sens!$M$3552</f>
        <v>176.698573390283</v>
      </c>
      <c r="N3553" s="38" t="n">
        <f aca="false">Sens!$N$3551+Sens!$N$3552</f>
        <v>1.81122603115892</v>
      </c>
      <c r="O3553" s="38" t="n">
        <f aca="false">Sens!$O$3551+Sens!$O$3552</f>
        <v>1.81122603115892</v>
      </c>
      <c r="R3553" s="38" t="n">
        <f aca="false">Sens!$R$3551+Sens!$R$3552</f>
        <v>0</v>
      </c>
      <c r="S3553" s="38" t="n">
        <f aca="false">Sens!$S$3551+Sens!$S$3552</f>
        <v>0.203463948620839</v>
      </c>
      <c r="T3553" s="38" t="n">
        <f aca="false">Sens!$T$3551+Sens!$T$3552</f>
        <v>3.62245206231783</v>
      </c>
      <c r="U3553" s="38" t="n">
        <f aca="false">Sens!$U$3551+Sens!$U$3552</f>
        <v>13.0319517750893</v>
      </c>
      <c r="V3553" s="38" t="n">
        <f aca="false">Sens!$V$3551+Sens!$V$3552</f>
        <v>35.2941921973308</v>
      </c>
      <c r="W3553" s="38" t="n">
        <f aca="false">Sens!$W$3551+Sens!$W$3552</f>
        <v>63.0173185714558</v>
      </c>
      <c r="X3553" s="38" t="n">
        <f aca="false">Sens!$X$3551+Sens!$X$3552</f>
        <v>91.7529624398725</v>
      </c>
      <c r="Y3553" s="38" t="n">
        <f aca="false">Sens!$Y$3551+Sens!$Y$3552</f>
        <v>121.178188209924</v>
      </c>
      <c r="Z3553" s="38" t="n">
        <f aca="false">Sens!$Z$3551+Sens!$Z$3552</f>
        <v>148.58073169504</v>
      </c>
      <c r="AA3553" s="38" t="n">
        <f aca="false">Sens!$AA$3551+Sens!$AA$3552</f>
        <v>176.698573390283</v>
      </c>
    </row>
    <row r="3554" customFormat="false" ht="17.15" hidden="false" customHeight="false" outlineLevel="0" collapsed="false">
      <c r="A3554" s="0" t="s">
        <v>595</v>
      </c>
      <c r="B3554" s="0" t="s">
        <v>73</v>
      </c>
      <c r="C3554" s="38" t="n">
        <f aca="false">Sens!$S$3554</f>
        <v>26.578941154416</v>
      </c>
      <c r="D3554" s="38" t="n">
        <f aca="false">Sens!$T$3554</f>
        <v>92.5251207231008</v>
      </c>
      <c r="G3554" s="38" t="n">
        <f aca="false">Sens!$U$3554</f>
        <v>239.931219586022</v>
      </c>
      <c r="H3554" s="38" t="n">
        <f aca="false">Sens!$V$3554</f>
        <v>403.208392333442</v>
      </c>
      <c r="I3554" s="38" t="n">
        <f aca="false">Sens!$W$3554</f>
        <v>544.837543672486</v>
      </c>
      <c r="J3554" s="38" t="n">
        <f aca="false">Sens!$X$3554</f>
        <v>662.967819343113</v>
      </c>
      <c r="K3554" s="38" t="n">
        <f aca="false">Sens!$Y$3554</f>
        <v>756.90963744369</v>
      </c>
      <c r="L3554" s="38" t="n">
        <f aca="false">Sens!$Z$3554</f>
        <v>860.10628945915</v>
      </c>
      <c r="M3554" s="38" t="n">
        <f aca="false">Sens!$AA$3554</f>
        <v>995.283560834616</v>
      </c>
      <c r="R3554" s="38" t="n">
        <f aca="false">SUM(Sens!$R$3546:$R$3546)-SUM(Sens!$R$3553:$R$3553)</f>
        <v>1.50429979529945</v>
      </c>
      <c r="S3554" s="38" t="n">
        <f aca="false">SUM(Sens!$R$3546:$S$3546)-SUM(Sens!$R$3553:$S$3553)</f>
        <v>26.578941154416</v>
      </c>
      <c r="T3554" s="38" t="n">
        <f aca="false">SUM(Sens!$R$3546:$T$3546)-SUM(Sens!$R$3553:$T$3553)</f>
        <v>92.5251207231008</v>
      </c>
      <c r="U3554" s="38" t="n">
        <f aca="false">SUM(Sens!$R$3546:$U$3546)-SUM(Sens!$R$3553:$U$3553)</f>
        <v>239.931219586022</v>
      </c>
      <c r="V3554" s="38" t="n">
        <f aca="false">SUM(Sens!$R$3546:$V$3546)-SUM(Sens!$R$3553:$V$3553)</f>
        <v>403.208392333442</v>
      </c>
      <c r="W3554" s="38" t="n">
        <f aca="false">SUM(Sens!$R$3546:$W$3546)-SUM(Sens!$R$3553:$W$3553)</f>
        <v>544.837543672486</v>
      </c>
      <c r="X3554" s="38" t="n">
        <f aca="false">SUM(Sens!$R$3546:$X$3546)-SUM(Sens!$R$3553:$X$3553)</f>
        <v>662.967819343113</v>
      </c>
      <c r="Y3554" s="38" t="n">
        <f aca="false">SUM(Sens!$R$3546:$Y$3546)-SUM(Sens!$R$3553:$Y$3553)</f>
        <v>756.90963744369</v>
      </c>
      <c r="Z3554" s="38" t="n">
        <f aca="false">SUM(Sens!$R$3546:$Z$3546)-SUM(Sens!$R$3553:$Z$3553)</f>
        <v>860.10628945915</v>
      </c>
      <c r="AA3554" s="38" t="n">
        <f aca="false">SUM(Sens!$R$3546:$AA$3546)-SUM(Sens!$R$3553:$AA$3553)</f>
        <v>995.283560834616</v>
      </c>
    </row>
    <row r="3555" customFormat="false" ht="17.15" hidden="false" customHeight="false" outlineLevel="0" collapsed="false">
      <c r="A3555" s="1" t="s">
        <v>596</v>
      </c>
    </row>
    <row r="3556" customFormat="false" ht="17.15" hidden="false" customHeight="false" outlineLevel="0" collapsed="false">
      <c r="A3556" s="0" t="s">
        <v>597</v>
      </c>
      <c r="B3556" s="0" t="s">
        <v>73</v>
      </c>
      <c r="C3556" s="38" t="n">
        <f aca="false">Sens!$C$3537-ext_sh*Sens!$C$3539</f>
        <v>1.80694998843362</v>
      </c>
      <c r="D3556" s="38" t="n">
        <f aca="false">Sens!$D$3537-ext_sh*Sens!$D$3539</f>
        <v>6.77606245662607</v>
      </c>
      <c r="E3556" s="38" t="n">
        <f aca="false">Sens!$E$3537-ext_sh*Sens!$E$3539</f>
        <v>6.62548329092326</v>
      </c>
      <c r="F3556" s="38" t="n">
        <f aca="false">Sens!$F$3537-ext_sh*Sens!$F$3539</f>
        <v>11.7200577158706</v>
      </c>
      <c r="G3556" s="38" t="n">
        <f aca="false">Sens!$G$3537-ext_sh*Sens!$G$3539</f>
        <v>18.3455410067939</v>
      </c>
      <c r="H3556" s="38" t="n">
        <f aca="false">Sens!$H$3537-ext_sh*Sens!$H$3539</f>
        <v>47.5171727060453</v>
      </c>
      <c r="I3556" s="38" t="n">
        <f aca="false">Sens!$I$3537-ext_sh*Sens!$I$3539</f>
        <v>80.5539692643667</v>
      </c>
      <c r="J3556" s="38" t="n">
        <f aca="false">Sens!$J$3537-ext_sh*Sens!$J$3539</f>
        <v>113.759316834883</v>
      </c>
      <c r="K3556" s="38" t="n">
        <f aca="false">Sens!$K$3537-ext_sh*Sens!$K$3539</f>
        <v>147.020848076132</v>
      </c>
      <c r="L3556" s="38" t="n">
        <f aca="false">Sens!$L$3537-ext_sh*Sens!$L$3539</f>
        <v>180.307917349531</v>
      </c>
      <c r="M3556" s="38" t="n">
        <f aca="false">Sens!$M$3537-ext_sh*Sens!$M$3539</f>
        <v>213.608737871012</v>
      </c>
      <c r="N3556" s="38" t="n">
        <f aca="false">Sens!$N$3537-ext_sh*Sens!$N$3539</f>
        <v>2.37162185981912</v>
      </c>
      <c r="O3556" s="38" t="n">
        <f aca="false">Sens!$O$3537-ext_sh*Sens!$O$3539</f>
        <v>4.40444059680694</v>
      </c>
    </row>
    <row r="3557" customFormat="false" ht="17.15" hidden="false" customHeight="false" outlineLevel="0" collapsed="false">
      <c r="A3557" s="1" t="s">
        <v>598</v>
      </c>
      <c r="B3557" s="8" t="s">
        <v>73</v>
      </c>
      <c r="C3557" s="38" t="n">
        <f aca="false">Sens!$C$3556-ext_sh*Sens!$C$3553</f>
        <v>1.64417882953695</v>
      </c>
      <c r="D3557" s="38" t="n">
        <f aca="false">Sens!$D$3556-ext_sh*Sens!$D$3553</f>
        <v>3.8781008067718</v>
      </c>
      <c r="E3557" s="38" t="n">
        <f aca="false">Sens!$E$3556-ext_sh*Sens!$E$3553</f>
        <v>1.41270258088753</v>
      </c>
      <c r="F3557" s="38" t="n">
        <f aca="false">Sens!$F$3556-ext_sh*Sens!$F$3553</f>
        <v>6.50727700583486</v>
      </c>
      <c r="G3557" s="38" t="n">
        <f aca="false">Sens!$G$3556-ext_sh*Sens!$G$3553</f>
        <v>7.9199795867224</v>
      </c>
      <c r="H3557" s="38" t="n">
        <f aca="false">Sens!$H$3556-ext_sh*Sens!$H$3553</f>
        <v>19.2818189481807</v>
      </c>
      <c r="I3557" s="38" t="n">
        <f aca="false">Sens!$I$3556-ext_sh*Sens!$I$3553</f>
        <v>30.140114407202</v>
      </c>
      <c r="J3557" s="38" t="n">
        <f aca="false">Sens!$J$3556-ext_sh*Sens!$J$3553</f>
        <v>40.3569468829854</v>
      </c>
      <c r="K3557" s="38" t="n">
        <f aca="false">Sens!$K$3556-ext_sh*Sens!$K$3553</f>
        <v>50.0782975081929</v>
      </c>
      <c r="L3557" s="38" t="n">
        <f aca="false">Sens!$L$3556-ext_sh*Sens!$L$3553</f>
        <v>61.443331993499</v>
      </c>
      <c r="M3557" s="38" t="n">
        <f aca="false">Sens!$M$3556-ext_sh*Sens!$M$3553</f>
        <v>72.2498791587849</v>
      </c>
      <c r="N3557" s="38" t="n">
        <f aca="false">Sens!$N$3556-ext_sh*Sens!$N$3553</f>
        <v>0.92264103489199</v>
      </c>
      <c r="O3557" s="38" t="n">
        <f aca="false">Sens!$O$3556-ext_sh*Sens!$O$3553</f>
        <v>2.95545977187981</v>
      </c>
    </row>
    <row r="3558" customFormat="false" ht="17.15" hidden="false" customHeight="false" outlineLevel="0" collapsed="false">
      <c r="A3558" s="0" t="s">
        <v>599</v>
      </c>
      <c r="B3558" s="0" t="s">
        <v>52</v>
      </c>
      <c r="C3558" s="12" t="n">
        <f aca="false">Sens!$C$3557/Sens!$C$3537</f>
        <v>0.708390794789371</v>
      </c>
      <c r="D3558" s="12" t="n">
        <f aca="false">Sens!$D$3557/Sens!$D$3537</f>
        <v>0.445565630441968</v>
      </c>
      <c r="E3558" s="12" t="n">
        <f aca="false">Sens!$E$3557/Sens!$E$3537</f>
        <v>0.165998118402711</v>
      </c>
      <c r="F3558" s="12" t="n">
        <f aca="false">Sens!$F$3557/Sens!$F$3537</f>
        <v>0.434878595403858</v>
      </c>
      <c r="G3558" s="12" t="n">
        <f aca="false">Sens!$G$3557/Sens!$G$3537</f>
        <v>0.3373967615381</v>
      </c>
      <c r="H3558" s="12" t="n">
        <f aca="false">Sens!$H$3557/Sens!$H$3537</f>
        <v>0.320477578041224</v>
      </c>
      <c r="I3558" s="12" t="n">
        <f aca="false">Sens!$I$3557/Sens!$I$3537</f>
        <v>0.296936118226494</v>
      </c>
      <c r="J3558" s="12" t="n">
        <f aca="false">Sens!$J$3557/Sens!$J$3537</f>
        <v>0.282166278613001</v>
      </c>
      <c r="K3558" s="12" t="n">
        <f aca="false">Sens!$K$3557/Sens!$K$3537</f>
        <v>0.271267685694333</v>
      </c>
      <c r="L3558" s="12" t="n">
        <f aca="false">Sens!$L$3557/Sens!$L$3537</f>
        <v>0.27160960915653</v>
      </c>
      <c r="M3558" s="12" t="n">
        <f aca="false">Sens!$M$3557/Sens!$M$3537</f>
        <v>0.26974494804234</v>
      </c>
      <c r="N3558" s="12" t="n">
        <f aca="false">Sens!$N$3557/Sens!$N$3537</f>
        <v>0.302870734830849</v>
      </c>
      <c r="O3558" s="12" t="n">
        <f aca="false">Sens!$O$3557/Sens!$O$3537</f>
        <v>0.52240134346334</v>
      </c>
    </row>
    <row r="3559" customFormat="false" ht="17.15" hidden="false" customHeight="false" outlineLevel="0" collapsed="false">
      <c r="A3559" s="5" t="s">
        <v>600</v>
      </c>
      <c r="B3559" s="0" t="s">
        <v>73</v>
      </c>
      <c r="C3559" s="38" t="n">
        <f aca="false">rd2*(1-ext_sh)/ext_sh*Sens!$C$3520*he_open*Sens!$C$3521/1000</f>
        <v>0</v>
      </c>
      <c r="D3559" s="38" t="n">
        <f aca="false">rd2*(1-ext_sh)/ext_sh*Sens!$D$3520*he_open*Sens!$D$3521/1000</f>
        <v>0</v>
      </c>
      <c r="E3559" s="38" t="n">
        <f aca="false">rd2*(1-ext_sh)/ext_sh*Sens!$E$3520*he_open*Sens!$E$3521/1000</f>
        <v>0</v>
      </c>
      <c r="F3559" s="38" t="n">
        <f aca="false">rd2*(1-ext_sh)/ext_sh*(mw_open*he_open+Sens!$F$3535*Sens!$F$3532)*Sens!$F$3521/1000</f>
        <v>0</v>
      </c>
      <c r="G3559" s="38" t="n">
        <f aca="false">Sens!$E$3559+Sens!$F$3559</f>
        <v>0</v>
      </c>
      <c r="H3559" s="38" t="n">
        <f aca="false">rd2*(1-ext_sh)/ext_sh*(mw_open*he_open+Sens!$H$3535*Sens!$H$3532)*Sens!$H$3521/1000</f>
        <v>0</v>
      </c>
      <c r="I3559" s="38" t="n">
        <f aca="false">rd2*(1-ext_sh)/ext_sh*(mw_open*he_open+Sens!$I$3535*Sens!$I$3532)*Sens!$I$3521/1000</f>
        <v>0</v>
      </c>
      <c r="J3559" s="38" t="n">
        <f aca="false">rd2*(1-ext_sh)/ext_sh*(mw_open*he_open+Sens!$J$3535*Sens!$J$3532)*Sens!$J$3521/1000</f>
        <v>0</v>
      </c>
      <c r="K3559" s="38" t="n">
        <f aca="false">rd2*(1-ext_sh)/ext_sh*(mw_open*he_open+Sens!$K$3535*Sens!$K$3532)*Sens!$K$3521/1000</f>
        <v>0</v>
      </c>
      <c r="L3559" s="38" t="n">
        <f aca="false">rd2*(1-ext_sh)/ext_sh*(mw_open*he_open+Sens!$L$3535*Sens!$L$3532)*Sens!$L$3521/1000</f>
        <v>0</v>
      </c>
      <c r="M3559" s="38" t="n">
        <f aca="false">rd2*(1-ext_sh)/ext_sh*(mw_open*he_open+Sens!$M$3535*Sens!$M$3532)*Sens!$M$3521/1000</f>
        <v>0</v>
      </c>
      <c r="N3559" s="38" t="n">
        <f aca="false">rd2*(1-ext_sh)/ext_sh*Sens!$N$3520*he_open*Sens!$N$3521/1000</f>
        <v>0</v>
      </c>
      <c r="O3559" s="38" t="n">
        <f aca="false">rd2*(1-ext_sh)/ext_sh*Sens!$O$3520*he_open*Sens!$O$3521/1000</f>
        <v>0</v>
      </c>
      <c r="P3559" s="8" t="s">
        <v>601</v>
      </c>
    </row>
    <row r="3560" customFormat="false" ht="17.15" hidden="false" customHeight="false" outlineLevel="0" collapsed="false">
      <c r="A3560" s="5" t="s">
        <v>602</v>
      </c>
      <c r="B3560" s="0" t="s">
        <v>73</v>
      </c>
      <c r="C3560" s="38" t="n">
        <f aca="false">(1-ext_sh)*(Sens!$C$3539+Sens!$C$3553)-Sens!$C$3559</f>
        <v>0.169206631859174</v>
      </c>
      <c r="D3560" s="38" t="n">
        <f aca="false">(1-ext_sh)*(Sens!$D$3539+Sens!$D$3553)-Sens!$D$3559</f>
        <v>1.20641732046984</v>
      </c>
      <c r="E3560" s="38" t="n">
        <f aca="false">(1-ext_sh)*(Sens!$E$3539+Sens!$E$3553)-Sens!$E$3559</f>
        <v>1.77441259867062</v>
      </c>
      <c r="F3560" s="38" t="n">
        <f aca="false">(1-ext_sh)*(Sens!$F$3539+Sens!$F$3553)-Sens!$F$3559</f>
        <v>2.1140391597214</v>
      </c>
      <c r="G3560" s="38" t="n">
        <f aca="false">(1-ext_sh)*(Sens!$G$3539+Sens!$G$3553)-Sens!$G$3559</f>
        <v>3.88845175839202</v>
      </c>
      <c r="H3560" s="38" t="n">
        <f aca="false">(1-ext_sh)*(Sens!$H$3539+Sens!$H$3553)-Sens!$H$3559</f>
        <v>10.2210179503985</v>
      </c>
      <c r="I3560" s="38" t="n">
        <f aca="false">(1-ext_sh)*(Sens!$I$3539+Sens!$I$3553)-Sens!$I$3559</f>
        <v>17.8408961823075</v>
      </c>
      <c r="J3560" s="38" t="n">
        <f aca="false">(1-ext_sh)*(Sens!$J$3539+Sens!$J$3553)-Sens!$J$3559</f>
        <v>25.6671150670732</v>
      </c>
      <c r="K3560" s="38" t="n">
        <f aca="false">(1-ext_sh)*(Sens!$K$3539+Sens!$K$3553)-Sens!$K$3559</f>
        <v>33.6325293834986</v>
      </c>
      <c r="L3560" s="38" t="n">
        <f aca="false">(1-ext_sh)*(Sens!$L$3539+Sens!$L$3553)-Sens!$L$3559</f>
        <v>41.1939886299065</v>
      </c>
      <c r="M3560" s="38" t="n">
        <f aca="false">(1-ext_sh)*(Sens!$M$3539+Sens!$M$3553)-Sens!$M$3559</f>
        <v>48.8988205728617</v>
      </c>
      <c r="N3560" s="38" t="n">
        <f aca="false">(1-ext_sh)*(Sens!$N$3539+Sens!$N$3553)-Sens!$N$3559</f>
        <v>0.530919624033979</v>
      </c>
      <c r="O3560" s="38" t="n">
        <f aca="false">(1-ext_sh)*(Sens!$O$3539+Sens!$O$3553)-Sens!$O$3559</f>
        <v>0.675497696435861</v>
      </c>
    </row>
    <row r="3561" customFormat="false" ht="17.15" hidden="false" customHeight="false" outlineLevel="0" collapsed="false">
      <c r="A3561" s="0" t="s">
        <v>603</v>
      </c>
      <c r="B3561" s="0" t="s">
        <v>73</v>
      </c>
      <c r="C3561" s="38" t="n">
        <f aca="false">Q!$D$24</f>
        <v>39.834</v>
      </c>
      <c r="D3561" s="38" t="n">
        <f aca="false">Q!$E$24</f>
        <v>45.606</v>
      </c>
      <c r="E3561" s="38" t="n">
        <f aca="false">Q!$P$24</f>
        <v>30.782</v>
      </c>
      <c r="N3561" s="38" t="n">
        <f aca="false">Q!$N$24</f>
        <v>21.707</v>
      </c>
      <c r="O3561" s="38" t="n">
        <f aca="false">Q!$O$24</f>
        <v>23.899</v>
      </c>
    </row>
    <row r="3562" customFormat="false" ht="17.15" hidden="false" customHeight="false" outlineLevel="0" collapsed="false">
      <c r="A3562" s="0" t="s">
        <v>604</v>
      </c>
      <c r="B3562" s="0" t="s">
        <v>73</v>
      </c>
      <c r="C3562" s="38" t="n">
        <f aca="false">Sens!$C$3561-Sens!$C$3557</f>
        <v>38.1898211704631</v>
      </c>
      <c r="D3562" s="38" t="n">
        <f aca="false">Sens!$D$3561-Sens!$D$3557</f>
        <v>41.7278991932282</v>
      </c>
      <c r="E3562" s="38" t="n">
        <f aca="false">Sens!$E$3561-Sens!$E$3557</f>
        <v>29.3692974191125</v>
      </c>
      <c r="F3562" s="38" t="n">
        <f aca="false">Sens!$F$3541*Sens!$F$3563</f>
        <v>29.458060516894</v>
      </c>
      <c r="G3562" s="38" t="n">
        <f aca="false">Sens!$E$3562+Sens!$F$3562</f>
        <v>58.8273579360065</v>
      </c>
      <c r="H3562" s="38" t="n">
        <f aca="false">Sens!$H$3541*Sens!$H$3563</f>
        <v>67.8004040185081</v>
      </c>
      <c r="I3562" s="38" t="n">
        <f aca="false">Sens!$I$3541*Sens!$I$3563</f>
        <v>78.9527630302702</v>
      </c>
      <c r="J3562" s="38" t="n">
        <f aca="false">Sens!$J$3541*Sens!$J$3563</f>
        <v>88.6042681781841</v>
      </c>
      <c r="K3562" s="38" t="n">
        <f aca="false">Sens!$K$3541*Sens!$K$3563</f>
        <v>95.6926096324389</v>
      </c>
      <c r="L3562" s="38" t="n">
        <f aca="false">Sens!$L$3541*Sens!$L$3563</f>
        <v>103.348018403034</v>
      </c>
      <c r="M3562" s="38" t="n">
        <f aca="false">Sens!$M$3541*Sens!$M$3563</f>
        <v>111.615859875277</v>
      </c>
      <c r="N3562" s="38" t="n">
        <f aca="false">Sens!$N$3561-Sens!$N$3557</f>
        <v>20.784358965108</v>
      </c>
      <c r="O3562" s="38" t="n">
        <f aca="false">Sens!$O$3561-Sens!$O$3557</f>
        <v>20.9435402281202</v>
      </c>
      <c r="P3562" s="5" t="s">
        <v>605</v>
      </c>
    </row>
    <row r="3563" customFormat="false" ht="17.15" hidden="false" customHeight="false" outlineLevel="0" collapsed="false">
      <c r="A3563" s="0" t="s">
        <v>606</v>
      </c>
      <c r="B3563" s="0" t="s">
        <v>52</v>
      </c>
      <c r="C3563" s="12" t="n">
        <f aca="false">Sens!$C$3562/Sens!$C$3541</f>
        <v>0.362900395443635</v>
      </c>
      <c r="D3563" s="12" t="n">
        <f aca="false">Sens!$D$3562/Sens!$D$3541</f>
        <v>0.34767098474203</v>
      </c>
      <c r="E3563" s="12" t="n">
        <f aca="false">Sens!$E$3562/Sens!$E$3541</f>
        <v>0.411861655558416</v>
      </c>
      <c r="F3563" s="12" t="n">
        <f aca="false">(Sens!$O$3562+Sens!$E$3562)/(Sens!$O$3541+Sens!$E$3541)</f>
        <v>0.37480827803158</v>
      </c>
      <c r="G3563" s="12" t="n">
        <f aca="false">Sens!$G$3562/Sens!$G$3541</f>
        <v>0.392434440489471</v>
      </c>
      <c r="H3563" s="12" t="n">
        <f aca="false">Sens!$F$3563</f>
        <v>0.37480827803158</v>
      </c>
      <c r="I3563" s="12" t="n">
        <f aca="false">Sens!$F$3563</f>
        <v>0.37480827803158</v>
      </c>
      <c r="J3563" s="12" t="n">
        <f aca="false">Sens!$F$3563</f>
        <v>0.37480827803158</v>
      </c>
      <c r="K3563" s="12" t="n">
        <f aca="false">Sens!$F$3563</f>
        <v>0.37480827803158</v>
      </c>
      <c r="L3563" s="12" t="n">
        <f aca="false">Sens!$F$3563</f>
        <v>0.37480827803158</v>
      </c>
      <c r="M3563" s="12" t="n">
        <f aca="false">Sens!$F$3563</f>
        <v>0.37480827803158</v>
      </c>
      <c r="N3563" s="12" t="n">
        <f aca="false">Sens!$N$3562/Sens!$N$3541</f>
        <v>0.364039571356823</v>
      </c>
      <c r="O3563" s="12" t="n">
        <f aca="false">Sens!$O$3562/Sens!$O$3541</f>
        <v>0.332819892300086</v>
      </c>
      <c r="P3563" s="8" t="s">
        <v>607</v>
      </c>
    </row>
    <row r="3564" customFormat="false" ht="17.15" hidden="false" customHeight="false" outlineLevel="0" collapsed="false">
      <c r="A3564" s="0" t="s">
        <v>608</v>
      </c>
      <c r="B3564" s="0" t="s">
        <v>52</v>
      </c>
      <c r="D3564" s="12" t="n">
        <f aca="false">(Q!$E$31-ext_sh*Sens!$D$3553)/Sens!$D$3541</f>
        <v>0.154572973163571</v>
      </c>
    </row>
    <row r="3565" customFormat="false" ht="17.15" hidden="false" customHeight="false" outlineLevel="0" collapsed="false">
      <c r="A3565" s="0" t="s">
        <v>609</v>
      </c>
      <c r="B3565" s="0" t="s">
        <v>73</v>
      </c>
      <c r="C3565" s="38" t="n">
        <f aca="false">Q!$D$31</f>
        <v>13.32</v>
      </c>
      <c r="D3565" s="38" t="n">
        <f aca="false">Q!$E$31</f>
        <v>21.45</v>
      </c>
      <c r="E3565" s="38" t="n">
        <f aca="false">Q!$P$31</f>
        <v>15.353</v>
      </c>
      <c r="F3565" s="38" t="n">
        <f aca="false">ext_sh*Sens!$F$3553+Sens!$D$3564*Sens!$F$3541</f>
        <v>17.3614451462707</v>
      </c>
      <c r="G3565" s="38" t="n">
        <f aca="false">Sens!$E$3565+Sens!$F$3565</f>
        <v>32.7144451462707</v>
      </c>
      <c r="H3565" s="38" t="n">
        <f aca="false">ext_sh*Sens!$H$3553+Sens!$D$3564*Sens!$H$3541</f>
        <v>56.1966092719415</v>
      </c>
      <c r="I3565" s="38" t="n">
        <f aca="false">ext_sh*Sens!$I$3553+Sens!$D$3564*Sens!$I$3541</f>
        <v>82.9744039068297</v>
      </c>
      <c r="J3565" s="38" t="n">
        <f aca="false">ext_sh*Sens!$J$3553+Sens!$D$3564*Sens!$J$3541</f>
        <v>109.943252237669</v>
      </c>
      <c r="K3565" s="38" t="n">
        <f aca="false">ext_sh*Sens!$K$3553+Sens!$D$3564*Sens!$K$3541</f>
        <v>136.406703436571</v>
      </c>
      <c r="L3565" s="38" t="n">
        <f aca="false">ext_sh*Sens!$L$3553+Sens!$D$3564*Sens!$L$3541</f>
        <v>161.485870454155</v>
      </c>
      <c r="M3565" s="38" t="n">
        <f aca="false">ext_sh*Sens!$M$3553+Sens!$D$3564*Sens!$M$3541</f>
        <v>187.389846618199</v>
      </c>
      <c r="N3565" s="38" t="n">
        <f aca="false">Q!$N$31</f>
        <v>9.234</v>
      </c>
      <c r="O3565" s="38" t="n">
        <f aca="false">Q!$O$31</f>
        <v>12.216</v>
      </c>
    </row>
    <row r="3566" customFormat="false" ht="17.15" hidden="false" customHeight="false" outlineLevel="0" collapsed="false">
      <c r="A3566" s="1" t="s">
        <v>610</v>
      </c>
    </row>
    <row r="3567" customFormat="false" ht="17.15" hidden="false" customHeight="false" outlineLevel="0" collapsed="false">
      <c r="A3567" s="14" t="s">
        <v>611</v>
      </c>
      <c r="B3567" s="13" t="s">
        <v>52</v>
      </c>
      <c r="C3567" s="13"/>
      <c r="D3567" s="13"/>
      <c r="E3567" s="13"/>
      <c r="F3567" s="13"/>
      <c r="G3567" s="16" t="n">
        <f aca="false">Sens!$G$3557*(1-tax)/(ext_sh*(Sens!$D$3554+Sens!$G$3554)/2)</f>
        <v>0.0492184452944045</v>
      </c>
      <c r="H3567" s="16" t="n">
        <f aca="false">Sens!$H$3557*(1-tax)/(ext_sh*(Sens!$G$3554+Sens!$H$3554)/2)</f>
        <v>0.0619414246858107</v>
      </c>
      <c r="I3567" s="16" t="n">
        <f aca="false">Sens!$I$3557*(1-tax)/(ext_sh*(Sens!$H$3554+Sens!$I$3554)/2)</f>
        <v>0.0656831488051666</v>
      </c>
      <c r="J3567" s="16" t="n">
        <f aca="false">Sens!$J$3557*(1-tax)/(ext_sh*(Sens!$I$3554+Sens!$J$3554)/2)</f>
        <v>0.0690334849962116</v>
      </c>
      <c r="K3567" s="16" t="n">
        <f aca="false">Sens!$K$3557*(1-tax)/(ext_sh*(Sens!$J$3554+Sens!$K$3554)/2)</f>
        <v>0.0728680488295485</v>
      </c>
      <c r="L3567" s="16" t="n">
        <f aca="false">Sens!$L$3557*(1-tax)/(ext_sh*(Sens!$K$3554+Sens!$L$3554)/2)</f>
        <v>0.0785052878122331</v>
      </c>
      <c r="M3567" s="16" t="n">
        <f aca="false">Sens!$M$3557*(1-tax)/(ext_sh*(Sens!$L$3554+Sens!$M$3554)/2)</f>
        <v>0.0804526580722741</v>
      </c>
      <c r="N3567" s="13"/>
      <c r="O3567" s="13"/>
      <c r="P3567" s="8" t="s">
        <v>612</v>
      </c>
    </row>
    <row r="3568" customFormat="false" ht="17.15" hidden="false" customHeight="false" outlineLevel="0" collapsed="false">
      <c r="A3568" s="5" t="s">
        <v>613</v>
      </c>
      <c r="B3568" s="0" t="s">
        <v>57</v>
      </c>
      <c r="H3568" s="36" t="n">
        <f aca="false">Sens!$H$3537*1000/(mw_open*he_open+Sens!$H$3535*Sens!$H$3532)</f>
        <v>0.991949006767191</v>
      </c>
      <c r="I3568" s="36" t="n">
        <f aca="false">Sens!$I$3537*1000/(mw_open*he_open+Sens!$I$3535*Sens!$I$3532)</f>
        <v>0.991949006767191</v>
      </c>
      <c r="J3568" s="36" t="n">
        <f aca="false">Sens!$J$3537*1000/(mw_open*he_open+Sens!$J$3535*Sens!$J$3532)</f>
        <v>0.991949006767191</v>
      </c>
      <c r="K3568" s="36" t="n">
        <f aca="false">Sens!$K$3537*1000/(mw_open*he_open+Sens!$K$3535*Sens!$K$3532)</f>
        <v>0.991949006767191</v>
      </c>
      <c r="L3568" s="36" t="n">
        <f aca="false">Sens!$L$3537*1000/(mw_open*he_open+Sens!$L$3535*Sens!$L$3532)</f>
        <v>0.991949006767191</v>
      </c>
      <c r="M3568" s="36" t="n">
        <f aca="false">Sens!$M$3537*1000/(mw_open*he_open+Sens!$M$3535*Sens!$M$3532)</f>
        <v>0.991949006767192</v>
      </c>
    </row>
    <row r="3569" customFormat="false" ht="17.15" hidden="false" customHeight="false" outlineLevel="0" collapsed="false">
      <c r="A3569" s="5" t="s">
        <v>614</v>
      </c>
      <c r="B3569" s="0" t="s">
        <v>57</v>
      </c>
      <c r="H3569" s="36" t="n">
        <f aca="false">Sens!$H$3568*(Sens!$H$3537+wacc*ext_sh*(Sens!$G$3554+Sens!$H$3554)/2/(1-tax)-Sens!$H$3557)/Sens!$H$3537</f>
        <v>1.3149781212103</v>
      </c>
      <c r="I3569" s="36" t="n">
        <f aca="false">Sens!$I$3568*(Sens!$I$3537+wacc*ext_sh*(Sens!$H$3554+Sens!$I$3554)/2/(1-tax)-Sens!$I$3557)/Sens!$I$3537</f>
        <v>1.25742005569107</v>
      </c>
      <c r="J3569" s="36" t="n">
        <f aca="false">Sens!$J$3568*(Sens!$J$3537+wacc*ext_sh*(Sens!$I$3554+Sens!$J$3554)/2/(1-tax)-Sens!$J$3557)/Sens!$J$3537</f>
        <v>1.21838845868559</v>
      </c>
      <c r="K3569" s="36" t="n">
        <f aca="false">Sens!$K$3568*(Sens!$K$3537+wacc*ext_sh*(Sens!$J$3554+Sens!$K$3554)/2/(1-tax)-Sens!$K$3557)/Sens!$K$3537</f>
        <v>1.18402644209548</v>
      </c>
      <c r="L3569" s="36" t="n">
        <f aca="false">Sens!$L$3568*(Sens!$L$3537+wacc*ext_sh*(Sens!$K$3554+Sens!$L$3554)/2/(1-tax)-Sens!$L$3557)/Sens!$L$3537</f>
        <v>1.15111215322059</v>
      </c>
      <c r="M3569" s="36" t="n">
        <f aca="false">Sens!$M$3568*(Sens!$M$3537+wacc*ext_sh*(Sens!$L$3554+Sens!$M$3554)/2/(1-tax)-Sens!$M$3557)/Sens!$M$3537</f>
        <v>1.1397166845677</v>
      </c>
    </row>
    <row r="3570" customFormat="false" ht="17.15" hidden="false" customHeight="false" outlineLevel="0" collapsed="false">
      <c r="A3570" s="5" t="s">
        <v>615</v>
      </c>
      <c r="B3570" s="0" t="s">
        <v>52</v>
      </c>
      <c r="C3570" s="12" t="n">
        <f aca="false">Sens!$C$3538/tk_pq</f>
        <v>0.195316432429398</v>
      </c>
      <c r="D3570" s="12" t="n">
        <f aca="false">Sens!$D$3538/tk_pq</f>
        <v>0.195316432429398</v>
      </c>
      <c r="E3570" s="12" t="n">
        <f aca="false">Sens!$E$3538/tk_pq</f>
        <v>0.195316432429398</v>
      </c>
      <c r="F3570" s="12" t="n">
        <f aca="false">Sens!$F$3538/tk_pq</f>
        <v>0.202241827274866</v>
      </c>
      <c r="G3570" s="12" t="n">
        <f aca="false">Sens!$G$3538/tk_pq</f>
        <v>0.199675016194063</v>
      </c>
      <c r="H3570" s="12" t="n">
        <f aca="false">Sens!$H$3538/tk_pq</f>
        <v>0.212647947710325</v>
      </c>
      <c r="I3570" s="12" t="n">
        <f aca="false">Sens!$I$3538/tk_pq</f>
        <v>0.219285125475351</v>
      </c>
      <c r="J3570" s="12" t="n">
        <f aca="false">Sens!$J$3538/tk_pq</f>
        <v>0.222492493217189</v>
      </c>
      <c r="K3570" s="12" t="n">
        <f aca="false">Sens!$K$3538/tk_pq</f>
        <v>0.224371415939166</v>
      </c>
      <c r="L3570" s="12" t="n">
        <f aca="false">Sens!$L$3538/tk_pq</f>
        <v>0.225603749825993</v>
      </c>
      <c r="M3570" s="12" t="n">
        <f aca="false">Sens!$M$3538/tk_pq</f>
        <v>0.22647376274628</v>
      </c>
      <c r="N3570" s="12" t="n">
        <f aca="false">Sens!$N$3538/tk_pq</f>
        <v>0.195316432429398</v>
      </c>
      <c r="O3570" s="12" t="n">
        <f aca="false">Sens!$O$3538/tk_pq</f>
        <v>0.195316432429398</v>
      </c>
      <c r="P3570" s="5" t="s">
        <v>616</v>
      </c>
    </row>
    <row r="3573" customFormat="false" ht="17.15" hidden="false" customHeight="false" outlineLevel="0" collapsed="false">
      <c r="A3573" s="1" t="s">
        <v>643</v>
      </c>
    </row>
    <row r="3574" customFormat="false" ht="17.15" hidden="false" customHeight="false" outlineLevel="0" collapsed="false">
      <c r="A3574" s="0" t="s">
        <v>644</v>
      </c>
      <c r="B3574" s="0" t="s">
        <v>73</v>
      </c>
      <c r="C3574" s="38" t="n">
        <f aca="false">Sens!$C$3537</f>
        <v>2.32100535697364</v>
      </c>
      <c r="D3574" s="38" t="n">
        <f aca="false">Sens!$D$3537</f>
        <v>8.70377008865116</v>
      </c>
      <c r="E3574" s="38" t="n">
        <f aca="false">Sens!$E$3537</f>
        <v>8.51035297557002</v>
      </c>
      <c r="F3574" s="38" t="n">
        <f aca="false">Sens!$F$3537</f>
        <v>14.9634336447205</v>
      </c>
      <c r="G3574" s="38" t="n">
        <f aca="false">Sens!$G$3537</f>
        <v>23.4737866202905</v>
      </c>
      <c r="H3574" s="38" t="n">
        <f aca="false">Sens!$H$3537</f>
        <v>60.1658907497746</v>
      </c>
      <c r="I3574" s="38" t="n">
        <f aca="false">Sens!$I$3537</f>
        <v>101.503699136432</v>
      </c>
      <c r="J3574" s="38" t="n">
        <f aca="false">Sens!$J$3537</f>
        <v>143.025407151278</v>
      </c>
      <c r="K3574" s="38" t="n">
        <f aca="false">Sens!$K$3537</f>
        <v>184.608415042187</v>
      </c>
      <c r="L3574" s="38" t="n">
        <f aca="false">Sens!$L$3537</f>
        <v>226.219286513125</v>
      </c>
      <c r="M3574" s="38" t="n">
        <f aca="false">Sens!$M$3537</f>
        <v>267.845161450232</v>
      </c>
      <c r="N3574" s="38" t="n">
        <f aca="false">Sens!$N$3537</f>
        <v>3.04631953102791</v>
      </c>
      <c r="O3574" s="38" t="n">
        <f aca="false">Sens!$O$3537</f>
        <v>5.65745055762326</v>
      </c>
      <c r="P3574" s="8" t="s">
        <v>645</v>
      </c>
    </row>
    <row r="3575" customFormat="false" ht="17.15" hidden="false" customHeight="false" outlineLevel="0" collapsed="false">
      <c r="A3575" s="0" t="s">
        <v>646</v>
      </c>
      <c r="B3575" s="0" t="s">
        <v>73</v>
      </c>
      <c r="C3575" s="38" t="n">
        <f aca="false">Sens!$C$3541</f>
        <v>105.234994643026</v>
      </c>
      <c r="D3575" s="38" t="n">
        <f aca="false">Sens!$D$3541</f>
        <v>120.021229911349</v>
      </c>
      <c r="E3575" s="38" t="n">
        <f aca="false">Sens!$E$3541</f>
        <v>71.30864702443</v>
      </c>
      <c r="F3575" s="38" t="n">
        <f aca="false">Sens!$F$3541</f>
        <v>78.5950104186653</v>
      </c>
      <c r="G3575" s="38" t="n">
        <f aca="false">Sens!$G$3541</f>
        <v>149.903657443095</v>
      </c>
      <c r="H3575" s="38" t="n">
        <f aca="false">Sens!$H$3541</f>
        <v>180.893560768142</v>
      </c>
      <c r="I3575" s="38" t="n">
        <f aca="false">Sens!$I$3541</f>
        <v>210.64839721501</v>
      </c>
      <c r="J3575" s="38" t="n">
        <f aca="false">Sens!$J$3541</f>
        <v>236.398909446495</v>
      </c>
      <c r="K3575" s="38" t="n">
        <f aca="false">Sens!$K$3541</f>
        <v>255.310822202215</v>
      </c>
      <c r="L3575" s="38" t="n">
        <f aca="false">Sens!$L$3541</f>
        <v>275.735687978392</v>
      </c>
      <c r="M3575" s="38" t="n">
        <f aca="false">Sens!$M$3541</f>
        <v>297.794543016663</v>
      </c>
      <c r="N3575" s="38" t="n">
        <f aca="false">Sens!$N$3541</f>
        <v>57.0936804689721</v>
      </c>
      <c r="O3575" s="38" t="n">
        <f aca="false">Sens!$O$3541</f>
        <v>62.9275494423768</v>
      </c>
      <c r="P3575" s="8" t="s">
        <v>645</v>
      </c>
    </row>
    <row r="3576" customFormat="false" ht="17.15" hidden="false" customHeight="false" outlineLevel="0" collapsed="false">
      <c r="A3576" s="1" t="s">
        <v>476</v>
      </c>
      <c r="B3576" s="8" t="s">
        <v>73</v>
      </c>
      <c r="C3576" s="38" t="n">
        <f aca="false">Q!$D$7</f>
        <v>107.556</v>
      </c>
      <c r="D3576" s="38" t="n">
        <f aca="false">Q!$E$7</f>
        <v>128.725</v>
      </c>
      <c r="E3576" s="38" t="n">
        <f aca="false">Q!$P$7</f>
        <v>79.819</v>
      </c>
      <c r="F3576" s="38" t="n">
        <f aca="false">Sens!$F$3574+Sens!$F$3575</f>
        <v>93.5584440633857</v>
      </c>
      <c r="G3576" s="38" t="n">
        <f aca="false">Sens!$G$3574+Sens!$G$3575</f>
        <v>173.377444063386</v>
      </c>
      <c r="H3576" s="38" t="n">
        <f aca="false">Sens!$H$3574+Sens!$H$3575</f>
        <v>241.059451517916</v>
      </c>
      <c r="I3576" s="38" t="n">
        <f aca="false">Sens!$I$3574+Sens!$I$3575</f>
        <v>312.152096351442</v>
      </c>
      <c r="J3576" s="38" t="n">
        <f aca="false">Sens!$J$3574+Sens!$J$3575</f>
        <v>379.424316597773</v>
      </c>
      <c r="K3576" s="38" t="n">
        <f aca="false">Sens!$K$3574+Sens!$K$3575</f>
        <v>439.919237244402</v>
      </c>
      <c r="L3576" s="38" t="n">
        <f aca="false">Sens!$L$3574+Sens!$L$3575</f>
        <v>501.954974491517</v>
      </c>
      <c r="M3576" s="38" t="n">
        <f aca="false">Sens!$M$3574+Sens!$M$3575</f>
        <v>565.639704466895</v>
      </c>
      <c r="N3576" s="38" t="n">
        <f aca="false">Q!$N$7</f>
        <v>60.14</v>
      </c>
      <c r="O3576" s="38" t="n">
        <f aca="false">Q!$O$7</f>
        <v>68.585</v>
      </c>
      <c r="P3576" s="5" t="s">
        <v>647</v>
      </c>
    </row>
    <row r="3577" customFormat="false" ht="15" hidden="false" customHeight="false" outlineLevel="0" collapsed="false">
      <c r="A3577" s="3" t="s">
        <v>648</v>
      </c>
      <c r="B3577" s="8" t="s">
        <v>73</v>
      </c>
      <c r="C3577" s="38" t="n">
        <f aca="false">Q!$D$8</f>
        <v>637.959</v>
      </c>
      <c r="D3577" s="38" t="n">
        <f aca="false">Q!$E$8</f>
        <v>716.924</v>
      </c>
      <c r="E3577" s="38" t="n">
        <f aca="false">Q!$P$8</f>
        <v>382.125</v>
      </c>
      <c r="F3577" s="38" t="n">
        <f aca="false">Sens!$F$3510+Sens!$F$3576</f>
        <v>450.494873271816</v>
      </c>
      <c r="G3577" s="38" t="n">
        <f aca="false">Sens!$G$3510+Sens!$G$3576</f>
        <v>832.619873271816</v>
      </c>
      <c r="H3577" s="38" t="n">
        <f aca="false">Sens!$H$3510+Sens!$H$3576</f>
        <v>970.356149103246</v>
      </c>
      <c r="I3577" s="38" t="n">
        <f aca="false">Sens!$I$3510+Sens!$I$3576</f>
        <v>1108.17706973268</v>
      </c>
      <c r="J3577" s="38" t="n">
        <f aca="false">Sens!$J$3510+Sens!$J$3576</f>
        <v>1235.95242139981</v>
      </c>
      <c r="K3577" s="38" t="n">
        <f aca="false">Sens!$K$3510+Sens!$K$3576</f>
        <v>1347.84382922445</v>
      </c>
      <c r="L3577" s="38" t="n">
        <f aca="false">Sens!$L$3510+Sens!$L$3576</f>
        <v>1464.46733149566</v>
      </c>
      <c r="M3577" s="38" t="n">
        <f aca="false">Sens!$M$3510+Sens!$M$3576</f>
        <v>1586.13481641018</v>
      </c>
      <c r="N3577" s="38" t="n">
        <f aca="false">Q!$N$8</f>
        <v>323.369</v>
      </c>
      <c r="O3577" s="38" t="n">
        <f aca="false">Q!$O$8</f>
        <v>393.555</v>
      </c>
    </row>
    <row r="3578" customFormat="false" ht="17.15" hidden="false" customHeight="false" outlineLevel="0" collapsed="false">
      <c r="A3578" s="24" t="s">
        <v>656</v>
      </c>
      <c r="B3578" s="25" t="s">
        <v>73</v>
      </c>
      <c r="C3578" s="39" t="n">
        <f aca="false">Sens!$C$3510-(Sens!$C$3512+Sens!$C$3513)</f>
        <v>0</v>
      </c>
      <c r="D3578" s="39" t="n">
        <f aca="false">Sens!$D$3510-(Sens!$D$3512+Sens!$D$3513)</f>
        <v>0</v>
      </c>
      <c r="E3578" s="39" t="n">
        <f aca="false">Sens!$E$3510-(Sens!$E$3512+Sens!$E$3513)</f>
        <v>0</v>
      </c>
      <c r="F3578" s="39" t="n">
        <f aca="false">Sens!$F$3510-(Sens!$F$3512+Sens!$F$3513)</f>
        <v>0</v>
      </c>
      <c r="G3578" s="39" t="n">
        <f aca="false">Sens!$G$3510-(Sens!$G$3512+Sens!$G$3513)</f>
        <v>0</v>
      </c>
      <c r="H3578" s="39" t="n">
        <f aca="false">Sens!$H$3510-(Sens!$H$3512+Sens!$H$3513)</f>
        <v>0</v>
      </c>
      <c r="I3578" s="39" t="n">
        <f aca="false">Sens!$I$3510-(Sens!$I$3512+Sens!$I$3513)</f>
        <v>0</v>
      </c>
      <c r="J3578" s="39" t="n">
        <f aca="false">Sens!$J$3510-(Sens!$J$3512+Sens!$J$3513)</f>
        <v>0</v>
      </c>
      <c r="K3578" s="39" t="n">
        <f aca="false">Sens!$K$3510-(Sens!$K$3512+Sens!$K$3513)</f>
        <v>0</v>
      </c>
      <c r="L3578" s="39" t="n">
        <f aca="false">Sens!$L$3510-(Sens!$L$3512+Sens!$L$3513)</f>
        <v>0</v>
      </c>
      <c r="M3578" s="39" t="n">
        <f aca="false">Sens!$M$3510-(Sens!$M$3512+Sens!$M$3513)</f>
        <v>0</v>
      </c>
      <c r="N3578" s="39" t="n">
        <f aca="false">Sens!$N$3510-(Sens!$N$3512+Sens!$N$3513)</f>
        <v>0</v>
      </c>
      <c r="O3578" s="39" t="n">
        <f aca="false">Sens!$O$3510-(Sens!$O$3512+Sens!$O$3513)</f>
        <v>0</v>
      </c>
    </row>
    <row r="3579" customFormat="false" ht="17.15" hidden="false" customHeight="false" outlineLevel="0" collapsed="false">
      <c r="A3579" s="24" t="s">
        <v>657</v>
      </c>
      <c r="B3579" s="25" t="s">
        <v>73</v>
      </c>
      <c r="C3579" s="39" t="n">
        <f aca="false">Sens!$C$3574+Sens!$C$3575-Sens!$C$3576</f>
        <v>0</v>
      </c>
      <c r="D3579" s="39" t="n">
        <f aca="false">Sens!$D$3574+Sens!$D$3575-Sens!$D$3576</f>
        <v>0</v>
      </c>
      <c r="E3579" s="39" t="n">
        <f aca="false">Sens!$E$3574+Sens!$E$3575-Sens!$E$3576</f>
        <v>0</v>
      </c>
      <c r="F3579" s="39" t="n">
        <f aca="false">Sens!$F$3574+Sens!$F$3575-Sens!$F$3576</f>
        <v>0</v>
      </c>
      <c r="G3579" s="39" t="n">
        <f aca="false">Sens!$G$3574+Sens!$G$3575-Sens!$G$3576</f>
        <v>0</v>
      </c>
      <c r="H3579" s="39" t="n">
        <f aca="false">Sens!$H$3574+Sens!$H$3575-Sens!$H$3576</f>
        <v>0</v>
      </c>
      <c r="I3579" s="39" t="n">
        <f aca="false">Sens!$I$3574+Sens!$I$3575-Sens!$I$3576</f>
        <v>0</v>
      </c>
      <c r="J3579" s="39" t="n">
        <f aca="false">Sens!$J$3574+Sens!$J$3575-Sens!$J$3576</f>
        <v>0</v>
      </c>
      <c r="K3579" s="39" t="n">
        <f aca="false">Sens!$K$3574+Sens!$K$3575-Sens!$K$3576</f>
        <v>0</v>
      </c>
      <c r="L3579" s="39" t="n">
        <f aca="false">Sens!$L$3574+Sens!$L$3575-Sens!$L$3576</f>
        <v>0</v>
      </c>
      <c r="M3579" s="39" t="n">
        <f aca="false">Sens!$M$3574+Sens!$M$3575-Sens!$M$3576</f>
        <v>0</v>
      </c>
      <c r="N3579" s="39" t="n">
        <f aca="false">Sens!$N$3574+Sens!$N$3575-Sens!$N$3576</f>
        <v>0</v>
      </c>
      <c r="O3579" s="39" t="n">
        <f aca="false">Sens!$O$3574+Sens!$O$3575-Sens!$O$3576</f>
        <v>0</v>
      </c>
    </row>
    <row r="3580" customFormat="false" ht="17.15" hidden="false" customHeight="false" outlineLevel="0" collapsed="false">
      <c r="A3580" s="24" t="s">
        <v>658</v>
      </c>
      <c r="B3580" s="25" t="s">
        <v>73</v>
      </c>
      <c r="C3580" s="39" t="n">
        <f aca="false">Sens!$C$3512+Sens!$C$3513+Sens!$C$3576-Sens!$C$3577</f>
        <v>0</v>
      </c>
      <c r="D3580" s="39" t="n">
        <f aca="false">Sens!$D$3512+Sens!$D$3513+Sens!$D$3576-Sens!$D$3577</f>
        <v>0</v>
      </c>
      <c r="E3580" s="39" t="n">
        <f aca="false">Sens!$E$3512+Sens!$E$3513+Sens!$E$3576-Sens!$E$3577</f>
        <v>0</v>
      </c>
      <c r="F3580" s="39" t="n">
        <f aca="false">Sens!$F$3512+Sens!$F$3513+Sens!$F$3576-Sens!$F$3577</f>
        <v>0</v>
      </c>
      <c r="G3580" s="39" t="n">
        <f aca="false">Sens!$G$3512+Sens!$G$3513+Sens!$G$3576-Sens!$G$3577</f>
        <v>0</v>
      </c>
      <c r="H3580" s="39" t="n">
        <f aca="false">Sens!$H$3512+Sens!$H$3513+Sens!$H$3576-Sens!$H$3577</f>
        <v>0</v>
      </c>
      <c r="I3580" s="39" t="n">
        <f aca="false">Sens!$I$3512+Sens!$I$3513+Sens!$I$3576-Sens!$I$3577</f>
        <v>0</v>
      </c>
      <c r="J3580" s="39" t="n">
        <f aca="false">Sens!$J$3512+Sens!$J$3513+Sens!$J$3576-Sens!$J$3577</f>
        <v>0</v>
      </c>
      <c r="K3580" s="39" t="n">
        <f aca="false">Sens!$K$3512+Sens!$K$3513+Sens!$K$3576-Sens!$K$3577</f>
        <v>0</v>
      </c>
      <c r="L3580" s="39" t="n">
        <f aca="false">Sens!$L$3512+Sens!$L$3513+Sens!$L$3576-Sens!$L$3577</f>
        <v>0</v>
      </c>
      <c r="M3580" s="39" t="n">
        <f aca="false">Sens!$M$3512+Sens!$M$3513+Sens!$M$3576-Sens!$M$3577</f>
        <v>0</v>
      </c>
      <c r="N3580" s="39" t="n">
        <f aca="false">Sens!$N$3512+Sens!$N$3513+Sens!$N$3576-Sens!$N$3577</f>
        <v>0</v>
      </c>
      <c r="O3580" s="39" t="n">
        <f aca="false">Sens!$O$3512+Sens!$O$3513+Sens!$O$3576-Sens!$O$3577</f>
        <v>0</v>
      </c>
    </row>
    <row r="3581" customFormat="false" ht="15" hidden="false" customHeight="false" outlineLevel="0" collapsed="false">
      <c r="A3581" s="5" t="s">
        <v>652</v>
      </c>
      <c r="B3581" s="0" t="s">
        <v>52</v>
      </c>
      <c r="G3581" s="12" t="n">
        <f aca="false">Sens!$G$3577/Sens!$D$3577-1</f>
        <v>0.161378156222718</v>
      </c>
      <c r="H3581" s="12" t="n">
        <f aca="false">Sens!$H$3577/Sens!$G$3577-1</f>
        <v>0.165425160091591</v>
      </c>
      <c r="I3581" s="12" t="n">
        <f aca="false">Sens!$I$3577/Sens!$H$3577-1</f>
        <v>0.142031274555018</v>
      </c>
      <c r="J3581" s="12" t="n">
        <f aca="false">Sens!$J$3577/Sens!$I$3577-1</f>
        <v>0.115302288016079</v>
      </c>
      <c r="K3581" s="12" t="n">
        <f aca="false">Sens!$K$3577/Sens!$J$3577-1</f>
        <v>0.090530513867124</v>
      </c>
      <c r="L3581" s="12" t="n">
        <f aca="false">Sens!$L$3577/Sens!$K$3577-1</f>
        <v>0.086525975593416</v>
      </c>
      <c r="M3581" s="12" t="n">
        <f aca="false">Sens!$M$3577/Sens!$L$3577-1</f>
        <v>0.0830796852192344</v>
      </c>
    </row>
    <row r="3582" customFormat="false" ht="17.15" hidden="false" customHeight="false" outlineLevel="0" collapsed="false">
      <c r="A3582" s="0" t="s">
        <v>653</v>
      </c>
      <c r="B3582" s="0" t="s">
        <v>52</v>
      </c>
      <c r="C3582" s="12" t="n">
        <f aca="false">Sens!$C$3576/Sens!$C$3577</f>
        <v>0.168593906504964</v>
      </c>
      <c r="D3582" s="12" t="n">
        <f aca="false">Sens!$D$3576/Sens!$D$3577</f>
        <v>0.179551807444025</v>
      </c>
      <c r="E3582" s="12" t="n">
        <f aca="false">Sens!$E$3576/Sens!$E$3577</f>
        <v>0.208881910369643</v>
      </c>
      <c r="F3582" s="12" t="n">
        <f aca="false">Sens!$F$3576/Sens!$F$3577</f>
        <v>0.207679264769203</v>
      </c>
      <c r="G3582" s="12" t="n">
        <f aca="false">Sens!$G$3576/Sens!$G$3577</f>
        <v>0.208231210458731</v>
      </c>
      <c r="H3582" s="12" t="n">
        <f aca="false">Sens!$H$3576/Sens!$H$3577</f>
        <v>0.248423686231794</v>
      </c>
      <c r="I3582" s="12" t="n">
        <f aca="false">Sens!$I$3576/Sens!$I$3577</f>
        <v>0.281680703271312</v>
      </c>
      <c r="J3582" s="12" t="n">
        <f aca="false">Sens!$J$3576/Sens!$J$3577</f>
        <v>0.306989419680125</v>
      </c>
      <c r="K3582" s="12" t="n">
        <f aca="false">Sens!$K$3576/Sens!$K$3577</f>
        <v>0.326387395710029</v>
      </c>
      <c r="L3582" s="12" t="n">
        <f aca="false">Sens!$L$3576/Sens!$L$3577</f>
        <v>0.342756006703727</v>
      </c>
      <c r="M3582" s="12" t="n">
        <f aca="false">Sens!$M$3576/Sens!$M$3577</f>
        <v>0.356615149364844</v>
      </c>
      <c r="N3582" s="12" t="n">
        <f aca="false">Sens!$N$3576/Sens!$N$3577</f>
        <v>0.185979484737251</v>
      </c>
      <c r="O3582" s="12" t="n">
        <f aca="false">Sens!$O$3576/Sens!$O$3577</f>
        <v>0.174270432341096</v>
      </c>
    </row>
    <row r="3583" customFormat="false" ht="17.15" hidden="false" customHeight="false" outlineLevel="0" collapsed="false">
      <c r="A3583" s="0" t="s">
        <v>654</v>
      </c>
      <c r="B3583" s="0" t="s">
        <v>52</v>
      </c>
      <c r="C3583" s="12" t="n">
        <f aca="false">Sens!$C$3574/Sens!$C$3576</f>
        <v>0.0215795060896058</v>
      </c>
      <c r="D3583" s="12" t="n">
        <f aca="false">Sens!$D$3574/Sens!$D$3576</f>
        <v>0.0676152269462122</v>
      </c>
      <c r="E3583" s="12" t="n">
        <f aca="false">Sens!$E$3574/Sens!$E$3576</f>
        <v>0.106620641395783</v>
      </c>
      <c r="F3583" s="12" t="n">
        <f aca="false">Sens!$F$3574/Sens!$F$3576</f>
        <v>0.159936751776064</v>
      </c>
      <c r="G3583" s="12" t="n">
        <f aca="false">Sens!$G$3574/Sens!$G$3576</f>
        <v>0.135391237003751</v>
      </c>
      <c r="H3583" s="12" t="n">
        <f aca="false">Sens!$H$3574/Sens!$H$3576</f>
        <v>0.249589428545194</v>
      </c>
      <c r="I3583" s="12" t="n">
        <f aca="false">Sens!$I$3574/Sens!$I$3576</f>
        <v>0.325173850577483</v>
      </c>
      <c r="J3583" s="12" t="n">
        <f aca="false">Sens!$J$3574/Sens!$J$3576</f>
        <v>0.376953718817392</v>
      </c>
      <c r="K3583" s="12" t="n">
        <f aca="false">Sens!$K$3574/Sens!$K$3576</f>
        <v>0.419641605578676</v>
      </c>
      <c r="L3583" s="12" t="n">
        <f aca="false">Sens!$L$3574/Sens!$L$3576</f>
        <v>0.450676451094615</v>
      </c>
      <c r="M3583" s="12" t="n">
        <f aca="false">Sens!$M$3574/Sens!$M$3576</f>
        <v>0.473526096798086</v>
      </c>
      <c r="N3583" s="12" t="n">
        <f aca="false">Sens!$N$3574/Sens!$N$3576</f>
        <v>0.0506537999838362</v>
      </c>
      <c r="O3583" s="12" t="n">
        <f aca="false">Sens!$O$3574/Sens!$O$3576</f>
        <v>0.0824881615167056</v>
      </c>
    </row>
    <row r="3586" customFormat="false" ht="19.4" hidden="false" customHeight="false" outlineLevel="0" collapsed="false">
      <c r="A3586" s="31" t="s">
        <v>1122</v>
      </c>
    </row>
    <row r="3587" customFormat="false" ht="17.15" hidden="false" customHeight="false" outlineLevel="0" collapsed="false">
      <c r="A3587" s="6" t="s">
        <v>16</v>
      </c>
      <c r="B3587" s="6" t="s">
        <v>17</v>
      </c>
      <c r="C3587" s="20" t="s">
        <v>457</v>
      </c>
      <c r="D3587" s="20" t="s">
        <v>458</v>
      </c>
      <c r="E3587" s="20" t="s">
        <v>540</v>
      </c>
      <c r="F3587" s="20" t="s">
        <v>541</v>
      </c>
      <c r="G3587" s="20" t="s">
        <v>542</v>
      </c>
      <c r="H3587" s="20" t="s">
        <v>543</v>
      </c>
      <c r="I3587" s="20" t="s">
        <v>544</v>
      </c>
      <c r="J3587" s="20" t="s">
        <v>545</v>
      </c>
      <c r="K3587" s="20" t="s">
        <v>546</v>
      </c>
      <c r="L3587" s="20" t="s">
        <v>547</v>
      </c>
      <c r="M3587" s="20" t="s">
        <v>548</v>
      </c>
      <c r="N3587" s="20" t="s">
        <v>549</v>
      </c>
      <c r="O3587" s="20" t="s">
        <v>550</v>
      </c>
      <c r="P3587" s="6" t="s">
        <v>23</v>
      </c>
      <c r="R3587" s="20" t="n">
        <v>2023</v>
      </c>
      <c r="S3587" s="20" t="n">
        <v>2024</v>
      </c>
      <c r="T3587" s="20" t="n">
        <v>2025</v>
      </c>
      <c r="U3587" s="20" t="n">
        <v>2026</v>
      </c>
      <c r="V3587" s="20" t="n">
        <v>2027</v>
      </c>
      <c r="W3587" s="20" t="n">
        <v>2028</v>
      </c>
      <c r="X3587" s="20" t="n">
        <v>2029</v>
      </c>
      <c r="Y3587" s="20" t="n">
        <v>2030</v>
      </c>
      <c r="Z3587" s="20" t="n">
        <v>2031</v>
      </c>
      <c r="AA3587" s="20" t="n">
        <v>2032</v>
      </c>
    </row>
    <row r="3588" customFormat="false" ht="17.15" hidden="false" customHeight="false" outlineLevel="0" collapsed="false">
      <c r="A3588" s="1" t="s">
        <v>669</v>
      </c>
    </row>
    <row r="3589" customFormat="false" ht="15" hidden="false" customHeight="false" outlineLevel="0" collapsed="false">
      <c r="A3589" s="0" t="s">
        <v>479</v>
      </c>
      <c r="B3589" s="0" t="s">
        <v>73</v>
      </c>
      <c r="C3589" s="38" t="n">
        <f aca="false">Sens!$C$3498</f>
        <v>247.029</v>
      </c>
      <c r="D3589" s="38" t="n">
        <f aca="false">Sens!$D$3498</f>
        <v>269.287</v>
      </c>
      <c r="E3589" s="38" t="n">
        <f aca="false">Sens!$E$3498</f>
        <v>134.686</v>
      </c>
      <c r="F3589" s="38" t="n">
        <f aca="false">Sens!$F$3498</f>
        <v>160.728085930082</v>
      </c>
      <c r="G3589" s="38" t="n">
        <f aca="false">Sens!$G$3498</f>
        <v>295.414085930082</v>
      </c>
      <c r="H3589" s="38" t="n">
        <f aca="false">Sens!$H$3498</f>
        <v>320.828163943375</v>
      </c>
      <c r="I3589" s="38" t="n">
        <f aca="false">Sens!$I$3498</f>
        <v>344.575578072228</v>
      </c>
      <c r="J3589" s="38" t="n">
        <f aca="false">Sens!$J$3498</f>
        <v>365.942555779681</v>
      </c>
      <c r="K3589" s="38" t="n">
        <f aca="false">Sens!$K$3498</f>
        <v>384.239683568665</v>
      </c>
      <c r="L3589" s="38" t="n">
        <f aca="false">Sens!$L$3498</f>
        <v>403.451667747098</v>
      </c>
      <c r="M3589" s="38" t="n">
        <f aca="false">Sens!$M$3498</f>
        <v>423.624251134453</v>
      </c>
      <c r="N3589" s="38" t="n">
        <f aca="false">Sens!$N$3498</f>
        <v>118.892</v>
      </c>
      <c r="O3589" s="38" t="n">
        <f aca="false">Sens!$O$3498</f>
        <v>150.395</v>
      </c>
    </row>
    <row r="3590" customFormat="false" ht="15" hidden="false" customHeight="false" outlineLevel="0" collapsed="false">
      <c r="A3590" s="0" t="s">
        <v>480</v>
      </c>
      <c r="B3590" s="0" t="s">
        <v>73</v>
      </c>
      <c r="C3590" s="38" t="n">
        <f aca="false">Sens!$C$3500</f>
        <v>21.215</v>
      </c>
      <c r="D3590" s="38" t="n">
        <f aca="false">Sens!$D$3500</f>
        <v>22.561</v>
      </c>
      <c r="E3590" s="38" t="n">
        <f aca="false">Sens!$E$3500</f>
        <v>11.579</v>
      </c>
      <c r="F3590" s="38" t="n">
        <f aca="false">Sens!$F$3500</f>
        <v>12.0952613121125</v>
      </c>
      <c r="G3590" s="38" t="n">
        <f aca="false">Sens!$G$3500</f>
        <v>23.6742613121125</v>
      </c>
      <c r="H3590" s="38" t="n">
        <f aca="false">Sens!$H$3500</f>
        <v>24.8803243963206</v>
      </c>
      <c r="I3590" s="38" t="n">
        <f aca="false">Sens!$I$3500</f>
        <v>25.9741308664154</v>
      </c>
      <c r="J3590" s="38" t="n">
        <f aca="false">Sens!$J$3500</f>
        <v>26.9346894124267</v>
      </c>
      <c r="K3590" s="38" t="n">
        <f aca="false">Sens!$K$3500</f>
        <v>27.7427300947995</v>
      </c>
      <c r="L3590" s="38" t="n">
        <f aca="false">Sens!$L$3500</f>
        <v>28.5750119976435</v>
      </c>
      <c r="M3590" s="38" t="n">
        <f aca="false">Sens!$M$3500</f>
        <v>29.4322623575728</v>
      </c>
      <c r="N3590" s="38" t="n">
        <f aca="false">Sens!$N$3500</f>
        <v>11.128</v>
      </c>
      <c r="O3590" s="38" t="n">
        <f aca="false">Sens!$O$3500</f>
        <v>11.433</v>
      </c>
    </row>
    <row r="3591" customFormat="false" ht="15" hidden="false" customHeight="false" outlineLevel="0" collapsed="false">
      <c r="A3591" s="0" t="s">
        <v>481</v>
      </c>
      <c r="B3591" s="0" t="s">
        <v>73</v>
      </c>
      <c r="C3591" s="38" t="n">
        <f aca="false">Sens!$C$3502</f>
        <v>156.146</v>
      </c>
      <c r="D3591" s="38" t="n">
        <f aca="false">Sens!$D$3502</f>
        <v>172.162</v>
      </c>
      <c r="E3591" s="38" t="n">
        <f aca="false">Sens!$E$3502</f>
        <v>88.358</v>
      </c>
      <c r="F3591" s="38" t="n">
        <f aca="false">Sens!$F$3502</f>
        <v>103.62028337149</v>
      </c>
      <c r="G3591" s="38" t="n">
        <f aca="false">Sens!$G$3502</f>
        <v>191.97828337149</v>
      </c>
      <c r="H3591" s="38" t="n">
        <f aca="false">Sens!$H$3502</f>
        <v>212.128608444755</v>
      </c>
      <c r="I3591" s="38" t="n">
        <f aca="false">Sens!$I$3502</f>
        <v>231.92183134134</v>
      </c>
      <c r="J3591" s="38" t="n">
        <f aca="false">Sens!$J$3502</f>
        <v>250.859136487863</v>
      </c>
      <c r="K3591" s="38" t="n">
        <f aca="false">Sens!$K$3502</f>
        <v>268.419276042014</v>
      </c>
      <c r="L3591" s="38" t="n">
        <f aca="false">Sens!$L$3502</f>
        <v>287.208625364954</v>
      </c>
      <c r="M3591" s="38" t="n">
        <f aca="false">Sens!$M$3502</f>
        <v>307.313229140501</v>
      </c>
      <c r="N3591" s="38" t="n">
        <f aca="false">Sens!$N$3502</f>
        <v>76.86</v>
      </c>
      <c r="O3591" s="38" t="n">
        <f aca="false">Sens!$O$3502</f>
        <v>95.302</v>
      </c>
    </row>
    <row r="3592" customFormat="false" ht="15" hidden="false" customHeight="false" outlineLevel="0" collapsed="false">
      <c r="A3592" s="0" t="s">
        <v>482</v>
      </c>
      <c r="B3592" s="0" t="s">
        <v>73</v>
      </c>
      <c r="C3592" s="38" t="n">
        <f aca="false">Sens!$C$3504</f>
        <v>56.214</v>
      </c>
      <c r="D3592" s="38" t="n">
        <f aca="false">Sens!$D$3504</f>
        <v>68.635</v>
      </c>
      <c r="E3592" s="38" t="n">
        <f aca="false">Sens!$E$3504</f>
        <v>37.052</v>
      </c>
      <c r="F3592" s="38" t="n">
        <f aca="false">Sens!$F$3504</f>
        <v>48.1533381827382</v>
      </c>
      <c r="G3592" s="38" t="n">
        <f aca="false">Sens!$G$3504</f>
        <v>85.2053381827382</v>
      </c>
      <c r="H3592" s="38" t="n">
        <f aca="false">Sens!$H$3504</f>
        <v>101.65432182257</v>
      </c>
      <c r="I3592" s="38" t="n">
        <f aca="false">Sens!$I$3504</f>
        <v>117.109241268605</v>
      </c>
      <c r="J3592" s="38" t="n">
        <f aca="false">Sens!$J$3504</f>
        <v>130.110361525097</v>
      </c>
      <c r="K3592" s="38" t="n">
        <f aca="false">Sens!$K$3504</f>
        <v>139.218086831854</v>
      </c>
      <c r="L3592" s="38" t="n">
        <f aca="false">Sens!$L$3504</f>
        <v>148.963352910084</v>
      </c>
      <c r="M3592" s="38" t="n">
        <f aca="false">Sens!$M$3504</f>
        <v>159.39078761379</v>
      </c>
      <c r="N3592" s="38" t="n">
        <f aca="false">Sens!$N$3504</f>
        <v>29.615</v>
      </c>
      <c r="O3592" s="38" t="n">
        <f aca="false">Sens!$O$3504</f>
        <v>39.02</v>
      </c>
    </row>
    <row r="3593" customFormat="false" ht="15" hidden="false" customHeight="false" outlineLevel="0" collapsed="false">
      <c r="A3593" s="0" t="s">
        <v>483</v>
      </c>
      <c r="B3593" s="0" t="s">
        <v>73</v>
      </c>
      <c r="C3593" s="38" t="n">
        <f aca="false">Sens!$C$3506</f>
        <v>44.374</v>
      </c>
      <c r="D3593" s="38" t="n">
        <f aca="false">Sens!$D$3506</f>
        <v>49.619</v>
      </c>
      <c r="E3593" s="38" t="n">
        <f aca="false">Sens!$E$3506</f>
        <v>27.157</v>
      </c>
      <c r="F3593" s="38" t="n">
        <f aca="false">Sens!$F$3506</f>
        <v>28.9776360923374</v>
      </c>
      <c r="G3593" s="38" t="n">
        <f aca="false">Sens!$G$3506</f>
        <v>56.1346360923374</v>
      </c>
      <c r="H3593" s="38" t="n">
        <f aca="false">Sens!$H$3506</f>
        <v>62.4937078946075</v>
      </c>
      <c r="I3593" s="38" t="n">
        <f aca="false">Sens!$I$3506</f>
        <v>68.6715233062498</v>
      </c>
      <c r="J3593" s="38" t="n">
        <f aca="false">Sens!$J$3506</f>
        <v>74.4692882949818</v>
      </c>
      <c r="K3593" s="38" t="n">
        <f aca="false">Sens!$K$3506</f>
        <v>79.6821384756306</v>
      </c>
      <c r="L3593" s="38" t="n">
        <f aca="false">Sens!$L$3506</f>
        <v>85.2598881689247</v>
      </c>
      <c r="M3593" s="38" t="n">
        <f aca="false">Sens!$M$3506</f>
        <v>91.2280803407494</v>
      </c>
      <c r="N3593" s="38" t="n">
        <f aca="false">Sens!$N$3506</f>
        <v>23.923</v>
      </c>
      <c r="O3593" s="38" t="n">
        <f aca="false">Sens!$O$3506</f>
        <v>25.696</v>
      </c>
    </row>
    <row r="3594" customFormat="false" ht="15" hidden="false" customHeight="false" outlineLevel="0" collapsed="false">
      <c r="A3594" s="0" t="s">
        <v>484</v>
      </c>
      <c r="B3594" s="0" t="s">
        <v>73</v>
      </c>
      <c r="C3594" s="38" t="n">
        <f aca="false">Sens!$C$3508</f>
        <v>5.425</v>
      </c>
      <c r="D3594" s="38" t="n">
        <f aca="false">Sens!$D$3508</f>
        <v>5.935</v>
      </c>
      <c r="E3594" s="38" t="n">
        <f aca="false">Sens!$E$3508</f>
        <v>3.474</v>
      </c>
      <c r="F3594" s="38" t="n">
        <f aca="false">Sens!$F$3508</f>
        <v>3.36182431966931</v>
      </c>
      <c r="G3594" s="38" t="n">
        <f aca="false">Sens!$G$3508</f>
        <v>6.83582431966931</v>
      </c>
      <c r="H3594" s="38" t="n">
        <f aca="false">Sens!$H$3508</f>
        <v>7.31157108370141</v>
      </c>
      <c r="I3594" s="38" t="n">
        <f aca="false">Sens!$I$3508</f>
        <v>7.77266852639815</v>
      </c>
      <c r="J3594" s="38" t="n">
        <f aca="false">Sens!$J$3508</f>
        <v>8.2120733019884</v>
      </c>
      <c r="K3594" s="38" t="n">
        <f aca="false">Sens!$K$3508</f>
        <v>8.62267696708783</v>
      </c>
      <c r="L3594" s="38" t="n">
        <f aca="false">Sens!$L$3508</f>
        <v>9.05381081544222</v>
      </c>
      <c r="M3594" s="38" t="n">
        <f aca="false">Sens!$M$3508</f>
        <v>9.50650135621433</v>
      </c>
      <c r="N3594" s="38" t="n">
        <f aca="false">Sens!$N$3508</f>
        <v>2.811</v>
      </c>
      <c r="O3594" s="38" t="n">
        <f aca="false">Sens!$O$3508</f>
        <v>3.124</v>
      </c>
    </row>
    <row r="3595" customFormat="false" ht="17.15" hidden="false" customHeight="false" outlineLevel="0" collapsed="false">
      <c r="A3595" s="0" t="s">
        <v>670</v>
      </c>
      <c r="B3595" s="0" t="s">
        <v>73</v>
      </c>
      <c r="C3595" s="38" t="n">
        <f aca="false">Sens!$C$3576</f>
        <v>107.556</v>
      </c>
      <c r="D3595" s="38" t="n">
        <f aca="false">Sens!$D$3576</f>
        <v>128.725</v>
      </c>
      <c r="E3595" s="38" t="n">
        <f aca="false">Sens!$E$3576</f>
        <v>79.819</v>
      </c>
      <c r="F3595" s="38" t="n">
        <f aca="false">Sens!$F$3576</f>
        <v>93.5584440633857</v>
      </c>
      <c r="G3595" s="38" t="n">
        <f aca="false">Sens!$G$3576</f>
        <v>173.377444063386</v>
      </c>
      <c r="H3595" s="38" t="n">
        <f aca="false">Sens!$H$3576</f>
        <v>241.059451517916</v>
      </c>
      <c r="I3595" s="38" t="n">
        <f aca="false">Sens!$I$3576</f>
        <v>312.152096351442</v>
      </c>
      <c r="J3595" s="38" t="n">
        <f aca="false">Sens!$J$3576</f>
        <v>379.424316597773</v>
      </c>
      <c r="K3595" s="38" t="n">
        <f aca="false">Sens!$K$3576</f>
        <v>439.919237244402</v>
      </c>
      <c r="L3595" s="38" t="n">
        <f aca="false">Sens!$L$3576</f>
        <v>501.954974491517</v>
      </c>
      <c r="M3595" s="38" t="n">
        <f aca="false">Sens!$M$3576</f>
        <v>565.639704466895</v>
      </c>
      <c r="N3595" s="38" t="n">
        <f aca="false">Sens!$N$3576</f>
        <v>60.14</v>
      </c>
      <c r="O3595" s="38" t="n">
        <f aca="false">Sens!$O$3576</f>
        <v>68.585</v>
      </c>
    </row>
    <row r="3596" customFormat="false" ht="15" hidden="false" customHeight="false" outlineLevel="0" collapsed="false">
      <c r="A3596" s="1" t="s">
        <v>472</v>
      </c>
      <c r="B3596" s="8" t="s">
        <v>73</v>
      </c>
      <c r="C3596" s="38" t="n">
        <f aca="false">Sens!$C$3512</f>
        <v>387.497</v>
      </c>
      <c r="D3596" s="38" t="n">
        <f aca="false">Sens!$D$3512</f>
        <v>426.305</v>
      </c>
      <c r="E3596" s="38" t="n">
        <f aca="false">Sens!$E$3512</f>
        <v>220.32</v>
      </c>
      <c r="F3596" s="38" t="n">
        <f aca="false">Sens!$F$3512</f>
        <v>256.304015003807</v>
      </c>
      <c r="G3596" s="38" t="n">
        <f aca="false">Sens!$G$3512</f>
        <v>476.624015003807</v>
      </c>
      <c r="H3596" s="38" t="n">
        <f aca="false">Sens!$H$3512</f>
        <v>527.272373153394</v>
      </c>
      <c r="I3596" s="38" t="n">
        <f aca="false">Sens!$I$3512</f>
        <v>575.516080346687</v>
      </c>
      <c r="J3596" s="38" t="n">
        <f aca="false">Sens!$J$3512</f>
        <v>619.259086167339</v>
      </c>
      <c r="K3596" s="38" t="n">
        <f aca="false">Sens!$K$3512</f>
        <v>656.418102320607</v>
      </c>
      <c r="L3596" s="38" t="n">
        <f aca="false">Sens!$L$3512</f>
        <v>695.884372365012</v>
      </c>
      <c r="M3596" s="38" t="n">
        <f aca="false">Sens!$M$3512</f>
        <v>737.805177573583</v>
      </c>
      <c r="N3596" s="38" t="n">
        <f aca="false">Sens!$N$3512</f>
        <v>192.955</v>
      </c>
      <c r="O3596" s="38" t="n">
        <f aca="false">Sens!$O$3512</f>
        <v>233.35</v>
      </c>
    </row>
    <row r="3597" customFormat="false" ht="15" hidden="false" customHeight="false" outlineLevel="0" collapsed="false">
      <c r="A3597" s="1" t="s">
        <v>475</v>
      </c>
      <c r="B3597" s="8" t="s">
        <v>73</v>
      </c>
      <c r="C3597" s="38" t="n">
        <f aca="false">Sens!$C$3513</f>
        <v>142.906</v>
      </c>
      <c r="D3597" s="38" t="n">
        <f aca="false">Sens!$D$3513</f>
        <v>161.894</v>
      </c>
      <c r="E3597" s="38" t="n">
        <f aca="false">Sens!$E$3513</f>
        <v>81.986</v>
      </c>
      <c r="F3597" s="38" t="n">
        <f aca="false">Sens!$F$3513</f>
        <v>100.632414204623</v>
      </c>
      <c r="G3597" s="38" t="n">
        <f aca="false">Sens!$G$3513</f>
        <v>182.618414204623</v>
      </c>
      <c r="H3597" s="38" t="n">
        <f aca="false">Sens!$H$3513</f>
        <v>202.024324431936</v>
      </c>
      <c r="I3597" s="38" t="n">
        <f aca="false">Sens!$I$3513</f>
        <v>220.50889303455</v>
      </c>
      <c r="J3597" s="38" t="n">
        <f aca="false">Sens!$J$3513</f>
        <v>237.269018634699</v>
      </c>
      <c r="K3597" s="38" t="n">
        <f aca="false">Sens!$K$3513</f>
        <v>251.506489659443</v>
      </c>
      <c r="L3597" s="38" t="n">
        <f aca="false">Sens!$L$3513</f>
        <v>266.627984639135</v>
      </c>
      <c r="M3597" s="38" t="n">
        <f aca="false">Sens!$M$3513</f>
        <v>282.689934369698</v>
      </c>
      <c r="N3597" s="38" t="n">
        <f aca="false">Sens!$N$3513</f>
        <v>70.274</v>
      </c>
      <c r="O3597" s="38" t="n">
        <f aca="false">Sens!$O$3513</f>
        <v>91.62</v>
      </c>
    </row>
    <row r="3598" customFormat="false" ht="15" hidden="false" customHeight="false" outlineLevel="0" collapsed="false">
      <c r="A3598" s="1" t="s">
        <v>476</v>
      </c>
      <c r="B3598" s="8" t="s">
        <v>73</v>
      </c>
      <c r="C3598" s="38" t="n">
        <f aca="false">Sens!$C$3576</f>
        <v>107.556</v>
      </c>
      <c r="D3598" s="38" t="n">
        <f aca="false">Sens!$D$3576</f>
        <v>128.725</v>
      </c>
      <c r="E3598" s="38" t="n">
        <f aca="false">Sens!$E$3576</f>
        <v>79.819</v>
      </c>
      <c r="F3598" s="38" t="n">
        <f aca="false">Sens!$F$3576</f>
        <v>93.5584440633857</v>
      </c>
      <c r="G3598" s="38" t="n">
        <f aca="false">Sens!$G$3576</f>
        <v>173.377444063386</v>
      </c>
      <c r="H3598" s="38" t="n">
        <f aca="false">Sens!$H$3576</f>
        <v>241.059451517916</v>
      </c>
      <c r="I3598" s="38" t="n">
        <f aca="false">Sens!$I$3576</f>
        <v>312.152096351442</v>
      </c>
      <c r="J3598" s="38" t="n">
        <f aca="false">Sens!$J$3576</f>
        <v>379.424316597773</v>
      </c>
      <c r="K3598" s="38" t="n">
        <f aca="false">Sens!$K$3576</f>
        <v>439.919237244402</v>
      </c>
      <c r="L3598" s="38" t="n">
        <f aca="false">Sens!$L$3576</f>
        <v>501.954974491517</v>
      </c>
      <c r="M3598" s="38" t="n">
        <f aca="false">Sens!$M$3576</f>
        <v>565.639704466895</v>
      </c>
      <c r="N3598" s="38" t="n">
        <f aca="false">Sens!$N$3576</f>
        <v>60.14</v>
      </c>
      <c r="O3598" s="38" t="n">
        <f aca="false">Sens!$O$3576</f>
        <v>68.585</v>
      </c>
    </row>
    <row r="3599" customFormat="false" ht="17.15" hidden="false" customHeight="false" outlineLevel="0" collapsed="false">
      <c r="A3599" s="0" t="s">
        <v>644</v>
      </c>
      <c r="B3599" s="0" t="s">
        <v>73</v>
      </c>
      <c r="C3599" s="38" t="n">
        <f aca="false">Sens!$C$3574</f>
        <v>2.32100535697364</v>
      </c>
      <c r="D3599" s="38" t="n">
        <f aca="false">Sens!$D$3574</f>
        <v>8.70377008865116</v>
      </c>
      <c r="E3599" s="38" t="n">
        <f aca="false">Sens!$E$3574</f>
        <v>8.51035297557002</v>
      </c>
      <c r="F3599" s="38" t="n">
        <f aca="false">Sens!$F$3574</f>
        <v>14.9634336447205</v>
      </c>
      <c r="G3599" s="38" t="n">
        <f aca="false">Sens!$G$3574</f>
        <v>23.4737866202905</v>
      </c>
      <c r="H3599" s="38" t="n">
        <f aca="false">Sens!$H$3574</f>
        <v>60.1658907497746</v>
      </c>
      <c r="I3599" s="38" t="n">
        <f aca="false">Sens!$I$3574</f>
        <v>101.503699136432</v>
      </c>
      <c r="J3599" s="38" t="n">
        <f aca="false">Sens!$J$3574</f>
        <v>143.025407151278</v>
      </c>
      <c r="K3599" s="38" t="n">
        <f aca="false">Sens!$K$3574</f>
        <v>184.608415042187</v>
      </c>
      <c r="L3599" s="38" t="n">
        <f aca="false">Sens!$L$3574</f>
        <v>226.219286513125</v>
      </c>
      <c r="M3599" s="38" t="n">
        <f aca="false">Sens!$M$3574</f>
        <v>267.845161450232</v>
      </c>
      <c r="N3599" s="38" t="n">
        <f aca="false">Sens!$N$3574</f>
        <v>3.04631953102791</v>
      </c>
      <c r="O3599" s="38" t="n">
        <f aca="false">Sens!$O$3574</f>
        <v>5.65745055762326</v>
      </c>
    </row>
    <row r="3600" customFormat="false" ht="17.15" hidden="false" customHeight="false" outlineLevel="0" collapsed="false">
      <c r="A3600" s="0" t="s">
        <v>646</v>
      </c>
      <c r="B3600" s="0" t="s">
        <v>73</v>
      </c>
      <c r="C3600" s="38" t="n">
        <f aca="false">Sens!$C$3575</f>
        <v>105.234994643026</v>
      </c>
      <c r="D3600" s="38" t="n">
        <f aca="false">Sens!$D$3575</f>
        <v>120.021229911349</v>
      </c>
      <c r="E3600" s="38" t="n">
        <f aca="false">Sens!$E$3575</f>
        <v>71.30864702443</v>
      </c>
      <c r="F3600" s="38" t="n">
        <f aca="false">Sens!$F$3575</f>
        <v>78.5950104186653</v>
      </c>
      <c r="G3600" s="38" t="n">
        <f aca="false">Sens!$G$3575</f>
        <v>149.903657443095</v>
      </c>
      <c r="H3600" s="38" t="n">
        <f aca="false">Sens!$H$3575</f>
        <v>180.893560768142</v>
      </c>
      <c r="I3600" s="38" t="n">
        <f aca="false">Sens!$I$3575</f>
        <v>210.64839721501</v>
      </c>
      <c r="J3600" s="38" t="n">
        <f aca="false">Sens!$J$3575</f>
        <v>236.398909446495</v>
      </c>
      <c r="K3600" s="38" t="n">
        <f aca="false">Sens!$K$3575</f>
        <v>255.310822202215</v>
      </c>
      <c r="L3600" s="38" t="n">
        <f aca="false">Sens!$L$3575</f>
        <v>275.735687978392</v>
      </c>
      <c r="M3600" s="38" t="n">
        <f aca="false">Sens!$M$3575</f>
        <v>297.794543016663</v>
      </c>
      <c r="N3600" s="38" t="n">
        <f aca="false">Sens!$N$3575</f>
        <v>57.0936804689721</v>
      </c>
      <c r="O3600" s="38" t="n">
        <f aca="false">Sens!$O$3575</f>
        <v>62.9275494423768</v>
      </c>
    </row>
    <row r="3601" customFormat="false" ht="15" hidden="false" customHeight="false" outlineLevel="0" collapsed="false">
      <c r="A3601" s="3" t="s">
        <v>477</v>
      </c>
      <c r="B3601" s="8" t="s">
        <v>73</v>
      </c>
      <c r="C3601" s="38" t="n">
        <f aca="false">Sens!$C$3577</f>
        <v>637.959</v>
      </c>
      <c r="D3601" s="38" t="n">
        <f aca="false">Sens!$D$3577</f>
        <v>716.924</v>
      </c>
      <c r="E3601" s="38" t="n">
        <f aca="false">Sens!$E$3577</f>
        <v>382.125</v>
      </c>
      <c r="F3601" s="38" t="n">
        <f aca="false">Sens!$F$3577</f>
        <v>450.494873271816</v>
      </c>
      <c r="G3601" s="38" t="n">
        <f aca="false">Sens!$G$3577</f>
        <v>832.619873271816</v>
      </c>
      <c r="H3601" s="38" t="n">
        <f aca="false">Sens!$H$3577</f>
        <v>970.356149103246</v>
      </c>
      <c r="I3601" s="38" t="n">
        <f aca="false">Sens!$I$3577</f>
        <v>1108.17706973268</v>
      </c>
      <c r="J3601" s="38" t="n">
        <f aca="false">Sens!$J$3577</f>
        <v>1235.95242139981</v>
      </c>
      <c r="K3601" s="38" t="n">
        <f aca="false">Sens!$K$3577</f>
        <v>1347.84382922445</v>
      </c>
      <c r="L3601" s="38" t="n">
        <f aca="false">Sens!$L$3577</f>
        <v>1464.46733149566</v>
      </c>
      <c r="M3601" s="38" t="n">
        <f aca="false">Sens!$M$3577</f>
        <v>1586.13481641018</v>
      </c>
      <c r="N3601" s="38" t="n">
        <f aca="false">Sens!$N$3577</f>
        <v>323.369</v>
      </c>
      <c r="O3601" s="38" t="n">
        <f aca="false">Sens!$O$3577</f>
        <v>393.555</v>
      </c>
    </row>
    <row r="3602" customFormat="false" ht="17.15" hidden="false" customHeight="false" outlineLevel="0" collapsed="false">
      <c r="A3602" s="24" t="s">
        <v>656</v>
      </c>
      <c r="B3602" s="25" t="s">
        <v>73</v>
      </c>
      <c r="C3602" s="39" t="n">
        <f aca="false">Sens!$C$3589+Sens!$C$3590+Sens!$C$3591+Sens!$C$3592+Sens!$C$3593+Sens!$C$3594-(Sens!$C$3596+Sens!$C$3597)</f>
        <v>0</v>
      </c>
      <c r="D3602" s="39" t="n">
        <f aca="false">Sens!$D$3589+Sens!$D$3590+Sens!$D$3591+Sens!$D$3592+Sens!$D$3593+Sens!$D$3594-(Sens!$D$3596+Sens!$D$3597)</f>
        <v>0</v>
      </c>
      <c r="E3602" s="39" t="n">
        <f aca="false">Sens!$E$3589+Sens!$E$3590+Sens!$E$3591+Sens!$E$3592+Sens!$E$3593+Sens!$E$3594-(Sens!$E$3596+Sens!$E$3597)</f>
        <v>0</v>
      </c>
      <c r="F3602" s="39" t="n">
        <f aca="false">Sens!$F$3589+Sens!$F$3590+Sens!$F$3591+Sens!$F$3592+Sens!$F$3593+Sens!$F$3594-(Sens!$F$3596+Sens!$F$3597)</f>
        <v>0</v>
      </c>
      <c r="G3602" s="39" t="n">
        <f aca="false">Sens!$G$3589+Sens!$G$3590+Sens!$G$3591+Sens!$G$3592+Sens!$G$3593+Sens!$G$3594-(Sens!$G$3596+Sens!$G$3597)</f>
        <v>0</v>
      </c>
      <c r="H3602" s="39" t="n">
        <f aca="false">Sens!$H$3589+Sens!$H$3590+Sens!$H$3591+Sens!$H$3592+Sens!$H$3593+Sens!$H$3594-(Sens!$H$3596+Sens!$H$3597)</f>
        <v>0</v>
      </c>
      <c r="I3602" s="39" t="n">
        <f aca="false">Sens!$I$3589+Sens!$I$3590+Sens!$I$3591+Sens!$I$3592+Sens!$I$3593+Sens!$I$3594-(Sens!$I$3596+Sens!$I$3597)</f>
        <v>0</v>
      </c>
      <c r="J3602" s="39" t="n">
        <f aca="false">Sens!$J$3589+Sens!$J$3590+Sens!$J$3591+Sens!$J$3592+Sens!$J$3593+Sens!$J$3594-(Sens!$J$3596+Sens!$J$3597)</f>
        <v>0</v>
      </c>
      <c r="K3602" s="39" t="n">
        <f aca="false">Sens!$K$3589+Sens!$K$3590+Sens!$K$3591+Sens!$K$3592+Sens!$K$3593+Sens!$K$3594-(Sens!$K$3596+Sens!$K$3597)</f>
        <v>0</v>
      </c>
      <c r="L3602" s="39" t="n">
        <f aca="false">Sens!$L$3589+Sens!$L$3590+Sens!$L$3591+Sens!$L$3592+Sens!$L$3593+Sens!$L$3594-(Sens!$L$3596+Sens!$L$3597)</f>
        <v>0</v>
      </c>
      <c r="M3602" s="39" t="n">
        <f aca="false">Sens!$M$3589+Sens!$M$3590+Sens!$M$3591+Sens!$M$3592+Sens!$M$3593+Sens!$M$3594-(Sens!$M$3596+Sens!$M$3597)</f>
        <v>0</v>
      </c>
      <c r="N3602" s="39" t="n">
        <f aca="false">Sens!$N$3589+Sens!$N$3590+Sens!$N$3591+Sens!$N$3592+Sens!$N$3593+Sens!$N$3594-(Sens!$N$3596+Sens!$N$3597)</f>
        <v>0</v>
      </c>
      <c r="O3602" s="39" t="n">
        <f aca="false">Sens!$O$3589+Sens!$O$3590+Sens!$O$3591+Sens!$O$3592+Sens!$O$3593+Sens!$O$3594-(Sens!$O$3596+Sens!$O$3597)</f>
        <v>0</v>
      </c>
    </row>
    <row r="3603" customFormat="false" ht="17.15" hidden="false" customHeight="false" outlineLevel="0" collapsed="false">
      <c r="A3603" s="24" t="s">
        <v>657</v>
      </c>
      <c r="B3603" s="25" t="s">
        <v>73</v>
      </c>
      <c r="C3603" s="39" t="n">
        <f aca="false">Sens!$C$3599+Sens!$C$3600-Sens!$C$3598</f>
        <v>0</v>
      </c>
      <c r="D3603" s="39" t="n">
        <f aca="false">Sens!$D$3599+Sens!$D$3600-Sens!$D$3598</f>
        <v>0</v>
      </c>
      <c r="E3603" s="39" t="n">
        <f aca="false">Sens!$E$3599+Sens!$E$3600-Sens!$E$3598</f>
        <v>0</v>
      </c>
      <c r="F3603" s="39" t="n">
        <f aca="false">Sens!$F$3599+Sens!$F$3600-Sens!$F$3598</f>
        <v>0</v>
      </c>
      <c r="G3603" s="39" t="n">
        <f aca="false">Sens!$G$3599+Sens!$G$3600-Sens!$G$3598</f>
        <v>0</v>
      </c>
      <c r="H3603" s="39" t="n">
        <f aca="false">Sens!$H$3599+Sens!$H$3600-Sens!$H$3598</f>
        <v>0</v>
      </c>
      <c r="I3603" s="39" t="n">
        <f aca="false">Sens!$I$3599+Sens!$I$3600-Sens!$I$3598</f>
        <v>0</v>
      </c>
      <c r="J3603" s="39" t="n">
        <f aca="false">Sens!$J$3599+Sens!$J$3600-Sens!$J$3598</f>
        <v>0</v>
      </c>
      <c r="K3603" s="39" t="n">
        <f aca="false">Sens!$K$3599+Sens!$K$3600-Sens!$K$3598</f>
        <v>0</v>
      </c>
      <c r="L3603" s="39" t="n">
        <f aca="false">Sens!$L$3599+Sens!$L$3600-Sens!$L$3598</f>
        <v>0</v>
      </c>
      <c r="M3603" s="39" t="n">
        <f aca="false">Sens!$M$3599+Sens!$M$3600-Sens!$M$3598</f>
        <v>0</v>
      </c>
      <c r="N3603" s="39" t="n">
        <f aca="false">Sens!$N$3599+Sens!$N$3600-Sens!$N$3598</f>
        <v>0</v>
      </c>
      <c r="O3603" s="39" t="n">
        <f aca="false">Sens!$O$3599+Sens!$O$3600-Sens!$O$3598</f>
        <v>0</v>
      </c>
    </row>
    <row r="3604" customFormat="false" ht="17.15" hidden="false" customHeight="false" outlineLevel="0" collapsed="false">
      <c r="A3604" s="24" t="s">
        <v>711</v>
      </c>
      <c r="B3604" s="25" t="s">
        <v>73</v>
      </c>
      <c r="C3604" s="39" t="n">
        <f aca="false">Sens!$C$3589+Sens!$C$3590+Sens!$C$3591+Sens!$C$3592+Sens!$C$3593+Sens!$C$3594+Sens!$C$3595-Sens!$C$3601</f>
        <v>0</v>
      </c>
      <c r="D3604" s="39" t="n">
        <f aca="false">Sens!$D$3589+Sens!$D$3590+Sens!$D$3591+Sens!$D$3592+Sens!$D$3593+Sens!$D$3594+Sens!$D$3595-Sens!$D$3601</f>
        <v>0</v>
      </c>
      <c r="E3604" s="39" t="n">
        <f aca="false">Sens!$E$3589+Sens!$E$3590+Sens!$E$3591+Sens!$E$3592+Sens!$E$3593+Sens!$E$3594+Sens!$E$3595-Sens!$E$3601</f>
        <v>0</v>
      </c>
      <c r="F3604" s="39" t="n">
        <f aca="false">Sens!$F$3589+Sens!$F$3590+Sens!$F$3591+Sens!$F$3592+Sens!$F$3593+Sens!$F$3594+Sens!$F$3595-Sens!$F$3601</f>
        <v>0</v>
      </c>
      <c r="G3604" s="39" t="n">
        <f aca="false">Sens!$G$3589+Sens!$G$3590+Sens!$G$3591+Sens!$G$3592+Sens!$G$3593+Sens!$G$3594+Sens!$G$3595-Sens!$G$3601</f>
        <v>0</v>
      </c>
      <c r="H3604" s="39" t="n">
        <f aca="false">Sens!$H$3589+Sens!$H$3590+Sens!$H$3591+Sens!$H$3592+Sens!$H$3593+Sens!$H$3594+Sens!$H$3595-Sens!$H$3601</f>
        <v>0</v>
      </c>
      <c r="I3604" s="39" t="n">
        <f aca="false">Sens!$I$3589+Sens!$I$3590+Sens!$I$3591+Sens!$I$3592+Sens!$I$3593+Sens!$I$3594+Sens!$I$3595-Sens!$I$3601</f>
        <v>0</v>
      </c>
      <c r="J3604" s="39" t="n">
        <f aca="false">Sens!$J$3589+Sens!$J$3590+Sens!$J$3591+Sens!$J$3592+Sens!$J$3593+Sens!$J$3594+Sens!$J$3595-Sens!$J$3601</f>
        <v>0</v>
      </c>
      <c r="K3604" s="39" t="n">
        <f aca="false">Sens!$K$3589+Sens!$K$3590+Sens!$K$3591+Sens!$K$3592+Sens!$K$3593+Sens!$K$3594+Sens!$K$3595-Sens!$K$3601</f>
        <v>0</v>
      </c>
      <c r="L3604" s="39" t="n">
        <f aca="false">Sens!$L$3589+Sens!$L$3590+Sens!$L$3591+Sens!$L$3592+Sens!$L$3593+Sens!$L$3594+Sens!$L$3595-Sens!$L$3601</f>
        <v>0</v>
      </c>
      <c r="M3604" s="39" t="n">
        <f aca="false">Sens!$M$3589+Sens!$M$3590+Sens!$M$3591+Sens!$M$3592+Sens!$M$3593+Sens!$M$3594+Sens!$M$3595-Sens!$M$3601</f>
        <v>0</v>
      </c>
      <c r="N3604" s="39" t="n">
        <f aca="false">Sens!$N$3589+Sens!$N$3590+Sens!$N$3591+Sens!$N$3592+Sens!$N$3593+Sens!$N$3594+Sens!$N$3595-Sens!$N$3601</f>
        <v>0</v>
      </c>
      <c r="O3604" s="39" t="n">
        <f aca="false">Sens!$O$3589+Sens!$O$3590+Sens!$O$3591+Sens!$O$3592+Sens!$O$3593+Sens!$O$3594+Sens!$O$3595-Sens!$O$3601</f>
        <v>0</v>
      </c>
    </row>
    <row r="3605" customFormat="false" ht="17.15" hidden="false" customHeight="false" outlineLevel="0" collapsed="false">
      <c r="A3605" s="24" t="s">
        <v>658</v>
      </c>
      <c r="B3605" s="25" t="s">
        <v>73</v>
      </c>
      <c r="C3605" s="39" t="n">
        <f aca="false">Sens!$C$3596+Sens!$C$3597+Sens!$C$3598-Sens!$C$3601</f>
        <v>0</v>
      </c>
      <c r="D3605" s="39" t="n">
        <f aca="false">Sens!$D$3596+Sens!$D$3597+Sens!$D$3598-Sens!$D$3601</f>
        <v>0</v>
      </c>
      <c r="E3605" s="39" t="n">
        <f aca="false">Sens!$E$3596+Sens!$E$3597+Sens!$E$3598-Sens!$E$3601</f>
        <v>0</v>
      </c>
      <c r="F3605" s="39" t="n">
        <f aca="false">Sens!$F$3596+Sens!$F$3597+Sens!$F$3598-Sens!$F$3601</f>
        <v>0</v>
      </c>
      <c r="G3605" s="39" t="n">
        <f aca="false">Sens!$G$3596+Sens!$G$3597+Sens!$G$3598-Sens!$G$3601</f>
        <v>0</v>
      </c>
      <c r="H3605" s="39" t="n">
        <f aca="false">Sens!$H$3596+Sens!$H$3597+Sens!$H$3598-Sens!$H$3601</f>
        <v>0</v>
      </c>
      <c r="I3605" s="39" t="n">
        <f aca="false">Sens!$I$3596+Sens!$I$3597+Sens!$I$3598-Sens!$I$3601</f>
        <v>0</v>
      </c>
      <c r="J3605" s="39" t="n">
        <f aca="false">Sens!$J$3596+Sens!$J$3597+Sens!$J$3598-Sens!$J$3601</f>
        <v>0</v>
      </c>
      <c r="K3605" s="39" t="n">
        <f aca="false">Sens!$K$3596+Sens!$K$3597+Sens!$K$3598-Sens!$K$3601</f>
        <v>0</v>
      </c>
      <c r="L3605" s="39" t="n">
        <f aca="false">Sens!$L$3596+Sens!$L$3597+Sens!$L$3598-Sens!$L$3601</f>
        <v>0</v>
      </c>
      <c r="M3605" s="39" t="n">
        <f aca="false">Sens!$M$3596+Sens!$M$3597+Sens!$M$3598-Sens!$M$3601</f>
        <v>0</v>
      </c>
      <c r="N3605" s="39" t="n">
        <f aca="false">Sens!$N$3596+Sens!$N$3597+Sens!$N$3598-Sens!$N$3601</f>
        <v>0</v>
      </c>
      <c r="O3605" s="39" t="n">
        <f aca="false">Sens!$O$3596+Sens!$O$3597+Sens!$O$3598-Sens!$O$3601</f>
        <v>0</v>
      </c>
    </row>
    <row r="3606" customFormat="false" ht="17.15" hidden="false" customHeight="false" outlineLevel="0" collapsed="false">
      <c r="A3606" s="1" t="s">
        <v>672</v>
      </c>
    </row>
    <row r="3607" customFormat="false" ht="17.15" hidden="false" customHeight="false" outlineLevel="0" collapsed="false">
      <c r="A3607" s="0" t="s">
        <v>673</v>
      </c>
      <c r="B3607" s="0" t="s">
        <v>73</v>
      </c>
      <c r="C3607" s="38" t="n">
        <f aca="false">Sens!$C$3514*m_ad</f>
        <v>20.5341564414228</v>
      </c>
      <c r="D3607" s="38" t="n">
        <f aca="false">Sens!$D$3514*m_ad</f>
        <v>24.8720617299587</v>
      </c>
      <c r="E3607" s="38" t="n">
        <f aca="false">Sens!$E$3514*m_ad</f>
        <v>13.5017112462207</v>
      </c>
      <c r="F3607" s="38" t="n">
        <f aca="false">Sens!$F$3514*m_ad</f>
        <v>17.2886442824599</v>
      </c>
      <c r="G3607" s="38" t="n">
        <f aca="false">Sens!$G$3514*m_ad</f>
        <v>30.8011958765886</v>
      </c>
      <c r="H3607" s="38" t="n">
        <f aca="false">Sens!$H$3514*m_ad</f>
        <v>36.7474003969515</v>
      </c>
      <c r="I3607" s="38" t="n">
        <f aca="false">Sens!$I$3514*m_ad</f>
        <v>42.334256939828</v>
      </c>
      <c r="J3607" s="38" t="n">
        <f aca="false">Sens!$J$3514*m_ad</f>
        <v>47.0340804506092</v>
      </c>
      <c r="K3607" s="38" t="n">
        <f aca="false">Sens!$K$3514*m_ad</f>
        <v>50.3264660821518</v>
      </c>
      <c r="L3607" s="38" t="n">
        <f aca="false">Sens!$L$3514*m_ad</f>
        <v>53.8493187079024</v>
      </c>
      <c r="M3607" s="38" t="n">
        <f aca="false">Sens!$M$3514*m_ad</f>
        <v>57.6187710174556</v>
      </c>
      <c r="N3607" s="38" t="n">
        <f aca="false">Sens!$N$3514*m_ad</f>
        <v>10.8543555706248</v>
      </c>
      <c r="O3607" s="38" t="n">
        <f aca="false">Sens!$O$3514*m_ad</f>
        <v>14.0094731821399</v>
      </c>
    </row>
    <row r="3608" customFormat="false" ht="17.15" hidden="false" customHeight="false" outlineLevel="0" collapsed="false">
      <c r="A3608" s="0" t="s">
        <v>674</v>
      </c>
      <c r="B3608" s="0" t="s">
        <v>73</v>
      </c>
      <c r="C3608" s="38" t="n">
        <f aca="false">Sens!$C$3512-Sens!$C$3514</f>
        <v>346.428687117154</v>
      </c>
      <c r="D3608" s="38" t="n">
        <f aca="false">Sens!$D$3512-Sens!$D$3514</f>
        <v>376.560876540083</v>
      </c>
      <c r="E3608" s="38" t="n">
        <f aca="false">Sens!$E$3512-Sens!$E$3514</f>
        <v>193.316577507559</v>
      </c>
      <c r="F3608" s="38" t="n">
        <f aca="false">Sens!$F$3512-Sens!$F$3514</f>
        <v>221.726726438887</v>
      </c>
      <c r="G3608" s="38" t="n">
        <f aca="false">Sens!$G$3512-Sens!$G$3514</f>
        <v>415.02162325063</v>
      </c>
      <c r="H3608" s="38" t="n">
        <f aca="false">Sens!$H$3512-Sens!$H$3514</f>
        <v>453.777572359491</v>
      </c>
      <c r="I3608" s="38" t="n">
        <f aca="false">Sens!$I$3512-Sens!$I$3514</f>
        <v>490.847566467031</v>
      </c>
      <c r="J3608" s="38" t="n">
        <f aca="false">Sens!$J$3512-Sens!$J$3514</f>
        <v>525.190925266121</v>
      </c>
      <c r="K3608" s="38" t="n">
        <f aca="false">Sens!$K$3512-Sens!$K$3514</f>
        <v>555.765170156304</v>
      </c>
      <c r="L3608" s="38" t="n">
        <f aca="false">Sens!$L$3512-Sens!$L$3514</f>
        <v>588.185734949207</v>
      </c>
      <c r="M3608" s="38" t="n">
        <f aca="false">Sens!$M$3512-Sens!$M$3514</f>
        <v>622.567635538672</v>
      </c>
      <c r="N3608" s="38" t="n">
        <f aca="false">Sens!$N$3512-Sens!$N$3514</f>
        <v>171.24628885875</v>
      </c>
      <c r="O3608" s="38" t="n">
        <f aca="false">Sens!$O$3512-Sens!$O$3514</f>
        <v>205.33105363572</v>
      </c>
    </row>
    <row r="3609" customFormat="false" ht="17.15" hidden="false" customHeight="false" outlineLevel="0" collapsed="false">
      <c r="A3609" s="0" t="s">
        <v>675</v>
      </c>
      <c r="B3609" s="0" t="s">
        <v>73</v>
      </c>
      <c r="C3609" s="38" t="n">
        <f aca="false">Sens!$C$3560*Sens!$C$3511</f>
        <v>0.123617442257179</v>
      </c>
      <c r="D3609" s="38" t="n">
        <f aca="false">Sens!$D$3560*Sens!$D$3511</f>
        <v>0.874366899302609</v>
      </c>
      <c r="E3609" s="38" t="n">
        <f aca="false">Sens!$E$3560*Sens!$E$3511</f>
        <v>1.29318830502574</v>
      </c>
      <c r="F3609" s="38" t="n">
        <f aca="false">Sens!$F$3560*Sens!$F$3511</f>
        <v>1.51802024162534</v>
      </c>
      <c r="G3609" s="38" t="n">
        <f aca="false">Sens!$G$3560*Sens!$G$3511</f>
        <v>2.81130189308167</v>
      </c>
      <c r="H3609" s="38" t="n">
        <f aca="false">Sens!$H$3560*Sens!$H$3511</f>
        <v>7.38966789318209</v>
      </c>
      <c r="I3609" s="38" t="n">
        <f aca="false">Sens!$I$3560*Sens!$I$3511</f>
        <v>12.8987443661473</v>
      </c>
      <c r="J3609" s="38" t="n">
        <f aca="false">Sens!$J$3560*Sens!$J$3511</f>
        <v>18.5570025453645</v>
      </c>
      <c r="K3609" s="38" t="n">
        <f aca="false">Sens!$K$3560*Sens!$K$3511</f>
        <v>24.3158972773405</v>
      </c>
      <c r="L3609" s="38" t="n">
        <f aca="false">Sens!$L$3560*Sens!$L$3511</f>
        <v>29.7827375558674</v>
      </c>
      <c r="M3609" s="38" t="n">
        <f aca="false">Sens!$M$3560*Sens!$M$3511</f>
        <v>35.3532344973194</v>
      </c>
      <c r="N3609" s="38" t="n">
        <f aca="false">Sens!$N$3560*Sens!$N$3511</f>
        <v>0.389180508437431</v>
      </c>
      <c r="O3609" s="38" t="n">
        <f aca="false">Sens!$O$3560*Sens!$O$3511</f>
        <v>0.485052120082802</v>
      </c>
    </row>
    <row r="3610" customFormat="false" ht="17.15" hidden="false" customHeight="false" outlineLevel="0" collapsed="false">
      <c r="A3610" s="0" t="s">
        <v>676</v>
      </c>
      <c r="B3610" s="0" t="s">
        <v>52</v>
      </c>
      <c r="C3610" s="28" t="n">
        <f aca="false">(Sens!$C$3611-Sens!$C$3607+Sens!$C$3609)/Sens!$C$3608</f>
        <v>0.0131526665379575</v>
      </c>
      <c r="D3610" s="28" t="n">
        <f aca="false">(Sens!$D$3611-Sens!$D$3607+Sens!$D$3609)/Sens!$D$3608</f>
        <v>0.0149280116962589</v>
      </c>
      <c r="E3610" s="28" t="n">
        <f aca="false">(Sens!$E$3611-Sens!$E$3607+Sens!$E$3609)/Sens!$E$3608</f>
        <v>0.0268030663774938</v>
      </c>
      <c r="F3610" s="28" t="n">
        <f aca="false">Sens!$O$3610+(Sens!$E$3610-Sens!$N$3610)</f>
        <v>0.0232379346966962</v>
      </c>
      <c r="G3610" s="28" t="n">
        <f aca="false">(Sens!$G$3611-Sens!$G$3607+Sens!$G$3609)/Sens!$G$3608</f>
        <v>0.0248738876928168</v>
      </c>
      <c r="H3610" s="28" t="n">
        <f aca="false">Sens!$G$3610+step_na</f>
        <v>0.0278738876928168</v>
      </c>
      <c r="I3610" s="28" t="n">
        <f aca="false">Sens!$H$3610+step_na</f>
        <v>0.0308738876928168</v>
      </c>
      <c r="J3610" s="28" t="n">
        <f aca="false">Sens!$I$3610+step_na</f>
        <v>0.0338738876928168</v>
      </c>
      <c r="K3610" s="28" t="n">
        <f aca="false">Sens!$J$3610+step_na</f>
        <v>0.0368738876928168</v>
      </c>
      <c r="L3610" s="28" t="n">
        <f aca="false">Sens!$K$3610</f>
        <v>0.0368738876928168</v>
      </c>
      <c r="M3610" s="28" t="n">
        <f aca="false">Sens!$L$3610</f>
        <v>0.0368738876928168</v>
      </c>
      <c r="N3610" s="28" t="n">
        <f aca="false">(Sens!$N$3611-Sens!$N$3607+Sens!$N$3609)/Sens!$N$3608</f>
        <v>0.0168927744775755</v>
      </c>
      <c r="O3610" s="28" t="n">
        <f aca="false">(Sens!$O$3611-Sens!$O$3607+Sens!$O$3609)/Sens!$O$3608</f>
        <v>0.0133276427967779</v>
      </c>
      <c r="P3610" s="8" t="s">
        <v>677</v>
      </c>
    </row>
    <row r="3611" customFormat="false" ht="17.15" hidden="false" customHeight="false" outlineLevel="0" collapsed="false">
      <c r="A3611" s="1" t="s">
        <v>678</v>
      </c>
      <c r="B3611" s="8" t="s">
        <v>73</v>
      </c>
      <c r="C3611" s="38" t="n">
        <f aca="false">Q!$D$22</f>
        <v>24.967</v>
      </c>
      <c r="D3611" s="38" t="n">
        <f aca="false">Q!$E$22</f>
        <v>29.619</v>
      </c>
      <c r="E3611" s="38" t="n">
        <f aca="false">Q!$P$22</f>
        <v>17.39</v>
      </c>
      <c r="F3611" s="38" t="n">
        <f aca="false">Sens!$F$3607+Sens!$F$3608*Sens!$F$3610-Sens!$F$3609</f>
        <v>20.9230952303336</v>
      </c>
      <c r="G3611" s="38" t="n">
        <f aca="false">Sens!$E$3611+Sens!$F$3611</f>
        <v>38.3130952303336</v>
      </c>
      <c r="H3611" s="38" t="n">
        <f aca="false">Sens!$H$3607+Sens!$H$3608*Sens!$H$3610-Sens!$H$3609</f>
        <v>42.006277593237</v>
      </c>
      <c r="I3611" s="38" t="n">
        <f aca="false">Sens!$I$3607+Sens!$I$3608*Sens!$I$3610-Sens!$I$3609</f>
        <v>44.5898852150763</v>
      </c>
      <c r="J3611" s="38" t="n">
        <f aca="false">Sens!$J$3607+Sens!$J$3608*Sens!$J$3610-Sens!$J$3609</f>
        <v>46.2673363249958</v>
      </c>
      <c r="K3611" s="38" t="n">
        <f aca="false">Sens!$K$3607+Sens!$K$3608*Sens!$K$3610-Sens!$K$3609</f>
        <v>46.5037912727341</v>
      </c>
      <c r="L3611" s="38" t="n">
        <f aca="false">Sens!$L$3607+Sens!$L$3608*Sens!$L$3610-Sens!$L$3609</f>
        <v>45.755275885069</v>
      </c>
      <c r="M3611" s="38" t="n">
        <f aca="false">Sens!$M$3607+Sens!$M$3608*Sens!$M$3610-Sens!$M$3609</f>
        <v>45.2220255941717</v>
      </c>
      <c r="N3611" s="38" t="n">
        <f aca="false">Q!$N$22</f>
        <v>13.358</v>
      </c>
      <c r="O3611" s="38" t="n">
        <f aca="false">Q!$O$22</f>
        <v>16.261</v>
      </c>
    </row>
    <row r="3612" customFormat="false" ht="17.15" hidden="false" customHeight="false" outlineLevel="0" collapsed="false">
      <c r="A3612" s="0" t="s">
        <v>679</v>
      </c>
      <c r="B3612" s="0" t="s">
        <v>73</v>
      </c>
      <c r="C3612" s="38" t="n">
        <f aca="false">Sens!$C$3515*m_ad</f>
        <v>7.57284355857716</v>
      </c>
      <c r="D3612" s="38" t="n">
        <f aca="false">Sens!$D$3515*m_ad</f>
        <v>9.44543827004127</v>
      </c>
      <c r="E3612" s="38" t="n">
        <f aca="false">Sens!$E$3515*m_ad</f>
        <v>5.02428875377928</v>
      </c>
      <c r="F3612" s="38" t="n">
        <f aca="false">Sens!$F$3515*m_ad</f>
        <v>6.78802480890925</v>
      </c>
      <c r="G3612" s="38" t="n">
        <f aca="false">Sens!$G$3515*m_ad</f>
        <v>11.8014732147805</v>
      </c>
      <c r="H3612" s="38" t="n">
        <f aca="false">Sens!$H$3515*m_ad</f>
        <v>14.0797605143333</v>
      </c>
      <c r="I3612" s="38" t="n">
        <f aca="false">Sens!$I$3515*m_ad</f>
        <v>16.2203636944746</v>
      </c>
      <c r="J3612" s="38" t="n">
        <f aca="false">Sens!$J$3515*m_ad</f>
        <v>18.0211003119394</v>
      </c>
      <c r="K3612" s="38" t="n">
        <f aca="false">Sens!$K$3515*m_ad</f>
        <v>19.2825773337751</v>
      </c>
      <c r="L3612" s="38" t="n">
        <f aca="false">Sens!$L$3515*m_ad</f>
        <v>20.6323577471394</v>
      </c>
      <c r="M3612" s="38" t="n">
        <f aca="false">Sens!$M$3515*m_ad</f>
        <v>22.0766227894392</v>
      </c>
      <c r="N3612" s="38" t="n">
        <f aca="false">Sens!$N$3515*m_ad</f>
        <v>3.95314442937518</v>
      </c>
      <c r="O3612" s="38" t="n">
        <f aca="false">Sens!$O$3515*m_ad</f>
        <v>5.50052681786011</v>
      </c>
    </row>
    <row r="3613" customFormat="false" ht="17.15" hidden="false" customHeight="false" outlineLevel="0" collapsed="false">
      <c r="A3613" s="0" t="s">
        <v>680</v>
      </c>
      <c r="B3613" s="0" t="s">
        <v>73</v>
      </c>
      <c r="C3613" s="38" t="n">
        <f aca="false">Sens!$C$3513-Sens!$C$3515</f>
        <v>127.760312882846</v>
      </c>
      <c r="D3613" s="38" t="n">
        <f aca="false">Sens!$D$3513-Sens!$D$3515</f>
        <v>143.003123459917</v>
      </c>
      <c r="E3613" s="38" t="n">
        <f aca="false">Sens!$E$3513-Sens!$E$3515</f>
        <v>71.9374224924414</v>
      </c>
      <c r="F3613" s="38" t="n">
        <f aca="false">Sens!$F$3513-Sens!$F$3515</f>
        <v>87.0563645868046</v>
      </c>
      <c r="G3613" s="38" t="n">
        <f aca="false">Sens!$G$3513-Sens!$G$3515</f>
        <v>159.015467775062</v>
      </c>
      <c r="H3613" s="38" t="n">
        <f aca="false">Sens!$H$3513-Sens!$H$3515</f>
        <v>173.864803403269</v>
      </c>
      <c r="I3613" s="38" t="n">
        <f aca="false">Sens!$I$3513-Sens!$I$3515</f>
        <v>188.068165645601</v>
      </c>
      <c r="J3613" s="38" t="n">
        <f aca="false">Sens!$J$3513-Sens!$J$3515</f>
        <v>201.226818010821</v>
      </c>
      <c r="K3613" s="38" t="n">
        <f aca="false">Sens!$K$3513-Sens!$K$3515</f>
        <v>212.941334991893</v>
      </c>
      <c r="L3613" s="38" t="n">
        <f aca="false">Sens!$L$3513-Sens!$L$3515</f>
        <v>225.363269144856</v>
      </c>
      <c r="M3613" s="38" t="n">
        <f aca="false">Sens!$M$3513-Sens!$M$3515</f>
        <v>238.536688790819</v>
      </c>
      <c r="N3613" s="38" t="n">
        <f aca="false">Sens!$N$3513-Sens!$N$3515</f>
        <v>62.3677111412496</v>
      </c>
      <c r="O3613" s="38" t="n">
        <f aca="false">Sens!$O$3513-Sens!$O$3515</f>
        <v>80.6189463642798</v>
      </c>
    </row>
    <row r="3614" customFormat="false" ht="17.15" hidden="false" customHeight="false" outlineLevel="0" collapsed="false">
      <c r="A3614" s="0" t="s">
        <v>681</v>
      </c>
      <c r="B3614" s="0" t="s">
        <v>73</v>
      </c>
      <c r="C3614" s="38" t="n">
        <f aca="false">Sens!$C$3560*(1-Sens!$C$3511)</f>
        <v>0.0455891896019953</v>
      </c>
      <c r="D3614" s="38" t="n">
        <f aca="false">Sens!$D$3560*(1-Sens!$D$3511)</f>
        <v>0.332050421167231</v>
      </c>
      <c r="E3614" s="38" t="n">
        <f aca="false">Sens!$E$3560*(1-Sens!$E$3511)</f>
        <v>0.481224293644882</v>
      </c>
      <c r="F3614" s="38" t="n">
        <f aca="false">Sens!$F$3560*(1-Sens!$F$3511)</f>
        <v>0.596018918096053</v>
      </c>
      <c r="G3614" s="38" t="n">
        <f aca="false">Sens!$G$3560*(1-Sens!$G$3511)</f>
        <v>1.07714986531035</v>
      </c>
      <c r="H3614" s="38" t="n">
        <f aca="false">Sens!$H$3560*(1-Sens!$H$3511)</f>
        <v>2.83135005721638</v>
      </c>
      <c r="I3614" s="38" t="n">
        <f aca="false">Sens!$I$3560*(1-Sens!$I$3511)</f>
        <v>4.9421518161602</v>
      </c>
      <c r="J3614" s="38" t="n">
        <f aca="false">Sens!$J$3560*(1-Sens!$J$3511)</f>
        <v>7.11011252170866</v>
      </c>
      <c r="K3614" s="38" t="n">
        <f aca="false">Sens!$K$3560*(1-Sens!$K$3511)</f>
        <v>9.31663210615807</v>
      </c>
      <c r="L3614" s="38" t="n">
        <f aca="false">Sens!$L$3560*(1-Sens!$L$3511)</f>
        <v>11.411251074039</v>
      </c>
      <c r="M3614" s="38" t="n">
        <f aca="false">Sens!$M$3560*(1-Sens!$M$3511)</f>
        <v>13.5455860755423</v>
      </c>
      <c r="N3614" s="38" t="n">
        <f aca="false">Sens!$N$3560*(1-Sens!$N$3511)</f>
        <v>0.141739115596548</v>
      </c>
      <c r="O3614" s="38" t="n">
        <f aca="false">Sens!$O$3560*(1-Sens!$O$3511)</f>
        <v>0.190445576353059</v>
      </c>
    </row>
    <row r="3615" customFormat="false" ht="17.15" hidden="false" customHeight="false" outlineLevel="0" collapsed="false">
      <c r="A3615" s="0" t="s">
        <v>682</v>
      </c>
      <c r="B3615" s="0" t="s">
        <v>52</v>
      </c>
      <c r="C3615" s="28" t="n">
        <f aca="false">(Sens!$C$3616-Sens!$C$3612+Sens!$C$3614)/Sens!$C$3613</f>
        <v>-0.0292364215826579</v>
      </c>
      <c r="D3615" s="28" t="n">
        <f aca="false">(Sens!$D$3616-Sens!$D$3612+Sens!$D$3614)/Sens!$D$3613</f>
        <v>-0.0305125352740778</v>
      </c>
      <c r="E3615" s="28" t="n">
        <f aca="false">(Sens!$E$3616-Sens!$E$3612+Sens!$E$3614)/Sens!$E$3613</f>
        <v>-0.019490056934994</v>
      </c>
      <c r="F3615" s="28" t="n">
        <f aca="false">Sens!$O$3615+(Sens!$E$3615-Sens!$N$3615)</f>
        <v>-0.0367332293992226</v>
      </c>
      <c r="G3615" s="28" t="n">
        <f aca="false">(Sens!$G$3616-Sens!$G$3612+Sens!$G$3614)/Sens!$G$3613</f>
        <v>-0.0288599526442178</v>
      </c>
      <c r="H3615" s="28" t="n">
        <f aca="false">Sens!$G$3615+step_in</f>
        <v>-0.0288599526442178</v>
      </c>
      <c r="I3615" s="28" t="n">
        <f aca="false">Sens!$H$3615+step_in</f>
        <v>-0.0288599526442178</v>
      </c>
      <c r="J3615" s="28" t="n">
        <f aca="false">Sens!$I$3615+step_in</f>
        <v>-0.0288599526442178</v>
      </c>
      <c r="K3615" s="28" t="n">
        <f aca="false">Sens!$J$3615+step_in</f>
        <v>-0.0288599526442178</v>
      </c>
      <c r="L3615" s="28" t="n">
        <f aca="false">Sens!$K$3615</f>
        <v>-0.0288599526442178</v>
      </c>
      <c r="M3615" s="28" t="n">
        <f aca="false">Sens!$L$3615</f>
        <v>-0.0288599526442178</v>
      </c>
      <c r="N3615" s="28" t="n">
        <f aca="false">(Sens!$N$3616-Sens!$N$3612+Sens!$N$3614)/Sens!$N$3613</f>
        <v>-0.02085061789158</v>
      </c>
      <c r="O3615" s="28" t="n">
        <f aca="false">(Sens!$O$3616-Sens!$O$3612+Sens!$O$3614)/Sens!$O$3613</f>
        <v>-0.0380937903558086</v>
      </c>
      <c r="P3615" s="8" t="s">
        <v>677</v>
      </c>
    </row>
    <row r="3616" customFormat="false" ht="17.15" hidden="false" customHeight="false" outlineLevel="0" collapsed="false">
      <c r="A3616" s="1" t="s">
        <v>683</v>
      </c>
      <c r="B3616" s="8" t="s">
        <v>73</v>
      </c>
      <c r="C3616" s="38" t="n">
        <f aca="false">Q!$D$23</f>
        <v>3.792</v>
      </c>
      <c r="D3616" s="38" t="n">
        <f aca="false">Q!$E$23</f>
        <v>4.75</v>
      </c>
      <c r="E3616" s="38" t="n">
        <f aca="false">Q!$P$23</f>
        <v>3.141</v>
      </c>
      <c r="F3616" s="38" t="n">
        <f aca="false">Sens!$F$3612+Sens!$F$3613*Sens!$F$3615-Sens!$F$3614</f>
        <v>2.99414447978375</v>
      </c>
      <c r="G3616" s="38" t="n">
        <f aca="false">Sens!$E$3616+Sens!$F$3616</f>
        <v>6.13514447978375</v>
      </c>
      <c r="H3616" s="38" t="n">
        <f aca="false">Sens!$H$3612+Sens!$H$3613*Sens!$H$3615-Sens!$H$3614</f>
        <v>6.23068046440237</v>
      </c>
      <c r="I3616" s="38" t="n">
        <f aca="false">Sens!$I$3612+Sens!$I$3613*Sens!$I$3615-Sens!$I$3614</f>
        <v>5.8505735238974</v>
      </c>
      <c r="J3616" s="38" t="n">
        <f aca="false">Sens!$J$3612+Sens!$J$3613*Sens!$J$3615-Sens!$J$3614</f>
        <v>5.10359135169181</v>
      </c>
      <c r="K3616" s="38" t="n">
        <f aca="false">Sens!$K$3612+Sens!$K$3613*Sens!$K$3615-Sens!$K$3614</f>
        <v>3.82046838375453</v>
      </c>
      <c r="L3616" s="38" t="n">
        <f aca="false">Sens!$L$3612+Sens!$L$3613*Sens!$L$3615-Sens!$L$3614</f>
        <v>2.71713339783372</v>
      </c>
      <c r="M3616" s="38" t="n">
        <f aca="false">Sens!$M$3612+Sens!$M$3613*Sens!$M$3615-Sens!$M$3614</f>
        <v>1.64687917148528</v>
      </c>
      <c r="N3616" s="38" t="n">
        <f aca="false">Q!$N$23</f>
        <v>2.511</v>
      </c>
      <c r="O3616" s="38" t="n">
        <f aca="false">Q!$O$23</f>
        <v>2.239</v>
      </c>
    </row>
    <row r="3617" customFormat="false" ht="17.15" hidden="false" customHeight="false" outlineLevel="0" collapsed="false">
      <c r="A3617" s="0" t="s">
        <v>684</v>
      </c>
      <c r="B3617" s="0" t="s">
        <v>73</v>
      </c>
      <c r="C3617" s="38" t="n">
        <f aca="false">Sens!$C$3557</f>
        <v>1.64417882953695</v>
      </c>
      <c r="D3617" s="38" t="n">
        <f aca="false">Sens!$D$3557</f>
        <v>3.8781008067718</v>
      </c>
      <c r="E3617" s="38" t="n">
        <f aca="false">Sens!$E$3557</f>
        <v>1.41270258088753</v>
      </c>
      <c r="F3617" s="38" t="n">
        <f aca="false">Sens!$F$3557</f>
        <v>6.50727700583486</v>
      </c>
      <c r="G3617" s="38" t="n">
        <f aca="false">Sens!$G$3557</f>
        <v>7.9199795867224</v>
      </c>
      <c r="H3617" s="38" t="n">
        <f aca="false">Sens!$H$3557</f>
        <v>19.2818189481807</v>
      </c>
      <c r="I3617" s="38" t="n">
        <f aca="false">Sens!$I$3557</f>
        <v>30.140114407202</v>
      </c>
      <c r="J3617" s="38" t="n">
        <f aca="false">Sens!$J$3557</f>
        <v>40.3569468829854</v>
      </c>
      <c r="K3617" s="38" t="n">
        <f aca="false">Sens!$K$3557</f>
        <v>50.0782975081929</v>
      </c>
      <c r="L3617" s="38" t="n">
        <f aca="false">Sens!$L$3557</f>
        <v>61.443331993499</v>
      </c>
      <c r="M3617" s="38" t="n">
        <f aca="false">Sens!$M$3557</f>
        <v>72.2498791587849</v>
      </c>
      <c r="N3617" s="38" t="n">
        <f aca="false">Sens!$N$3557</f>
        <v>0.92264103489199</v>
      </c>
      <c r="O3617" s="38" t="n">
        <f aca="false">Sens!$O$3557</f>
        <v>2.95545977187981</v>
      </c>
    </row>
    <row r="3618" customFormat="false" ht="17.15" hidden="false" customHeight="false" outlineLevel="0" collapsed="false">
      <c r="A3618" s="0" t="s">
        <v>604</v>
      </c>
      <c r="B3618" s="0" t="s">
        <v>73</v>
      </c>
      <c r="C3618" s="38" t="n">
        <f aca="false">Sens!$C$3562</f>
        <v>38.1898211704631</v>
      </c>
      <c r="D3618" s="38" t="n">
        <f aca="false">Sens!$D$3562</f>
        <v>41.7278991932282</v>
      </c>
      <c r="E3618" s="38" t="n">
        <f aca="false">Sens!$E$3562</f>
        <v>29.3692974191125</v>
      </c>
      <c r="F3618" s="38" t="n">
        <f aca="false">Sens!$F$3562</f>
        <v>29.458060516894</v>
      </c>
      <c r="G3618" s="38" t="n">
        <f aca="false">Sens!$G$3562</f>
        <v>58.8273579360065</v>
      </c>
      <c r="H3618" s="38" t="n">
        <f aca="false">Sens!$H$3562</f>
        <v>67.8004040185081</v>
      </c>
      <c r="I3618" s="38" t="n">
        <f aca="false">Sens!$I$3562</f>
        <v>78.9527630302702</v>
      </c>
      <c r="J3618" s="38" t="n">
        <f aca="false">Sens!$J$3562</f>
        <v>88.6042681781841</v>
      </c>
      <c r="K3618" s="38" t="n">
        <f aca="false">Sens!$K$3562</f>
        <v>95.6926096324389</v>
      </c>
      <c r="L3618" s="38" t="n">
        <f aca="false">Sens!$L$3562</f>
        <v>103.348018403034</v>
      </c>
      <c r="M3618" s="38" t="n">
        <f aca="false">Sens!$M$3562</f>
        <v>111.615859875277</v>
      </c>
      <c r="N3618" s="38" t="n">
        <f aca="false">Sens!$N$3562</f>
        <v>20.784358965108</v>
      </c>
      <c r="O3618" s="38" t="n">
        <f aca="false">Sens!$O$3562</f>
        <v>20.9435402281202</v>
      </c>
    </row>
    <row r="3619" customFormat="false" ht="17.15" hidden="false" customHeight="false" outlineLevel="0" collapsed="false">
      <c r="A3619" s="1" t="s">
        <v>685</v>
      </c>
      <c r="B3619" s="8" t="s">
        <v>73</v>
      </c>
      <c r="C3619" s="38" t="n">
        <f aca="false">Q!$D$24</f>
        <v>39.834</v>
      </c>
      <c r="D3619" s="38" t="n">
        <f aca="false">Q!$E$24</f>
        <v>45.606</v>
      </c>
      <c r="E3619" s="38" t="n">
        <f aca="false">Q!$P$24</f>
        <v>30.782</v>
      </c>
      <c r="F3619" s="38" t="n">
        <f aca="false">Sens!$F$3617+Sens!$F$3618</f>
        <v>35.9653375227289</v>
      </c>
      <c r="G3619" s="38" t="n">
        <f aca="false">Sens!$G$3617+Sens!$G$3618</f>
        <v>66.7473375227289</v>
      </c>
      <c r="H3619" s="38" t="n">
        <f aca="false">Sens!$H$3617+Sens!$H$3618</f>
        <v>87.0822229666888</v>
      </c>
      <c r="I3619" s="38" t="n">
        <f aca="false">Sens!$I$3617+Sens!$I$3618</f>
        <v>109.092877437472</v>
      </c>
      <c r="J3619" s="38" t="n">
        <f aca="false">Sens!$J$3617+Sens!$J$3618</f>
        <v>128.96121506117</v>
      </c>
      <c r="K3619" s="38" t="n">
        <f aca="false">Sens!$K$3617+Sens!$K$3618</f>
        <v>145.770907140632</v>
      </c>
      <c r="L3619" s="38" t="n">
        <f aca="false">Sens!$L$3617+Sens!$L$3618</f>
        <v>164.791350396533</v>
      </c>
      <c r="M3619" s="38" t="n">
        <f aca="false">Sens!$M$3617+Sens!$M$3618</f>
        <v>183.865739034062</v>
      </c>
      <c r="N3619" s="38" t="n">
        <f aca="false">Q!$N$24</f>
        <v>21.707</v>
      </c>
      <c r="O3619" s="38" t="n">
        <f aca="false">Q!$O$24</f>
        <v>23.899</v>
      </c>
    </row>
    <row r="3620" customFormat="false" ht="17.15" hidden="false" customHeight="false" outlineLevel="0" collapsed="false">
      <c r="A3620" s="5" t="s">
        <v>686</v>
      </c>
      <c r="B3620" s="0" t="s">
        <v>73</v>
      </c>
      <c r="C3620" s="38" t="n">
        <f aca="false">Q!$D$26</f>
        <v>0</v>
      </c>
      <c r="D3620" s="38" t="n">
        <f aca="false">Q!$E$26</f>
        <v>0</v>
      </c>
      <c r="E3620" s="38" t="n">
        <f aca="false">Q!$P$26</f>
        <v>0</v>
      </c>
      <c r="F3620" s="41" t="n">
        <v>0</v>
      </c>
      <c r="G3620" s="38" t="n">
        <f aca="false">Sens!$E$3620+Sens!$F$3620</f>
        <v>0</v>
      </c>
      <c r="H3620" s="41" t="n">
        <v>0</v>
      </c>
      <c r="I3620" s="41" t="n">
        <v>0</v>
      </c>
      <c r="J3620" s="41" t="n">
        <v>0</v>
      </c>
      <c r="K3620" s="41" t="n">
        <v>0</v>
      </c>
      <c r="L3620" s="41" t="n">
        <v>0</v>
      </c>
      <c r="M3620" s="41" t="n">
        <v>0</v>
      </c>
      <c r="N3620" s="38" t="n">
        <f aca="false">Q!$N$26</f>
        <v>0</v>
      </c>
      <c r="O3620" s="38" t="n">
        <f aca="false">Q!$O$26</f>
        <v>0</v>
      </c>
    </row>
    <row r="3621" customFormat="false" ht="15" hidden="false" customHeight="false" outlineLevel="0" collapsed="false">
      <c r="A3621" s="3" t="s">
        <v>494</v>
      </c>
      <c r="B3621" s="8" t="s">
        <v>73</v>
      </c>
      <c r="C3621" s="38" t="n">
        <f aca="false">Q!$D$25</f>
        <v>68.593</v>
      </c>
      <c r="D3621" s="38" t="n">
        <f aca="false">Q!$E$25</f>
        <v>79.975</v>
      </c>
      <c r="E3621" s="38" t="n">
        <f aca="false">Q!$P$25</f>
        <v>51.313</v>
      </c>
      <c r="F3621" s="38" t="n">
        <f aca="false">Sens!$F$3611+Sens!$F$3616+Sens!$F$3619+Sens!$F$3620</f>
        <v>59.8825772328462</v>
      </c>
      <c r="G3621" s="38" t="n">
        <f aca="false">Sens!$G$3611+Sens!$G$3616+Sens!$G$3619+Sens!$G$3620</f>
        <v>111.195577232846</v>
      </c>
      <c r="H3621" s="38" t="n">
        <f aca="false">Sens!$H$3611+Sens!$H$3616+Sens!$H$3619+Sens!$H$3620</f>
        <v>135.319181024328</v>
      </c>
      <c r="I3621" s="38" t="n">
        <f aca="false">Sens!$I$3611+Sens!$I$3616+Sens!$I$3619+Sens!$I$3620</f>
        <v>159.533336176446</v>
      </c>
      <c r="J3621" s="38" t="n">
        <f aca="false">Sens!$J$3611+Sens!$J$3616+Sens!$J$3619+Sens!$J$3620</f>
        <v>180.332142737857</v>
      </c>
      <c r="K3621" s="38" t="n">
        <f aca="false">Sens!$K$3611+Sens!$K$3616+Sens!$K$3619+Sens!$K$3620</f>
        <v>196.09516679712</v>
      </c>
      <c r="L3621" s="38" t="n">
        <f aca="false">Sens!$L$3611+Sens!$L$3616+Sens!$L$3619+Sens!$L$3620</f>
        <v>213.263759679436</v>
      </c>
      <c r="M3621" s="38" t="n">
        <f aca="false">Sens!$M$3611+Sens!$M$3616+Sens!$M$3619+Sens!$M$3620</f>
        <v>230.734643799719</v>
      </c>
      <c r="N3621" s="38" t="n">
        <f aca="false">Q!$N$25</f>
        <v>37.576</v>
      </c>
      <c r="O3621" s="38" t="n">
        <f aca="false">Q!$O$25</f>
        <v>42.399</v>
      </c>
    </row>
    <row r="3622" customFormat="false" ht="17.15" hidden="false" customHeight="false" outlineLevel="0" collapsed="false">
      <c r="A3622" s="24" t="s">
        <v>712</v>
      </c>
      <c r="B3622" s="25" t="s">
        <v>73</v>
      </c>
      <c r="C3622" s="39" t="n">
        <f aca="false">Sens!$C$3611+Sens!$C$3616+Sens!$C$3619+Sens!$C$3620-Sens!$C$3621</f>
        <v>0</v>
      </c>
      <c r="D3622" s="39" t="n">
        <f aca="false">Sens!$D$3611+Sens!$D$3616+Sens!$D$3619+Sens!$D$3620-Sens!$D$3621</f>
        <v>0</v>
      </c>
      <c r="E3622" s="39" t="n">
        <f aca="false">Sens!$E$3611+Sens!$E$3616+Sens!$E$3619+Sens!$E$3620-Sens!$E$3621</f>
        <v>0</v>
      </c>
      <c r="F3622" s="39" t="n">
        <f aca="false">Sens!$F$3611+Sens!$F$3616+Sens!$F$3619+Sens!$F$3620-Sens!$F$3621</f>
        <v>0</v>
      </c>
      <c r="G3622" s="39" t="n">
        <f aca="false">Sens!$G$3611+Sens!$G$3616+Sens!$G$3619+Sens!$G$3620-Sens!$G$3621</f>
        <v>0</v>
      </c>
      <c r="H3622" s="39" t="n">
        <f aca="false">Sens!$H$3611+Sens!$H$3616+Sens!$H$3619+Sens!$H$3620-Sens!$H$3621</f>
        <v>0</v>
      </c>
      <c r="I3622" s="39" t="n">
        <f aca="false">Sens!$I$3611+Sens!$I$3616+Sens!$I$3619+Sens!$I$3620-Sens!$I$3621</f>
        <v>0</v>
      </c>
      <c r="J3622" s="39" t="n">
        <f aca="false">Sens!$J$3611+Sens!$J$3616+Sens!$J$3619+Sens!$J$3620-Sens!$J$3621</f>
        <v>0</v>
      </c>
      <c r="K3622" s="39" t="n">
        <f aca="false">Sens!$K$3611+Sens!$K$3616+Sens!$K$3619+Sens!$K$3620-Sens!$K$3621</f>
        <v>0</v>
      </c>
      <c r="L3622" s="39" t="n">
        <f aca="false">Sens!$L$3611+Sens!$L$3616+Sens!$L$3619+Sens!$L$3620-Sens!$L$3621</f>
        <v>0</v>
      </c>
      <c r="M3622" s="39" t="n">
        <f aca="false">Sens!$M$3611+Sens!$M$3616+Sens!$M$3619+Sens!$M$3620-Sens!$M$3621</f>
        <v>0</v>
      </c>
      <c r="N3622" s="39" t="n">
        <f aca="false">Sens!$N$3611+Sens!$N$3616+Sens!$N$3619+Sens!$N$3620-Sens!$N$3621</f>
        <v>0</v>
      </c>
      <c r="O3622" s="39" t="n">
        <f aca="false">Sens!$O$3611+Sens!$O$3616+Sens!$O$3619+Sens!$O$3620-Sens!$O$3621</f>
        <v>0</v>
      </c>
    </row>
    <row r="3623" customFormat="false" ht="17.15" hidden="false" customHeight="false" outlineLevel="0" collapsed="false">
      <c r="A3623" s="0" t="s">
        <v>688</v>
      </c>
      <c r="B3623" s="0" t="s">
        <v>52</v>
      </c>
      <c r="C3623" s="12" t="n">
        <f aca="false">Sens!$C$3611/Sens!$C$3596</f>
        <v>0.0644314665661928</v>
      </c>
      <c r="D3623" s="12" t="n">
        <f aca="false">Sens!$D$3611/Sens!$D$3596</f>
        <v>0.0694784250712518</v>
      </c>
      <c r="E3623" s="12" t="n">
        <f aca="false">Sens!$E$3611/Sens!$E$3596</f>
        <v>0.0789306463326071</v>
      </c>
      <c r="F3623" s="12" t="n">
        <f aca="false">Sens!$F$3611/Sens!$F$3596</f>
        <v>0.0816338957078875</v>
      </c>
      <c r="G3623" s="12" t="n">
        <f aca="false">Sens!$G$3611/Sens!$G$3596</f>
        <v>0.080384315570057</v>
      </c>
      <c r="H3623" s="12" t="n">
        <f aca="false">Sens!$H$3611/Sens!$H$3596</f>
        <v>0.0796671316989645</v>
      </c>
      <c r="I3623" s="12" t="n">
        <f aca="false">Sens!$I$3611/Sens!$I$3596</f>
        <v>0.0774780874727526</v>
      </c>
      <c r="J3623" s="12" t="n">
        <f aca="false">Sens!$J$3611/Sens!$J$3596</f>
        <v>0.0747140209299944</v>
      </c>
      <c r="K3623" s="12" t="n">
        <f aca="false">Sens!$K$3611/Sens!$K$3596</f>
        <v>0.0708447727269117</v>
      </c>
      <c r="L3623" s="12" t="n">
        <f aca="false">Sens!$L$3611/Sens!$L$3596</f>
        <v>0.0657512622816438</v>
      </c>
      <c r="M3623" s="12" t="n">
        <f aca="false">Sens!$M$3611/Sens!$M$3596</f>
        <v>0.0612926379059757</v>
      </c>
      <c r="N3623" s="12" t="n">
        <f aca="false">Sens!$N$3611/Sens!$N$3596</f>
        <v>0.069228576611127</v>
      </c>
      <c r="O3623" s="12" t="n">
        <f aca="false">Sens!$O$3611/Sens!$O$3596</f>
        <v>0.069685022498393</v>
      </c>
    </row>
    <row r="3624" customFormat="false" ht="17.15" hidden="false" customHeight="false" outlineLevel="0" collapsed="false">
      <c r="A3624" s="0" t="s">
        <v>689</v>
      </c>
      <c r="B3624" s="0" t="s">
        <v>52</v>
      </c>
      <c r="C3624" s="12" t="n">
        <f aca="false">Sens!$C$3616/Sens!$C$3597</f>
        <v>0.026534925055631</v>
      </c>
      <c r="D3624" s="12" t="n">
        <f aca="false">Sens!$D$3616/Sens!$D$3597</f>
        <v>0.0293401855535103</v>
      </c>
      <c r="E3624" s="12" t="n">
        <f aca="false">Sens!$E$3616/Sens!$E$3597</f>
        <v>0.03831141902276</v>
      </c>
      <c r="F3624" s="12" t="n">
        <f aca="false">Sens!$F$3616/Sens!$F$3597</f>
        <v>0.0297532808235678</v>
      </c>
      <c r="G3624" s="12" t="n">
        <f aca="false">Sens!$G$3616/Sens!$G$3597</f>
        <v>0.0335954317997163</v>
      </c>
      <c r="H3624" s="12" t="n">
        <f aca="false">Sens!$H$3616/Sens!$H$3597</f>
        <v>0.0308412389543792</v>
      </c>
      <c r="I3624" s="12" t="n">
        <f aca="false">Sens!$I$3616/Sens!$I$3597</f>
        <v>0.0265321431865367</v>
      </c>
      <c r="J3624" s="12" t="n">
        <f aca="false">Sens!$J$3616/Sens!$J$3597</f>
        <v>0.02150972504147</v>
      </c>
      <c r="K3624" s="12" t="n">
        <f aca="false">Sens!$K$3616/Sens!$K$3597</f>
        <v>0.0151903371914089</v>
      </c>
      <c r="L3624" s="12" t="n">
        <f aca="false">Sens!$L$3616/Sens!$L$3597</f>
        <v>0.0101907284845257</v>
      </c>
      <c r="M3624" s="12" t="n">
        <f aca="false">Sens!$M$3616/Sens!$M$3597</f>
        <v>0.00582574393799077</v>
      </c>
      <c r="N3624" s="12" t="n">
        <f aca="false">Sens!$N$3616/Sens!$N$3597</f>
        <v>0.0357315650169337</v>
      </c>
      <c r="O3624" s="12" t="n">
        <f aca="false">Sens!$O$3616/Sens!$O$3597</f>
        <v>0.0244378956559703</v>
      </c>
    </row>
    <row r="3625" customFormat="false" ht="17.15" hidden="false" customHeight="false" outlineLevel="0" collapsed="false">
      <c r="A3625" s="13" t="s">
        <v>690</v>
      </c>
      <c r="B3625" s="13" t="s">
        <v>52</v>
      </c>
      <c r="C3625" s="16" t="n">
        <f aca="false">Sens!$C$3619/Sens!$C$3598</f>
        <v>0.370355907620217</v>
      </c>
      <c r="D3625" s="16" t="n">
        <f aca="false">Sens!$D$3619/Sens!$D$3598</f>
        <v>0.35429015342785</v>
      </c>
      <c r="E3625" s="16" t="n">
        <f aca="false">Sens!$E$3619/Sens!$E$3598</f>
        <v>0.385647527531039</v>
      </c>
      <c r="F3625" s="16" t="n">
        <f aca="false">Sens!$F$3619/Sens!$F$3598</f>
        <v>0.384415729470259</v>
      </c>
      <c r="G3625" s="16" t="n">
        <f aca="false">Sens!$G$3619/Sens!$G$3598</f>
        <v>0.38498282105443</v>
      </c>
      <c r="H3625" s="16" t="n">
        <f aca="false">Sens!$H$3619/Sens!$H$3598</f>
        <v>0.361247909668527</v>
      </c>
      <c r="I3625" s="16" t="n">
        <f aca="false">Sens!$I$3619/Sens!$I$3598</f>
        <v>0.349486287974975</v>
      </c>
      <c r="J3625" s="16" t="n">
        <f aca="false">Sens!$J$3619/Sens!$J$3598</f>
        <v>0.339886531832068</v>
      </c>
      <c r="K3625" s="16" t="n">
        <f aca="false">Sens!$K$3619/Sens!$K$3598</f>
        <v>0.33135833762061</v>
      </c>
      <c r="L3625" s="16" t="n">
        <f aca="false">Sens!$L$3619/Sens!$L$3598</f>
        <v>0.328299068185284</v>
      </c>
      <c r="M3625" s="16" t="n">
        <f aca="false">Sens!$M$3619/Sens!$M$3598</f>
        <v>0.325058049465166</v>
      </c>
      <c r="N3625" s="16" t="n">
        <f aca="false">Sens!$N$3619/Sens!$N$3598</f>
        <v>0.360941137346192</v>
      </c>
      <c r="O3625" s="16" t="n">
        <f aca="false">Sens!$O$3619/Sens!$O$3598</f>
        <v>0.348458117664212</v>
      </c>
    </row>
    <row r="3626" customFormat="false" ht="17.15" hidden="false" customHeight="false" outlineLevel="0" collapsed="false">
      <c r="A3626" s="0" t="s">
        <v>691</v>
      </c>
      <c r="B3626" s="0" t="s">
        <v>52</v>
      </c>
      <c r="C3626" s="12" t="n">
        <f aca="false">Sens!$C$3617/Sens!$C$3599</f>
        <v>0.708390794789371</v>
      </c>
      <c r="D3626" s="12" t="n">
        <f aca="false">Sens!$D$3617/Sens!$D$3599</f>
        <v>0.445565630441968</v>
      </c>
      <c r="E3626" s="12" t="n">
        <f aca="false">Sens!$E$3617/Sens!$E$3599</f>
        <v>0.165998118402711</v>
      </c>
      <c r="F3626" s="12" t="n">
        <f aca="false">Sens!$F$3617/Sens!$F$3599</f>
        <v>0.434878595403858</v>
      </c>
      <c r="G3626" s="12" t="n">
        <f aca="false">Sens!$G$3617/Sens!$G$3599</f>
        <v>0.3373967615381</v>
      </c>
      <c r="H3626" s="12" t="n">
        <f aca="false">Sens!$H$3617/Sens!$H$3599</f>
        <v>0.320477578041224</v>
      </c>
      <c r="I3626" s="12" t="n">
        <f aca="false">Sens!$I$3617/Sens!$I$3599</f>
        <v>0.296936118226494</v>
      </c>
      <c r="J3626" s="12" t="n">
        <f aca="false">Sens!$J$3617/Sens!$J$3599</f>
        <v>0.282166278613001</v>
      </c>
      <c r="K3626" s="12" t="n">
        <f aca="false">Sens!$K$3617/Sens!$K$3599</f>
        <v>0.271267685694333</v>
      </c>
      <c r="L3626" s="12" t="n">
        <f aca="false">Sens!$L$3617/Sens!$L$3599</f>
        <v>0.27160960915653</v>
      </c>
      <c r="M3626" s="12" t="n">
        <f aca="false">Sens!$M$3617/Sens!$M$3599</f>
        <v>0.26974494804234</v>
      </c>
      <c r="N3626" s="12" t="n">
        <f aca="false">Sens!$N$3617/Sens!$N$3599</f>
        <v>0.302870734830849</v>
      </c>
      <c r="O3626" s="12" t="n">
        <f aca="false">Sens!$O$3617/Sens!$O$3599</f>
        <v>0.52240134346334</v>
      </c>
    </row>
    <row r="3627" customFormat="false" ht="15" hidden="false" customHeight="false" outlineLevel="0" collapsed="false">
      <c r="A3627" s="5" t="s">
        <v>692</v>
      </c>
      <c r="B3627" s="0" t="s">
        <v>52</v>
      </c>
      <c r="C3627" s="12" t="n">
        <f aca="false">Sens!$C$3621/Sens!$C$3601</f>
        <v>0.107519448742004</v>
      </c>
      <c r="D3627" s="12" t="n">
        <f aca="false">Sens!$D$3621/Sens!$D$3601</f>
        <v>0.111552967957552</v>
      </c>
      <c r="E3627" s="12" t="n">
        <f aca="false">Sens!$E$3621/Sens!$E$3601</f>
        <v>0.13428328426562</v>
      </c>
      <c r="F3627" s="12" t="n">
        <f aca="false">Sens!$F$3621/Sens!$F$3601</f>
        <v>0.132926212451512</v>
      </c>
      <c r="G3627" s="12" t="n">
        <f aca="false">Sens!$G$3621/Sens!$G$3601</f>
        <v>0.133549030959228</v>
      </c>
      <c r="H3627" s="12" t="n">
        <f aca="false">Sens!$H$3621/Sens!$H$3601</f>
        <v>0.139453108170009</v>
      </c>
      <c r="I3627" s="12" t="n">
        <f aca="false">Sens!$I$3621/Sens!$I$3601</f>
        <v>0.143960149089648</v>
      </c>
      <c r="J3627" s="12" t="n">
        <f aca="false">Sens!$J$3621/Sens!$J$3601</f>
        <v>0.145905408343807</v>
      </c>
      <c r="K3627" s="12" t="n">
        <f aca="false">Sens!$K$3621/Sens!$K$3601</f>
        <v>0.145488047313281</v>
      </c>
      <c r="L3627" s="12" t="n">
        <f aca="false">Sens!$L$3621/Sens!$L$3601</f>
        <v>0.145625481083029</v>
      </c>
      <c r="M3627" s="12" t="n">
        <f aca="false">Sens!$M$3621/Sens!$M$3601</f>
        <v>0.145469755415829</v>
      </c>
      <c r="N3627" s="12" t="n">
        <f aca="false">Sens!$N$3621/Sens!$N$3601</f>
        <v>0.116201614873411</v>
      </c>
      <c r="O3627" s="12" t="n">
        <f aca="false">Sens!$O$3621/Sens!$O$3601</f>
        <v>0.107733353660861</v>
      </c>
    </row>
    <row r="3628" customFormat="false" ht="17.15" hidden="false" customHeight="false" outlineLevel="0" collapsed="false">
      <c r="A3628" s="1" t="s">
        <v>693</v>
      </c>
    </row>
    <row r="3629" customFormat="false" ht="17.15" hidden="false" customHeight="false" outlineLevel="0" collapsed="false">
      <c r="A3629" s="5" t="s">
        <v>694</v>
      </c>
      <c r="B3629" s="0" t="s">
        <v>52</v>
      </c>
      <c r="D3629" s="28" t="n">
        <f aca="false">(Q!$E$29+Q!$E$30-(1-ext_sh)*Sens!$D$3553)/Sens!$D$3510</f>
        <v>0.0334674312393194</v>
      </c>
    </row>
    <row r="3630" customFormat="false" ht="17.15" hidden="false" customHeight="false" outlineLevel="0" collapsed="false">
      <c r="A3630" s="0" t="s">
        <v>498</v>
      </c>
      <c r="B3630" s="0" t="s">
        <v>73</v>
      </c>
      <c r="C3630" s="38" t="n">
        <f aca="false">Q!$D$29</f>
        <v>14.285</v>
      </c>
      <c r="D3630" s="38" t="n">
        <f aca="false">Q!$E$29</f>
        <v>15.503</v>
      </c>
      <c r="E3630" s="38" t="n">
        <f aca="false">Q!$P$29</f>
        <v>8.78</v>
      </c>
      <c r="F3630" s="38" t="n">
        <f aca="false">(Sens!$D$3629*Sens!$F$3510+(1-ext_sh)*Sens!$F$3553)*Sens!$F$3511</f>
        <v>9.51361751569285</v>
      </c>
      <c r="G3630" s="38" t="n">
        <f aca="false">Sens!$E$3630+Sens!$F$3630</f>
        <v>18.2936175156929</v>
      </c>
      <c r="H3630" s="38" t="n">
        <f aca="false">(Sens!$D$3629*Sens!$H$3510+(1-ext_sh)*Sens!$H$3553)*Sens!$H$3511</f>
        <v>22.7499036266179</v>
      </c>
      <c r="I3630" s="38" t="n">
        <f aca="false">(Sens!$D$3629*Sens!$I$3510+(1-ext_sh)*Sens!$I$3553)*Sens!$I$3511</f>
        <v>28.3731911709199</v>
      </c>
      <c r="J3630" s="38" t="n">
        <f aca="false">(Sens!$D$3629*Sens!$J$3510+(1-ext_sh)*Sens!$J$3553)*Sens!$J$3511</f>
        <v>33.992259293501</v>
      </c>
      <c r="K3630" s="38" t="n">
        <f aca="false">(Sens!$D$3629*Sens!$K$3510+(1-ext_sh)*Sens!$K$3553)*Sens!$K$3511</f>
        <v>39.4906900092821</v>
      </c>
      <c r="L3630" s="38" t="n">
        <f aca="false">(Sens!$D$3629*Sens!$L$3510+(1-ext_sh)*Sens!$L$3553)*Sens!$L$3511</f>
        <v>44.7738637970742</v>
      </c>
      <c r="M3630" s="38" t="n">
        <f aca="false">(Sens!$D$3629*Sens!$M$3510+(1-ext_sh)*Sens!$M$3553)*Sens!$M$3511</f>
        <v>50.2426149001262</v>
      </c>
      <c r="N3630" s="38" t="n">
        <f aca="false">Q!$N$29</f>
        <v>7.272</v>
      </c>
      <c r="O3630" s="38" t="n">
        <f aca="false">Q!$O$29</f>
        <v>8.231</v>
      </c>
    </row>
    <row r="3631" customFormat="false" ht="17.15" hidden="false" customHeight="false" outlineLevel="0" collapsed="false">
      <c r="A3631" s="0" t="s">
        <v>500</v>
      </c>
      <c r="B3631" s="0" t="s">
        <v>73</v>
      </c>
      <c r="C3631" s="38" t="n">
        <f aca="false">Q!$D$30</f>
        <v>4.462</v>
      </c>
      <c r="D3631" s="38" t="n">
        <f aca="false">Q!$E$30</f>
        <v>4.907</v>
      </c>
      <c r="E3631" s="38" t="n">
        <f aca="false">Q!$P$30</f>
        <v>2.57</v>
      </c>
      <c r="F3631" s="38" t="n">
        <f aca="false">(Sens!$D$3629*Sens!$F$3510+(1-ext_sh)*Sens!$F$3553)*(1-Sens!$F$3511)</f>
        <v>3.7353230631574</v>
      </c>
      <c r="G3631" s="38" t="n">
        <f aca="false">Sens!$E$3631+Sens!$F$3631</f>
        <v>6.3053230631574</v>
      </c>
      <c r="H3631" s="38" t="n">
        <f aca="false">(Sens!$D$3629*Sens!$H$3510+(1-ext_sh)*Sens!$H$3553)*(1-Sens!$H$3511)</f>
        <v>8.71662189234797</v>
      </c>
      <c r="I3631" s="38" t="n">
        <f aca="false">(Sens!$D$3629*Sens!$I$3510+(1-ext_sh)*Sens!$I$3553)*(1-Sens!$I$3511)</f>
        <v>10.8711836047888</v>
      </c>
      <c r="J3631" s="38" t="n">
        <f aca="false">(Sens!$D$3629*Sens!$J$3510+(1-ext_sh)*Sens!$J$3553)*(1-Sens!$J$3511)</f>
        <v>13.0241286464803</v>
      </c>
      <c r="K3631" s="38" t="n">
        <f aca="false">(Sens!$D$3629*Sens!$K$3510+(1-ext_sh)*Sens!$K$3553)*(1-Sens!$K$3511)</f>
        <v>15.1308514852821</v>
      </c>
      <c r="L3631" s="38" t="n">
        <f aca="false">(Sens!$D$3629*Sens!$L$3510+(1-ext_sh)*Sens!$L$3553)*(1-Sens!$L$3511)</f>
        <v>17.1550986669653</v>
      </c>
      <c r="M3631" s="38" t="n">
        <f aca="false">(Sens!$D$3629*Sens!$M$3510+(1-ext_sh)*Sens!$M$3553)*(1-Sens!$M$3511)</f>
        <v>19.2504497669538</v>
      </c>
      <c r="N3631" s="38" t="n">
        <f aca="false">Q!$N$30</f>
        <v>2.316</v>
      </c>
      <c r="O3631" s="38" t="n">
        <f aca="false">Q!$O$30</f>
        <v>2.591</v>
      </c>
    </row>
    <row r="3632" customFormat="false" ht="17.15" hidden="false" customHeight="false" outlineLevel="0" collapsed="false">
      <c r="A3632" s="0" t="s">
        <v>501</v>
      </c>
      <c r="B3632" s="0" t="s">
        <v>73</v>
      </c>
      <c r="C3632" s="38" t="n">
        <f aca="false">Sens!$C$3565</f>
        <v>13.32</v>
      </c>
      <c r="D3632" s="38" t="n">
        <f aca="false">Sens!$D$3565</f>
        <v>21.45</v>
      </c>
      <c r="E3632" s="38" t="n">
        <f aca="false">Sens!$E$3565</f>
        <v>15.353</v>
      </c>
      <c r="F3632" s="38" t="n">
        <f aca="false">Sens!$F$3565</f>
        <v>17.3614451462707</v>
      </c>
      <c r="G3632" s="38" t="n">
        <f aca="false">Sens!$G$3565</f>
        <v>32.7144451462707</v>
      </c>
      <c r="H3632" s="38" t="n">
        <f aca="false">Sens!$H$3565</f>
        <v>56.1966092719415</v>
      </c>
      <c r="I3632" s="38" t="n">
        <f aca="false">Sens!$I$3565</f>
        <v>82.9744039068297</v>
      </c>
      <c r="J3632" s="38" t="n">
        <f aca="false">Sens!$J$3565</f>
        <v>109.943252237669</v>
      </c>
      <c r="K3632" s="38" t="n">
        <f aca="false">Sens!$K$3565</f>
        <v>136.406703436571</v>
      </c>
      <c r="L3632" s="38" t="n">
        <f aca="false">Sens!$L$3565</f>
        <v>161.485870454155</v>
      </c>
      <c r="M3632" s="38" t="n">
        <f aca="false">Sens!$M$3565</f>
        <v>187.389846618199</v>
      </c>
      <c r="N3632" s="38" t="n">
        <f aca="false">Sens!$N$3565</f>
        <v>9.234</v>
      </c>
      <c r="O3632" s="38" t="n">
        <f aca="false">Sens!$O$3565</f>
        <v>12.216</v>
      </c>
    </row>
    <row r="3633" customFormat="false" ht="17.15" hidden="false" customHeight="false" outlineLevel="0" collapsed="false">
      <c r="A3633" s="5" t="s">
        <v>695</v>
      </c>
      <c r="B3633" s="0" t="s">
        <v>73</v>
      </c>
      <c r="C3633" s="38" t="n">
        <f aca="false">Sens!$C$3630+Sens!$C$3631+Sens!$C$3632</f>
        <v>32.067</v>
      </c>
      <c r="D3633" s="38" t="n">
        <f aca="false">Sens!$D$3630+Sens!$D$3631+Sens!$D$3632</f>
        <v>41.86</v>
      </c>
      <c r="E3633" s="38" t="n">
        <f aca="false">Sens!$E$3630+Sens!$E$3631+Sens!$E$3632</f>
        <v>26.703</v>
      </c>
      <c r="F3633" s="38" t="n">
        <f aca="false">Sens!$F$3630+Sens!$F$3631+Sens!$F$3632</f>
        <v>30.6103857251209</v>
      </c>
      <c r="G3633" s="38" t="n">
        <f aca="false">Sens!$G$3630+Sens!$G$3631+Sens!$G$3632</f>
        <v>57.3133857251209</v>
      </c>
      <c r="H3633" s="38" t="n">
        <f aca="false">Sens!$H$3630+Sens!$H$3631+Sens!$H$3632</f>
        <v>87.6631347909074</v>
      </c>
      <c r="I3633" s="38" t="n">
        <f aca="false">Sens!$I$3630+Sens!$I$3631+Sens!$I$3632</f>
        <v>122.218778682539</v>
      </c>
      <c r="J3633" s="38" t="n">
        <f aca="false">Sens!$J$3630+Sens!$J$3631+Sens!$J$3632</f>
        <v>156.95964017765</v>
      </c>
      <c r="K3633" s="38" t="n">
        <f aca="false">Sens!$K$3630+Sens!$K$3631+Sens!$K$3632</f>
        <v>191.028244931135</v>
      </c>
      <c r="L3633" s="38" t="n">
        <f aca="false">Sens!$L$3630+Sens!$L$3631+Sens!$L$3632</f>
        <v>223.414832918194</v>
      </c>
      <c r="M3633" s="38" t="n">
        <f aca="false">Sens!$M$3630+Sens!$M$3631+Sens!$M$3632</f>
        <v>256.882911285279</v>
      </c>
      <c r="N3633" s="38" t="n">
        <f aca="false">Sens!$N$3630+Sens!$N$3631+Sens!$N$3632</f>
        <v>18.822</v>
      </c>
      <c r="O3633" s="38" t="n">
        <f aca="false">Sens!$O$3630+Sens!$O$3631+Sens!$O$3632</f>
        <v>23.038</v>
      </c>
    </row>
    <row r="3634" customFormat="false" ht="17.15" hidden="false" customHeight="false" outlineLevel="0" collapsed="false">
      <c r="A3634" s="0" t="s">
        <v>696</v>
      </c>
      <c r="B3634" s="0" t="s">
        <v>73</v>
      </c>
      <c r="C3634" s="38" t="n">
        <f aca="false">Sens!$C$3607+Sens!$C$3612</f>
        <v>28.107</v>
      </c>
      <c r="D3634" s="38" t="n">
        <f aca="false">Sens!$D$3607+Sens!$D$3612</f>
        <v>34.3175</v>
      </c>
      <c r="E3634" s="38" t="n">
        <f aca="false">Sens!$E$3607+Sens!$E$3612</f>
        <v>18.526</v>
      </c>
      <c r="F3634" s="38" t="n">
        <f aca="false">Sens!$F$3607+Sens!$F$3612</f>
        <v>24.0766690913691</v>
      </c>
      <c r="G3634" s="38" t="n">
        <f aca="false">Sens!$G$3607+Sens!$G$3612</f>
        <v>42.6026690913691</v>
      </c>
      <c r="H3634" s="38" t="n">
        <f aca="false">Sens!$H$3607+Sens!$H$3612</f>
        <v>50.8271609112849</v>
      </c>
      <c r="I3634" s="38" t="n">
        <f aca="false">Sens!$I$3607+Sens!$I$3612</f>
        <v>58.5546206343026</v>
      </c>
      <c r="J3634" s="38" t="n">
        <f aca="false">Sens!$J$3607+Sens!$J$3612</f>
        <v>65.0551807625486</v>
      </c>
      <c r="K3634" s="38" t="n">
        <f aca="false">Sens!$K$3607+Sens!$K$3612</f>
        <v>69.609043415927</v>
      </c>
      <c r="L3634" s="38" t="n">
        <f aca="false">Sens!$L$3607+Sens!$L$3612</f>
        <v>74.4816764550418</v>
      </c>
      <c r="M3634" s="38" t="n">
        <f aca="false">Sens!$M$3607+Sens!$M$3612</f>
        <v>79.6953938068948</v>
      </c>
      <c r="N3634" s="38" t="n">
        <f aca="false">Sens!$N$3607+Sens!$N$3612</f>
        <v>14.8075</v>
      </c>
      <c r="O3634" s="38" t="n">
        <f aca="false">Sens!$O$3607+Sens!$O$3612</f>
        <v>19.51</v>
      </c>
    </row>
    <row r="3635" customFormat="false" ht="17.15" hidden="false" customHeight="false" outlineLevel="0" collapsed="false">
      <c r="A3635" s="0" t="s">
        <v>697</v>
      </c>
      <c r="B3635" s="0" t="s">
        <v>73</v>
      </c>
      <c r="C3635" s="38" t="n">
        <f aca="false">Sens!$C$3611+Sens!$C$3616+Sens!$C$3630+Sens!$C$3631-Sens!$C$3634</f>
        <v>19.399</v>
      </c>
      <c r="D3635" s="38" t="n">
        <f aca="false">Sens!$D$3611+Sens!$D$3616+Sens!$D$3630+Sens!$D$3631-Sens!$D$3634</f>
        <v>20.4615</v>
      </c>
      <c r="E3635" s="38" t="n">
        <f aca="false">Sens!$E$3611+Sens!$E$3616+Sens!$E$3630+Sens!$E$3631-Sens!$E$3634</f>
        <v>13.355</v>
      </c>
      <c r="F3635" s="38" t="n">
        <f aca="false">Sens!$F$3611+Sens!$F$3616+Sens!$F$3630+Sens!$F$3631-Sens!$F$3634</f>
        <v>13.0895111975985</v>
      </c>
      <c r="G3635" s="38" t="n">
        <f aca="false">Sens!$G$3611+Sens!$G$3616+Sens!$G$3630+Sens!$G$3631-Sens!$G$3634</f>
        <v>26.4445111975985</v>
      </c>
      <c r="H3635" s="38" t="n">
        <f aca="false">Sens!$H$3611+Sens!$H$3616+Sens!$H$3630+Sens!$H$3631-Sens!$H$3634</f>
        <v>28.8763226653204</v>
      </c>
      <c r="I3635" s="38" t="n">
        <f aca="false">Sens!$I$3611+Sens!$I$3616+Sens!$I$3630+Sens!$I$3631-Sens!$I$3634</f>
        <v>31.1302128803799</v>
      </c>
      <c r="J3635" s="38" t="n">
        <f aca="false">Sens!$J$3611+Sens!$J$3616+Sens!$J$3630+Sens!$J$3631-Sens!$J$3634</f>
        <v>33.3321348541203</v>
      </c>
      <c r="K3635" s="38" t="n">
        <f aca="false">Sens!$K$3611+Sens!$K$3616+Sens!$K$3630+Sens!$K$3631-Sens!$K$3634</f>
        <v>35.3367577351258</v>
      </c>
      <c r="L3635" s="38" t="n">
        <f aca="false">Sens!$L$3611+Sens!$L$3616+Sens!$L$3630+Sens!$L$3631-Sens!$L$3634</f>
        <v>35.9196952919004</v>
      </c>
      <c r="M3635" s="38" t="n">
        <f aca="false">Sens!$M$3611+Sens!$M$3616+Sens!$M$3630+Sens!$M$3631-Sens!$M$3634</f>
        <v>36.6665756258422</v>
      </c>
      <c r="N3635" s="38" t="n">
        <f aca="false">Sens!$N$3611+Sens!$N$3616+Sens!$N$3630+Sens!$N$3631-Sens!$N$3634</f>
        <v>10.6495</v>
      </c>
      <c r="O3635" s="38" t="n">
        <f aca="false">Sens!$O$3611+Sens!$O$3616+Sens!$O$3630+Sens!$O$3631-Sens!$O$3634</f>
        <v>9.81200000000001</v>
      </c>
    </row>
    <row r="3636" customFormat="false" ht="17.15" hidden="false" customHeight="false" outlineLevel="0" collapsed="false">
      <c r="A3636" s="0" t="s">
        <v>698</v>
      </c>
      <c r="B3636" s="0" t="s">
        <v>73</v>
      </c>
      <c r="C3636" s="38" t="n">
        <f aca="false">Sens!$C$3618+Sens!$C$3632-ext_sh*Sens!$C$3553</f>
        <v>51.3470500115664</v>
      </c>
      <c r="D3636" s="38" t="n">
        <f aca="false">Sens!$D$3618+Sens!$D$3632-ext_sh*Sens!$D$3553</f>
        <v>60.2799375433739</v>
      </c>
      <c r="E3636" s="38" t="n">
        <f aca="false">Sens!$E$3618+Sens!$E$3632-ext_sh*Sens!$E$3553</f>
        <v>39.5095167090767</v>
      </c>
      <c r="F3636" s="38" t="n">
        <f aca="false">Sens!$F$3618+Sens!$F$3632-ext_sh*Sens!$F$3553</f>
        <v>41.606724953129</v>
      </c>
      <c r="G3636" s="38" t="n">
        <f aca="false">Sens!$G$3618+Sens!$G$3632-ext_sh*Sens!$G$3553</f>
        <v>81.1162416622057</v>
      </c>
      <c r="H3636" s="38" t="n">
        <f aca="false">Sens!$H$3618+Sens!$H$3632-ext_sh*Sens!$H$3553</f>
        <v>95.7616595325849</v>
      </c>
      <c r="I3636" s="38" t="n">
        <f aca="false">Sens!$I$3618+Sens!$I$3632-ext_sh*Sens!$I$3553</f>
        <v>111.513312079935</v>
      </c>
      <c r="J3636" s="38" t="n">
        <f aca="false">Sens!$J$3618+Sens!$J$3632-ext_sh*Sens!$J$3553</f>
        <v>125.145150463955</v>
      </c>
      <c r="K3636" s="38" t="n">
        <f aca="false">Sens!$K$3618+Sens!$K$3632-ext_sh*Sens!$K$3553</f>
        <v>135.156762501071</v>
      </c>
      <c r="L3636" s="38" t="n">
        <f aca="false">Sens!$L$3618+Sens!$L$3632-ext_sh*Sens!$L$3553</f>
        <v>145.969303501157</v>
      </c>
      <c r="M3636" s="38" t="n">
        <f aca="false">Sens!$M$3618+Sens!$M$3632-ext_sh*Sens!$M$3553</f>
        <v>157.646847781249</v>
      </c>
      <c r="N3636" s="38" t="n">
        <f aca="false">Sens!$N$3618+Sens!$N$3632-ext_sh*Sens!$N$3553</f>
        <v>28.5693781401809</v>
      </c>
      <c r="O3636" s="38" t="n">
        <f aca="false">Sens!$O$3618+Sens!$O$3632-ext_sh*Sens!$O$3553</f>
        <v>31.7105594031931</v>
      </c>
    </row>
    <row r="3637" customFormat="false" ht="17.15" hidden="false" customHeight="false" outlineLevel="0" collapsed="false">
      <c r="A3637" s="0" t="s">
        <v>699</v>
      </c>
      <c r="B3637" s="0" t="s">
        <v>73</v>
      </c>
      <c r="C3637" s="38" t="n">
        <f aca="false">Sens!$C$3556</f>
        <v>1.80694998843362</v>
      </c>
      <c r="D3637" s="38" t="n">
        <f aca="false">Sens!$D$3556</f>
        <v>6.77606245662607</v>
      </c>
      <c r="E3637" s="38" t="n">
        <f aca="false">Sens!$E$3556</f>
        <v>6.62548329092326</v>
      </c>
      <c r="F3637" s="38" t="n">
        <f aca="false">Sens!$F$3556</f>
        <v>11.7200577158706</v>
      </c>
      <c r="G3637" s="38" t="n">
        <f aca="false">Sens!$G$3556</f>
        <v>18.3455410067939</v>
      </c>
      <c r="H3637" s="38" t="n">
        <f aca="false">Sens!$H$3556</f>
        <v>47.5171727060453</v>
      </c>
      <c r="I3637" s="38" t="n">
        <f aca="false">Sens!$I$3556</f>
        <v>80.5539692643667</v>
      </c>
      <c r="J3637" s="38" t="n">
        <f aca="false">Sens!$J$3556</f>
        <v>113.759316834883</v>
      </c>
      <c r="K3637" s="38" t="n">
        <f aca="false">Sens!$K$3556</f>
        <v>147.020848076132</v>
      </c>
      <c r="L3637" s="38" t="n">
        <f aca="false">Sens!$L$3556</f>
        <v>180.307917349531</v>
      </c>
      <c r="M3637" s="38" t="n">
        <f aca="false">Sens!$M$3556</f>
        <v>213.608737871012</v>
      </c>
      <c r="N3637" s="38" t="n">
        <f aca="false">Sens!$N$3556</f>
        <v>2.37162185981912</v>
      </c>
      <c r="O3637" s="38" t="n">
        <f aca="false">Sens!$O$3556</f>
        <v>4.40444059680694</v>
      </c>
    </row>
    <row r="3638" customFormat="false" ht="17.15" hidden="false" customHeight="false" outlineLevel="0" collapsed="false">
      <c r="A3638" s="0" t="s">
        <v>700</v>
      </c>
      <c r="B3638" s="0" t="s">
        <v>73</v>
      </c>
      <c r="C3638" s="38" t="n">
        <f aca="false">Sens!$C$3621+Sens!$C$3633</f>
        <v>100.66</v>
      </c>
      <c r="D3638" s="38" t="n">
        <f aca="false">Sens!$D$3621+Sens!$D$3633</f>
        <v>121.835</v>
      </c>
      <c r="E3638" s="38" t="n">
        <f aca="false">Sens!$E$3621+Sens!$E$3633</f>
        <v>78.016</v>
      </c>
      <c r="F3638" s="38" t="n">
        <f aca="false">Sens!$F$3621+Sens!$F$3633</f>
        <v>90.4929629579672</v>
      </c>
      <c r="G3638" s="38" t="n">
        <f aca="false">Sens!$G$3621+Sens!$G$3633</f>
        <v>168.508962957967</v>
      </c>
      <c r="H3638" s="38" t="n">
        <f aca="false">Sens!$H$3621+Sens!$H$3633</f>
        <v>222.982315815235</v>
      </c>
      <c r="I3638" s="38" t="n">
        <f aca="false">Sens!$I$3621+Sens!$I$3633</f>
        <v>281.752114858984</v>
      </c>
      <c r="J3638" s="38" t="n">
        <f aca="false">Sens!$J$3621+Sens!$J$3633</f>
        <v>337.291782915507</v>
      </c>
      <c r="K3638" s="38" t="n">
        <f aca="false">Sens!$K$3621+Sens!$K$3633</f>
        <v>387.123411728256</v>
      </c>
      <c r="L3638" s="38" t="n">
        <f aca="false">Sens!$L$3621+Sens!$L$3633</f>
        <v>436.67859259763</v>
      </c>
      <c r="M3638" s="38" t="n">
        <f aca="false">Sens!$M$3621+Sens!$M$3633</f>
        <v>487.617555084998</v>
      </c>
      <c r="N3638" s="38" t="n">
        <f aca="false">Sens!$N$3621+Sens!$N$3633</f>
        <v>56.398</v>
      </c>
      <c r="O3638" s="38" t="n">
        <f aca="false">Sens!$O$3621+Sens!$O$3633</f>
        <v>65.437</v>
      </c>
    </row>
    <row r="3639" customFormat="false" ht="17.15" hidden="false" customHeight="false" outlineLevel="0" collapsed="false">
      <c r="A3639" s="1" t="s">
        <v>701</v>
      </c>
    </row>
    <row r="3640" customFormat="false" ht="15" hidden="false" customHeight="false" outlineLevel="0" collapsed="false">
      <c r="A3640" s="5" t="s">
        <v>504</v>
      </c>
      <c r="B3640" s="0" t="s">
        <v>73</v>
      </c>
      <c r="C3640" s="38" t="n">
        <f aca="false">Q!$D$34</f>
        <v>2.406</v>
      </c>
      <c r="D3640" s="38" t="n">
        <f aca="false">Q!$E$34</f>
        <v>2.274</v>
      </c>
      <c r="E3640" s="38" t="n">
        <f aca="false">Q!$P$34</f>
        <v>2.114</v>
      </c>
      <c r="F3640" s="38" t="n">
        <f aca="false">Sens!$F$3676</f>
        <v>3.24888964316061</v>
      </c>
      <c r="G3640" s="38" t="n">
        <f aca="false">Sens!$E$3640+Sens!$F$3640</f>
        <v>5.36288964316061</v>
      </c>
      <c r="H3640" s="38" t="n">
        <f aca="false">Sens!$H$3676</f>
        <v>7.42354178632123</v>
      </c>
      <c r="I3640" s="38" t="n">
        <f aca="false">Sens!$I$3676</f>
        <v>7.53544693632448</v>
      </c>
      <c r="J3640" s="38" t="n">
        <f aca="false">Sens!$J$3676</f>
        <v>7.84902058986697</v>
      </c>
      <c r="K3640" s="38" t="n">
        <f aca="false">Sens!$K$3676</f>
        <v>7.84902058986697</v>
      </c>
      <c r="L3640" s="38" t="n">
        <f aca="false">Sens!$L$3676</f>
        <v>7.84902058986697</v>
      </c>
      <c r="M3640" s="38" t="n">
        <f aca="false">Sens!$M$3676</f>
        <v>7.84902058986697</v>
      </c>
      <c r="N3640" s="38" t="n">
        <f aca="false">Q!$N$34</f>
        <v>1.057</v>
      </c>
      <c r="O3640" s="38" t="n">
        <f aca="false">Q!$O$34</f>
        <v>1.217</v>
      </c>
    </row>
    <row r="3641" customFormat="false" ht="15" hidden="false" customHeight="false" outlineLevel="0" collapsed="false">
      <c r="A3641" s="5" t="s">
        <v>702</v>
      </c>
      <c r="B3641" s="0" t="s">
        <v>73</v>
      </c>
      <c r="F3641" s="38" t="n">
        <f aca="false">Sens!$F$3677</f>
        <v>2.59</v>
      </c>
      <c r="H3641" s="38" t="n">
        <f aca="false">Sens!$H$3677</f>
        <v>4.00971603121774</v>
      </c>
      <c r="I3641" s="38" t="n">
        <f aca="false">Sens!$I$3677</f>
        <v>2.10589651022864</v>
      </c>
      <c r="J3641" s="38" t="n">
        <f aca="false">Sens!$J$3677</f>
        <v>2.10589651022864</v>
      </c>
      <c r="K3641" s="38" t="n">
        <f aca="false">Sens!$K$3677</f>
        <v>3.68398191169394</v>
      </c>
      <c r="L3641" s="38" t="n">
        <f aca="false">Sens!$L$3677</f>
        <v>6.96663205732767</v>
      </c>
      <c r="M3641" s="38" t="n">
        <f aca="false">Sens!$M$3677</f>
        <v>10.654553607963</v>
      </c>
    </row>
    <row r="3642" customFormat="false" ht="17.15" hidden="false" customHeight="false" outlineLevel="0" collapsed="false">
      <c r="A3642" s="5" t="s">
        <v>703</v>
      </c>
      <c r="B3642" s="0" t="s">
        <v>73</v>
      </c>
      <c r="C3642" s="38" t="n">
        <f aca="false">Q!$D$39</f>
        <v>2.427</v>
      </c>
      <c r="D3642" s="38" t="n">
        <f aca="false">Q!$E$39</f>
        <v>19.61</v>
      </c>
      <c r="E3642" s="38" t="n">
        <f aca="false">Q!$P$39</f>
        <v>71.492</v>
      </c>
      <c r="F3642" s="41" t="n">
        <v>0</v>
      </c>
      <c r="G3642" s="38" t="n">
        <f aca="false">Sens!$E$3642+Sens!$F$3642</f>
        <v>71.492</v>
      </c>
      <c r="H3642" s="41" t="n">
        <v>0</v>
      </c>
      <c r="I3642" s="41" t="n">
        <v>0</v>
      </c>
      <c r="J3642" s="41" t="n">
        <v>0</v>
      </c>
      <c r="K3642" s="41" t="n">
        <v>0</v>
      </c>
      <c r="L3642" s="41" t="n">
        <v>0</v>
      </c>
      <c r="M3642" s="41" t="n">
        <v>0</v>
      </c>
      <c r="N3642" s="38" t="n">
        <f aca="false">Q!$N$39</f>
        <v>6.017</v>
      </c>
      <c r="O3642" s="38" t="n">
        <f aca="false">Q!$O$39</f>
        <v>13.593</v>
      </c>
      <c r="P3642" s="5" t="s">
        <v>704</v>
      </c>
    </row>
    <row r="3643" customFormat="false" ht="15" hidden="false" customHeight="false" outlineLevel="0" collapsed="false">
      <c r="A3643" s="5" t="s">
        <v>507</v>
      </c>
      <c r="B3643" s="0" t="s">
        <v>73</v>
      </c>
      <c r="C3643" s="38" t="n">
        <f aca="false">Q!$D$36</f>
        <v>68.614</v>
      </c>
      <c r="D3643" s="38" t="n">
        <f aca="false">Q!$E$36</f>
        <v>97.311</v>
      </c>
      <c r="E3643" s="38" t="n">
        <f aca="false">Q!$P$36</f>
        <v>120.691</v>
      </c>
      <c r="F3643" s="38" t="n">
        <f aca="false">Sens!$F$3621-Sens!$F$3640+Sens!$F$3641+Sens!$F$3642</f>
        <v>59.2236875896856</v>
      </c>
      <c r="G3643" s="38" t="n">
        <f aca="false">Sens!$E$3643+Sens!$F$3643</f>
        <v>179.914687589686</v>
      </c>
      <c r="H3643" s="38" t="n">
        <f aca="false">Sens!$H$3621-Sens!$H$3640+Sens!$H$3641+Sens!$H$3642</f>
        <v>131.905355269225</v>
      </c>
      <c r="I3643" s="38" t="n">
        <f aca="false">Sens!$I$3621-Sens!$I$3640+Sens!$I$3641+Sens!$I$3642</f>
        <v>154.10378575035</v>
      </c>
      <c r="J3643" s="38" t="n">
        <f aca="false">Sens!$J$3621-Sens!$J$3640+Sens!$J$3641+Sens!$J$3642</f>
        <v>174.589018658219</v>
      </c>
      <c r="K3643" s="38" t="n">
        <f aca="false">Sens!$K$3621-Sens!$K$3640+Sens!$K$3641+Sens!$K$3642</f>
        <v>191.930128118947</v>
      </c>
      <c r="L3643" s="38" t="n">
        <f aca="false">Sens!$L$3621-Sens!$L$3640+Sens!$L$3641+Sens!$L$3642</f>
        <v>212.381371146896</v>
      </c>
      <c r="M3643" s="38" t="n">
        <f aca="false">Sens!$M$3621-Sens!$M$3640+Sens!$M$3641+Sens!$M$3642</f>
        <v>233.540176817815</v>
      </c>
      <c r="N3643" s="38" t="n">
        <f aca="false">Q!$N$36</f>
        <v>42.536</v>
      </c>
      <c r="O3643" s="38" t="n">
        <f aca="false">Q!$O$36</f>
        <v>54.775</v>
      </c>
    </row>
    <row r="3644" customFormat="false" ht="15" hidden="false" customHeight="false" outlineLevel="0" collapsed="false">
      <c r="A3644" s="5" t="s">
        <v>508</v>
      </c>
      <c r="B3644" s="0" t="s">
        <v>73</v>
      </c>
      <c r="C3644" s="38" t="n">
        <f aca="false">Q!$D$37</f>
        <v>9.265</v>
      </c>
      <c r="D3644" s="38" t="n">
        <f aca="false">Q!$E$37</f>
        <v>19.087</v>
      </c>
      <c r="E3644" s="38" t="n">
        <f aca="false">Q!$P$37</f>
        <v>27.759</v>
      </c>
      <c r="F3644" s="38" t="n">
        <f aca="false">Sens!$F$3643*tax</f>
        <v>10.2803157750071</v>
      </c>
      <c r="G3644" s="38" t="n">
        <f aca="false">Sens!$E$3644+Sens!$F$3644</f>
        <v>38.0393157750071</v>
      </c>
      <c r="H3644" s="38" t="n">
        <f aca="false">Sens!$H$3643*tax</f>
        <v>22.8967286531866</v>
      </c>
      <c r="I3644" s="38" t="n">
        <f aca="false">Sens!$I$3643*tax</f>
        <v>26.7500326999825</v>
      </c>
      <c r="J3644" s="38" t="n">
        <f aca="false">Sens!$J$3643*tax</f>
        <v>30.3059521570163</v>
      </c>
      <c r="K3644" s="38" t="n">
        <f aca="false">Sens!$K$3643*tax</f>
        <v>33.3161004338403</v>
      </c>
      <c r="L3644" s="38" t="n">
        <f aca="false">Sens!$L$3643*tax</f>
        <v>36.8661197736584</v>
      </c>
      <c r="M3644" s="38" t="n">
        <f aca="false">Sens!$M$3643*tax</f>
        <v>40.538961039911</v>
      </c>
      <c r="N3644" s="38" t="n">
        <f aca="false">Q!$N$37</f>
        <v>7.231</v>
      </c>
      <c r="O3644" s="38" t="n">
        <f aca="false">Q!$O$37</f>
        <v>11.856</v>
      </c>
    </row>
    <row r="3645" customFormat="false" ht="15" hidden="false" customHeight="false" outlineLevel="0" collapsed="false">
      <c r="A3645" s="3" t="s">
        <v>509</v>
      </c>
      <c r="B3645" s="8" t="s">
        <v>73</v>
      </c>
      <c r="C3645" s="38" t="n">
        <f aca="false">Q!$D$38</f>
        <v>59.248</v>
      </c>
      <c r="D3645" s="38" t="n">
        <f aca="false">Q!$E$38</f>
        <v>77.67</v>
      </c>
      <c r="E3645" s="38" t="n">
        <f aca="false">Q!$P$38</f>
        <v>92.902</v>
      </c>
      <c r="F3645" s="38" t="n">
        <f aca="false">Sens!$F$3643-Sens!$F$3644</f>
        <v>48.9433718146785</v>
      </c>
      <c r="G3645" s="38" t="n">
        <f aca="false">Sens!$E$3645+Sens!$F$3645</f>
        <v>141.845371814679</v>
      </c>
      <c r="H3645" s="38" t="n">
        <f aca="false">Sens!$H$3643-Sens!$H$3644</f>
        <v>109.008626616038</v>
      </c>
      <c r="I3645" s="38" t="n">
        <f aca="false">Sens!$I$3643-Sens!$I$3644</f>
        <v>127.353753050368</v>
      </c>
      <c r="J3645" s="38" t="n">
        <f aca="false">Sens!$J$3643-Sens!$J$3644</f>
        <v>144.283066501202</v>
      </c>
      <c r="K3645" s="38" t="n">
        <f aca="false">Sens!$K$3643-Sens!$K$3644</f>
        <v>158.614027685107</v>
      </c>
      <c r="L3645" s="38" t="n">
        <f aca="false">Sens!$L$3643-Sens!$L$3644</f>
        <v>175.515251373238</v>
      </c>
      <c r="M3645" s="38" t="n">
        <f aca="false">Sens!$M$3643-Sens!$M$3644</f>
        <v>193.001215777904</v>
      </c>
      <c r="N3645" s="38" t="n">
        <f aca="false">Q!$N$38</f>
        <v>35.291</v>
      </c>
      <c r="O3645" s="38" t="n">
        <f aca="false">Q!$O$38</f>
        <v>42.379</v>
      </c>
    </row>
    <row r="3646" customFormat="false" ht="17.15" hidden="false" customHeight="false" outlineLevel="0" collapsed="false">
      <c r="A3646" s="5" t="s">
        <v>512</v>
      </c>
      <c r="B3646" s="5" t="s">
        <v>33</v>
      </c>
      <c r="C3646" s="22" t="n">
        <f aca="false">Q!$D$41</f>
        <v>10.721</v>
      </c>
      <c r="D3646" s="22" t="n">
        <f aca="false">Q!$E$41</f>
        <v>10.827</v>
      </c>
      <c r="E3646" s="22" t="n">
        <f aca="false">(Q!$L$41+Q!$M$41)/2</f>
        <v>10.8885</v>
      </c>
      <c r="F3646" s="22" t="n">
        <f aca="false">Sens!$G$3646</f>
        <v>10.924806</v>
      </c>
      <c r="G3646" s="22" t="n">
        <f aca="false">Q!$M$41*(1+sh_g*0.25)</f>
        <v>10.924806</v>
      </c>
      <c r="H3646" s="22" t="n">
        <f aca="false">Sens!$G$3646*(1+sh_g)</f>
        <v>11.012204448</v>
      </c>
      <c r="I3646" s="22" t="n">
        <f aca="false">Sens!$H$3646*(1+sh_g)</f>
        <v>11.100302083584</v>
      </c>
      <c r="J3646" s="22" t="n">
        <f aca="false">Sens!$I$3646*(1+sh_g)</f>
        <v>11.1891045002527</v>
      </c>
      <c r="K3646" s="22" t="n">
        <f aca="false">Sens!$J$3646*(1+sh_g)</f>
        <v>11.2786173362547</v>
      </c>
      <c r="L3646" s="22" t="n">
        <f aca="false">Sens!$K$3646*(1+sh_g)</f>
        <v>11.3688462749447</v>
      </c>
      <c r="M3646" s="22" t="n">
        <f aca="false">Sens!$L$3646*(1+sh_g)</f>
        <v>11.4597970451443</v>
      </c>
      <c r="P3646" s="5" t="s">
        <v>705</v>
      </c>
    </row>
    <row r="3647" customFormat="false" ht="17.15" hidden="false" customHeight="false" outlineLevel="0" collapsed="false">
      <c r="A3647" s="42" t="s">
        <v>706</v>
      </c>
      <c r="B3647" s="13" t="s">
        <v>27</v>
      </c>
      <c r="C3647" s="43" t="n">
        <f aca="false">Sens!$C$3645/Sens!$C$3646</f>
        <v>5.52635015390355</v>
      </c>
      <c r="D3647" s="43" t="n">
        <f aca="false">Sens!$D$3645/Sens!$D$3646</f>
        <v>7.1737323358271</v>
      </c>
      <c r="E3647" s="43" t="n">
        <f aca="false">Sens!$E$3645/Sens!$E$3646</f>
        <v>8.53212104513937</v>
      </c>
      <c r="F3647" s="13"/>
      <c r="G3647" s="43" t="n">
        <f aca="false">Sens!$G$3645/Sens!$G$3646</f>
        <v>12.9837886196495</v>
      </c>
      <c r="H3647" s="43" t="n">
        <f aca="false">Sens!$H$3645/Sens!$H$3646</f>
        <v>9.89889237261989</v>
      </c>
      <c r="I3647" s="43" t="n">
        <f aca="false">Sens!$I$3645/Sens!$I$3646</f>
        <v>11.472998850969</v>
      </c>
      <c r="J3647" s="43" t="n">
        <f aca="false">Sens!$J$3645/Sens!$J$3646</f>
        <v>12.89496103088</v>
      </c>
      <c r="K3647" s="43" t="n">
        <f aca="false">Sens!$K$3645/Sens!$K$3646</f>
        <v>14.0632511021762</v>
      </c>
      <c r="L3647" s="43" t="n">
        <f aca="false">Sens!$L$3645/Sens!$L$3646</f>
        <v>15.4382641060112</v>
      </c>
      <c r="M3647" s="43" t="n">
        <f aca="false">Sens!$M$3645/Sens!$M$3646</f>
        <v>16.8415910873117</v>
      </c>
      <c r="N3647" s="13"/>
      <c r="O3647" s="13"/>
    </row>
    <row r="3648" customFormat="false" ht="17.15" hidden="false" customHeight="false" outlineLevel="0" collapsed="false">
      <c r="A3648" s="0" t="s">
        <v>707</v>
      </c>
      <c r="B3648" s="0" t="s">
        <v>27</v>
      </c>
      <c r="C3648" s="30" t="n">
        <f aca="false">(Sens!$C$3645-Sens!$C$3642*(1-tax))/Sens!$C$3646</f>
        <v>5.33926775917445</v>
      </c>
      <c r="D3648" s="30" t="n">
        <f aca="false">(Sens!$D$3645-Sens!$D$3642*(1-tax))/Sens!$D$3646</f>
        <v>5.67691812755503</v>
      </c>
      <c r="E3648" s="30" t="n">
        <f aca="false">(Sens!$E$3645-Sens!$E$3642*(1-tax))/Sens!$E$3646</f>
        <v>3.10602057006846</v>
      </c>
      <c r="G3648" s="30" t="n">
        <f aca="false">(Sens!$G$3645-Sens!$G$3642*(1-tax))/Sens!$G$3646</f>
        <v>7.57572050175252</v>
      </c>
      <c r="H3648" s="30" t="n">
        <f aca="false">(Sens!$H$3645-Sens!$H$3642*(1-tax))/Sens!$H$3646</f>
        <v>9.89889237261989</v>
      </c>
      <c r="I3648" s="30" t="n">
        <f aca="false">(Sens!$I$3645-Sens!$I$3642*(1-tax))/Sens!$I$3646</f>
        <v>11.472998850969</v>
      </c>
      <c r="J3648" s="30" t="n">
        <f aca="false">(Sens!$J$3645-Sens!$J$3642*(1-tax))/Sens!$J$3646</f>
        <v>12.89496103088</v>
      </c>
      <c r="K3648" s="30" t="n">
        <f aca="false">(Sens!$K$3645-Sens!$K$3642*(1-tax))/Sens!$K$3646</f>
        <v>14.0632511021762</v>
      </c>
      <c r="L3648" s="30" t="n">
        <f aca="false">(Sens!$L$3645-Sens!$L$3642*(1-tax))/Sens!$L$3646</f>
        <v>15.4382641060112</v>
      </c>
      <c r="M3648" s="30" t="n">
        <f aca="false">(Sens!$M$3645-Sens!$M$3642*(1-tax))/Sens!$M$3646</f>
        <v>16.8415910873117</v>
      </c>
      <c r="P3648" s="5" t="s">
        <v>708</v>
      </c>
    </row>
    <row r="3649" customFormat="false" ht="17.15" hidden="false" customHeight="false" outlineLevel="0" collapsed="false">
      <c r="A3649" s="0" t="s">
        <v>709</v>
      </c>
      <c r="B3649" s="0" t="s">
        <v>52</v>
      </c>
      <c r="H3649" s="12" t="n">
        <f aca="false">Sens!$H$3647/Sens!$G$3647-1</f>
        <v>-0.237596000474081</v>
      </c>
      <c r="I3649" s="12" t="n">
        <f aca="false">Sens!$I$3647/Sens!$H$3647-1</f>
        <v>0.159018445609431</v>
      </c>
      <c r="J3649" s="12" t="n">
        <f aca="false">Sens!$J$3647/Sens!$I$3647-1</f>
        <v>0.123939886892864</v>
      </c>
      <c r="K3649" s="12" t="n">
        <f aca="false">Sens!$K$3647/Sens!$J$3647-1</f>
        <v>0.0906005119750581</v>
      </c>
      <c r="L3649" s="12" t="n">
        <f aca="false">Sens!$L$3647/Sens!$K$3647-1</f>
        <v>0.0977734802461308</v>
      </c>
      <c r="M3649" s="12" t="n">
        <f aca="false">Sens!$M$3647/Sens!$L$3647-1</f>
        <v>0.0908992728498645</v>
      </c>
    </row>
    <row r="3652" customFormat="false" ht="19.4" hidden="false" customHeight="false" outlineLevel="0" collapsed="false">
      <c r="A3652" s="31" t="s">
        <v>1123</v>
      </c>
    </row>
    <row r="3653" customFormat="false" ht="17.15" hidden="false" customHeight="false" outlineLevel="0" collapsed="false">
      <c r="A3653" s="6" t="s">
        <v>16</v>
      </c>
      <c r="B3653" s="6" t="s">
        <v>17</v>
      </c>
      <c r="C3653" s="20" t="s">
        <v>457</v>
      </c>
      <c r="D3653" s="20" t="s">
        <v>458</v>
      </c>
      <c r="E3653" s="20" t="s">
        <v>540</v>
      </c>
      <c r="F3653" s="20" t="s">
        <v>541</v>
      </c>
      <c r="G3653" s="20" t="s">
        <v>542</v>
      </c>
      <c r="H3653" s="20" t="s">
        <v>543</v>
      </c>
      <c r="I3653" s="20" t="s">
        <v>544</v>
      </c>
      <c r="J3653" s="20" t="s">
        <v>545</v>
      </c>
      <c r="K3653" s="20" t="s">
        <v>546</v>
      </c>
      <c r="L3653" s="20" t="s">
        <v>547</v>
      </c>
      <c r="M3653" s="20" t="s">
        <v>548</v>
      </c>
      <c r="N3653" s="20" t="s">
        <v>549</v>
      </c>
      <c r="O3653" s="20" t="s">
        <v>550</v>
      </c>
      <c r="P3653" s="6" t="s">
        <v>23</v>
      </c>
      <c r="R3653" s="20" t="n">
        <v>2023</v>
      </c>
      <c r="S3653" s="20" t="n">
        <v>2024</v>
      </c>
      <c r="T3653" s="20" t="n">
        <v>2025</v>
      </c>
      <c r="U3653" s="20" t="n">
        <v>2026</v>
      </c>
      <c r="V3653" s="20" t="n">
        <v>2027</v>
      </c>
      <c r="W3653" s="20" t="n">
        <v>2028</v>
      </c>
      <c r="X3653" s="20" t="n">
        <v>2029</v>
      </c>
      <c r="Y3653" s="20" t="n">
        <v>2030</v>
      </c>
      <c r="Z3653" s="20" t="n">
        <v>2031</v>
      </c>
      <c r="AA3653" s="20" t="n">
        <v>2032</v>
      </c>
    </row>
    <row r="3654" customFormat="false" ht="15" hidden="false" customHeight="false" outlineLevel="0" collapsed="false">
      <c r="A3654" s="5" t="s">
        <v>509</v>
      </c>
      <c r="B3654" s="0" t="s">
        <v>73</v>
      </c>
      <c r="C3654" s="38" t="n">
        <f aca="false">Sens!$C$3645</f>
        <v>59.248</v>
      </c>
      <c r="D3654" s="38" t="n">
        <f aca="false">Sens!$D$3645</f>
        <v>77.67</v>
      </c>
      <c r="E3654" s="38" t="n">
        <f aca="false">Sens!$E$3645</f>
        <v>92.902</v>
      </c>
      <c r="F3654" s="38" t="n">
        <f aca="false">Sens!$F$3645</f>
        <v>48.9433718146785</v>
      </c>
      <c r="G3654" s="38" t="n">
        <f aca="false">Sens!$G$3645</f>
        <v>141.845371814679</v>
      </c>
      <c r="H3654" s="38" t="n">
        <f aca="false">Sens!$H$3645</f>
        <v>109.008626616038</v>
      </c>
      <c r="I3654" s="38" t="n">
        <f aca="false">Sens!$I$3645</f>
        <v>127.353753050368</v>
      </c>
      <c r="J3654" s="38" t="n">
        <f aca="false">Sens!$J$3645</f>
        <v>144.283066501202</v>
      </c>
      <c r="K3654" s="38" t="n">
        <f aca="false">Sens!$K$3645</f>
        <v>158.614027685107</v>
      </c>
      <c r="L3654" s="38" t="n">
        <f aca="false">Sens!$L$3645</f>
        <v>175.515251373238</v>
      </c>
      <c r="M3654" s="38" t="n">
        <f aca="false">Sens!$M$3645</f>
        <v>193.001215777904</v>
      </c>
    </row>
    <row r="3655" customFormat="false" ht="17.15" hidden="false" customHeight="false" outlineLevel="0" collapsed="false">
      <c r="A3655" s="5" t="s">
        <v>731</v>
      </c>
      <c r="B3655" s="0" t="s">
        <v>73</v>
      </c>
      <c r="C3655" s="38" t="n">
        <f aca="false">Sens!$C$3633</f>
        <v>32.067</v>
      </c>
      <c r="D3655" s="38" t="n">
        <f aca="false">Sens!$D$3633</f>
        <v>41.86</v>
      </c>
      <c r="E3655" s="38" t="n">
        <f aca="false">Sens!$E$3633</f>
        <v>26.703</v>
      </c>
      <c r="F3655" s="38" t="n">
        <f aca="false">Sens!$F$3633</f>
        <v>30.6103857251209</v>
      </c>
      <c r="G3655" s="38" t="n">
        <f aca="false">Sens!$G$3633</f>
        <v>57.3133857251209</v>
      </c>
      <c r="H3655" s="38" t="n">
        <f aca="false">Sens!$H$3633</f>
        <v>87.6631347909074</v>
      </c>
      <c r="I3655" s="38" t="n">
        <f aca="false">Sens!$I$3633</f>
        <v>122.218778682539</v>
      </c>
      <c r="J3655" s="38" t="n">
        <f aca="false">Sens!$J$3633</f>
        <v>156.95964017765</v>
      </c>
      <c r="K3655" s="38" t="n">
        <f aca="false">Sens!$K$3633</f>
        <v>191.028244931135</v>
      </c>
      <c r="L3655" s="38" t="n">
        <f aca="false">Sens!$L$3633</f>
        <v>223.414832918194</v>
      </c>
      <c r="M3655" s="38" t="n">
        <f aca="false">Sens!$M$3633</f>
        <v>256.882911285279</v>
      </c>
    </row>
    <row r="3656" customFormat="false" ht="15" hidden="false" customHeight="false" outlineLevel="0" collapsed="false">
      <c r="A3656" s="5" t="s">
        <v>732</v>
      </c>
      <c r="B3656" s="0" t="s">
        <v>73</v>
      </c>
      <c r="C3656" s="38" t="n">
        <f aca="false">Q!$D$48</f>
        <v>22.011</v>
      </c>
      <c r="D3656" s="38" t="n">
        <f aca="false">Q!$E$48</f>
        <v>19.467</v>
      </c>
      <c r="E3656" s="38" t="n">
        <f aca="false">Q!$P$48</f>
        <v>10.07</v>
      </c>
      <c r="F3656" s="38" t="n">
        <f aca="false">sbc_r*Sens!$F$3577</f>
        <v>11.2170714500462</v>
      </c>
      <c r="G3656" s="38" t="n">
        <f aca="false">Sens!$E$3656+Sens!$F$3656</f>
        <v>21.2870714500462</v>
      </c>
      <c r="H3656" s="38" t="n">
        <f aca="false">sbc_r*Sens!$H$3577</f>
        <v>24.1613276915482</v>
      </c>
      <c r="I3656" s="38" t="n">
        <f aca="false">sbc_r*Sens!$I$3577</f>
        <v>27.5929918585202</v>
      </c>
      <c r="J3656" s="38" t="n">
        <f aca="false">sbc_r*Sens!$J$3577</f>
        <v>30.7745269530166</v>
      </c>
      <c r="K3656" s="38" t="n">
        <f aca="false">sbc_r*Sens!$K$3577</f>
        <v>33.5605606920909</v>
      </c>
      <c r="L3656" s="38" t="n">
        <f aca="false">sbc_r*Sens!$L$3577</f>
        <v>36.4644209474361</v>
      </c>
      <c r="M3656" s="38" t="n">
        <f aca="false">sbc_r*Sens!$M$3577</f>
        <v>39.4938735614508</v>
      </c>
    </row>
    <row r="3657" customFormat="false" ht="17.15" hidden="false" customHeight="false" outlineLevel="0" collapsed="false">
      <c r="A3657" s="5" t="s">
        <v>733</v>
      </c>
      <c r="B3657" s="0" t="s">
        <v>73</v>
      </c>
      <c r="C3657" s="38" t="n">
        <f aca="false">Q!$D$44-Sens!$C$3654-Sens!$C$3655-Sens!$C$3656</f>
        <v>2.551</v>
      </c>
      <c r="D3657" s="38" t="n">
        <f aca="false">Q!$E$44-Sens!$D$3654-Sens!$D$3655-Sens!$D$3656</f>
        <v>0.51700000000001</v>
      </c>
      <c r="E3657" s="38" t="n">
        <f aca="false">Q!$P$44-Sens!$E$3654-Sens!$E$3655-Sens!$E$3656</f>
        <v>-58.256</v>
      </c>
      <c r="F3657" s="38" t="n">
        <f aca="false">wc_2h26+oth_r*Sens!$F$3577</f>
        <v>7.34599241893378</v>
      </c>
      <c r="G3657" s="38" t="n">
        <f aca="false">Sens!$E$3657+Sens!$F$3657</f>
        <v>-50.9100075810662</v>
      </c>
      <c r="H3657" s="38" t="n">
        <f aca="false">oth_r*Sens!$H$3577</f>
        <v>11.6293121265182</v>
      </c>
      <c r="I3657" s="38" t="n">
        <f aca="false">oth_r*Sens!$I$3577</f>
        <v>13.2810381500457</v>
      </c>
      <c r="J3657" s="38" t="n">
        <f aca="false">oth_r*Sens!$J$3577</f>
        <v>14.8123722359748</v>
      </c>
      <c r="K3657" s="38" t="n">
        <f aca="false">oth_r*Sens!$K$3577</f>
        <v>16.1533439060887</v>
      </c>
      <c r="L3657" s="38" t="n">
        <f aca="false">oth_r*Sens!$L$3577</f>
        <v>17.551027746659</v>
      </c>
      <c r="M3657" s="38" t="n">
        <f aca="false">oth_r*Sens!$M$3577</f>
        <v>19.0091616071255</v>
      </c>
      <c r="P3657" s="8" t="s">
        <v>734</v>
      </c>
    </row>
    <row r="3658" customFormat="false" ht="15" hidden="false" customHeight="false" outlineLevel="0" collapsed="false">
      <c r="A3658" s="3" t="s">
        <v>515</v>
      </c>
      <c r="B3658" s="8" t="s">
        <v>73</v>
      </c>
      <c r="C3658" s="38" t="n">
        <f aca="false">Q!$D$44</f>
        <v>115.877</v>
      </c>
      <c r="D3658" s="38" t="n">
        <f aca="false">Q!$E$44</f>
        <v>139.514</v>
      </c>
      <c r="E3658" s="38" t="n">
        <f aca="false">Q!$P$44</f>
        <v>71.419</v>
      </c>
      <c r="F3658" s="38" t="n">
        <f aca="false">Sens!$F$3654+Sens!$F$3655+Sens!$F$3656+Sens!$F$3657</f>
        <v>98.1168214087795</v>
      </c>
      <c r="G3658" s="38" t="n">
        <f aca="false">Sens!$E$3658+Sens!$F$3658</f>
        <v>169.535821408779</v>
      </c>
      <c r="H3658" s="38" t="n">
        <f aca="false">Sens!$H$3654+Sens!$H$3655+Sens!$H$3656+Sens!$H$3657</f>
        <v>232.462401225012</v>
      </c>
      <c r="I3658" s="38" t="n">
        <f aca="false">Sens!$I$3654+Sens!$I$3655+Sens!$I$3656+Sens!$I$3657</f>
        <v>290.446561741472</v>
      </c>
      <c r="J3658" s="38" t="n">
        <f aca="false">Sens!$J$3654+Sens!$J$3655+Sens!$J$3656+Sens!$J$3657</f>
        <v>346.829605867844</v>
      </c>
      <c r="K3658" s="38" t="n">
        <f aca="false">Sens!$K$3654+Sens!$K$3655+Sens!$K$3656+Sens!$K$3657</f>
        <v>399.356177214422</v>
      </c>
      <c r="L3658" s="38" t="n">
        <f aca="false">Sens!$L$3654+Sens!$L$3655+Sens!$L$3656+Sens!$L$3657</f>
        <v>452.945532985528</v>
      </c>
      <c r="M3658" s="38" t="n">
        <f aca="false">Sens!$M$3654+Sens!$M$3655+Sens!$M$3656+Sens!$M$3657</f>
        <v>508.387162231759</v>
      </c>
    </row>
    <row r="3659" customFormat="false" ht="17.15" hidden="false" customHeight="false" outlineLevel="0" collapsed="false">
      <c r="A3659" s="5" t="s">
        <v>735</v>
      </c>
      <c r="B3659" s="0" t="s">
        <v>73</v>
      </c>
      <c r="C3659" s="38" t="n">
        <f aca="false">Sens!$C$3546</f>
        <v>25.2781053077374</v>
      </c>
      <c r="D3659" s="38" t="n">
        <f aca="false">Sens!$D$3546</f>
        <v>69.5686316310026</v>
      </c>
      <c r="E3659" s="38" t="n">
        <f aca="false">Sens!$E$3546</f>
        <v>64.1899206485108</v>
      </c>
      <c r="F3659" s="38" t="n">
        <f aca="false">Sens!$F$3546</f>
        <v>96.2481299895</v>
      </c>
      <c r="G3659" s="38" t="n">
        <f aca="false">Sens!$G$3546</f>
        <v>160.438050638011</v>
      </c>
      <c r="H3659" s="38" t="n">
        <f aca="false">Sens!$H$3546</f>
        <v>198.57136494475</v>
      </c>
      <c r="I3659" s="38" t="n">
        <f aca="false">Sens!$I$3546</f>
        <v>204.6464699105</v>
      </c>
      <c r="J3659" s="38" t="n">
        <f aca="false">Sens!$J$3546</f>
        <v>209.8832381105</v>
      </c>
      <c r="K3659" s="38" t="n">
        <f aca="false">Sens!$K$3546</f>
        <v>215.1200063105</v>
      </c>
      <c r="L3659" s="38" t="n">
        <f aca="false">Sens!$L$3546</f>
        <v>251.7773837105</v>
      </c>
      <c r="M3659" s="38" t="n">
        <f aca="false">Sens!$M$3546</f>
        <v>311.87584476575</v>
      </c>
    </row>
    <row r="3660" customFormat="false" ht="17.15" hidden="false" customHeight="false" outlineLevel="0" collapsed="false">
      <c r="A3660" s="5" t="s">
        <v>736</v>
      </c>
      <c r="B3660" s="0" t="s">
        <v>73</v>
      </c>
      <c r="C3660" s="38" t="n">
        <f aca="false">cx_awso*Sens!$C$3575</f>
        <v>21.0469989286053</v>
      </c>
      <c r="D3660" s="38" t="n">
        <f aca="false">cx_awso*Sens!$D$3575</f>
        <v>24.0042459822698</v>
      </c>
      <c r="E3660" s="38" t="n">
        <f aca="false">cx_awso*Sens!$E$3575</f>
        <v>14.261729404886</v>
      </c>
      <c r="F3660" s="38" t="n">
        <f aca="false">cx_awso*Sens!$F$3575</f>
        <v>15.7190020837331</v>
      </c>
      <c r="G3660" s="38" t="n">
        <f aca="false">Sens!$E$3660+Sens!$F$3660</f>
        <v>29.9807314886191</v>
      </c>
      <c r="H3660" s="38" t="n">
        <f aca="false">cx_awso*Sens!$H$3575</f>
        <v>36.1787121536283</v>
      </c>
      <c r="I3660" s="38" t="n">
        <f aca="false">cx_awso*Sens!$I$3575</f>
        <v>42.1296794430021</v>
      </c>
      <c r="J3660" s="38" t="n">
        <f aca="false">cx_awso*Sens!$J$3575</f>
        <v>47.279781889299</v>
      </c>
      <c r="K3660" s="38" t="n">
        <f aca="false">cx_awso*Sens!$K$3575</f>
        <v>51.0621644404429</v>
      </c>
      <c r="L3660" s="38" t="n">
        <f aca="false">cx_awso*Sens!$L$3575</f>
        <v>55.1471375956783</v>
      </c>
      <c r="M3660" s="38" t="n">
        <f aca="false">cx_awso*Sens!$M$3575</f>
        <v>59.5589086033326</v>
      </c>
    </row>
    <row r="3661" customFormat="false" ht="17.15" hidden="false" customHeight="false" outlineLevel="0" collapsed="false">
      <c r="A3661" s="5" t="s">
        <v>737</v>
      </c>
      <c r="B3661" s="0" t="s">
        <v>73</v>
      </c>
      <c r="C3661" s="38" t="n">
        <f aca="false">Q!$D$46-Sens!$C$3659-Sens!$C$3660</f>
        <v>31.3328957636573</v>
      </c>
      <c r="D3661" s="38" t="n">
        <f aca="false">Q!$E$46-Sens!$D$3659-Sens!$D$3660</f>
        <v>34.7471223867276</v>
      </c>
      <c r="E3661" s="38" t="n">
        <f aca="false">Q!$P$46-Sens!$E$3659-Sens!$E$3660</f>
        <v>17.8583499466032</v>
      </c>
      <c r="F3661" s="38" t="n">
        <f aca="false">cx_rt*Sens!$F$3510</f>
        <v>21.0855744229195</v>
      </c>
      <c r="G3661" s="38" t="n">
        <f aca="false">Sens!$E$3661+Sens!$F$3661</f>
        <v>38.9439243695228</v>
      </c>
      <c r="H3661" s="38" t="n">
        <f aca="false">cx_rt*Sens!$H$3510</f>
        <v>43.0822929097699</v>
      </c>
      <c r="I3661" s="38" t="n">
        <f aca="false">cx_rt*Sens!$I$3510</f>
        <v>47.0241825861136</v>
      </c>
      <c r="J3661" s="38" t="n">
        <f aca="false">cx_rt*Sens!$J$3510</f>
        <v>50.5983296218257</v>
      </c>
      <c r="K3661" s="38" t="n">
        <f aca="false">cx_rt*Sens!$K$3510</f>
        <v>53.6345130057184</v>
      </c>
      <c r="L3661" s="38" t="n">
        <f aca="false">cx_rt*Sens!$L$3510</f>
        <v>56.8592171485513</v>
      </c>
      <c r="M3661" s="38" t="n">
        <f aca="false">cx_rt*Sens!$M$3510</f>
        <v>60.2844760867503</v>
      </c>
    </row>
    <row r="3662" customFormat="false" ht="15" hidden="false" customHeight="false" outlineLevel="0" collapsed="false">
      <c r="A3662" s="3" t="s">
        <v>738</v>
      </c>
      <c r="B3662" s="8" t="s">
        <v>73</v>
      </c>
      <c r="C3662" s="38" t="n">
        <f aca="false">Q!$D$46</f>
        <v>77.658</v>
      </c>
      <c r="D3662" s="38" t="n">
        <f aca="false">Q!$E$46</f>
        <v>128.32</v>
      </c>
      <c r="E3662" s="38" t="n">
        <f aca="false">Q!$P$46</f>
        <v>96.31</v>
      </c>
      <c r="F3662" s="38" t="n">
        <f aca="false">Sens!$F$3659+Sens!$F$3660+Sens!$F$3661</f>
        <v>133.052706496153</v>
      </c>
      <c r="G3662" s="38" t="n">
        <f aca="false">Sens!$E$3662+Sens!$F$3662</f>
        <v>229.362706496153</v>
      </c>
      <c r="H3662" s="38" t="n">
        <f aca="false">Sens!$H$3659+Sens!$H$3660+Sens!$H$3661</f>
        <v>277.832370008148</v>
      </c>
      <c r="I3662" s="38" t="n">
        <f aca="false">Sens!$I$3659+Sens!$I$3660+Sens!$I$3661</f>
        <v>293.800331939616</v>
      </c>
      <c r="J3662" s="38" t="n">
        <f aca="false">Sens!$J$3659+Sens!$J$3660+Sens!$J$3661</f>
        <v>307.761349621625</v>
      </c>
      <c r="K3662" s="38" t="n">
        <f aca="false">Sens!$K$3659+Sens!$K$3660+Sens!$K$3661</f>
        <v>319.816683756661</v>
      </c>
      <c r="L3662" s="38" t="n">
        <f aca="false">Sens!$L$3659+Sens!$L$3660+Sens!$L$3661</f>
        <v>363.78373845473</v>
      </c>
      <c r="M3662" s="38" t="n">
        <f aca="false">Sens!$M$3659+Sens!$M$3660+Sens!$M$3661</f>
        <v>431.719229455833</v>
      </c>
    </row>
    <row r="3663" customFormat="false" ht="17.15" hidden="false" customHeight="false" outlineLevel="0" collapsed="false">
      <c r="A3663" s="5" t="s">
        <v>523</v>
      </c>
      <c r="B3663" s="0" t="s">
        <v>73</v>
      </c>
      <c r="C3663" s="38" t="n">
        <f aca="false">Q!$D$50</f>
        <v>2.043</v>
      </c>
      <c r="D3663" s="38" t="n">
        <f aca="false">Q!$E$50</f>
        <v>1.557</v>
      </c>
      <c r="E3663" s="38" t="n">
        <f aca="false">lease_pr/2</f>
        <v>0.8</v>
      </c>
      <c r="F3663" s="38" t="n">
        <f aca="false">lease_pr/2</f>
        <v>0.8</v>
      </c>
      <c r="G3663" s="38" t="n">
        <f aca="false">Sens!$E$3663+Sens!$F$3663</f>
        <v>1.6</v>
      </c>
      <c r="H3663" s="38" t="n">
        <f aca="false">lease_pr</f>
        <v>1.6</v>
      </c>
      <c r="I3663" s="38" t="n">
        <f aca="false">lease_pr</f>
        <v>1.6</v>
      </c>
      <c r="J3663" s="38" t="n">
        <f aca="false">lease_pr</f>
        <v>1.6</v>
      </c>
      <c r="K3663" s="38" t="n">
        <f aca="false">lease_pr</f>
        <v>1.6</v>
      </c>
      <c r="L3663" s="38" t="n">
        <f aca="false">lease_pr</f>
        <v>1.6</v>
      </c>
      <c r="M3663" s="38" t="n">
        <f aca="false">lease_pr</f>
        <v>1.6</v>
      </c>
      <c r="P3663" s="8" t="s">
        <v>739</v>
      </c>
    </row>
    <row r="3664" customFormat="false" ht="15" hidden="false" customHeight="false" outlineLevel="0" collapsed="false">
      <c r="A3664" s="46" t="s">
        <v>740</v>
      </c>
      <c r="B3664" s="13" t="s">
        <v>73</v>
      </c>
      <c r="C3664" s="47" t="n">
        <f aca="false">Sens!$C$3658-Sens!$C$3662-Sens!$C$3663</f>
        <v>36.176</v>
      </c>
      <c r="D3664" s="47" t="n">
        <f aca="false">Sens!$D$3658-Sens!$D$3662-Sens!$D$3663</f>
        <v>9.63700000000002</v>
      </c>
      <c r="E3664" s="47" t="n">
        <f aca="false">Sens!$E$3658-Sens!$E$3662-Sens!$E$3663</f>
        <v>-25.691</v>
      </c>
      <c r="F3664" s="47" t="n">
        <f aca="false">Sens!$F$3658-Sens!$F$3662-Sens!$F$3663</f>
        <v>-35.7358850873731</v>
      </c>
      <c r="G3664" s="47" t="n">
        <f aca="false">Sens!$G$3658-Sens!$G$3662-Sens!$G$3663</f>
        <v>-61.4268850873731</v>
      </c>
      <c r="H3664" s="47" t="n">
        <f aca="false">Sens!$H$3658-Sens!$H$3662-Sens!$H$3663</f>
        <v>-46.9699687831364</v>
      </c>
      <c r="I3664" s="47" t="n">
        <f aca="false">Sens!$I$3658-Sens!$I$3662-Sens!$I$3663</f>
        <v>-4.95377019814354</v>
      </c>
      <c r="J3664" s="47" t="n">
        <f aca="false">Sens!$J$3658-Sens!$J$3662-Sens!$J$3663</f>
        <v>37.468256246219</v>
      </c>
      <c r="K3664" s="47" t="n">
        <f aca="false">Sens!$K$3658-Sens!$K$3662-Sens!$K$3663</f>
        <v>77.9394934577607</v>
      </c>
      <c r="L3664" s="47" t="n">
        <f aca="false">Sens!$L$3658-Sens!$L$3662-Sens!$L$3663</f>
        <v>87.5617945307979</v>
      </c>
      <c r="M3664" s="47" t="n">
        <f aca="false">Sens!$M$3658-Sens!$M$3662-Sens!$M$3663</f>
        <v>75.0679327759262</v>
      </c>
      <c r="N3664" s="13"/>
      <c r="O3664" s="13"/>
    </row>
    <row r="3665" customFormat="false" ht="17.15" hidden="false" customHeight="false" outlineLevel="0" collapsed="false">
      <c r="A3665" s="5" t="s">
        <v>741</v>
      </c>
      <c r="B3665" s="0" t="s">
        <v>73</v>
      </c>
      <c r="C3665" s="38" t="n">
        <f aca="false">dps*Sens!$C$3646</f>
        <v>0</v>
      </c>
      <c r="D3665" s="38" t="n">
        <f aca="false">dps*Sens!$D$3646</f>
        <v>0</v>
      </c>
      <c r="E3665" s="38" t="n">
        <f aca="false">dps*Sens!$E$3646</f>
        <v>0</v>
      </c>
      <c r="F3665" s="38" t="n">
        <f aca="false">0</f>
        <v>0</v>
      </c>
      <c r="G3665" s="38" t="n">
        <f aca="false">dps*Sens!$G$3646</f>
        <v>0</v>
      </c>
      <c r="H3665" s="38" t="n">
        <f aca="false">dps*Sens!$H$3646</f>
        <v>0</v>
      </c>
      <c r="I3665" s="38" t="n">
        <f aca="false">dps*Sens!$I$3646</f>
        <v>0</v>
      </c>
      <c r="J3665" s="38" t="n">
        <f aca="false">dps*Sens!$J$3646</f>
        <v>0</v>
      </c>
      <c r="K3665" s="38" t="n">
        <f aca="false">dps*Sens!$K$3646</f>
        <v>0</v>
      </c>
      <c r="L3665" s="38" t="n">
        <f aca="false">dps*Sens!$L$3646</f>
        <v>0</v>
      </c>
      <c r="M3665" s="38" t="n">
        <f aca="false">dps*Sens!$M$3646</f>
        <v>0</v>
      </c>
      <c r="P3665" s="8" t="s">
        <v>742</v>
      </c>
    </row>
    <row r="3666" customFormat="false" ht="17.15" hidden="false" customHeight="false" outlineLevel="0" collapsed="false">
      <c r="A3666" s="5" t="s">
        <v>743</v>
      </c>
      <c r="B3666" s="0" t="s">
        <v>73</v>
      </c>
      <c r="C3666" s="38" t="n">
        <f aca="false">0</f>
        <v>0</v>
      </c>
      <c r="D3666" s="38" t="n">
        <f aca="false">0</f>
        <v>0</v>
      </c>
      <c r="E3666" s="38" t="n">
        <f aca="false">0</f>
        <v>0</v>
      </c>
      <c r="F3666" s="38" t="n">
        <f aca="false">0</f>
        <v>0</v>
      </c>
      <c r="G3666" s="38" t="n">
        <f aca="false">0</f>
        <v>0</v>
      </c>
      <c r="H3666" s="38" t="n">
        <f aca="false">0</f>
        <v>0</v>
      </c>
      <c r="I3666" s="38" t="n">
        <f aca="false">0</f>
        <v>0</v>
      </c>
      <c r="J3666" s="38" t="n">
        <f aca="false">0</f>
        <v>0</v>
      </c>
      <c r="K3666" s="38" t="n">
        <f aca="false">0</f>
        <v>0</v>
      </c>
      <c r="L3666" s="38" t="n">
        <f aca="false">0</f>
        <v>0</v>
      </c>
      <c r="M3666" s="38" t="n">
        <f aca="false">0</f>
        <v>0</v>
      </c>
      <c r="P3666" s="8" t="s">
        <v>744</v>
      </c>
    </row>
    <row r="3667" customFormat="false" ht="15" hidden="false" customHeight="false" outlineLevel="0" collapsed="false">
      <c r="A3667" s="3" t="s">
        <v>745</v>
      </c>
      <c r="B3667" s="8" t="s">
        <v>73</v>
      </c>
      <c r="C3667" s="38" t="n">
        <f aca="false">Sens!$C$3664-Sens!$C$3665</f>
        <v>36.176</v>
      </c>
      <c r="D3667" s="38" t="n">
        <f aca="false">Sens!$D$3664-Sens!$D$3665</f>
        <v>9.63700000000002</v>
      </c>
      <c r="E3667" s="38" t="n">
        <f aca="false">Sens!$E$3664-Sens!$E$3665</f>
        <v>-25.691</v>
      </c>
      <c r="F3667" s="38" t="n">
        <f aca="false">Sens!$F$3664-Sens!$F$3665</f>
        <v>-35.7358850873731</v>
      </c>
      <c r="G3667" s="38" t="n">
        <f aca="false">Sens!$G$3664-Sens!$G$3665</f>
        <v>-61.4268850873731</v>
      </c>
      <c r="H3667" s="38" t="n">
        <f aca="false">Sens!$H$3664-Sens!$H$3665</f>
        <v>-46.9699687831364</v>
      </c>
      <c r="I3667" s="38" t="n">
        <f aca="false">Sens!$I$3664-Sens!$I$3665</f>
        <v>-4.95377019814354</v>
      </c>
      <c r="J3667" s="38" t="n">
        <f aca="false">Sens!$J$3664-Sens!$J$3665</f>
        <v>37.468256246219</v>
      </c>
      <c r="K3667" s="38" t="n">
        <f aca="false">Sens!$K$3664-Sens!$K$3665</f>
        <v>77.9394934577607</v>
      </c>
      <c r="L3667" s="38" t="n">
        <f aca="false">Sens!$L$3664-Sens!$L$3665</f>
        <v>87.5617945307979</v>
      </c>
      <c r="M3667" s="38" t="n">
        <f aca="false">Sens!$M$3664-Sens!$M$3665</f>
        <v>75.0679327759262</v>
      </c>
    </row>
    <row r="3668" customFormat="false" ht="17.15" hidden="false" customHeight="false" outlineLevel="0" collapsed="false">
      <c r="A3668" s="5" t="s">
        <v>746</v>
      </c>
      <c r="B3668" s="0" t="s">
        <v>73</v>
      </c>
      <c r="E3668" s="38" t="n">
        <f aca="false">Q!$P$53</f>
        <v>39.767</v>
      </c>
      <c r="F3668" s="38" t="n">
        <f aca="false">inv_2h26</f>
        <v>21.3</v>
      </c>
      <c r="G3668" s="38" t="n">
        <f aca="false">Sens!$E$3668+Sens!$F$3668</f>
        <v>61.067</v>
      </c>
      <c r="H3668" s="41" t="n">
        <v>0</v>
      </c>
      <c r="I3668" s="41" t="n">
        <v>0</v>
      </c>
      <c r="J3668" s="41" t="n">
        <v>0</v>
      </c>
      <c r="K3668" s="41" t="n">
        <v>0</v>
      </c>
      <c r="L3668" s="41" t="n">
        <v>0</v>
      </c>
      <c r="M3668" s="41" t="n">
        <v>0</v>
      </c>
    </row>
    <row r="3669" customFormat="false" ht="17.15" hidden="false" customHeight="false" outlineLevel="0" collapsed="false">
      <c r="A3669" s="5" t="s">
        <v>747</v>
      </c>
      <c r="B3669" s="0" t="s">
        <v>73</v>
      </c>
      <c r="F3669" s="38" t="n">
        <f aca="false">iss_2h26</f>
        <v>29.25</v>
      </c>
      <c r="G3669" s="38" t="n">
        <f aca="false">Sens!$F$3669</f>
        <v>29.25</v>
      </c>
      <c r="H3669" s="41" t="n">
        <v>0</v>
      </c>
      <c r="I3669" s="41" t="n">
        <v>0</v>
      </c>
      <c r="J3669" s="41" t="n">
        <v>0</v>
      </c>
      <c r="K3669" s="41" t="n">
        <v>0</v>
      </c>
      <c r="L3669" s="41" t="n">
        <v>0</v>
      </c>
      <c r="M3669" s="41" t="n">
        <v>0</v>
      </c>
    </row>
    <row r="3670" customFormat="false" ht="17.15" hidden="false" customHeight="false" outlineLevel="0" collapsed="false">
      <c r="A3670" s="5" t="s">
        <v>748</v>
      </c>
      <c r="B3670" s="0" t="s">
        <v>73</v>
      </c>
      <c r="F3670" s="38" t="n">
        <f aca="false">cash_q2</f>
        <v>122.988</v>
      </c>
      <c r="G3670" s="38" t="n">
        <f aca="false">cash_q2</f>
        <v>122.988</v>
      </c>
      <c r="H3670" s="38" t="n">
        <f aca="false">Sens!$G$3673</f>
        <v>95.2021149126269</v>
      </c>
      <c r="I3670" s="38" t="n">
        <f aca="false">Sens!$H$3673</f>
        <v>50</v>
      </c>
      <c r="J3670" s="38" t="n">
        <f aca="false">Sens!$I$3673</f>
        <v>50</v>
      </c>
      <c r="K3670" s="38" t="n">
        <f aca="false">Sens!$J$3673</f>
        <v>87.468256246219</v>
      </c>
      <c r="L3670" s="38" t="n">
        <f aca="false">Sens!$K$3673</f>
        <v>165.40774970398</v>
      </c>
      <c r="M3670" s="38" t="n">
        <f aca="false">Sens!$L$3673</f>
        <v>252.969544234778</v>
      </c>
    </row>
    <row r="3671" customFormat="false" ht="15" hidden="false" customHeight="false" outlineLevel="0" collapsed="false">
      <c r="A3671" s="5" t="s">
        <v>749</v>
      </c>
      <c r="B3671" s="0" t="s">
        <v>73</v>
      </c>
      <c r="F3671" s="38" t="n">
        <f aca="false">Sens!$F$3670+Sens!$F$3667-Sens!$F$3666-Sens!$F$3668+Sens!$F$3669</f>
        <v>95.2021149126269</v>
      </c>
      <c r="H3671" s="38" t="n">
        <f aca="false">Sens!$H$3670+Sens!$H$3667-Sens!$H$3666-Sens!$H$3668+Sens!$H$3669</f>
        <v>48.2321461294904</v>
      </c>
      <c r="I3671" s="38" t="n">
        <f aca="false">Sens!$I$3670+Sens!$I$3667-Sens!$I$3666-Sens!$I$3668+Sens!$I$3669</f>
        <v>45.0462298018565</v>
      </c>
      <c r="J3671" s="38" t="n">
        <f aca="false">Sens!$J$3670+Sens!$J$3667-Sens!$J$3666-Sens!$J$3668+Sens!$J$3669</f>
        <v>87.468256246219</v>
      </c>
      <c r="K3671" s="38" t="n">
        <f aca="false">Sens!$K$3670+Sens!$K$3667-Sens!$K$3666-Sens!$K$3668+Sens!$K$3669</f>
        <v>165.40774970398</v>
      </c>
      <c r="L3671" s="38" t="n">
        <f aca="false">Sens!$L$3670+Sens!$L$3667-Sens!$L$3666-Sens!$L$3668+Sens!$L$3669</f>
        <v>252.969544234778</v>
      </c>
      <c r="M3671" s="38" t="n">
        <f aca="false">Sens!$M$3670+Sens!$M$3667-Sens!$M$3666-Sens!$M$3668+Sens!$M$3669</f>
        <v>328.037477010704</v>
      </c>
    </row>
    <row r="3672" customFormat="false" ht="17.15" hidden="false" customHeight="false" outlineLevel="0" collapsed="false">
      <c r="A3672" s="5" t="s">
        <v>750</v>
      </c>
      <c r="B3672" s="0" t="s">
        <v>73</v>
      </c>
      <c r="F3672" s="38" t="n">
        <f aca="false">MAX(0,min_cash-Sens!$F$3671)</f>
        <v>0</v>
      </c>
      <c r="G3672" s="38" t="n">
        <f aca="false">Sens!$F$3672</f>
        <v>0</v>
      </c>
      <c r="H3672" s="38" t="n">
        <f aca="false">MAX(0,min_cash-Sens!$H$3671)</f>
        <v>1.76785387050956</v>
      </c>
      <c r="I3672" s="38" t="n">
        <f aca="false">MAX(0,min_cash-Sens!$I$3671)</f>
        <v>4.95377019814354</v>
      </c>
      <c r="J3672" s="38" t="n">
        <f aca="false">MAX(0,min_cash-Sens!$J$3671)</f>
        <v>0</v>
      </c>
      <c r="K3672" s="38" t="n">
        <f aca="false">MAX(0,min_cash-Sens!$K$3671)</f>
        <v>0</v>
      </c>
      <c r="L3672" s="38" t="n">
        <f aca="false">MAX(0,min_cash-Sens!$L$3671)</f>
        <v>0</v>
      </c>
      <c r="M3672" s="38" t="n">
        <f aca="false">MAX(0,min_cash-Sens!$M$3671)</f>
        <v>0</v>
      </c>
      <c r="P3672" s="5" t="s">
        <v>751</v>
      </c>
    </row>
    <row r="3673" customFormat="false" ht="15" hidden="false" customHeight="false" outlineLevel="0" collapsed="false">
      <c r="A3673" s="5" t="s">
        <v>752</v>
      </c>
      <c r="B3673" s="0" t="s">
        <v>73</v>
      </c>
      <c r="D3673" s="38" t="n">
        <f aca="false">Q!$E$61</f>
        <v>123.029</v>
      </c>
      <c r="E3673" s="38" t="n">
        <f aca="false">Q!$M$61</f>
        <v>122.988</v>
      </c>
      <c r="F3673" s="38" t="n">
        <f aca="false">Sens!$F$3671+Sens!$F$3672</f>
        <v>95.2021149126269</v>
      </c>
      <c r="G3673" s="38" t="n">
        <f aca="false">Sens!$F$3673</f>
        <v>95.2021149126269</v>
      </c>
      <c r="H3673" s="38" t="n">
        <f aca="false">Sens!$H$3671+Sens!$H$3672</f>
        <v>50</v>
      </c>
      <c r="I3673" s="38" t="n">
        <f aca="false">Sens!$I$3671+Sens!$I$3672</f>
        <v>50</v>
      </c>
      <c r="J3673" s="38" t="n">
        <f aca="false">Sens!$J$3671+Sens!$J$3672</f>
        <v>87.468256246219</v>
      </c>
      <c r="K3673" s="38" t="n">
        <f aca="false">Sens!$K$3671+Sens!$K$3672</f>
        <v>165.40774970398</v>
      </c>
      <c r="L3673" s="38" t="n">
        <f aca="false">Sens!$L$3671+Sens!$L$3672</f>
        <v>252.969544234778</v>
      </c>
      <c r="M3673" s="38" t="n">
        <f aca="false">Sens!$M$3671+Sens!$M$3672</f>
        <v>328.037477010704</v>
      </c>
    </row>
    <row r="3674" customFormat="false" ht="15" hidden="false" customHeight="false" outlineLevel="0" collapsed="false">
      <c r="A3674" s="5" t="s">
        <v>753</v>
      </c>
      <c r="B3674" s="0" t="s">
        <v>73</v>
      </c>
      <c r="D3674" s="38" t="n">
        <f aca="false">Q!$E$62</f>
        <v>68.836</v>
      </c>
      <c r="E3674" s="38" t="n">
        <f aca="false">Q!$M$62</f>
        <v>132.995</v>
      </c>
      <c r="F3674" s="38" t="n">
        <f aca="false">debt_q2+Sens!$F$3669+Sens!$F$3672</f>
        <v>162.245</v>
      </c>
      <c r="G3674" s="38" t="n">
        <f aca="false">Sens!$F$3674</f>
        <v>162.245</v>
      </c>
      <c r="H3674" s="38" t="n">
        <f aca="false">Sens!$G$3674+Sens!$H$3672</f>
        <v>164.01285387051</v>
      </c>
      <c r="I3674" s="38" t="n">
        <f aca="false">Sens!$H$3674+Sens!$I$3672</f>
        <v>168.966624068653</v>
      </c>
      <c r="J3674" s="38" t="n">
        <f aca="false">Sens!$I$3674+Sens!$J$3672</f>
        <v>168.966624068653</v>
      </c>
      <c r="K3674" s="38" t="n">
        <f aca="false">Sens!$J$3674+Sens!$K$3672</f>
        <v>168.966624068653</v>
      </c>
      <c r="L3674" s="38" t="n">
        <f aca="false">Sens!$K$3674+Sens!$L$3672</f>
        <v>168.966624068653</v>
      </c>
      <c r="M3674" s="38" t="n">
        <f aca="false">Sens!$L$3674+Sens!$M$3672</f>
        <v>168.966624068653</v>
      </c>
    </row>
    <row r="3675" customFormat="false" ht="15" hidden="false" customHeight="false" outlineLevel="0" collapsed="false">
      <c r="A3675" s="5" t="s">
        <v>754</v>
      </c>
      <c r="B3675" s="0" t="s">
        <v>73</v>
      </c>
      <c r="D3675" s="38" t="n">
        <f aca="false">Sens!$D$3674-Sens!$D$3673</f>
        <v>-54.193</v>
      </c>
      <c r="E3675" s="38" t="n">
        <f aca="false">Sens!$E$3674-Sens!$E$3673</f>
        <v>10.007</v>
      </c>
      <c r="F3675" s="38" t="n">
        <f aca="false">Sens!$F$3674-Sens!$F$3673</f>
        <v>67.0428850873731</v>
      </c>
      <c r="G3675" s="38" t="n">
        <f aca="false">Sens!$G$3674-Sens!$G$3673</f>
        <v>67.0428850873731</v>
      </c>
      <c r="H3675" s="38" t="n">
        <f aca="false">Sens!$H$3674-Sens!$H$3673</f>
        <v>114.01285387051</v>
      </c>
      <c r="I3675" s="38" t="n">
        <f aca="false">Sens!$I$3674-Sens!$I$3673</f>
        <v>118.966624068653</v>
      </c>
      <c r="J3675" s="38" t="n">
        <f aca="false">Sens!$J$3674-Sens!$J$3673</f>
        <v>81.4983678224341</v>
      </c>
      <c r="K3675" s="38" t="n">
        <f aca="false">Sens!$K$3674-Sens!$K$3673</f>
        <v>3.55887436467336</v>
      </c>
      <c r="L3675" s="38" t="n">
        <f aca="false">Sens!$L$3674-Sens!$L$3673</f>
        <v>-84.0029201661246</v>
      </c>
      <c r="M3675" s="38" t="n">
        <f aca="false">Sens!$M$3674-Sens!$M$3673</f>
        <v>-159.070852942051</v>
      </c>
    </row>
    <row r="3676" customFormat="false" ht="17.15" hidden="false" customHeight="false" outlineLevel="0" collapsed="false">
      <c r="A3676" s="5" t="s">
        <v>755</v>
      </c>
      <c r="B3676" s="0" t="s">
        <v>73</v>
      </c>
      <c r="F3676" s="38" t="n">
        <f aca="false">debt_q2*kd_book*0.5+iss_2h26*kd_new*0.25</f>
        <v>3.24888964316061</v>
      </c>
      <c r="H3676" s="38" t="n">
        <f aca="false">debt_q2*kd_book+(Sens!$G$3674-debt_q2)*kd_new</f>
        <v>7.42354178632123</v>
      </c>
      <c r="I3676" s="38" t="n">
        <f aca="false">debt_q2*kd_book+(Sens!$H$3674-debt_q2)*kd_new</f>
        <v>7.53544693632448</v>
      </c>
      <c r="J3676" s="38" t="n">
        <f aca="false">debt_q2*kd_book+(Sens!$I$3674-debt_q2)*kd_new</f>
        <v>7.84902058986697</v>
      </c>
      <c r="K3676" s="38" t="n">
        <f aca="false">debt_q2*kd_book+(Sens!$J$3674-debt_q2)*kd_new</f>
        <v>7.84902058986697</v>
      </c>
      <c r="L3676" s="38" t="n">
        <f aca="false">debt_q2*kd_book+(Sens!$K$3674-debt_q2)*kd_new</f>
        <v>7.84902058986697</v>
      </c>
      <c r="M3676" s="38" t="n">
        <f aca="false">debt_q2*kd_book+(Sens!$L$3674-debt_q2)*kd_new</f>
        <v>7.84902058986697</v>
      </c>
    </row>
    <row r="3677" customFormat="false" ht="17.15" hidden="false" customHeight="false" outlineLevel="0" collapsed="false">
      <c r="A3677" s="5" t="s">
        <v>756</v>
      </c>
      <c r="B3677" s="0" t="s">
        <v>73</v>
      </c>
      <c r="F3677" s="38" t="n">
        <f aca="false">cash_q2*y_cash*0.5</f>
        <v>2.59</v>
      </c>
      <c r="H3677" s="38" t="n">
        <f aca="false">Sens!$G$3673*y_cash</f>
        <v>4.00971603121774</v>
      </c>
      <c r="I3677" s="38" t="n">
        <f aca="false">Sens!$H$3673*y_cash</f>
        <v>2.10589651022864</v>
      </c>
      <c r="J3677" s="38" t="n">
        <f aca="false">Sens!$I$3673*y_cash</f>
        <v>2.10589651022864</v>
      </c>
      <c r="K3677" s="38" t="n">
        <f aca="false">Sens!$J$3673*y_cash</f>
        <v>3.68398191169394</v>
      </c>
      <c r="L3677" s="38" t="n">
        <f aca="false">Sens!$K$3673*y_cash</f>
        <v>6.96663205732767</v>
      </c>
      <c r="M3677" s="38" t="n">
        <f aca="false">Sens!$L$3673*y_cash</f>
        <v>10.654553607963</v>
      </c>
    </row>
    <row r="3678" customFormat="false" ht="17.15" hidden="false" customHeight="false" outlineLevel="0" collapsed="false">
      <c r="A3678" s="46" t="s">
        <v>757</v>
      </c>
      <c r="B3678" s="13" t="s">
        <v>73</v>
      </c>
      <c r="C3678" s="13"/>
      <c r="D3678" s="13"/>
      <c r="E3678" s="13"/>
      <c r="F3678" s="13"/>
      <c r="G3678" s="47" t="n">
        <f aca="false">SUM(Sens!$G$3667:$K$3667)</f>
        <v>2.0571256353266</v>
      </c>
      <c r="H3678" s="13"/>
      <c r="I3678" s="13"/>
      <c r="J3678" s="13"/>
      <c r="K3678" s="13"/>
      <c r="L3678" s="13"/>
      <c r="M3678" s="13"/>
      <c r="N3678" s="13"/>
      <c r="O3678" s="13"/>
    </row>
    <row r="3679" customFormat="false" ht="17.15" hidden="false" customHeight="false" outlineLevel="0" collapsed="false">
      <c r="A3679" s="0" t="s">
        <v>724</v>
      </c>
      <c r="B3679" s="0" t="s">
        <v>73</v>
      </c>
      <c r="G3679" s="38" t="n">
        <f aca="false">SUM(Sens!$G$3672:$K$3672)</f>
        <v>6.7216240686531</v>
      </c>
    </row>
    <row r="3682" customFormat="false" ht="19.4" hidden="false" customHeight="false" outlineLevel="0" collapsed="false">
      <c r="A3682" s="31" t="s">
        <v>1124</v>
      </c>
    </row>
    <row r="3683" customFormat="false" ht="17.15" hidden="false" customHeight="false" outlineLevel="0" collapsed="false">
      <c r="A3683" s="6" t="s">
        <v>16</v>
      </c>
      <c r="B3683" s="6" t="s">
        <v>17</v>
      </c>
      <c r="C3683" s="20" t="s">
        <v>457</v>
      </c>
      <c r="D3683" s="20" t="s">
        <v>458</v>
      </c>
      <c r="E3683" s="20" t="s">
        <v>540</v>
      </c>
      <c r="F3683" s="20" t="s">
        <v>541</v>
      </c>
      <c r="G3683" s="20" t="s">
        <v>542</v>
      </c>
      <c r="H3683" s="20" t="s">
        <v>543</v>
      </c>
      <c r="I3683" s="20" t="s">
        <v>544</v>
      </c>
      <c r="J3683" s="20" t="s">
        <v>545</v>
      </c>
      <c r="K3683" s="20" t="s">
        <v>546</v>
      </c>
      <c r="L3683" s="20" t="s">
        <v>547</v>
      </c>
      <c r="M3683" s="20" t="s">
        <v>548</v>
      </c>
      <c r="N3683" s="20" t="s">
        <v>549</v>
      </c>
      <c r="O3683" s="20" t="s">
        <v>550</v>
      </c>
      <c r="P3683" s="6" t="s">
        <v>23</v>
      </c>
      <c r="R3683" s="20" t="n">
        <v>2023</v>
      </c>
      <c r="S3683" s="20" t="n">
        <v>2024</v>
      </c>
      <c r="T3683" s="20" t="n">
        <v>2025</v>
      </c>
      <c r="U3683" s="20" t="n">
        <v>2026</v>
      </c>
      <c r="V3683" s="20" t="n">
        <v>2027</v>
      </c>
      <c r="W3683" s="20" t="n">
        <v>2028</v>
      </c>
      <c r="X3683" s="20" t="n">
        <v>2029</v>
      </c>
      <c r="Y3683" s="20" t="n">
        <v>2030</v>
      </c>
      <c r="Z3683" s="20" t="n">
        <v>2031</v>
      </c>
      <c r="AA3683" s="20" t="n">
        <v>2032</v>
      </c>
    </row>
    <row r="3684" customFormat="false" ht="17.15" hidden="false" customHeight="false" outlineLevel="0" collapsed="false">
      <c r="A3684" s="1" t="s">
        <v>852</v>
      </c>
    </row>
    <row r="3685" customFormat="false" ht="17.15" hidden="false" customHeight="false" outlineLevel="0" collapsed="false">
      <c r="A3685" s="0" t="s">
        <v>853</v>
      </c>
      <c r="B3685" s="0" t="s">
        <v>73</v>
      </c>
      <c r="H3685" s="38" t="n">
        <f aca="false">Sens!$H$3621*(1-tax)</f>
        <v>111.829865043475</v>
      </c>
      <c r="I3685" s="38" t="n">
        <f aca="false">Sens!$I$3621*(1-tax)</f>
        <v>131.840817535985</v>
      </c>
      <c r="J3685" s="38" t="n">
        <f aca="false">Sens!$J$3621*(1-tax)</f>
        <v>149.029273106151</v>
      </c>
      <c r="K3685" s="38" t="n">
        <f aca="false">Sens!$K$3621*(1-tax)</f>
        <v>162.056080095971</v>
      </c>
      <c r="L3685" s="38" t="n">
        <f aca="false">Sens!$L$3621*(1-tax)</f>
        <v>176.244470910061</v>
      </c>
      <c r="M3685" s="38" t="n">
        <f aca="false">Sens!$M$3621*(1-tax)</f>
        <v>190.682679880673</v>
      </c>
    </row>
    <row r="3686" customFormat="false" ht="15" hidden="false" customHeight="false" outlineLevel="0" collapsed="false">
      <c r="A3686" s="5" t="s">
        <v>854</v>
      </c>
      <c r="B3686" s="0" t="s">
        <v>73</v>
      </c>
      <c r="H3686" s="38" t="n">
        <f aca="false">Sens!$H$3633</f>
        <v>87.6631347909074</v>
      </c>
      <c r="I3686" s="38" t="n">
        <f aca="false">Sens!$I$3633</f>
        <v>122.218778682539</v>
      </c>
      <c r="J3686" s="38" t="n">
        <f aca="false">Sens!$J$3633</f>
        <v>156.95964017765</v>
      </c>
      <c r="K3686" s="38" t="n">
        <f aca="false">Sens!$K$3633</f>
        <v>191.028244931135</v>
      </c>
      <c r="L3686" s="38" t="n">
        <f aca="false">Sens!$L$3633</f>
        <v>223.414832918194</v>
      </c>
      <c r="M3686" s="38" t="n">
        <f aca="false">Sens!$M$3633</f>
        <v>256.882911285279</v>
      </c>
    </row>
    <row r="3687" customFormat="false" ht="15" hidden="false" customHeight="false" outlineLevel="0" collapsed="false">
      <c r="A3687" s="5" t="s">
        <v>855</v>
      </c>
      <c r="B3687" s="0" t="s">
        <v>73</v>
      </c>
      <c r="H3687" s="38" t="n">
        <f aca="false">Sens!$H$3662</f>
        <v>277.832370008148</v>
      </c>
      <c r="I3687" s="38" t="n">
        <f aca="false">Sens!$I$3662</f>
        <v>293.800331939616</v>
      </c>
      <c r="J3687" s="38" t="n">
        <f aca="false">Sens!$J$3662</f>
        <v>307.761349621625</v>
      </c>
      <c r="K3687" s="38" t="n">
        <f aca="false">Sens!$K$3662</f>
        <v>319.816683756661</v>
      </c>
      <c r="L3687" s="38" t="n">
        <f aca="false">Sens!$L$3662</f>
        <v>363.78373845473</v>
      </c>
      <c r="M3687" s="38" t="n">
        <f aca="false">Sens!$M$3662</f>
        <v>431.719229455833</v>
      </c>
    </row>
    <row r="3688" customFormat="false" ht="15" hidden="false" customHeight="false" outlineLevel="0" collapsed="false">
      <c r="A3688" s="5" t="s">
        <v>856</v>
      </c>
      <c r="B3688" s="0" t="s">
        <v>73</v>
      </c>
      <c r="H3688" s="38" t="n">
        <f aca="false">Sens!$H$3663</f>
        <v>1.6</v>
      </c>
      <c r="I3688" s="38" t="n">
        <f aca="false">Sens!$I$3663</f>
        <v>1.6</v>
      </c>
      <c r="J3688" s="38" t="n">
        <f aca="false">Sens!$J$3663</f>
        <v>1.6</v>
      </c>
      <c r="K3688" s="38" t="n">
        <f aca="false">Sens!$K$3663</f>
        <v>1.6</v>
      </c>
      <c r="L3688" s="38" t="n">
        <f aca="false">Sens!$L$3663</f>
        <v>1.6</v>
      </c>
      <c r="M3688" s="38" t="n">
        <f aca="false">Sens!$M$3663</f>
        <v>1.6</v>
      </c>
    </row>
    <row r="3689" customFormat="false" ht="15" hidden="false" customHeight="false" outlineLevel="0" collapsed="false">
      <c r="A3689" s="5" t="s">
        <v>857</v>
      </c>
      <c r="B3689" s="0" t="s">
        <v>73</v>
      </c>
      <c r="H3689" s="38" t="n">
        <f aca="false">Sens!$H$3657</f>
        <v>11.6293121265182</v>
      </c>
      <c r="I3689" s="38" t="n">
        <f aca="false">Sens!$I$3657</f>
        <v>13.2810381500457</v>
      </c>
      <c r="J3689" s="38" t="n">
        <f aca="false">Sens!$J$3657</f>
        <v>14.8123722359748</v>
      </c>
      <c r="K3689" s="38" t="n">
        <f aca="false">Sens!$K$3657</f>
        <v>16.1533439060887</v>
      </c>
      <c r="L3689" s="38" t="n">
        <f aca="false">Sens!$L$3657</f>
        <v>17.551027746659</v>
      </c>
      <c r="M3689" s="38" t="n">
        <f aca="false">Sens!$M$3657</f>
        <v>19.0091616071255</v>
      </c>
    </row>
    <row r="3690" customFormat="false" ht="17.15" hidden="false" customHeight="false" outlineLevel="0" collapsed="false">
      <c r="A3690" s="1" t="s">
        <v>858</v>
      </c>
      <c r="B3690" s="8" t="s">
        <v>73</v>
      </c>
      <c r="H3690" s="38" t="n">
        <f aca="false">Sens!$H$3685+Sens!$H$3686-Sens!$H$3687-Sens!$H$3688+Sens!$H$3689</f>
        <v>-68.3100580472475</v>
      </c>
      <c r="I3690" s="38" t="n">
        <f aca="false">Sens!$I$3685+Sens!$I$3686-Sens!$I$3687-Sens!$I$3688+Sens!$I$3689</f>
        <v>-28.0596975710468</v>
      </c>
      <c r="J3690" s="38" t="n">
        <f aca="false">Sens!$J$3685+Sens!$J$3686-Sens!$J$3687-Sens!$J$3688+Sens!$J$3689</f>
        <v>11.4399358981508</v>
      </c>
      <c r="K3690" s="38" t="n">
        <f aca="false">Sens!$K$3685+Sens!$K$3686-Sens!$K$3687-Sens!$K$3688+Sens!$K$3689</f>
        <v>47.8209851765339</v>
      </c>
      <c r="L3690" s="38" t="n">
        <f aca="false">Sens!$L$3685+Sens!$L$3686-Sens!$L$3687-Sens!$L$3688+Sens!$L$3689</f>
        <v>51.8265931201845</v>
      </c>
      <c r="M3690" s="38" t="n">
        <f aca="false">Sens!$M$3685+Sens!$M$3686-Sens!$M$3687-Sens!$M$3688+Sens!$M$3689</f>
        <v>33.2555233172453</v>
      </c>
    </row>
    <row r="3691" customFormat="false" ht="15" hidden="false" customHeight="false" outlineLevel="0" collapsed="false">
      <c r="A3691" s="5" t="s">
        <v>859</v>
      </c>
      <c r="B3691" s="0" t="s">
        <v>57</v>
      </c>
      <c r="H3691" s="51" t="n">
        <f aca="false">1/(1+wacc)^(2027-2026-0.5)</f>
        <v>0.942858177653364</v>
      </c>
      <c r="I3691" s="51" t="n">
        <f aca="false">1/(1+wacc)^(2028-2026-0.5)</f>
        <v>0.838183517758688</v>
      </c>
      <c r="J3691" s="51" t="n">
        <f aca="false">1/(1+wacc)^(2029-2026-0.5)</f>
        <v>0.745129677074952</v>
      </c>
      <c r="K3691" s="51" t="n">
        <f aca="false">1/(1+wacc)^(2030-2026-0.5)</f>
        <v>0.662406530186232</v>
      </c>
      <c r="L3691" s="51" t="n">
        <f aca="false">1/(1+wacc)^(2031-2026-0.5)</f>
        <v>0.588867179409399</v>
      </c>
      <c r="M3691" s="51" t="n">
        <f aca="false">1/(1+wacc)^(2032-2026-0.5)</f>
        <v>0.52349205387225</v>
      </c>
    </row>
    <row r="3692" customFormat="false" ht="15" hidden="false" customHeight="false" outlineLevel="0" collapsed="false">
      <c r="A3692" s="5" t="s">
        <v>860</v>
      </c>
      <c r="B3692" s="0" t="s">
        <v>73</v>
      </c>
      <c r="H3692" s="38" t="n">
        <f aca="false">Sens!$H$3690*Sens!$H$3691</f>
        <v>-64.4066968458233</v>
      </c>
      <c r="I3692" s="38" t="n">
        <f aca="false">Sens!$I$3690*Sens!$I$3691</f>
        <v>-23.5191760173449</v>
      </c>
      <c r="J3692" s="38" t="n">
        <f aca="false">Sens!$J$3690*Sens!$J$3691</f>
        <v>8.52423574154728</v>
      </c>
      <c r="K3692" s="38" t="n">
        <f aca="false">Sens!$K$3690*Sens!$K$3691</f>
        <v>31.6769328608751</v>
      </c>
      <c r="L3692" s="38" t="n">
        <f aca="false">Sens!$L$3690*Sens!$L$3691</f>
        <v>30.5189797090816</v>
      </c>
      <c r="M3692" s="38" t="n">
        <f aca="false">Sens!$M$3690*Sens!$M$3691</f>
        <v>17.4090022039413</v>
      </c>
    </row>
    <row r="3693" customFormat="false" ht="15" hidden="false" customHeight="false" outlineLevel="0" collapsed="false">
      <c r="A3693" s="5" t="s">
        <v>861</v>
      </c>
      <c r="B3693" s="0" t="s">
        <v>73</v>
      </c>
      <c r="C3693" s="38" t="n">
        <f aca="false">SUM(Sens!$H$3692:$M$3692)</f>
        <v>0.203277652277016</v>
      </c>
    </row>
    <row r="3694" customFormat="false" ht="17.15" hidden="false" customHeight="false" outlineLevel="0" collapsed="false">
      <c r="A3694" s="5" t="s">
        <v>862</v>
      </c>
      <c r="B3694" s="0" t="s">
        <v>73</v>
      </c>
      <c r="C3694" s="38" t="n">
        <f aca="false">Sens!$M$3685*(1+tg)*(1-tg/ronic)/(wacc-tg)</f>
        <v>1572.70051744731</v>
      </c>
    </row>
    <row r="3695" customFormat="false" ht="15" hidden="false" customHeight="false" outlineLevel="0" collapsed="false">
      <c r="A3695" s="5" t="s">
        <v>863</v>
      </c>
      <c r="B3695" s="0" t="s">
        <v>73</v>
      </c>
      <c r="C3695" s="38" t="n">
        <f aca="false">Sens!$C$3694/(1+wacc)^6</f>
        <v>776.251577433725</v>
      </c>
    </row>
    <row r="3696" customFormat="false" ht="17.15" hidden="false" customHeight="false" outlineLevel="0" collapsed="false">
      <c r="A3696" s="5" t="s">
        <v>864</v>
      </c>
      <c r="B3696" s="0" t="s">
        <v>73</v>
      </c>
      <c r="C3696" s="38" t="n">
        <f aca="false">Sens!$C$3693+Sens!$C$3695</f>
        <v>776.454855086002</v>
      </c>
    </row>
    <row r="3697" customFormat="false" ht="17.15" hidden="false" customHeight="false" outlineLevel="0" collapsed="false">
      <c r="A3697" s="5" t="s">
        <v>865</v>
      </c>
      <c r="B3697" s="0" t="s">
        <v>52</v>
      </c>
      <c r="C3697" s="12" t="n">
        <f aca="false">Sens!$C$3695/Sens!$C$3696</f>
        <v>0.999738197718843</v>
      </c>
    </row>
    <row r="3698" customFormat="false" ht="17.15" hidden="false" customHeight="false" outlineLevel="0" collapsed="false">
      <c r="A3698" s="5" t="s">
        <v>866</v>
      </c>
      <c r="B3698" s="0" t="s">
        <v>73</v>
      </c>
      <c r="C3698" s="38" t="n">
        <f aca="false">Sens!$G$3675</f>
        <v>67.0428850873731</v>
      </c>
    </row>
    <row r="3699" customFormat="false" ht="17.15" hidden="false" customHeight="false" outlineLevel="0" collapsed="false">
      <c r="A3699" s="5" t="s">
        <v>867</v>
      </c>
      <c r="B3699" s="0" t="s">
        <v>73</v>
      </c>
      <c r="C3699" s="38" t="n">
        <f aca="false">(ant_val*ant_sh+oai_val*oai_sh)*(1-liq_disc)</f>
        <v>178.944</v>
      </c>
    </row>
    <row r="3700" customFormat="false" ht="15" hidden="false" customHeight="false" outlineLevel="0" collapsed="false">
      <c r="A3700" s="5" t="s">
        <v>868</v>
      </c>
      <c r="B3700" s="0" t="s">
        <v>73</v>
      </c>
      <c r="C3700" s="38" t="n">
        <f aca="false">Sens!$C$3696-Sens!$C$3698+Sens!$C$3699</f>
        <v>888.355969998629</v>
      </c>
    </row>
    <row r="3701" customFormat="false" ht="17.15" hidden="false" customHeight="false" outlineLevel="0" collapsed="false">
      <c r="A3701" s="5" t="s">
        <v>869</v>
      </c>
      <c r="B3701" s="0" t="s">
        <v>27</v>
      </c>
      <c r="C3701" s="30" t="n">
        <f aca="false">Sens!$C$3700/sh_val</f>
        <v>80.537686415693</v>
      </c>
    </row>
    <row r="3702" customFormat="false" ht="17.15" hidden="false" customHeight="false" outlineLevel="0" collapsed="false">
      <c r="A3702" s="1" t="s">
        <v>870</v>
      </c>
      <c r="B3702" s="8" t="s">
        <v>27</v>
      </c>
      <c r="C3702" s="30" t="n">
        <f aca="false">Sens!$C$3701*(1+ke)^tp_yf</f>
        <v>88.9494386643723</v>
      </c>
    </row>
    <row r="3703" customFormat="false" ht="17.15" hidden="false" customHeight="false" outlineLevel="0" collapsed="false">
      <c r="A3703" s="3" t="s">
        <v>871</v>
      </c>
    </row>
    <row r="3704" customFormat="false" ht="17.15" hidden="false" customHeight="false" outlineLevel="0" collapsed="false">
      <c r="A3704" s="5" t="s">
        <v>872</v>
      </c>
      <c r="B3704" s="0" t="s">
        <v>73</v>
      </c>
      <c r="C3704" s="38" t="n">
        <f aca="false">0.25*Sens!$H$3634+0.75*Sens!$I$3634</f>
        <v>56.6227557035482</v>
      </c>
    </row>
    <row r="3705" customFormat="false" ht="15" hidden="false" customHeight="false" outlineLevel="0" collapsed="false">
      <c r="A3705" s="5" t="s">
        <v>873</v>
      </c>
      <c r="B3705" s="0" t="s">
        <v>57</v>
      </c>
      <c r="C3705" s="30" t="n">
        <f aca="false">m_ads*m_x</f>
        <v>9.11</v>
      </c>
    </row>
    <row r="3706" customFormat="false" ht="17.15" hidden="false" customHeight="false" outlineLevel="0" collapsed="false">
      <c r="A3706" s="5" t="s">
        <v>874</v>
      </c>
      <c r="B3706" s="0" t="s">
        <v>73</v>
      </c>
      <c r="C3706" s="38" t="n">
        <f aca="false">Sens!$C$3704*Sens!$C$3705</f>
        <v>515.833304459324</v>
      </c>
    </row>
    <row r="3707" customFormat="false" ht="17.15" hidden="false" customHeight="false" outlineLevel="0" collapsed="false">
      <c r="A3707" s="5" t="s">
        <v>875</v>
      </c>
      <c r="B3707" s="0" t="s">
        <v>73</v>
      </c>
      <c r="C3707" s="38" t="n">
        <f aca="false">0.25*Sens!$H$3635+0.75*Sens!$I$3635</f>
        <v>30.566740326615</v>
      </c>
    </row>
    <row r="3708" customFormat="false" ht="15" hidden="false" customHeight="false" outlineLevel="0" collapsed="false">
      <c r="A3708" s="5" t="s">
        <v>876</v>
      </c>
      <c r="B3708" s="0" t="s">
        <v>57</v>
      </c>
      <c r="C3708" s="30" t="n">
        <f aca="false">m_retail*m_x</f>
        <v>17.72</v>
      </c>
    </row>
    <row r="3709" customFormat="false" ht="17.15" hidden="false" customHeight="false" outlineLevel="0" collapsed="false">
      <c r="A3709" s="5" t="s">
        <v>877</v>
      </c>
      <c r="B3709" s="0" t="s">
        <v>73</v>
      </c>
      <c r="C3709" s="38" t="n">
        <f aca="false">Sens!$C$3707*Sens!$C$3708</f>
        <v>541.642638587617</v>
      </c>
    </row>
    <row r="3710" customFormat="false" ht="17.15" hidden="false" customHeight="false" outlineLevel="0" collapsed="false">
      <c r="A3710" s="0" t="s">
        <v>878</v>
      </c>
      <c r="B3710" s="0" t="s">
        <v>73</v>
      </c>
      <c r="C3710" s="38" t="n">
        <f aca="false">0.25*Sens!$H$3636+0.75*Sens!$I$3636</f>
        <v>107.575398943098</v>
      </c>
    </row>
    <row r="3711" customFormat="false" ht="17.15" hidden="false" customHeight="false" outlineLevel="0" collapsed="false">
      <c r="A3711" s="0" t="s">
        <v>879</v>
      </c>
      <c r="B3711" s="0" t="s">
        <v>57</v>
      </c>
      <c r="C3711" s="30" t="n">
        <f aca="false">m_cloud*m_x</f>
        <v>13.82</v>
      </c>
    </row>
    <row r="3712" customFormat="false" ht="17.15" hidden="false" customHeight="false" outlineLevel="0" collapsed="false">
      <c r="A3712" s="0" t="s">
        <v>880</v>
      </c>
      <c r="B3712" s="0" t="s">
        <v>73</v>
      </c>
      <c r="C3712" s="38" t="n">
        <f aca="false">Sens!$C$3710*Sens!$C$3711</f>
        <v>1486.69201339361</v>
      </c>
    </row>
    <row r="3713" customFormat="false" ht="17.15" hidden="false" customHeight="false" outlineLevel="0" collapsed="false">
      <c r="A3713" s="0" t="s">
        <v>881</v>
      </c>
      <c r="B3713" s="0" t="s">
        <v>73</v>
      </c>
      <c r="C3713" s="38" t="n">
        <f aca="false">0.25*Sens!$H$3637+0.75*Sens!$I$3637</f>
        <v>72.2947701247864</v>
      </c>
    </row>
    <row r="3714" customFormat="false" ht="17.15" hidden="false" customHeight="false" outlineLevel="0" collapsed="false">
      <c r="A3714" s="0" t="s">
        <v>882</v>
      </c>
      <c r="B3714" s="0" t="s">
        <v>57</v>
      </c>
      <c r="C3714" s="30" t="n">
        <f aca="false">m_ai</f>
        <v>6</v>
      </c>
    </row>
    <row r="3715" customFormat="false" ht="17.15" hidden="false" customHeight="false" outlineLevel="0" collapsed="false">
      <c r="A3715" s="0" t="s">
        <v>883</v>
      </c>
      <c r="B3715" s="0" t="s">
        <v>73</v>
      </c>
      <c r="C3715" s="38" t="n">
        <f aca="false">Sens!$C$3713*Sens!$C$3714</f>
        <v>433.768620748718</v>
      </c>
    </row>
    <row r="3716" customFormat="false" ht="17.15" hidden="false" customHeight="false" outlineLevel="0" collapsed="false">
      <c r="A3716" s="5" t="s">
        <v>884</v>
      </c>
      <c r="B3716" s="0" t="s">
        <v>73</v>
      </c>
      <c r="C3716" s="38" t="n">
        <f aca="false">Sens!$C$3706+Sens!$C$3709+Sens!$C$3712+Sens!$C$3715</f>
        <v>2977.93657718927</v>
      </c>
    </row>
    <row r="3717" customFormat="false" ht="17.15" hidden="false" customHeight="false" outlineLevel="0" collapsed="false">
      <c r="A3717" s="5" t="s">
        <v>885</v>
      </c>
      <c r="B3717" s="0" t="s">
        <v>73</v>
      </c>
      <c r="C3717" s="38" t="n">
        <f aca="false">Sens!$H$3675</f>
        <v>114.01285387051</v>
      </c>
    </row>
    <row r="3718" customFormat="false" ht="15" hidden="false" customHeight="false" outlineLevel="0" collapsed="false">
      <c r="A3718" s="5" t="s">
        <v>886</v>
      </c>
      <c r="B3718" s="0" t="s">
        <v>73</v>
      </c>
      <c r="C3718" s="38" t="n">
        <f aca="false">Sens!$C$3716-Sens!$C$3717+Sens!$C$3699</f>
        <v>3042.86772331876</v>
      </c>
    </row>
    <row r="3719" customFormat="false" ht="15" hidden="false" customHeight="false" outlineLevel="0" collapsed="false">
      <c r="A3719" s="3" t="s">
        <v>887</v>
      </c>
      <c r="B3719" s="8" t="s">
        <v>27</v>
      </c>
      <c r="C3719" s="30" t="n">
        <f aca="false">Sens!$C$3718/sh_val</f>
        <v>275.864107161297</v>
      </c>
    </row>
    <row r="3720" customFormat="false" ht="17.15" hidden="false" customHeight="false" outlineLevel="0" collapsed="false">
      <c r="A3720" s="46" t="s">
        <v>888</v>
      </c>
      <c r="B3720" s="13" t="s">
        <v>27</v>
      </c>
      <c r="C3720" s="43" t="n">
        <f aca="false">w_dcf*Sens!$C$3702+(1-w_dcf)*Sens!$C$3719</f>
        <v>182.406772912835</v>
      </c>
      <c r="D3720" s="13"/>
      <c r="E3720" s="13"/>
      <c r="F3720" s="13"/>
      <c r="G3720" s="13"/>
      <c r="H3720" s="13"/>
      <c r="I3720" s="13"/>
      <c r="J3720" s="13"/>
      <c r="K3720" s="13"/>
      <c r="L3720" s="13"/>
      <c r="M3720" s="13"/>
      <c r="N3720" s="13"/>
      <c r="O3720" s="13"/>
    </row>
    <row r="3721" customFormat="false" ht="17.15" hidden="false" customHeight="false" outlineLevel="0" collapsed="false">
      <c r="A3721" s="5" t="s">
        <v>889</v>
      </c>
      <c r="B3721" s="0" t="s">
        <v>27</v>
      </c>
      <c r="C3721" s="30" t="n">
        <f aca="false">0.45*Sens!$C$3702+0.55*Sens!$C$3719</f>
        <v>191.752506337681</v>
      </c>
    </row>
    <row r="3724" customFormat="false" ht="19.4" hidden="false" customHeight="false" outlineLevel="0" collapsed="false">
      <c r="A3724" s="31" t="s">
        <v>1125</v>
      </c>
    </row>
    <row r="3725" customFormat="false" ht="17.15" hidden="false" customHeight="false" outlineLevel="0" collapsed="false">
      <c r="A3725" s="6" t="s">
        <v>16</v>
      </c>
      <c r="B3725" s="6" t="s">
        <v>17</v>
      </c>
      <c r="C3725" s="20" t="s">
        <v>457</v>
      </c>
      <c r="D3725" s="20" t="s">
        <v>458</v>
      </c>
      <c r="E3725" s="20" t="s">
        <v>540</v>
      </c>
      <c r="F3725" s="20" t="s">
        <v>541</v>
      </c>
      <c r="G3725" s="20" t="s">
        <v>542</v>
      </c>
      <c r="H3725" s="20" t="s">
        <v>543</v>
      </c>
      <c r="I3725" s="20" t="s">
        <v>544</v>
      </c>
      <c r="J3725" s="20" t="s">
        <v>545</v>
      </c>
      <c r="K3725" s="20" t="s">
        <v>546</v>
      </c>
      <c r="L3725" s="20" t="s">
        <v>547</v>
      </c>
      <c r="M3725" s="20" t="s">
        <v>548</v>
      </c>
      <c r="N3725" s="20" t="s">
        <v>549</v>
      </c>
      <c r="O3725" s="20" t="s">
        <v>550</v>
      </c>
      <c r="P3725" s="6" t="s">
        <v>23</v>
      </c>
      <c r="R3725" s="20" t="n">
        <v>2023</v>
      </c>
      <c r="S3725" s="20" t="n">
        <v>2024</v>
      </c>
      <c r="T3725" s="20" t="n">
        <v>2025</v>
      </c>
      <c r="U3725" s="20" t="n">
        <v>2026</v>
      </c>
      <c r="V3725" s="20" t="n">
        <v>2027</v>
      </c>
      <c r="W3725" s="20" t="n">
        <v>2028</v>
      </c>
      <c r="X3725" s="20" t="n">
        <v>2029</v>
      </c>
      <c r="Y3725" s="20" t="n">
        <v>2030</v>
      </c>
      <c r="Z3725" s="20" t="n">
        <v>2031</v>
      </c>
      <c r="AA3725" s="20" t="n">
        <v>2032</v>
      </c>
    </row>
    <row r="3726" customFormat="false" ht="17.15" hidden="false" customHeight="false" outlineLevel="0" collapsed="false">
      <c r="A3726" s="1" t="s">
        <v>621</v>
      </c>
    </row>
    <row r="3727" customFormat="false" ht="17.15" hidden="false" customHeight="false" outlineLevel="0" collapsed="false">
      <c r="A3727" s="0" t="s">
        <v>479</v>
      </c>
      <c r="B3727" s="0" t="s">
        <v>73</v>
      </c>
      <c r="C3727" s="38" t="n">
        <f aca="false">Q!$D$10</f>
        <v>247.029</v>
      </c>
      <c r="D3727" s="38" t="n">
        <f aca="false">Q!$E$10</f>
        <v>269.287</v>
      </c>
      <c r="E3727" s="38" t="n">
        <f aca="false">Q!$P$10</f>
        <v>134.686</v>
      </c>
      <c r="F3727" s="38" t="n">
        <f aca="false">Sens!$O$3727*(1+Sens!$F$3728)-pd_amt*Q!$O$10/(Q!$O$10+Q!$O$12)</f>
        <v>160.728085930082</v>
      </c>
      <c r="G3727" s="38" t="n">
        <f aca="false">Sens!$E$3727+Sens!$F$3727</f>
        <v>295.414085930082</v>
      </c>
      <c r="H3727" s="38" t="n">
        <f aca="false">Sens!$G$3727*(1+Sens!$H$3728)</f>
        <v>320.828163943375</v>
      </c>
      <c r="I3727" s="38" t="n">
        <f aca="false">Sens!$H$3727*(1+Sens!$I$3728)</f>
        <v>344.575578072228</v>
      </c>
      <c r="J3727" s="38" t="n">
        <f aca="false">Sens!$I$3727*(1+Sens!$J$3728)</f>
        <v>365.942555779681</v>
      </c>
      <c r="K3727" s="38" t="n">
        <f aca="false">Sens!$J$3727*(1+Sens!$K$3728)</f>
        <v>384.239683568665</v>
      </c>
      <c r="L3727" s="38" t="n">
        <f aca="false">Sens!$K$3727*(1+Sens!$L$3728)</f>
        <v>403.451667747098</v>
      </c>
      <c r="M3727" s="38" t="n">
        <f aca="false">Sens!$L$3727*(1+Sens!$M$3728)</f>
        <v>423.624251134453</v>
      </c>
      <c r="N3727" s="38" t="n">
        <f aca="false">Q!$N$10</f>
        <v>118.892</v>
      </c>
      <c r="O3727" s="38" t="n">
        <f aca="false">Q!$O$10</f>
        <v>150.395</v>
      </c>
      <c r="P3727" s="8" t="s">
        <v>622</v>
      </c>
    </row>
    <row r="3728" customFormat="false" ht="17.15" hidden="false" customHeight="false" outlineLevel="0" collapsed="false">
      <c r="A3728" s="0" t="s">
        <v>623</v>
      </c>
      <c r="B3728" s="0" t="s">
        <v>52</v>
      </c>
      <c r="E3728" s="12" t="n">
        <f aca="false">Sens!$E$3727/Sens!$N$3727-1</f>
        <v>0.132843252699929</v>
      </c>
      <c r="F3728" s="12" t="n">
        <f aca="false">Sens!$O$3727/(Q!$F$10+Q!$G$10)-1</f>
        <v>0.0980382135842941</v>
      </c>
      <c r="G3728" s="12" t="n">
        <f aca="false">Sens!$G$3727/Sens!$D$3727-1</f>
        <v>0.0970231980380869</v>
      </c>
      <c r="H3728" s="12" t="n">
        <f aca="false">Sens!$F$3728+(g_os-Sens!$F$3728)*1/4</f>
        <v>0.0860286601882206</v>
      </c>
      <c r="I3728" s="12" t="n">
        <f aca="false">Sens!$F$3728+(g_os-Sens!$F$3728)*2/4</f>
        <v>0.074019106792147</v>
      </c>
      <c r="J3728" s="12" t="n">
        <f aca="false">Sens!$F$3728+(g_os-Sens!$F$3728)*3/4</f>
        <v>0.0620095533960735</v>
      </c>
      <c r="K3728" s="12" t="n">
        <f aca="false">Sens!$F$3728+(g_os-Sens!$F$3728)*4/4</f>
        <v>0.05</v>
      </c>
      <c r="L3728" s="12" t="n">
        <f aca="false">g_os</f>
        <v>0.05</v>
      </c>
      <c r="M3728" s="12" t="n">
        <f aca="false">g_os</f>
        <v>0.05</v>
      </c>
      <c r="P3728" s="8" t="s">
        <v>624</v>
      </c>
    </row>
    <row r="3729" customFormat="false" ht="17.15" hidden="false" customHeight="false" outlineLevel="0" collapsed="false">
      <c r="A3729" s="0" t="s">
        <v>480</v>
      </c>
      <c r="B3729" s="0" t="s">
        <v>73</v>
      </c>
      <c r="C3729" s="38" t="n">
        <f aca="false">Q!$D$11</f>
        <v>21.215</v>
      </c>
      <c r="D3729" s="38" t="n">
        <f aca="false">Q!$E$11</f>
        <v>22.561</v>
      </c>
      <c r="E3729" s="38" t="n">
        <f aca="false">Q!$P$11</f>
        <v>11.579</v>
      </c>
      <c r="F3729" s="38" t="n">
        <f aca="false">Sens!$O$3729*(1+Sens!$F$3730)</f>
        <v>12.0952613121125</v>
      </c>
      <c r="G3729" s="38" t="n">
        <f aca="false">Sens!$E$3729+Sens!$F$3729</f>
        <v>23.6742613121125</v>
      </c>
      <c r="H3729" s="38" t="n">
        <f aca="false">Sens!$G$3729*(1+Sens!$H$3730)</f>
        <v>24.8803243963206</v>
      </c>
      <c r="I3729" s="38" t="n">
        <f aca="false">Sens!$H$3729*(1+Sens!$I$3730)</f>
        <v>25.9741308664154</v>
      </c>
      <c r="J3729" s="38" t="n">
        <f aca="false">Sens!$I$3729*(1+Sens!$J$3730)</f>
        <v>26.9346894124267</v>
      </c>
      <c r="K3729" s="38" t="n">
        <f aca="false">Sens!$J$3729*(1+Sens!$K$3730)</f>
        <v>27.7427300947995</v>
      </c>
      <c r="L3729" s="38" t="n">
        <f aca="false">Sens!$K$3729*(1+Sens!$L$3730)</f>
        <v>28.5750119976435</v>
      </c>
      <c r="M3729" s="38" t="n">
        <f aca="false">Sens!$L$3729*(1+Sens!$M$3730)</f>
        <v>29.4322623575728</v>
      </c>
      <c r="N3729" s="38" t="n">
        <f aca="false">Q!$N$11</f>
        <v>11.128</v>
      </c>
      <c r="O3729" s="38" t="n">
        <f aca="false">Q!$O$11</f>
        <v>11.433</v>
      </c>
      <c r="P3729" s="8" t="s">
        <v>622</v>
      </c>
    </row>
    <row r="3730" customFormat="false" ht="17.15" hidden="false" customHeight="false" outlineLevel="0" collapsed="false">
      <c r="A3730" s="0" t="s">
        <v>625</v>
      </c>
      <c r="B3730" s="0" t="s">
        <v>52</v>
      </c>
      <c r="E3730" s="12" t="n">
        <f aca="false">Sens!$E$3729/Sens!$N$3729-1</f>
        <v>0.0405283968368082</v>
      </c>
      <c r="F3730" s="12" t="n">
        <f aca="false">Sens!$O$3729/(Q!$F$11+Q!$G$11)-1</f>
        <v>0.0579254187100955</v>
      </c>
      <c r="G3730" s="12" t="n">
        <f aca="false">Sens!$G$3729/Sens!$D$3729-1</f>
        <v>0.0493445021103904</v>
      </c>
      <c r="H3730" s="12" t="n">
        <f aca="false">Sens!$F$3730+(g_ps-Sens!$F$3730)*1/4</f>
        <v>0.0509440640325716</v>
      </c>
      <c r="I3730" s="12" t="n">
        <f aca="false">Sens!$F$3730+(g_ps-Sens!$F$3730)*2/4</f>
        <v>0.0439627093550477</v>
      </c>
      <c r="J3730" s="12" t="n">
        <f aca="false">Sens!$F$3730+(g_ps-Sens!$F$3730)*3/4</f>
        <v>0.0369813546775239</v>
      </c>
      <c r="K3730" s="12" t="n">
        <f aca="false">Sens!$F$3730+(g_ps-Sens!$F$3730)*4/4</f>
        <v>0.03</v>
      </c>
      <c r="L3730" s="12" t="n">
        <f aca="false">g_ps</f>
        <v>0.03</v>
      </c>
      <c r="M3730" s="12" t="n">
        <f aca="false">g_ps</f>
        <v>0.03</v>
      </c>
      <c r="P3730" s="8" t="s">
        <v>626</v>
      </c>
    </row>
    <row r="3731" customFormat="false" ht="17.15" hidden="false" customHeight="false" outlineLevel="0" collapsed="false">
      <c r="A3731" s="0" t="s">
        <v>481</v>
      </c>
      <c r="B3731" s="0" t="s">
        <v>73</v>
      </c>
      <c r="C3731" s="38" t="n">
        <f aca="false">Q!$D$12</f>
        <v>156.146</v>
      </c>
      <c r="D3731" s="38" t="n">
        <f aca="false">Q!$E$12</f>
        <v>172.162</v>
      </c>
      <c r="E3731" s="38" t="n">
        <f aca="false">Q!$P$12</f>
        <v>88.358</v>
      </c>
      <c r="F3731" s="38" t="n">
        <f aca="false">Sens!$O$3731*(1+Sens!$F$3732)-pd_amt*Q!$O$12/(Q!$O$10+Q!$O$12)</f>
        <v>103.62028337149</v>
      </c>
      <c r="G3731" s="38" t="n">
        <f aca="false">Sens!$E$3731+Sens!$F$3731</f>
        <v>191.97828337149</v>
      </c>
      <c r="H3731" s="38" t="n">
        <f aca="false">Sens!$G$3731*(1+Sens!$H$3732)</f>
        <v>212.128608444755</v>
      </c>
      <c r="I3731" s="38" t="n">
        <f aca="false">Sens!$H$3731*(1+Sens!$I$3732)</f>
        <v>231.92183134134</v>
      </c>
      <c r="J3731" s="38" t="n">
        <f aca="false">Sens!$I$3731*(1+Sens!$J$3732)</f>
        <v>250.859136487863</v>
      </c>
      <c r="K3731" s="38" t="n">
        <f aca="false">Sens!$J$3731*(1+Sens!$K$3732)</f>
        <v>268.419276042014</v>
      </c>
      <c r="L3731" s="38" t="n">
        <f aca="false">Sens!$K$3731*(1+Sens!$L$3732)</f>
        <v>287.208625364954</v>
      </c>
      <c r="M3731" s="38" t="n">
        <f aca="false">Sens!$L$3731*(1+Sens!$M$3732)</f>
        <v>307.313229140501</v>
      </c>
      <c r="N3731" s="38" t="n">
        <f aca="false">Q!$N$12</f>
        <v>76.86</v>
      </c>
      <c r="O3731" s="38" t="n">
        <f aca="false">Q!$O$12</f>
        <v>95.302</v>
      </c>
      <c r="P3731" s="8" t="s">
        <v>622</v>
      </c>
    </row>
    <row r="3732" customFormat="false" ht="17.15" hidden="false" customHeight="false" outlineLevel="0" collapsed="false">
      <c r="A3732" s="0" t="s">
        <v>627</v>
      </c>
      <c r="B3732" s="0" t="s">
        <v>52</v>
      </c>
      <c r="E3732" s="12" t="n">
        <f aca="false">Sens!$E$3731/Sens!$N$3731-1</f>
        <v>0.1495966692688</v>
      </c>
      <c r="F3732" s="12" t="n">
        <f aca="false">Sens!$O$3731/(Q!$F$12+Q!$G$12)-1</f>
        <v>0.11661530890813</v>
      </c>
      <c r="G3732" s="12" t="n">
        <f aca="false">Sens!$G$3731/Sens!$D$3731-1</f>
        <v>0.115102539303041</v>
      </c>
      <c r="H3732" s="12" t="n">
        <f aca="false">Sens!$F$3732+(g_sp-Sens!$F$3732)*1/4</f>
        <v>0.104961481681098</v>
      </c>
      <c r="I3732" s="12" t="n">
        <f aca="false">Sens!$F$3732+(g_sp-Sens!$F$3732)*2/4</f>
        <v>0.0933076544540651</v>
      </c>
      <c r="J3732" s="12" t="n">
        <f aca="false">Sens!$F$3732+(g_sp-Sens!$F$3732)*3/4</f>
        <v>0.0816538272270325</v>
      </c>
      <c r="K3732" s="12" t="n">
        <f aca="false">Sens!$F$3732+(g_sp-Sens!$F$3732)*4/4</f>
        <v>0.07</v>
      </c>
      <c r="L3732" s="12" t="n">
        <f aca="false">g_sp</f>
        <v>0.07</v>
      </c>
      <c r="M3732" s="12" t="n">
        <f aca="false">g_sp</f>
        <v>0.07</v>
      </c>
      <c r="P3732" s="8" t="s">
        <v>628</v>
      </c>
    </row>
    <row r="3733" customFormat="false" ht="17.15" hidden="false" customHeight="false" outlineLevel="0" collapsed="false">
      <c r="A3733" s="0" t="s">
        <v>482</v>
      </c>
      <c r="B3733" s="0" t="s">
        <v>73</v>
      </c>
      <c r="C3733" s="38" t="n">
        <f aca="false">Q!$D$13</f>
        <v>56.214</v>
      </c>
      <c r="D3733" s="38" t="n">
        <f aca="false">Q!$E$13</f>
        <v>68.635</v>
      </c>
      <c r="E3733" s="38" t="n">
        <f aca="false">Q!$P$13</f>
        <v>37.052</v>
      </c>
      <c r="F3733" s="38" t="n">
        <f aca="false">Sens!$O$3733*(1+Sens!$F$3734)</f>
        <v>48.1533381827382</v>
      </c>
      <c r="G3733" s="38" t="n">
        <f aca="false">Sens!$E$3733+Sens!$F$3733</f>
        <v>85.2053381827382</v>
      </c>
      <c r="H3733" s="38" t="n">
        <f aca="false">Sens!$G$3733*(1+Sens!$H$3734)</f>
        <v>102.932401895311</v>
      </c>
      <c r="I3733" s="38" t="n">
        <f aca="false">Sens!$H$3733*(1+Sens!$I$3734)</f>
        <v>121.669605102968</v>
      </c>
      <c r="J3733" s="38" t="n">
        <f aca="false">Sens!$I$3733*(1+Sens!$J$3734)</f>
        <v>140.652135641804</v>
      </c>
      <c r="K3733" s="38" t="n">
        <f aca="false">Sens!$J$3733*(1+Sens!$K$3734)</f>
        <v>158.936913275239</v>
      </c>
      <c r="L3733" s="38" t="n">
        <f aca="false">Sens!$K$3733*(1+Sens!$L$3734)</f>
        <v>179.59871200102</v>
      </c>
      <c r="M3733" s="38" t="n">
        <f aca="false">Sens!$L$3733*(1+Sens!$M$3734)</f>
        <v>202.946544561152</v>
      </c>
      <c r="N3733" s="38" t="n">
        <f aca="false">Q!$N$13</f>
        <v>29.615</v>
      </c>
      <c r="O3733" s="38" t="n">
        <f aca="false">Q!$O$13</f>
        <v>39.02</v>
      </c>
      <c r="P3733" s="8" t="s">
        <v>622</v>
      </c>
    </row>
    <row r="3734" customFormat="false" ht="17.15" hidden="false" customHeight="false" outlineLevel="0" collapsed="false">
      <c r="A3734" s="0" t="s">
        <v>629</v>
      </c>
      <c r="B3734" s="0" t="s">
        <v>52</v>
      </c>
      <c r="E3734" s="12" t="n">
        <f aca="false">Sens!$E$3733/Sens!$N$3733-1</f>
        <v>0.25112274185379</v>
      </c>
      <c r="F3734" s="12" t="n">
        <f aca="false">Sens!$O$3733/(Q!$F$13+Q!$G$13)-1</f>
        <v>0.234068123596572</v>
      </c>
      <c r="G3734" s="12" t="n">
        <f aca="false">Sens!$G$3733/Sens!$D$3733-1</f>
        <v>0.241426942270536</v>
      </c>
      <c r="H3734" s="12" t="n">
        <f aca="false">Sens!$F$3734+(g_ad_hi-Sens!$F$3734)*1/4</f>
        <v>0.208051092697429</v>
      </c>
      <c r="I3734" s="12" t="n">
        <f aca="false">Sens!$F$3734+(g_ad_hi-Sens!$F$3734)*2/4</f>
        <v>0.182034061798286</v>
      </c>
      <c r="J3734" s="12" t="n">
        <f aca="false">Sens!$F$3734+(g_ad_hi-Sens!$F$3734)*3/4</f>
        <v>0.156017030899143</v>
      </c>
      <c r="K3734" s="12" t="n">
        <f aca="false">Sens!$F$3734+(g_ad_hi-Sens!$F$3734)*4/4</f>
        <v>0.13</v>
      </c>
      <c r="L3734" s="12" t="n">
        <f aca="false">g_ad_hi</f>
        <v>0.13</v>
      </c>
      <c r="M3734" s="12" t="n">
        <f aca="false">g_ad_hi</f>
        <v>0.13</v>
      </c>
      <c r="P3734" s="8" t="s">
        <v>630</v>
      </c>
    </row>
    <row r="3735" customFormat="false" ht="17.15" hidden="false" customHeight="false" outlineLevel="0" collapsed="false">
      <c r="A3735" s="0" t="s">
        <v>483</v>
      </c>
      <c r="B3735" s="0" t="s">
        <v>73</v>
      </c>
      <c r="C3735" s="38" t="n">
        <f aca="false">Q!$D$14</f>
        <v>44.374</v>
      </c>
      <c r="D3735" s="38" t="n">
        <f aca="false">Q!$E$14</f>
        <v>49.619</v>
      </c>
      <c r="E3735" s="38" t="n">
        <f aca="false">Q!$P$14</f>
        <v>27.157</v>
      </c>
      <c r="F3735" s="38" t="n">
        <f aca="false">Sens!$O$3735*(1+Sens!$F$3736)</f>
        <v>28.9776360923374</v>
      </c>
      <c r="G3735" s="38" t="n">
        <f aca="false">Sens!$E$3735+Sens!$F$3735</f>
        <v>56.1346360923374</v>
      </c>
      <c r="H3735" s="38" t="n">
        <f aca="false">Sens!$G$3735*(1+Sens!$H$3736)</f>
        <v>62.4937078946075</v>
      </c>
      <c r="I3735" s="38" t="n">
        <f aca="false">Sens!$H$3735*(1+Sens!$I$3736)</f>
        <v>68.6715233062498</v>
      </c>
      <c r="J3735" s="38" t="n">
        <f aca="false">Sens!$I$3735*(1+Sens!$J$3736)</f>
        <v>74.4692882949818</v>
      </c>
      <c r="K3735" s="38" t="n">
        <f aca="false">Sens!$J$3735*(1+Sens!$K$3736)</f>
        <v>79.6821384756306</v>
      </c>
      <c r="L3735" s="38" t="n">
        <f aca="false">Sens!$K$3735*(1+Sens!$L$3736)</f>
        <v>85.2598881689247</v>
      </c>
      <c r="M3735" s="38" t="n">
        <f aca="false">Sens!$L$3735*(1+Sens!$M$3736)</f>
        <v>91.2280803407494</v>
      </c>
      <c r="N3735" s="38" t="n">
        <f aca="false">Q!$N$14</f>
        <v>23.923</v>
      </c>
      <c r="O3735" s="38" t="n">
        <f aca="false">Q!$O$14</f>
        <v>25.696</v>
      </c>
      <c r="P3735" s="8" t="s">
        <v>622</v>
      </c>
    </row>
    <row r="3736" customFormat="false" ht="17.15" hidden="false" customHeight="false" outlineLevel="0" collapsed="false">
      <c r="A3736" s="0" t="s">
        <v>631</v>
      </c>
      <c r="B3736" s="0" t="s">
        <v>52</v>
      </c>
      <c r="E3736" s="12" t="n">
        <f aca="false">Sens!$E$3735/Sens!$N$3735-1</f>
        <v>0.135183714417088</v>
      </c>
      <c r="F3736" s="12" t="n">
        <f aca="false">Sens!$O$3735/(Q!$F$14+Q!$G$14)-1</f>
        <v>0.127709997366804</v>
      </c>
      <c r="G3736" s="12" t="n">
        <f aca="false">Sens!$G$3735/Sens!$D$3735-1</f>
        <v>0.131313329416905</v>
      </c>
      <c r="H3736" s="12" t="n">
        <f aca="false">Sens!$F$3736+(g_sub-Sens!$F$3736)*1/4</f>
        <v>0.113282498025103</v>
      </c>
      <c r="I3736" s="12" t="n">
        <f aca="false">Sens!$F$3736+(g_sub-Sens!$F$3736)*2/4</f>
        <v>0.0988549986834021</v>
      </c>
      <c r="J3736" s="12" t="n">
        <f aca="false">Sens!$F$3736+(g_sub-Sens!$F$3736)*3/4</f>
        <v>0.084427499341701</v>
      </c>
      <c r="K3736" s="12" t="n">
        <f aca="false">Sens!$F$3736+(g_sub-Sens!$F$3736)*4/4</f>
        <v>0.07</v>
      </c>
      <c r="L3736" s="12" t="n">
        <f aca="false">g_sub</f>
        <v>0.07</v>
      </c>
      <c r="M3736" s="12" t="n">
        <f aca="false">g_sub</f>
        <v>0.07</v>
      </c>
      <c r="P3736" s="8" t="s">
        <v>632</v>
      </c>
    </row>
    <row r="3737" customFormat="false" ht="17.15" hidden="false" customHeight="false" outlineLevel="0" collapsed="false">
      <c r="A3737" s="0" t="s">
        <v>484</v>
      </c>
      <c r="B3737" s="0" t="s">
        <v>73</v>
      </c>
      <c r="C3737" s="38" t="n">
        <f aca="false">Q!$D$15</f>
        <v>5.425</v>
      </c>
      <c r="D3737" s="38" t="n">
        <f aca="false">Q!$E$15</f>
        <v>5.935</v>
      </c>
      <c r="E3737" s="38" t="n">
        <f aca="false">Q!$P$15</f>
        <v>3.474</v>
      </c>
      <c r="F3737" s="38" t="n">
        <f aca="false">Sens!$O$3737*(1+Sens!$F$3738)</f>
        <v>3.36182431966931</v>
      </c>
      <c r="G3737" s="38" t="n">
        <f aca="false">Sens!$E$3737+Sens!$F$3737</f>
        <v>6.83582431966931</v>
      </c>
      <c r="H3737" s="38" t="n">
        <f aca="false">Sens!$G$3737*(1+Sens!$H$3738)</f>
        <v>7.31157108370141</v>
      </c>
      <c r="I3737" s="38" t="n">
        <f aca="false">Sens!$H$3737*(1+Sens!$I$3738)</f>
        <v>7.77266852639815</v>
      </c>
      <c r="J3737" s="38" t="n">
        <f aca="false">Sens!$I$3737*(1+Sens!$J$3738)</f>
        <v>8.2120733019884</v>
      </c>
      <c r="K3737" s="38" t="n">
        <f aca="false">Sens!$J$3737*(1+Sens!$K$3738)</f>
        <v>8.62267696708783</v>
      </c>
      <c r="L3737" s="38" t="n">
        <f aca="false">Sens!$K$3737*(1+Sens!$L$3738)</f>
        <v>9.05381081544222</v>
      </c>
      <c r="M3737" s="38" t="n">
        <f aca="false">Sens!$L$3737*(1+Sens!$M$3738)</f>
        <v>9.50650135621433</v>
      </c>
      <c r="N3737" s="38" t="n">
        <f aca="false">Q!$N$15</f>
        <v>2.811</v>
      </c>
      <c r="O3737" s="38" t="n">
        <f aca="false">Q!$O$15</f>
        <v>3.124</v>
      </c>
      <c r="P3737" s="8" t="s">
        <v>622</v>
      </c>
    </row>
    <row r="3738" customFormat="false" ht="17.15" hidden="false" customHeight="false" outlineLevel="0" collapsed="false">
      <c r="A3738" s="0" t="s">
        <v>633</v>
      </c>
      <c r="B3738" s="0" t="s">
        <v>52</v>
      </c>
      <c r="E3738" s="12" t="n">
        <f aca="false">Sens!$E$3737/Sens!$N$3737-1</f>
        <v>0.235859124866596</v>
      </c>
      <c r="F3738" s="12" t="n">
        <f aca="false">Sens!$O$3737/(Q!$F$15+Q!$G$15)-1</f>
        <v>0.0761281433000345</v>
      </c>
      <c r="G3738" s="12" t="n">
        <f aca="false">Sens!$G$3737/Sens!$D$3737-1</f>
        <v>0.151781688234087</v>
      </c>
      <c r="H3738" s="12" t="n">
        <f aca="false">Sens!$F$3738+(g_ot-Sens!$F$3738)*1/4</f>
        <v>0.0695961074750259</v>
      </c>
      <c r="I3738" s="12" t="n">
        <f aca="false">Sens!$F$3738+(g_ot-Sens!$F$3738)*2/4</f>
        <v>0.0630640716500172</v>
      </c>
      <c r="J3738" s="12" t="n">
        <f aca="false">Sens!$F$3738+(g_ot-Sens!$F$3738)*3/4</f>
        <v>0.0565320358250086</v>
      </c>
      <c r="K3738" s="12" t="n">
        <f aca="false">Sens!$F$3738+(g_ot-Sens!$F$3738)*4/4</f>
        <v>0.05</v>
      </c>
      <c r="L3738" s="12" t="n">
        <f aca="false">g_ot</f>
        <v>0.05</v>
      </c>
      <c r="M3738" s="12" t="n">
        <f aca="false">g_ot</f>
        <v>0.05</v>
      </c>
      <c r="P3738" s="8" t="s">
        <v>634</v>
      </c>
    </row>
    <row r="3739" customFormat="false" ht="17.15" hidden="false" customHeight="false" outlineLevel="0" collapsed="false">
      <c r="A3739" s="3" t="s">
        <v>635</v>
      </c>
      <c r="B3739" s="8" t="s">
        <v>73</v>
      </c>
      <c r="C3739" s="38" t="n">
        <f aca="false">Sens!$C$3727+Sens!$C$3729+Sens!$C$3731+Sens!$C$3733+Sens!$C$3735+Sens!$C$3737</f>
        <v>530.403</v>
      </c>
      <c r="D3739" s="38" t="n">
        <f aca="false">Sens!$D$3727+Sens!$D$3729+Sens!$D$3731+Sens!$D$3733+Sens!$D$3735+Sens!$D$3737</f>
        <v>588.199</v>
      </c>
      <c r="E3739" s="38" t="n">
        <f aca="false">Sens!$E$3727+Sens!$E$3729+Sens!$E$3731+Sens!$E$3733+Sens!$E$3735+Sens!$E$3737</f>
        <v>302.306</v>
      </c>
      <c r="F3739" s="38" t="n">
        <f aca="false">Sens!$F$3727+Sens!$F$3729+Sens!$F$3731+Sens!$F$3733+Sens!$F$3735+Sens!$F$3737</f>
        <v>356.93642920843</v>
      </c>
      <c r="G3739" s="38" t="n">
        <f aca="false">Sens!$G$3727+Sens!$G$3729+Sens!$G$3731+Sens!$G$3733+Sens!$G$3735+Sens!$G$3737</f>
        <v>659.24242920843</v>
      </c>
      <c r="H3739" s="38" t="n">
        <f aca="false">Sens!$H$3727+Sens!$H$3729+Sens!$H$3731+Sens!$H$3733+Sens!$H$3735+Sens!$H$3737</f>
        <v>730.574777658071</v>
      </c>
      <c r="I3739" s="38" t="n">
        <f aca="false">Sens!$I$3727+Sens!$I$3729+Sens!$I$3731+Sens!$I$3733+Sens!$I$3735+Sens!$I$3737</f>
        <v>800.5853372156</v>
      </c>
      <c r="J3739" s="38" t="n">
        <f aca="false">Sens!$J$3727+Sens!$J$3729+Sens!$J$3731+Sens!$J$3733+Sens!$J$3735+Sens!$J$3737</f>
        <v>867.069878918745</v>
      </c>
      <c r="K3739" s="38" t="n">
        <f aca="false">Sens!$K$3727+Sens!$K$3729+Sens!$K$3731+Sens!$K$3733+Sens!$K$3735+Sens!$K$3737</f>
        <v>927.643418423435</v>
      </c>
      <c r="L3739" s="38" t="n">
        <f aca="false">Sens!$L$3727+Sens!$L$3729+Sens!$L$3731+Sens!$L$3733+Sens!$L$3735+Sens!$L$3737</f>
        <v>993.147716095083</v>
      </c>
      <c r="M3739" s="38" t="n">
        <f aca="false">Sens!$M$3727+Sens!$M$3729+Sens!$M$3731+Sens!$M$3733+Sens!$M$3735+Sens!$M$3737</f>
        <v>1064.05086889064</v>
      </c>
      <c r="N3739" s="38" t="n">
        <f aca="false">Sens!$N$3727+Sens!$N$3729+Sens!$N$3731+Sens!$N$3733+Sens!$N$3735+Sens!$N$3737</f>
        <v>263.229</v>
      </c>
      <c r="O3739" s="38" t="n">
        <f aca="false">Sens!$O$3727+Sens!$O$3729+Sens!$O$3731+Sens!$O$3733+Sens!$O$3735+Sens!$O$3737</f>
        <v>324.97</v>
      </c>
    </row>
    <row r="3740" customFormat="false" ht="17.15" hidden="false" customHeight="false" outlineLevel="0" collapsed="false">
      <c r="A3740" s="5" t="s">
        <v>636</v>
      </c>
      <c r="B3740" s="0" t="s">
        <v>52</v>
      </c>
      <c r="C3740" s="12" t="n">
        <f aca="false">Q!$D$5/(Q!$D$5+Q!$D$6)</f>
        <v>0.730570905519011</v>
      </c>
      <c r="D3740" s="12" t="n">
        <f aca="false">Q!$E$5/(Q!$E$5+Q!$E$6)</f>
        <v>0.724763217890544</v>
      </c>
      <c r="E3740" s="12" t="n">
        <f aca="false">Q!$P$5/(Q!$P$5+Q!$P$6)</f>
        <v>0.728797972914861</v>
      </c>
      <c r="F3740" s="12" t="n">
        <f aca="false">Sens!$O$3740</f>
        <v>0.718066283041511</v>
      </c>
      <c r="G3740" s="12" t="n">
        <f aca="false">Sens!$G$3741/Sens!$G$3739</f>
        <v>0.722987468473627</v>
      </c>
      <c r="H3740" s="12" t="n">
        <f aca="false">Sens!$G$3740</f>
        <v>0.722987468473627</v>
      </c>
      <c r="I3740" s="12" t="n">
        <f aca="false">Sens!$G$3740</f>
        <v>0.722987468473627</v>
      </c>
      <c r="J3740" s="12" t="n">
        <f aca="false">Sens!$G$3740</f>
        <v>0.722987468473627</v>
      </c>
      <c r="K3740" s="12" t="n">
        <f aca="false">Sens!$G$3740</f>
        <v>0.722987468473627</v>
      </c>
      <c r="L3740" s="12" t="n">
        <f aca="false">Sens!$G$3740</f>
        <v>0.722987468473627</v>
      </c>
      <c r="M3740" s="12" t="n">
        <f aca="false">Sens!$G$3740</f>
        <v>0.722987468473627</v>
      </c>
      <c r="N3740" s="12" t="n">
        <f aca="false">Q!$N$5/(Q!$N$5+Q!$N$6)</f>
        <v>0.733030935041352</v>
      </c>
      <c r="O3740" s="12" t="n">
        <f aca="false">Q!$O$5/(Q!$O$5+Q!$O$6)</f>
        <v>0.718066283041511</v>
      </c>
      <c r="P3740" s="8" t="s">
        <v>637</v>
      </c>
    </row>
    <row r="3741" customFormat="false" ht="17.15" hidden="false" customHeight="false" outlineLevel="0" collapsed="false">
      <c r="A3741" s="1" t="s">
        <v>472</v>
      </c>
      <c r="B3741" s="8" t="s">
        <v>73</v>
      </c>
      <c r="C3741" s="38" t="n">
        <f aca="false">Q!$D$5</f>
        <v>387.497</v>
      </c>
      <c r="D3741" s="38" t="n">
        <f aca="false">Q!$E$5</f>
        <v>426.305</v>
      </c>
      <c r="E3741" s="38" t="n">
        <f aca="false">Q!$P$5</f>
        <v>220.32</v>
      </c>
      <c r="F3741" s="38" t="n">
        <f aca="false">Sens!$F$3739*Sens!$F$3740</f>
        <v>256.304015003807</v>
      </c>
      <c r="G3741" s="38" t="n">
        <f aca="false">Sens!$E$3741+Sens!$F$3741</f>
        <v>476.624015003807</v>
      </c>
      <c r="H3741" s="38" t="n">
        <f aca="false">Sens!$H$3739*Sens!$H$3740</f>
        <v>528.196409029692</v>
      </c>
      <c r="I3741" s="38" t="n">
        <f aca="false">Sens!$I$3739*Sens!$I$3740</f>
        <v>578.813166250611</v>
      </c>
      <c r="J3741" s="38" t="n">
        <f aca="false">Sens!$J$3739*Sens!$J$3740</f>
        <v>626.880656749198</v>
      </c>
      <c r="K3741" s="38" t="n">
        <f aca="false">Sens!$K$3739*Sens!$K$3740</f>
        <v>670.674566732181</v>
      </c>
      <c r="L3741" s="38" t="n">
        <f aca="false">Sens!$L$3739*Sens!$L$3740</f>
        <v>718.033353079948</v>
      </c>
      <c r="M3741" s="38" t="n">
        <f aca="false">Sens!$M$3739*Sens!$M$3740</f>
        <v>769.295444026409</v>
      </c>
      <c r="N3741" s="38" t="n">
        <f aca="false">Q!$N$5</f>
        <v>192.955</v>
      </c>
      <c r="O3741" s="38" t="n">
        <f aca="false">Q!$O$5</f>
        <v>233.35</v>
      </c>
      <c r="P3741" s="5" t="s">
        <v>638</v>
      </c>
    </row>
    <row r="3742" customFormat="false" ht="17.15" hidden="false" customHeight="false" outlineLevel="0" collapsed="false">
      <c r="A3742" s="1" t="s">
        <v>475</v>
      </c>
      <c r="B3742" s="8" t="s">
        <v>73</v>
      </c>
      <c r="C3742" s="38" t="n">
        <f aca="false">Q!$D$6</f>
        <v>142.906</v>
      </c>
      <c r="D3742" s="38" t="n">
        <f aca="false">Q!$E$6</f>
        <v>161.894</v>
      </c>
      <c r="E3742" s="38" t="n">
        <f aca="false">Q!$P$6</f>
        <v>81.986</v>
      </c>
      <c r="F3742" s="38" t="n">
        <f aca="false">Sens!$F$3739*(1-Sens!$F$3740)</f>
        <v>100.632414204623</v>
      </c>
      <c r="G3742" s="38" t="n">
        <f aca="false">Sens!$E$3742+Sens!$F$3742</f>
        <v>182.618414204623</v>
      </c>
      <c r="H3742" s="38" t="n">
        <f aca="false">Sens!$H$3739*(1-Sens!$H$3740)</f>
        <v>202.378368628379</v>
      </c>
      <c r="I3742" s="38" t="n">
        <f aca="false">Sens!$I$3739*(1-Sens!$I$3740)</f>
        <v>221.772170964988</v>
      </c>
      <c r="J3742" s="38" t="n">
        <f aca="false">Sens!$J$3739*(1-Sens!$J$3740)</f>
        <v>240.189222169547</v>
      </c>
      <c r="K3742" s="38" t="n">
        <f aca="false">Sens!$K$3739*(1-Sens!$K$3740)</f>
        <v>256.968851691254</v>
      </c>
      <c r="L3742" s="38" t="n">
        <f aca="false">Sens!$L$3739*(1-Sens!$L$3740)</f>
        <v>275.114363015135</v>
      </c>
      <c r="M3742" s="38" t="n">
        <f aca="false">Sens!$M$3739*(1-Sens!$M$3740)</f>
        <v>294.755424864234</v>
      </c>
      <c r="N3742" s="38" t="n">
        <f aca="false">Q!$N$6</f>
        <v>70.274</v>
      </c>
      <c r="O3742" s="38" t="n">
        <f aca="false">Q!$O$6</f>
        <v>91.62</v>
      </c>
      <c r="P3742" s="5" t="s">
        <v>639</v>
      </c>
    </row>
    <row r="3743" customFormat="false" ht="17.15" hidden="false" customHeight="false" outlineLevel="0" collapsed="false">
      <c r="A3743" s="5" t="s">
        <v>640</v>
      </c>
      <c r="B3743" s="0" t="s">
        <v>73</v>
      </c>
      <c r="C3743" s="38" t="n">
        <f aca="false">Sens!$C$3733*Sens!$C$3740</f>
        <v>41.0683128828457</v>
      </c>
      <c r="D3743" s="38" t="n">
        <f aca="false">Sens!$D$3733*Sens!$D$3740</f>
        <v>49.7441234599175</v>
      </c>
      <c r="E3743" s="38" t="n">
        <f aca="false">Sens!$E$3733*Sens!$E$3740</f>
        <v>27.0034224924414</v>
      </c>
      <c r="F3743" s="38" t="n">
        <f aca="false">Sens!$F$3733*Sens!$F$3740</f>
        <v>34.5772885649197</v>
      </c>
      <c r="G3743" s="38" t="n">
        <f aca="false">Sens!$G$3733*Sens!$G$3740</f>
        <v>61.6023917531772</v>
      </c>
      <c r="H3743" s="38" t="n">
        <f aca="false">Sens!$H$3733*Sens!$H$3740</f>
        <v>74.4188366702007</v>
      </c>
      <c r="I3743" s="38" t="n">
        <f aca="false">Sens!$I$3733*Sens!$I$3740</f>
        <v>87.9655997835806</v>
      </c>
      <c r="J3743" s="38" t="n">
        <f aca="false">Sens!$J$3733*Sens!$J$3740</f>
        <v>101.689731483077</v>
      </c>
      <c r="K3743" s="38" t="n">
        <f aca="false">Sens!$K$3733*Sens!$K$3740</f>
        <v>114.909396575877</v>
      </c>
      <c r="L3743" s="38" t="n">
        <f aca="false">Sens!$L$3733*Sens!$L$3740</f>
        <v>129.847618130741</v>
      </c>
      <c r="M3743" s="38" t="n">
        <f aca="false">Sens!$M$3733*Sens!$M$3740</f>
        <v>146.727808487738</v>
      </c>
      <c r="N3743" s="38" t="n">
        <f aca="false">Sens!$N$3733*Sens!$N$3740</f>
        <v>21.7087111412496</v>
      </c>
      <c r="O3743" s="38" t="n">
        <f aca="false">Sens!$O$3733*Sens!$O$3740</f>
        <v>28.0189463642798</v>
      </c>
      <c r="P3743" s="5" t="s">
        <v>641</v>
      </c>
    </row>
    <row r="3744" customFormat="false" ht="15" hidden="false" customHeight="false" outlineLevel="0" collapsed="false">
      <c r="A3744" s="5" t="s">
        <v>642</v>
      </c>
      <c r="B3744" s="0" t="s">
        <v>73</v>
      </c>
      <c r="C3744" s="38" t="n">
        <f aca="false">Sens!$C$3733-Sens!$C$3743</f>
        <v>15.1456871171543</v>
      </c>
      <c r="D3744" s="38" t="n">
        <f aca="false">Sens!$D$3733-Sens!$D$3743</f>
        <v>18.8908765400825</v>
      </c>
      <c r="E3744" s="38" t="n">
        <f aca="false">Sens!$E$3733-Sens!$E$3743</f>
        <v>10.0485775075586</v>
      </c>
      <c r="F3744" s="38" t="n">
        <f aca="false">Sens!$F$3733-Sens!$F$3743</f>
        <v>13.5760496178185</v>
      </c>
      <c r="G3744" s="38" t="n">
        <f aca="false">Sens!$G$3733-Sens!$G$3743</f>
        <v>23.6029464295611</v>
      </c>
      <c r="H3744" s="38" t="n">
        <f aca="false">Sens!$H$3733-Sens!$H$3743</f>
        <v>28.5135652251101</v>
      </c>
      <c r="I3744" s="38" t="n">
        <f aca="false">Sens!$I$3733-Sens!$I$3743</f>
        <v>33.7040053193873</v>
      </c>
      <c r="J3744" s="38" t="n">
        <f aca="false">Sens!$J$3733-Sens!$J$3743</f>
        <v>38.962404158727</v>
      </c>
      <c r="K3744" s="38" t="n">
        <f aca="false">Sens!$K$3733-Sens!$K$3743</f>
        <v>44.0275166993615</v>
      </c>
      <c r="L3744" s="38" t="n">
        <f aca="false">Sens!$L$3733-Sens!$L$3743</f>
        <v>49.7510938702785</v>
      </c>
      <c r="M3744" s="38" t="n">
        <f aca="false">Sens!$M$3733-Sens!$M$3743</f>
        <v>56.2187360734147</v>
      </c>
      <c r="N3744" s="38" t="n">
        <f aca="false">Sens!$N$3733-Sens!$N$3743</f>
        <v>7.90628885875037</v>
      </c>
      <c r="O3744" s="38" t="n">
        <f aca="false">Sens!$O$3733-Sens!$O$3743</f>
        <v>11.0010536357202</v>
      </c>
    </row>
    <row r="3745" customFormat="false" ht="19.4" hidden="false" customHeight="false" outlineLevel="0" collapsed="false">
      <c r="A3745" s="31" t="s">
        <v>1126</v>
      </c>
    </row>
    <row r="3746" customFormat="false" ht="17.15" hidden="false" customHeight="false" outlineLevel="0" collapsed="false">
      <c r="A3746" s="6" t="s">
        <v>16</v>
      </c>
      <c r="B3746" s="6" t="s">
        <v>17</v>
      </c>
      <c r="C3746" s="20" t="s">
        <v>457</v>
      </c>
      <c r="D3746" s="20" t="s">
        <v>458</v>
      </c>
      <c r="E3746" s="20" t="s">
        <v>540</v>
      </c>
      <c r="F3746" s="20" t="s">
        <v>541</v>
      </c>
      <c r="G3746" s="20" t="s">
        <v>542</v>
      </c>
      <c r="H3746" s="20" t="s">
        <v>543</v>
      </c>
      <c r="I3746" s="20" t="s">
        <v>544</v>
      </c>
      <c r="J3746" s="20" t="s">
        <v>545</v>
      </c>
      <c r="K3746" s="20" t="s">
        <v>546</v>
      </c>
      <c r="L3746" s="20" t="s">
        <v>547</v>
      </c>
      <c r="M3746" s="20" t="s">
        <v>548</v>
      </c>
      <c r="N3746" s="20" t="s">
        <v>549</v>
      </c>
      <c r="O3746" s="20" t="s">
        <v>550</v>
      </c>
      <c r="P3746" s="6" t="s">
        <v>23</v>
      </c>
      <c r="R3746" s="20" t="n">
        <v>2023</v>
      </c>
      <c r="S3746" s="20" t="n">
        <v>2024</v>
      </c>
      <c r="T3746" s="20" t="n">
        <v>2025</v>
      </c>
      <c r="U3746" s="20" t="n">
        <v>2026</v>
      </c>
      <c r="V3746" s="20" t="n">
        <v>2027</v>
      </c>
      <c r="W3746" s="20" t="n">
        <v>2028</v>
      </c>
      <c r="X3746" s="20" t="n">
        <v>2029</v>
      </c>
      <c r="Y3746" s="20" t="n">
        <v>2030</v>
      </c>
      <c r="Z3746" s="20" t="n">
        <v>2031</v>
      </c>
      <c r="AA3746" s="20" t="n">
        <v>2032</v>
      </c>
    </row>
    <row r="3747" customFormat="false" ht="17.15" hidden="false" customHeight="false" outlineLevel="0" collapsed="false">
      <c r="A3747" s="1" t="s">
        <v>551</v>
      </c>
    </row>
    <row r="3748" customFormat="false" ht="17.15" hidden="false" customHeight="false" outlineLevel="0" collapsed="false">
      <c r="A3748" s="14" t="s">
        <v>552</v>
      </c>
      <c r="B3748" s="13" t="s">
        <v>108</v>
      </c>
      <c r="C3748" s="32" t="n">
        <f aca="false">mw_ye24</f>
        <v>360</v>
      </c>
      <c r="D3748" s="32" t="n">
        <f aca="false">mw_ye25</f>
        <v>1440</v>
      </c>
      <c r="E3748" s="32" t="n">
        <f aca="false">mw_open</f>
        <v>2080</v>
      </c>
      <c r="F3748" s="32" t="n">
        <f aca="false">Sens!$E$3748+pace_B*0.5</f>
        <v>3897.15</v>
      </c>
      <c r="G3748" s="32" t="n">
        <f aca="false">Sens!$F$3748</f>
        <v>3897.15</v>
      </c>
      <c r="H3748" s="32" t="n">
        <f aca="false">Sens!$G$3748+pace_B</f>
        <v>7531.45</v>
      </c>
      <c r="I3748" s="32" t="n">
        <f aca="false">Sens!$H$3748+pace_B</f>
        <v>11165.75</v>
      </c>
      <c r="J3748" s="32" t="n">
        <f aca="false">Sens!$I$3748+pace_B</f>
        <v>14800.05</v>
      </c>
      <c r="K3748" s="32" t="n">
        <f aca="false">Sens!$J$3748+pace_B</f>
        <v>18434.35</v>
      </c>
      <c r="L3748" s="32" t="n">
        <f aca="false">Sens!$K$3748+pace_B</f>
        <v>22068.65</v>
      </c>
      <c r="M3748" s="32" t="n">
        <f aca="false">Sens!$L$3748+pace_B</f>
        <v>25702.95</v>
      </c>
      <c r="N3748" s="32" t="n">
        <f aca="false">(mw_ye24+mw_ye25)/2</f>
        <v>900</v>
      </c>
      <c r="O3748" s="32" t="n">
        <f aca="false">mw_ye25</f>
        <v>1440</v>
      </c>
      <c r="P3748" s="5" t="s">
        <v>553</v>
      </c>
    </row>
    <row r="3749" customFormat="false" ht="17.15" hidden="false" customHeight="false" outlineLevel="0" collapsed="false">
      <c r="A3749" s="5" t="s">
        <v>554</v>
      </c>
      <c r="B3749" s="0" t="s">
        <v>108</v>
      </c>
      <c r="C3749" s="33" t="n">
        <f aca="false">(mw_ye23+mw_ye24)/2</f>
        <v>240</v>
      </c>
      <c r="D3749" s="33" t="n">
        <f aca="false">(Sens!$C$3748+Sens!$D$3748)/2</f>
        <v>900</v>
      </c>
      <c r="E3749" s="33" t="n">
        <f aca="false">(Sens!$D$3748+Sens!$E$3748)/2</f>
        <v>1760</v>
      </c>
      <c r="F3749" s="33" t="n">
        <f aca="false">(Sens!$E$3748+Sens!$F$3748)/2</f>
        <v>2988.575</v>
      </c>
      <c r="G3749" s="33" t="n">
        <f aca="false">(Sens!$E$3749+Sens!$F$3749)/2</f>
        <v>2374.2875</v>
      </c>
      <c r="H3749" s="33" t="n">
        <f aca="false">(Sens!$G$3748+Sens!$H$3748)/2</f>
        <v>5714.3</v>
      </c>
      <c r="I3749" s="33" t="n">
        <f aca="false">(Sens!$H$3748+Sens!$I$3748)/2</f>
        <v>9348.6</v>
      </c>
      <c r="J3749" s="33" t="n">
        <f aca="false">(Sens!$I$3748+Sens!$J$3748)/2</f>
        <v>12982.9</v>
      </c>
      <c r="K3749" s="33" t="n">
        <f aca="false">(Sens!$J$3748+Sens!$K$3748)/2</f>
        <v>16617.2</v>
      </c>
      <c r="L3749" s="33" t="n">
        <f aca="false">(Sens!$K$3748+Sens!$L$3748)/2</f>
        <v>20251.5</v>
      </c>
      <c r="M3749" s="33" t="n">
        <f aca="false">(Sens!$L$3748+Sens!$M$3748)/2</f>
        <v>23885.8</v>
      </c>
      <c r="N3749" s="33" t="n">
        <f aca="false">(Sens!$C$3748+Sens!$N$3748)/2</f>
        <v>630</v>
      </c>
      <c r="O3749" s="33" t="n">
        <f aca="false">(Sens!$N$3748+Sens!$O$3748)/2</f>
        <v>1170</v>
      </c>
    </row>
    <row r="3750" customFormat="false" ht="15" hidden="false" customHeight="false" outlineLevel="0" collapsed="false">
      <c r="A3750" s="5" t="s">
        <v>555</v>
      </c>
      <c r="B3750" s="5" t="s">
        <v>102</v>
      </c>
      <c r="C3750" s="34" t="n">
        <v>1</v>
      </c>
      <c r="D3750" s="34" t="n">
        <v>1</v>
      </c>
      <c r="E3750" s="34" t="n">
        <v>0.5</v>
      </c>
      <c r="F3750" s="34" t="n">
        <v>0.5</v>
      </c>
      <c r="G3750" s="34" t="n">
        <v>1</v>
      </c>
      <c r="H3750" s="34" t="n">
        <v>1</v>
      </c>
      <c r="I3750" s="34" t="n">
        <v>1</v>
      </c>
      <c r="J3750" s="34" t="n">
        <v>1</v>
      </c>
      <c r="K3750" s="34" t="n">
        <v>1</v>
      </c>
      <c r="L3750" s="34" t="n">
        <v>1</v>
      </c>
      <c r="M3750" s="34" t="n">
        <v>1</v>
      </c>
      <c r="N3750" s="34" t="n">
        <v>0.5</v>
      </c>
      <c r="O3750" s="34" t="n">
        <v>0.5</v>
      </c>
    </row>
    <row r="3751" customFormat="false" ht="17.15" hidden="false" customHeight="false" outlineLevel="0" collapsed="false">
      <c r="A3751" s="5" t="s">
        <v>556</v>
      </c>
      <c r="B3751" s="0" t="s">
        <v>108</v>
      </c>
      <c r="C3751" s="33" t="n">
        <f aca="false">Sens!$C$3748-mw_ye23</f>
        <v>240</v>
      </c>
      <c r="D3751" s="33" t="n">
        <f aca="false">Sens!$D$3748-Sens!$C$3748</f>
        <v>1080</v>
      </c>
      <c r="E3751" s="33" t="n">
        <f aca="false">Sens!$E$3748-Sens!$D$3748</f>
        <v>640</v>
      </c>
      <c r="F3751" s="33" t="n">
        <f aca="false">Sens!$F$3748-Sens!$E$3748</f>
        <v>1817.15</v>
      </c>
      <c r="G3751" s="33" t="n">
        <f aca="false">Sens!$E$3751+Sens!$F$3751</f>
        <v>2457.15</v>
      </c>
      <c r="H3751" s="33" t="n">
        <f aca="false">Sens!$H$3748-Sens!$G$3748</f>
        <v>3634.3</v>
      </c>
      <c r="I3751" s="33" t="n">
        <f aca="false">Sens!$I$3748-Sens!$H$3748</f>
        <v>3634.3</v>
      </c>
      <c r="J3751" s="33" t="n">
        <f aca="false">Sens!$J$3748-Sens!$I$3748</f>
        <v>3634.3</v>
      </c>
      <c r="K3751" s="33" t="n">
        <f aca="false">Sens!$K$3748-Sens!$J$3748</f>
        <v>3634.3</v>
      </c>
      <c r="L3751" s="33" t="n">
        <f aca="false">Sens!$L$3748-Sens!$K$3748</f>
        <v>3634.3</v>
      </c>
      <c r="M3751" s="33" t="n">
        <f aca="false">Sens!$M$3748-Sens!$L$3748</f>
        <v>3634.3</v>
      </c>
      <c r="N3751" s="33" t="n">
        <f aca="false">Sens!$N$3748-Sens!$C$3748</f>
        <v>540</v>
      </c>
      <c r="O3751" s="33" t="n">
        <f aca="false">Sens!$O$3748-Sens!$N$3748</f>
        <v>540</v>
      </c>
    </row>
    <row r="3752" customFormat="false" ht="17.15" hidden="false" customHeight="false" outlineLevel="0" collapsed="false">
      <c r="A3752" s="5" t="s">
        <v>557</v>
      </c>
      <c r="B3752" s="0" t="s">
        <v>108</v>
      </c>
      <c r="C3752" s="33" t="n">
        <f aca="false">Sens!$C$3751/ext_sh</f>
        <v>300</v>
      </c>
      <c r="D3752" s="33" t="n">
        <f aca="false">Sens!$D$3751/ext_sh</f>
        <v>1350</v>
      </c>
      <c r="E3752" s="33" t="n">
        <f aca="false">Sens!$E$3751/ext_sh</f>
        <v>800</v>
      </c>
      <c r="F3752" s="33" t="n">
        <f aca="false">Sens!$F$3751/ext_sh</f>
        <v>2271.4375</v>
      </c>
      <c r="G3752" s="33" t="n">
        <f aca="false">Sens!$G$3751/ext_sh</f>
        <v>3071.4375</v>
      </c>
      <c r="H3752" s="33" t="n">
        <f aca="false">Sens!$H$3751/ext_sh</f>
        <v>4542.875</v>
      </c>
      <c r="I3752" s="33" t="n">
        <f aca="false">Sens!$I$3751/ext_sh</f>
        <v>4542.875</v>
      </c>
      <c r="J3752" s="33" t="n">
        <f aca="false">Sens!$J$3751/ext_sh</f>
        <v>4542.875</v>
      </c>
      <c r="K3752" s="33" t="n">
        <f aca="false">Sens!$K$3751/ext_sh</f>
        <v>4542.875</v>
      </c>
      <c r="L3752" s="33" t="n">
        <f aca="false">Sens!$L$3751/ext_sh</f>
        <v>4542.875</v>
      </c>
      <c r="M3752" s="33" t="n">
        <f aca="false">Sens!$M$3751/ext_sh</f>
        <v>4542.875</v>
      </c>
      <c r="N3752" s="33" t="n">
        <f aca="false">Sens!$N$3751/ext_sh</f>
        <v>675</v>
      </c>
      <c r="O3752" s="33" t="n">
        <f aca="false">Sens!$O$3751/ext_sh</f>
        <v>675</v>
      </c>
      <c r="P3752" s="8" t="s">
        <v>558</v>
      </c>
      <c r="R3752" s="33" t="n">
        <f aca="false">mw_ye23/ext_sh</f>
        <v>150</v>
      </c>
      <c r="S3752" s="33" t="n">
        <f aca="false">Sens!$C$3752</f>
        <v>300</v>
      </c>
      <c r="T3752" s="33" t="n">
        <f aca="false">Sens!$D$3752</f>
        <v>1350</v>
      </c>
      <c r="U3752" s="33" t="n">
        <f aca="false">Sens!$G$3752</f>
        <v>3071.4375</v>
      </c>
      <c r="V3752" s="33" t="n">
        <f aca="false">Sens!$H$3752</f>
        <v>4542.875</v>
      </c>
      <c r="W3752" s="33" t="n">
        <f aca="false">Sens!$I$3752</f>
        <v>4542.875</v>
      </c>
      <c r="X3752" s="33" t="n">
        <f aca="false">Sens!$J$3752</f>
        <v>4542.875</v>
      </c>
      <c r="Y3752" s="33" t="n">
        <f aca="false">Sens!$K$3752</f>
        <v>4542.875</v>
      </c>
      <c r="Z3752" s="33" t="n">
        <f aca="false">Sens!$L$3752</f>
        <v>4542.875</v>
      </c>
      <c r="AA3752" s="33" t="n">
        <f aca="false">Sens!$M$3752</f>
        <v>4542.875</v>
      </c>
    </row>
    <row r="3753" customFormat="false" ht="17.15" hidden="false" customHeight="false" outlineLevel="0" collapsed="false">
      <c r="A3753" s="1" t="s">
        <v>559</v>
      </c>
    </row>
    <row r="3754" customFormat="false" ht="17.15" hidden="false" customHeight="false" outlineLevel="0" collapsed="false">
      <c r="A3754" s="0" t="s">
        <v>560</v>
      </c>
      <c r="B3754" s="0" t="s">
        <v>52</v>
      </c>
      <c r="F3754" s="35" t="n">
        <f aca="false">na_vr26</f>
        <v>0</v>
      </c>
      <c r="G3754" s="35" t="n">
        <f aca="false">na_vr26</f>
        <v>0</v>
      </c>
      <c r="H3754" s="35" t="n">
        <f aca="false">na_vr27</f>
        <v>0.5</v>
      </c>
      <c r="I3754" s="35" t="n">
        <f aca="false">na_vr28</f>
        <v>1</v>
      </c>
      <c r="J3754" s="35" t="n">
        <f aca="false">na_vr28</f>
        <v>1</v>
      </c>
      <c r="K3754" s="35" t="n">
        <f aca="false">na_vr28</f>
        <v>1</v>
      </c>
      <c r="L3754" s="35" t="n">
        <f aca="false">na_vr28</f>
        <v>1</v>
      </c>
      <c r="M3754" s="35" t="n">
        <f aca="false">na_vr28</f>
        <v>1</v>
      </c>
    </row>
    <row r="3755" customFormat="false" ht="17.15" hidden="false" customHeight="false" outlineLevel="0" collapsed="false">
      <c r="A3755" s="5" t="s">
        <v>561</v>
      </c>
      <c r="B3755" s="0" t="s">
        <v>151</v>
      </c>
      <c r="F3755" s="36" t="n">
        <f aca="false">cust_sh*tk_he_gb300*cf_chip+(1-cust_sh)*((1-Sens!$F$3754)*tk_he_gb300+Sens!$F$3754*tk_he_vr200)</f>
        <v>10.8864110021101</v>
      </c>
      <c r="G3755" s="36" t="n">
        <f aca="false">cust_sh*tk_he_gb300*cf_chip+(1-cust_sh)*((1-Sens!$G$3754)*tk_he_gb300+Sens!$G$3754*tk_he_vr200)</f>
        <v>10.8864110021101</v>
      </c>
      <c r="H3755" s="36" t="n">
        <f aca="false">cust_sh*tk_he_gb300*cf_chip+(1-cust_sh)*((1-Sens!$H$3754)*tk_he_gb300+Sens!$H$3754*tk_he_vr200)</f>
        <v>11.2211760027286</v>
      </c>
      <c r="I3755" s="36" t="n">
        <f aca="false">cust_sh*tk_he_gb300*cf_chip+(1-cust_sh)*((1-Sens!$I$3754)*tk_he_gb300+Sens!$I$3754*tk_he_vr200)</f>
        <v>11.5559410033471</v>
      </c>
      <c r="J3755" s="36" t="n">
        <f aca="false">cust_sh*tk_he_gb300*cf_chip+(1-cust_sh)*((1-Sens!$J$3754)*tk_he_gb300+Sens!$J$3754*tk_he_vr200)</f>
        <v>11.5559410033471</v>
      </c>
      <c r="K3755" s="36" t="n">
        <f aca="false">cust_sh*tk_he_gb300*cf_chip+(1-cust_sh)*((1-Sens!$K$3754)*tk_he_gb300+Sens!$K$3754*tk_he_vr200)</f>
        <v>11.5559410033471</v>
      </c>
      <c r="L3755" s="36" t="n">
        <f aca="false">cust_sh*tk_he_gb300*cf_chip+(1-cust_sh)*((1-Sens!$L$3754)*tk_he_gb300+Sens!$L$3754*tk_he_vr200)</f>
        <v>11.5559410033471</v>
      </c>
      <c r="M3755" s="36" t="n">
        <f aca="false">cust_sh*tk_he_gb300*cf_chip+(1-cust_sh)*((1-Sens!$M$3754)*tk_he_gb300+Sens!$M$3754*tk_he_vr200)</f>
        <v>11.5559410033471</v>
      </c>
    </row>
    <row r="3756" customFormat="false" ht="17.15" hidden="false" customHeight="false" outlineLevel="0" collapsed="false">
      <c r="A3756" s="5" t="s">
        <v>562</v>
      </c>
      <c r="B3756" s="0" t="s">
        <v>151</v>
      </c>
      <c r="F3756" s="36" t="n">
        <f aca="false">cust_sh*tk_ox_gb300+(1-cust_sh)*((1-Sens!$F$3754)*tk_ox_gb300+Sens!$F$3754*tk_ox_vr200)</f>
        <v>1.98263481314457</v>
      </c>
      <c r="G3756" s="36" t="n">
        <f aca="false">cust_sh*tk_ox_gb300+(1-cust_sh)*((1-Sens!$G$3754)*tk_ox_gb300+Sens!$G$3754*tk_ox_vr200)</f>
        <v>1.98263481314457</v>
      </c>
      <c r="H3756" s="36" t="n">
        <f aca="false">cust_sh*tk_ox_gb300+(1-cust_sh)*((1-Sens!$H$3754)*tk_ox_gb300+Sens!$H$3754*tk_ox_vr200)</f>
        <v>2.01034999693694</v>
      </c>
      <c r="I3756" s="36" t="n">
        <f aca="false">cust_sh*tk_ox_gb300+(1-cust_sh)*((1-Sens!$I$3754)*tk_ox_gb300+Sens!$I$3754*tk_ox_vr200)</f>
        <v>2.0380651807293</v>
      </c>
      <c r="J3756" s="36" t="n">
        <f aca="false">cust_sh*tk_ox_gb300+(1-cust_sh)*((1-Sens!$J$3754)*tk_ox_gb300+Sens!$J$3754*tk_ox_vr200)</f>
        <v>2.0380651807293</v>
      </c>
      <c r="K3756" s="36" t="n">
        <f aca="false">cust_sh*tk_ox_gb300+(1-cust_sh)*((1-Sens!$K$3754)*tk_ox_gb300+Sens!$K$3754*tk_ox_vr200)</f>
        <v>2.0380651807293</v>
      </c>
      <c r="L3756" s="36" t="n">
        <f aca="false">cust_sh*tk_ox_gb300+(1-cust_sh)*((1-Sens!$L$3754)*tk_ox_gb300+Sens!$L$3754*tk_ox_vr200)</f>
        <v>2.0380651807293</v>
      </c>
      <c r="M3756" s="36" t="n">
        <f aca="false">cust_sh*tk_ox_gb300+(1-cust_sh)*((1-Sens!$M$3754)*tk_ox_gb300+Sens!$M$3754*tk_ox_vr200)</f>
        <v>2.0380651807293</v>
      </c>
    </row>
    <row r="3757" customFormat="false" ht="17.15" hidden="false" customHeight="false" outlineLevel="0" collapsed="false">
      <c r="A3757" s="5" t="s">
        <v>563</v>
      </c>
      <c r="B3757" s="0" t="s">
        <v>170</v>
      </c>
      <c r="F3757" s="36" t="n">
        <f aca="false">cust_sh*tk_cx_gb300*cf_cx+(1-cust_sh)*((1-Sens!$F$3754)*tk_cx_gb300+Sens!$F$3754*tk_cx_vr200)</f>
        <v>32.237224</v>
      </c>
      <c r="G3757" s="36" t="n">
        <f aca="false">cust_sh*tk_cx_gb300*cf_cx+(1-cust_sh)*((1-Sens!$G$3754)*tk_cx_gb300+Sens!$G$3754*tk_cx_vr200)</f>
        <v>32.237224</v>
      </c>
      <c r="H3757" s="36" t="n">
        <f aca="false">cust_sh*tk_cx_gb300*cf_cx+(1-cust_sh)*((1-Sens!$H$3754)*tk_cx_gb300+Sens!$H$3754*tk_cx_vr200)</f>
        <v>33.574506</v>
      </c>
      <c r="I3757" s="36" t="n">
        <f aca="false">cust_sh*tk_cx_gb300*cf_cx+(1-cust_sh)*((1-Sens!$I$3754)*tk_cx_gb300+Sens!$I$3754*tk_cx_vr200)</f>
        <v>34.911788</v>
      </c>
      <c r="J3757" s="36" t="n">
        <f aca="false">cust_sh*tk_cx_gb300*cf_cx+(1-cust_sh)*((1-Sens!$J$3754)*tk_cx_gb300+Sens!$J$3754*tk_cx_vr200)</f>
        <v>34.911788</v>
      </c>
      <c r="K3757" s="36" t="n">
        <f aca="false">cust_sh*tk_cx_gb300*cf_cx+(1-cust_sh)*((1-Sens!$K$3754)*tk_cx_gb300+Sens!$K$3754*tk_cx_vr200)</f>
        <v>34.911788</v>
      </c>
      <c r="L3757" s="36" t="n">
        <f aca="false">cust_sh*tk_cx_gb300*cf_cx+(1-cust_sh)*((1-Sens!$L$3754)*tk_cx_gb300+Sens!$L$3754*tk_cx_vr200)</f>
        <v>34.911788</v>
      </c>
      <c r="M3757" s="36" t="n">
        <f aca="false">cust_sh*tk_cx_gb300*cf_cx+(1-cust_sh)*((1-Sens!$M$3754)*tk_cx_gb300+Sens!$M$3754*tk_cx_vr200)</f>
        <v>34.911788</v>
      </c>
    </row>
    <row r="3758" customFormat="false" ht="17.15" hidden="false" customHeight="false" outlineLevel="0" collapsed="false">
      <c r="A3758" s="5" t="s">
        <v>564</v>
      </c>
      <c r="B3758" s="0" t="s">
        <v>108</v>
      </c>
      <c r="F3758" s="33" t="n">
        <f aca="false">Sens!$F$3748-mw_open</f>
        <v>1817.15</v>
      </c>
      <c r="G3758" s="33" t="n">
        <f aca="false">Sens!$F$3758</f>
        <v>1817.15</v>
      </c>
      <c r="H3758" s="33" t="n">
        <f aca="false">Sens!$H$3748-mw_open</f>
        <v>5451.45</v>
      </c>
      <c r="I3758" s="33" t="n">
        <f aca="false">Sens!$I$3748-mw_open</f>
        <v>9085.75</v>
      </c>
      <c r="J3758" s="33" t="n">
        <f aca="false">Sens!$J$3748-mw_open</f>
        <v>12720.05</v>
      </c>
      <c r="K3758" s="33" t="n">
        <f aca="false">Sens!$K$3748-mw_open</f>
        <v>16354.35</v>
      </c>
      <c r="L3758" s="33" t="n">
        <f aca="false">Sens!$L$3748-mw_open</f>
        <v>19988.65</v>
      </c>
      <c r="M3758" s="33" t="n">
        <f aca="false">Sens!$M$3748-mw_open</f>
        <v>23622.95</v>
      </c>
    </row>
    <row r="3759" customFormat="false" ht="17.15" hidden="false" customHeight="false" outlineLevel="0" collapsed="false">
      <c r="A3759" s="0" t="s">
        <v>565</v>
      </c>
      <c r="B3759" s="0" t="s">
        <v>566</v>
      </c>
      <c r="F3759" s="33" t="n">
        <f aca="false">Sens!$F$3751*Sens!$F$3755</f>
        <v>19782.2417524844</v>
      </c>
      <c r="G3759" s="33" t="n">
        <f aca="false">Sens!$F$3759</f>
        <v>19782.2417524844</v>
      </c>
      <c r="H3759" s="33" t="n">
        <f aca="false">Sens!$G$3759+Sens!$H$3751*Sens!$H$3755</f>
        <v>60563.3616992009</v>
      </c>
      <c r="I3759" s="33" t="n">
        <f aca="false">Sens!$H$3759+Sens!$I$3751*Sens!$I$3755</f>
        <v>102561.118087665</v>
      </c>
      <c r="J3759" s="33" t="n">
        <f aca="false">Sens!$I$3759+Sens!$J$3751*Sens!$J$3755</f>
        <v>144558.87447613</v>
      </c>
      <c r="K3759" s="33" t="n">
        <f aca="false">Sens!$J$3759+Sens!$K$3751*Sens!$K$3755</f>
        <v>186556.630864594</v>
      </c>
      <c r="L3759" s="33" t="n">
        <f aca="false">Sens!$K$3759+Sens!$L$3751*Sens!$L$3755</f>
        <v>228554.387253058</v>
      </c>
      <c r="M3759" s="33" t="n">
        <f aca="false">Sens!$L$3759+Sens!$M$3751*Sens!$M$3755</f>
        <v>270552.143641523</v>
      </c>
    </row>
    <row r="3760" customFormat="false" ht="17.15" hidden="false" customHeight="false" outlineLevel="0" collapsed="false">
      <c r="A3760" s="0" t="s">
        <v>567</v>
      </c>
      <c r="B3760" s="0" t="s">
        <v>566</v>
      </c>
      <c r="F3760" s="33" t="n">
        <f aca="false">Sens!$F$3751*Sens!$F$3756</f>
        <v>3602.74485070566</v>
      </c>
      <c r="G3760" s="33" t="n">
        <f aca="false">Sens!$F$3760</f>
        <v>3602.74485070566</v>
      </c>
      <c r="H3760" s="33" t="n">
        <f aca="false">Sens!$G$3760+Sens!$H$3751*Sens!$H$3756</f>
        <v>10908.9598445736</v>
      </c>
      <c r="I3760" s="33" t="n">
        <f aca="false">Sens!$H$3760+Sens!$I$3751*Sens!$I$3756</f>
        <v>18315.9001308981</v>
      </c>
      <c r="J3760" s="33" t="n">
        <f aca="false">Sens!$I$3760+Sens!$J$3751*Sens!$J$3756</f>
        <v>25722.8404172225</v>
      </c>
      <c r="K3760" s="33" t="n">
        <f aca="false">Sens!$J$3760+Sens!$K$3751*Sens!$K$3756</f>
        <v>33129.780703547</v>
      </c>
      <c r="L3760" s="33" t="n">
        <f aca="false">Sens!$K$3760+Sens!$L$3751*Sens!$L$3756</f>
        <v>40536.7209898715</v>
      </c>
      <c r="M3760" s="33" t="n">
        <f aca="false">Sens!$L$3760+Sens!$M$3751*Sens!$M$3756</f>
        <v>47943.661276196</v>
      </c>
    </row>
    <row r="3761" customFormat="false" ht="17.15" hidden="false" customHeight="false" outlineLevel="0" collapsed="false">
      <c r="A3761" s="5" t="s">
        <v>568</v>
      </c>
      <c r="B3761" s="0" t="s">
        <v>151</v>
      </c>
      <c r="F3761" s="36" t="n">
        <f aca="false">IF(Sens!$F$3758&gt;0,Sens!$F$3759/Sens!$F$3758,Sens!$F$3755)</f>
        <v>10.8864110021101</v>
      </c>
      <c r="G3761" s="36" t="n">
        <f aca="false">IF(Sens!$G$3758&gt;0,Sens!$G$3759/Sens!$G$3758,Sens!$G$3755)</f>
        <v>10.8864110021101</v>
      </c>
      <c r="H3761" s="36" t="n">
        <f aca="false">IF(Sens!$H$3758&gt;0,Sens!$H$3759/Sens!$H$3758,Sens!$H$3755)</f>
        <v>11.1095876691891</v>
      </c>
      <c r="I3761" s="36" t="n">
        <f aca="false">IF(Sens!$I$3758&gt;0,Sens!$I$3759/Sens!$I$3758,Sens!$I$3755)</f>
        <v>11.2881290028523</v>
      </c>
      <c r="J3761" s="36" t="n">
        <f aca="false">IF(Sens!$J$3758&gt;0,Sens!$J$3759/Sens!$J$3758,Sens!$J$3755)</f>
        <v>11.3646467172794</v>
      </c>
      <c r="K3761" s="36" t="n">
        <f aca="false">IF(Sens!$K$3758&gt;0,Sens!$K$3759/Sens!$K$3758,Sens!$K$3755)</f>
        <v>11.4071565586278</v>
      </c>
      <c r="L3761" s="36" t="n">
        <f aca="false">IF(Sens!$L$3758&gt;0,Sens!$L$3759/Sens!$L$3758,Sens!$L$3755)</f>
        <v>11.4342082758495</v>
      </c>
      <c r="M3761" s="36" t="n">
        <f aca="false">IF(Sens!$M$3758&gt;0,Sens!$M$3759/Sens!$M$3758,Sens!$M$3755)</f>
        <v>11.4529363877722</v>
      </c>
    </row>
    <row r="3762" customFormat="false" ht="17.15" hidden="false" customHeight="false" outlineLevel="0" collapsed="false">
      <c r="A3762" s="5" t="s">
        <v>569</v>
      </c>
      <c r="B3762" s="0" t="s">
        <v>151</v>
      </c>
      <c r="F3762" s="36" t="n">
        <f aca="false">IF(Sens!$F$3758&gt;0,Sens!$F$3760/Sens!$F$3758,Sens!$F$3756)</f>
        <v>1.98263481314457</v>
      </c>
      <c r="G3762" s="36" t="n">
        <f aca="false">IF(Sens!$G$3758&gt;0,Sens!$G$3760/Sens!$G$3758,Sens!$G$3756)</f>
        <v>1.98263481314457</v>
      </c>
      <c r="H3762" s="36" t="n">
        <f aca="false">IF(Sens!$H$3758&gt;0,Sens!$H$3760/Sens!$H$3758,Sens!$H$3756)</f>
        <v>2.00111160233948</v>
      </c>
      <c r="I3762" s="36" t="n">
        <f aca="false">IF(Sens!$I$3758&gt;0,Sens!$I$3760/Sens!$I$3758,Sens!$I$3756)</f>
        <v>2.01589303369541</v>
      </c>
      <c r="J3762" s="36" t="n">
        <f aca="false">IF(Sens!$J$3758&gt;0,Sens!$J$3760/Sens!$J$3758,Sens!$J$3756)</f>
        <v>2.02222793284795</v>
      </c>
      <c r="K3762" s="36" t="n">
        <f aca="false">IF(Sens!$K$3758&gt;0,Sens!$K$3760/Sens!$K$3758,Sens!$K$3756)</f>
        <v>2.02574732126603</v>
      </c>
      <c r="L3762" s="36" t="n">
        <f aca="false">IF(Sens!$L$3758&gt;0,Sens!$L$3760/Sens!$L$3758,Sens!$L$3756)</f>
        <v>2.02798693207753</v>
      </c>
      <c r="M3762" s="36" t="n">
        <f aca="false">IF(Sens!$M$3758&gt;0,Sens!$M$3760/Sens!$M$3758,Sens!$M$3756)</f>
        <v>2.02953743187011</v>
      </c>
    </row>
    <row r="3763" customFormat="false" ht="17.15" hidden="false" customHeight="false" outlineLevel="0" collapsed="false">
      <c r="A3763" s="14" t="s">
        <v>570</v>
      </c>
      <c r="B3763" s="13" t="s">
        <v>151</v>
      </c>
      <c r="C3763" s="13"/>
      <c r="D3763" s="13"/>
      <c r="E3763" s="13"/>
      <c r="F3763" s="37" t="n">
        <f aca="false">Sens!$F$3761*k_B</f>
        <v>10.7987645808025</v>
      </c>
      <c r="G3763" s="37" t="n">
        <f aca="false">Sens!$G$3761*k_B</f>
        <v>10.7987645808025</v>
      </c>
      <c r="H3763" s="37" t="n">
        <f aca="false">Sens!$H$3761*k_B</f>
        <v>11.0201444540452</v>
      </c>
      <c r="I3763" s="37" t="n">
        <f aca="false">Sens!$I$3761*k_B</f>
        <v>11.1972483526393</v>
      </c>
      <c r="J3763" s="37" t="n">
        <f aca="false">Sens!$J$3761*k_B</f>
        <v>11.2731500234653</v>
      </c>
      <c r="K3763" s="37" t="n">
        <f aca="false">Sens!$K$3761*k_B</f>
        <v>11.3153176183687</v>
      </c>
      <c r="L3763" s="37" t="n">
        <f aca="false">Sens!$L$3761*k_B</f>
        <v>11.3421515423981</v>
      </c>
      <c r="M3763" s="37" t="n">
        <f aca="false">Sens!$M$3761*k_B</f>
        <v>11.3607288744184</v>
      </c>
      <c r="N3763" s="13"/>
      <c r="O3763" s="13"/>
      <c r="P3763" s="5" t="s">
        <v>571</v>
      </c>
    </row>
    <row r="3764" customFormat="false" ht="17.15" hidden="false" customHeight="false" outlineLevel="0" collapsed="false">
      <c r="A3764" s="5" t="s">
        <v>572</v>
      </c>
      <c r="B3764" s="0" t="s">
        <v>108</v>
      </c>
      <c r="F3764" s="33" t="n">
        <f aca="false">Sens!$F$3758/2</f>
        <v>908.575</v>
      </c>
      <c r="H3764" s="33" t="n">
        <f aca="false">(Sens!$G$3758+Sens!$H$3758)/2</f>
        <v>3634.3</v>
      </c>
      <c r="I3764" s="33" t="n">
        <f aca="false">(Sens!$H$3758+Sens!$I$3758)/2</f>
        <v>7268.6</v>
      </c>
      <c r="J3764" s="33" t="n">
        <f aca="false">(Sens!$I$3758+Sens!$J$3758)/2</f>
        <v>10902.9</v>
      </c>
      <c r="K3764" s="33" t="n">
        <f aca="false">(Sens!$J$3758+Sens!$K$3758)/2</f>
        <v>14537.2</v>
      </c>
      <c r="L3764" s="33" t="n">
        <f aca="false">(Sens!$K$3758+Sens!$L$3758)/2</f>
        <v>18171.5</v>
      </c>
      <c r="M3764" s="33" t="n">
        <f aca="false">(Sens!$L$3758+Sens!$M$3758)/2</f>
        <v>21805.8</v>
      </c>
    </row>
    <row r="3765" customFormat="false" ht="17.15" hidden="false" customHeight="false" outlineLevel="0" collapsed="false">
      <c r="A3765" s="1" t="s">
        <v>573</v>
      </c>
    </row>
    <row r="3766" customFormat="false" ht="17.15" hidden="false" customHeight="false" outlineLevel="0" collapsed="false">
      <c r="A3766" s="1" t="s">
        <v>574</v>
      </c>
      <c r="B3766" s="8" t="s">
        <v>73</v>
      </c>
      <c r="C3766" s="38" t="n">
        <f aca="false">Sens!$C$3749*rpm_open*Sens!$C$3750/1000</f>
        <v>2.32100535697364</v>
      </c>
      <c r="D3766" s="38" t="n">
        <f aca="false">Sens!$D$3749*rpm_open*Sens!$D$3750/1000</f>
        <v>8.70377008865116</v>
      </c>
      <c r="E3766" s="38" t="n">
        <f aca="false">Sens!$E$3749*rpm_open*Sens!$E$3750/1000</f>
        <v>8.51035297557002</v>
      </c>
      <c r="F3766" s="38" t="n">
        <f aca="false">(mw_open*rpm_open+Sens!$F$3764*Sens!$F$3763)*Sens!$F$3750/1000</f>
        <v>14.9634336447205</v>
      </c>
      <c r="G3766" s="38" t="n">
        <f aca="false">Sens!$E$3766+Sens!$F$3766</f>
        <v>23.4737866202905</v>
      </c>
      <c r="H3766" s="38" t="n">
        <f aca="false">(mw_open*rpm_open+Sens!$H$3764*Sens!$H$3763)/1000</f>
        <v>60.1658907497746</v>
      </c>
      <c r="I3766" s="38" t="n">
        <f aca="false">(mw_open*rpm_open+Sens!$I$3764*Sens!$I$3763)/1000</f>
        <v>101.503699136432</v>
      </c>
      <c r="J3766" s="38" t="n">
        <f aca="false">(mw_open*rpm_open+Sens!$J$3764*Sens!$J$3763)/1000</f>
        <v>143.025407151278</v>
      </c>
      <c r="K3766" s="38" t="n">
        <f aca="false">(mw_open*rpm_open+Sens!$K$3764*Sens!$K$3763)/1000</f>
        <v>184.608415042187</v>
      </c>
      <c r="L3766" s="38" t="n">
        <f aca="false">(mw_open*rpm_open+Sens!$L$3764*Sens!$L$3763)/1000</f>
        <v>226.219286513125</v>
      </c>
      <c r="M3766" s="38" t="n">
        <f aca="false">(mw_open*rpm_open+Sens!$M$3764*Sens!$M$3763)/1000</f>
        <v>267.845161450232</v>
      </c>
      <c r="N3766" s="38" t="n">
        <f aca="false">Sens!$N$3749*rpm_open*Sens!$N$3750/1000</f>
        <v>3.04631953102791</v>
      </c>
      <c r="O3766" s="38" t="n">
        <f aca="false">Sens!$O$3749*rpm_open*Sens!$O$3750/1000</f>
        <v>5.65745055762326</v>
      </c>
      <c r="P3766" s="5" t="s">
        <v>575</v>
      </c>
    </row>
    <row r="3767" customFormat="false" ht="17.15" hidden="false" customHeight="false" outlineLevel="0" collapsed="false">
      <c r="A3767" s="5" t="s">
        <v>576</v>
      </c>
      <c r="B3767" s="0" t="s">
        <v>151</v>
      </c>
      <c r="C3767" s="36" t="n">
        <f aca="false">Sens!$C$3766*1000/(Sens!$C$3749*Sens!$C$3750)</f>
        <v>9.67085565405685</v>
      </c>
      <c r="D3767" s="36" t="n">
        <f aca="false">Sens!$D$3766*1000/(Sens!$D$3749*Sens!$D$3750)</f>
        <v>9.67085565405685</v>
      </c>
      <c r="E3767" s="36" t="n">
        <f aca="false">Sens!$E$3766*1000/(Sens!$E$3749*Sens!$E$3750)</f>
        <v>9.67085565405685</v>
      </c>
      <c r="F3767" s="36" t="n">
        <f aca="false">Sens!$F$3766*1000/(Sens!$F$3749*Sens!$F$3750)</f>
        <v>10.0137581588017</v>
      </c>
      <c r="G3767" s="36" t="n">
        <f aca="false">Sens!$G$3766*1000/(Sens!$G$3749*Sens!$G$3750)</f>
        <v>9.88666562928478</v>
      </c>
      <c r="H3767" s="36" t="n">
        <f aca="false">Sens!$H$3766*1000/(Sens!$H$3749*Sens!$H$3750)</f>
        <v>10.5290045586992</v>
      </c>
      <c r="I3767" s="36" t="n">
        <f aca="false">Sens!$I$3766*1000/(Sens!$I$3749*Sens!$I$3750)</f>
        <v>10.8576363451674</v>
      </c>
      <c r="J3767" s="36" t="n">
        <f aca="false">Sens!$J$3766*1000/(Sens!$J$3749*Sens!$J$3750)</f>
        <v>11.0164452588619</v>
      </c>
      <c r="K3767" s="36" t="n">
        <f aca="false">Sens!$K$3766*1000/(Sens!$K$3749*Sens!$K$3750)</f>
        <v>11.1094778327388</v>
      </c>
      <c r="L3767" s="36" t="n">
        <f aca="false">Sens!$L$3766*1000/(Sens!$L$3749*Sens!$L$3750)</f>
        <v>11.1704953466718</v>
      </c>
      <c r="M3767" s="36" t="n">
        <f aca="false">Sens!$M$3766*1000/(Sens!$M$3749*Sens!$M$3750)</f>
        <v>11.2135729785158</v>
      </c>
      <c r="N3767" s="36" t="n">
        <f aca="false">Sens!$N$3766*1000/(Sens!$N$3749*Sens!$N$3750)</f>
        <v>9.67085565405685</v>
      </c>
      <c r="O3767" s="36" t="n">
        <f aca="false">Sens!$O$3766*1000/(Sens!$O$3749*Sens!$O$3750)</f>
        <v>9.67085565405685</v>
      </c>
    </row>
    <row r="3768" customFormat="false" ht="17.15" hidden="false" customHeight="false" outlineLevel="0" collapsed="false">
      <c r="A3768" s="0" t="s">
        <v>577</v>
      </c>
      <c r="B3768" s="0" t="s">
        <v>73</v>
      </c>
      <c r="C3768" s="38" t="n">
        <f aca="false">Sens!$C$3749/ext_sh*(ox_open+rent_mw)*Sens!$C$3750/1000</f>
        <v>0.642569210675032</v>
      </c>
      <c r="D3768" s="38" t="n">
        <f aca="false">Sens!$D$3749/ext_sh*(ox_open+rent_mw)*Sens!$D$3750/1000</f>
        <v>2.40963454003137</v>
      </c>
      <c r="E3768" s="38" t="n">
        <f aca="false">Sens!$E$3749/ext_sh*(ox_open+rent_mw)*Sens!$E$3750/1000</f>
        <v>2.35608710580845</v>
      </c>
      <c r="F3768" s="38" t="n">
        <f aca="false">((mw_open*ox_open+Sens!$F$3764*Sens!$F$3762)/ext_sh+Sens!$F$3749/ext_sh*rent_mw)*Sens!$F$3750/1000</f>
        <v>4.05421991106232</v>
      </c>
      <c r="G3768" s="38" t="n">
        <f aca="false">Sens!$E$3768+Sens!$F$3768</f>
        <v>6.41030701687077</v>
      </c>
      <c r="H3768" s="38" t="n">
        <f aca="false">((mw_open*ox_open+Sens!$H$3764*Sens!$H$3762)/ext_sh+Sens!$H$3749/ext_sh*rent_mw)*Sens!$H$3750/1000</f>
        <v>15.8108975546616</v>
      </c>
      <c r="I3768" s="38" t="n">
        <f aca="false">((mw_open*ox_open+Sens!$I$3764*Sens!$I$3762)/ext_sh+Sens!$I$3749/ext_sh*rent_mw)*Sens!$I$3750/1000</f>
        <v>26.1871623400817</v>
      </c>
      <c r="J3768" s="38" t="n">
        <f aca="false">((mw_open*ox_open+Sens!$J$3764*Sens!$J$3762)/ext_sh+Sens!$J$3749/ext_sh*rent_mw)*Sens!$J$3750/1000</f>
        <v>36.5826128954935</v>
      </c>
      <c r="K3768" s="38" t="n">
        <f aca="false">((mw_open*ox_open+Sens!$K$3764*Sens!$K$3762)/ext_sh+Sens!$K$3749/ext_sh*rent_mw)*Sens!$K$3750/1000</f>
        <v>46.9844587075692</v>
      </c>
      <c r="L3768" s="38" t="n">
        <f aca="false">((mw_open*ox_open+Sens!$L$3764*Sens!$L$3762)/ext_sh+Sens!$L$3749/ext_sh*rent_mw)*Sens!$L$3750/1000</f>
        <v>57.3892114544922</v>
      </c>
      <c r="M3768" s="38" t="n">
        <f aca="false">((mw_open*ox_open+Sens!$M$3764*Sens!$M$3762)/ext_sh+Sens!$M$3749/ext_sh*rent_mw)*Sens!$M$3750/1000</f>
        <v>67.7955294740252</v>
      </c>
      <c r="N3768" s="38" t="n">
        <f aca="false">Sens!$N$3749/ext_sh*(ox_open+rent_mw)*Sens!$N$3750/1000</f>
        <v>0.84337208901098</v>
      </c>
      <c r="O3768" s="38" t="n">
        <f aca="false">Sens!$O$3749/ext_sh*(ox_open+rent_mw)*Sens!$O$3750/1000</f>
        <v>1.56626245102039</v>
      </c>
    </row>
    <row r="3769" customFormat="false" ht="17.15" hidden="false" customHeight="false" outlineLevel="0" collapsed="false">
      <c r="A3769" s="0" t="s">
        <v>578</v>
      </c>
      <c r="B3769" s="0" t="s">
        <v>73</v>
      </c>
      <c r="C3769" s="38" t="n">
        <f aca="false">Q!$D$7</f>
        <v>107.556</v>
      </c>
      <c r="D3769" s="38" t="n">
        <f aca="false">Q!$E$7</f>
        <v>128.725</v>
      </c>
      <c r="E3769" s="38" t="n">
        <f aca="false">Q!$P$7</f>
        <v>79.819</v>
      </c>
      <c r="N3769" s="38" t="n">
        <f aca="false">Q!$N$7</f>
        <v>60.14</v>
      </c>
      <c r="O3769" s="38" t="n">
        <f aca="false">Q!$O$7</f>
        <v>68.585</v>
      </c>
    </row>
    <row r="3770" customFormat="false" ht="17.15" hidden="false" customHeight="false" outlineLevel="0" collapsed="false">
      <c r="A3770" s="1" t="s">
        <v>579</v>
      </c>
      <c r="B3770" s="8" t="s">
        <v>73</v>
      </c>
      <c r="C3770" s="38" t="n">
        <f aca="false">Sens!$C$3769-Sens!$C$3766</f>
        <v>105.234994643026</v>
      </c>
      <c r="D3770" s="38" t="n">
        <f aca="false">Sens!$D$3769-Sens!$D$3766</f>
        <v>120.021229911349</v>
      </c>
      <c r="E3770" s="38" t="n">
        <f aca="false">Sens!$E$3769-Sens!$E$3766</f>
        <v>71.30864702443</v>
      </c>
      <c r="F3770" s="38" t="n">
        <f aca="false">Sens!$O$3770*(1+Sens!$F$3771)</f>
        <v>78.5950104186653</v>
      </c>
      <c r="G3770" s="38" t="n">
        <f aca="false">Sens!$E$3770+Sens!$F$3770</f>
        <v>149.903657443095</v>
      </c>
      <c r="H3770" s="38" t="n">
        <f aca="false">Sens!$G$3770*(1+Sens!$H$3771)</f>
        <v>180.893560768142</v>
      </c>
      <c r="I3770" s="38" t="n">
        <f aca="false">Sens!$H$3770*(1+Sens!$I$3771)</f>
        <v>210.64839721501</v>
      </c>
      <c r="J3770" s="38" t="n">
        <f aca="false">Sens!$I$3770*(1+Sens!$J$3771)</f>
        <v>236.398909446495</v>
      </c>
      <c r="K3770" s="38" t="n">
        <f aca="false">Sens!$J$3770*(1+Sens!$K$3771)</f>
        <v>255.310822202215</v>
      </c>
      <c r="L3770" s="38" t="n">
        <f aca="false">Sens!$K$3770*(1+Sens!$L$3771)</f>
        <v>275.735687978392</v>
      </c>
      <c r="M3770" s="38" t="n">
        <f aca="false">Sens!$L$3770*(1+Sens!$M$3771)</f>
        <v>297.794543016663</v>
      </c>
      <c r="N3770" s="38" t="n">
        <f aca="false">Sens!$N$3769-Sens!$N$3766</f>
        <v>57.0936804689721</v>
      </c>
      <c r="O3770" s="38" t="n">
        <f aca="false">Sens!$O$3769-Sens!$O$3766</f>
        <v>62.9275494423768</v>
      </c>
      <c r="P3770" s="5" t="s">
        <v>580</v>
      </c>
    </row>
    <row r="3771" customFormat="false" ht="17.15" hidden="false" customHeight="false" outlineLevel="0" collapsed="false">
      <c r="A3771" s="0" t="s">
        <v>581</v>
      </c>
      <c r="B3771" s="0" t="s">
        <v>52</v>
      </c>
      <c r="E3771" s="12" t="n">
        <f aca="false">Sens!$E$3770/Sens!$N$3770-1</f>
        <v>0.248976181579029</v>
      </c>
      <c r="F3771" s="12" t="n">
        <f aca="false">Sens!$E$3771</f>
        <v>0.248976181579029</v>
      </c>
      <c r="G3771" s="12" t="n">
        <f aca="false">Sens!$G$3770/Sens!$D$3770-1</f>
        <v>0.248976181579029</v>
      </c>
      <c r="H3771" s="12" t="n">
        <f aca="false">Sens!$E$3771+(g_awso_lt-Sens!$E$3771)*1/4</f>
        <v>0.206732136184272</v>
      </c>
      <c r="I3771" s="12" t="n">
        <f aca="false">Sens!$E$3771+(g_awso_lt-Sens!$E$3771)*2/4</f>
        <v>0.164488090789515</v>
      </c>
      <c r="J3771" s="12" t="n">
        <f aca="false">Sens!$E$3771+(g_awso_lt-Sens!$E$3771)*3/4</f>
        <v>0.122244045394757</v>
      </c>
      <c r="K3771" s="12" t="n">
        <f aca="false">Sens!$E$3771+(g_awso_lt-Sens!$E$3771)*4/4</f>
        <v>0.08</v>
      </c>
      <c r="L3771" s="12" t="n">
        <f aca="false">g_awso_lt</f>
        <v>0.08</v>
      </c>
      <c r="M3771" s="12" t="n">
        <f aca="false">g_awso_lt</f>
        <v>0.08</v>
      </c>
      <c r="P3771" s="8" t="s">
        <v>582</v>
      </c>
    </row>
    <row r="3772" customFormat="false" ht="17.15" hidden="false" customHeight="false" outlineLevel="0" collapsed="false">
      <c r="A3772" s="1" t="s">
        <v>583</v>
      </c>
    </row>
    <row r="3773" customFormat="false" ht="17.15" hidden="false" customHeight="false" outlineLevel="0" collapsed="false">
      <c r="A3773" s="0" t="s">
        <v>584</v>
      </c>
      <c r="B3773" s="0" t="s">
        <v>73</v>
      </c>
      <c r="F3773" s="38" t="n">
        <f aca="false">cx_rt*Sens!$F$3739+cx_awso*Sens!$F$3770</f>
        <v>36.8045765066526</v>
      </c>
    </row>
    <row r="3774" customFormat="false" ht="17.15" hidden="false" customHeight="false" outlineLevel="0" collapsed="false">
      <c r="A3774" s="0" t="s">
        <v>585</v>
      </c>
      <c r="B3774" s="0" t="s">
        <v>52</v>
      </c>
      <c r="C3774" s="12" t="n">
        <f aca="false">tk_cx_h100/(tk_cx_h100+tk_fac*(1-colo_sh))</f>
        <v>0.730756458006641</v>
      </c>
      <c r="D3774" s="12" t="n">
        <f aca="false">tk_cx_h100/(tk_cx_h100+tk_fac*(1-colo_sh))</f>
        <v>0.730756458006641</v>
      </c>
      <c r="E3774" s="12" t="n">
        <f aca="false">Sens!$F$3774</f>
        <v>0.760792334328868</v>
      </c>
      <c r="F3774" s="12" t="n">
        <f aca="false">Sens!$F$3757/(Sens!$F$3757+tk_fac*(1-colo_sh))</f>
        <v>0.760792334328868</v>
      </c>
      <c r="G3774" s="12" t="n">
        <f aca="false">Sens!$G$3757/(Sens!$G$3757+tk_fac*(1-colo_sh))</f>
        <v>0.760792334328868</v>
      </c>
      <c r="H3774" s="12" t="n">
        <f aca="false">Sens!$H$3757/(Sens!$H$3757+tk_fac*(1-colo_sh))</f>
        <v>0.768110668862996</v>
      </c>
      <c r="I3774" s="12" t="n">
        <f aca="false">Sens!$I$3757/(Sens!$I$3757+tk_fac*(1-colo_sh))</f>
        <v>0.77499450139483</v>
      </c>
      <c r="J3774" s="12" t="n">
        <f aca="false">Sens!$J$3757/(Sens!$J$3757+tk_fac*(1-colo_sh))</f>
        <v>0.77499450139483</v>
      </c>
      <c r="K3774" s="12" t="n">
        <f aca="false">Sens!$K$3757/(Sens!$K$3757+tk_fac*(1-colo_sh))</f>
        <v>0.77499450139483</v>
      </c>
      <c r="L3774" s="12" t="n">
        <f aca="false">Sens!$L$3757/(Sens!$L$3757+tk_fac*(1-colo_sh))</f>
        <v>0.77499450139483</v>
      </c>
      <c r="M3774" s="12" t="n">
        <f aca="false">Sens!$M$3757/(Sens!$M$3757+tk_fac*(1-colo_sh))</f>
        <v>0.77499450139483</v>
      </c>
    </row>
    <row r="3775" customFormat="false" ht="17.15" hidden="false" customHeight="false" outlineLevel="0" collapsed="false">
      <c r="A3775" s="1" t="s">
        <v>586</v>
      </c>
      <c r="B3775" s="8" t="s">
        <v>73</v>
      </c>
      <c r="C3775" s="38" t="n">
        <f aca="false">Q!$D$46-cx_rt*Q!$D$16-cx_awso*Sens!$C$3770</f>
        <v>25.2781053077374</v>
      </c>
      <c r="D3775" s="38" t="n">
        <f aca="false">Q!$E$46-cx_rt*Q!$E$16-cx_awso*Sens!$D$3770</f>
        <v>69.5686316310026</v>
      </c>
      <c r="E3775" s="38" t="n">
        <f aca="false">Q!$P$46-cx_rt*Q!$P$16-cx_awso*Sens!$E$3770</f>
        <v>64.1899206485108</v>
      </c>
      <c r="F3775" s="38" t="n">
        <f aca="false">MAX(Sens!$F$3752*(Sens!$F$3757+tk_fac*(1-colo_sh))/1000,capex_g26-Q!$P$46-Sens!$F$3773)</f>
        <v>96.2481299895</v>
      </c>
      <c r="G3775" s="38" t="n">
        <f aca="false">Sens!$E$3775+Sens!$F$3775</f>
        <v>160.438050638011</v>
      </c>
      <c r="H3775" s="38" t="n">
        <f aca="false">Sens!$H$3752*(Sens!$H$3757+tk_fac*(1-colo_sh))/1000+Sens!$H$3776</f>
        <v>198.57136494475</v>
      </c>
      <c r="I3775" s="38" t="n">
        <f aca="false">Sens!$I$3752*(Sens!$I$3757+tk_fac*(1-colo_sh))/1000+Sens!$I$3776</f>
        <v>204.6464699105</v>
      </c>
      <c r="J3775" s="38" t="n">
        <f aca="false">Sens!$J$3752*(Sens!$J$3757+tk_fac*(1-colo_sh))/1000+Sens!$J$3776</f>
        <v>209.8832381105</v>
      </c>
      <c r="K3775" s="38" t="n">
        <f aca="false">Sens!$K$3752*(Sens!$K$3757+tk_fac*(1-colo_sh))/1000+Sens!$K$3776</f>
        <v>215.1200063105</v>
      </c>
      <c r="L3775" s="38" t="n">
        <f aca="false">Sens!$L$3752*(Sens!$L$3757+tk_fac*(1-colo_sh))/1000+Sens!$L$3776</f>
        <v>251.7773837105</v>
      </c>
      <c r="M3775" s="38" t="n">
        <f aca="false">Sens!$M$3752*(Sens!$M$3757+tk_fac*(1-colo_sh))/1000+Sens!$M$3776</f>
        <v>311.87584476575</v>
      </c>
      <c r="P3775" s="5" t="s">
        <v>587</v>
      </c>
      <c r="R3775" s="38" t="n">
        <f aca="false">Q!$C$46-cx_rt*Q!$C$16-cx_awso*(Q!$C$7-mw_ye23/2*rpm_open/1000)</f>
        <v>1.50429979529945</v>
      </c>
      <c r="S3775" s="38" t="n">
        <f aca="false">Sens!$C$3775</f>
        <v>25.2781053077374</v>
      </c>
      <c r="T3775" s="38" t="n">
        <f aca="false">Sens!$D$3775</f>
        <v>69.5686316310026</v>
      </c>
      <c r="U3775" s="38" t="n">
        <f aca="false">Sens!$G$3775</f>
        <v>160.438050638011</v>
      </c>
      <c r="V3775" s="38" t="n">
        <f aca="false">Sens!$H$3775</f>
        <v>198.57136494475</v>
      </c>
      <c r="W3775" s="38" t="n">
        <f aca="false">Sens!$I$3775</f>
        <v>204.6464699105</v>
      </c>
      <c r="X3775" s="38" t="n">
        <f aca="false">Sens!$J$3775</f>
        <v>209.8832381105</v>
      </c>
      <c r="Y3775" s="38" t="n">
        <f aca="false">Sens!$K$3775</f>
        <v>215.1200063105</v>
      </c>
      <c r="Z3775" s="38" t="n">
        <f aca="false">Sens!$L$3775</f>
        <v>251.7773837105</v>
      </c>
      <c r="AA3775" s="38" t="n">
        <f aca="false">Sens!$M$3775</f>
        <v>311.87584476575</v>
      </c>
    </row>
    <row r="3776" customFormat="false" ht="17.15" hidden="false" customHeight="false" outlineLevel="0" collapsed="false">
      <c r="A3776" s="0" t="s">
        <v>588</v>
      </c>
      <c r="B3776" s="0" t="s">
        <v>73</v>
      </c>
      <c r="H3776" s="38" t="n">
        <f aca="false">SUMPRODUCT(--(Sens!$R$3746:$AA$3746=2027-tk_life),Sens!$R$3752:$AA$3752)*Sens!$H$3757/1000</f>
        <v>0</v>
      </c>
      <c r="I3776" s="38" t="n">
        <f aca="false">SUMPRODUCT(--(Sens!$R$3746:$AA$3746=2028-tk_life),Sens!$R$3752:$AA$3752)*Sens!$I$3757/1000</f>
        <v>0</v>
      </c>
      <c r="J3776" s="38" t="n">
        <f aca="false">SUMPRODUCT(--(Sens!$R$3746:$AA$3746=2029-tk_life),Sens!$R$3752:$AA$3752)*Sens!$J$3757/1000</f>
        <v>5.2367682</v>
      </c>
      <c r="K3776" s="38" t="n">
        <f aca="false">SUMPRODUCT(--(Sens!$R$3746:$AA$3746=2030-tk_life),Sens!$R$3752:$AA$3752)*Sens!$K$3757/1000</f>
        <v>10.4735364</v>
      </c>
      <c r="L3776" s="38" t="n">
        <f aca="false">SUMPRODUCT(--(Sens!$R$3746:$AA$3746=2031-tk_life),Sens!$R$3752:$AA$3752)*Sens!$L$3757/1000</f>
        <v>47.1309138</v>
      </c>
      <c r="M3776" s="38" t="n">
        <f aca="false">SUMPRODUCT(--(Sens!$R$3746:$AA$3746=2032-tk_life),Sens!$R$3752:$AA$3752)*Sens!$M$3757/1000</f>
        <v>107.22937485525</v>
      </c>
    </row>
    <row r="3777" customFormat="false" ht="17.15" hidden="false" customHeight="false" outlineLevel="0" collapsed="false">
      <c r="A3777" s="5" t="s">
        <v>589</v>
      </c>
      <c r="B3777" s="0" t="s">
        <v>73</v>
      </c>
      <c r="C3777" s="38" t="n">
        <f aca="false">Sens!$C$3775*Sens!$C$3774</f>
        <v>18.472138699801</v>
      </c>
      <c r="D3777" s="38" t="n">
        <f aca="false">Sens!$D$3775*Sens!$D$3774</f>
        <v>50.8377268390402</v>
      </c>
      <c r="E3777" s="38" t="n">
        <f aca="false">Sens!$E$3775*Sens!$E$3774</f>
        <v>48.8351995705653</v>
      </c>
      <c r="F3777" s="38" t="n">
        <f aca="false">Sens!$F$3775*Sens!$F$3774</f>
        <v>73.2248394895</v>
      </c>
      <c r="G3777" s="38" t="n">
        <f aca="false">Sens!$E$3777+Sens!$F$3777</f>
        <v>122.060039060065</v>
      </c>
      <c r="H3777" s="38" t="n">
        <f aca="false">(Sens!$H$3775-Sens!$H$3776)*Sens!$H$3774+Sens!$H$3776</f>
        <v>152.52478394475</v>
      </c>
      <c r="I3777" s="38" t="n">
        <f aca="false">(Sens!$I$3775-Sens!$I$3776)*Sens!$I$3774+Sens!$I$3776</f>
        <v>158.5998889105</v>
      </c>
      <c r="J3777" s="38" t="n">
        <f aca="false">(Sens!$J$3775-Sens!$J$3776)*Sens!$J$3774+Sens!$J$3776</f>
        <v>163.8366571105</v>
      </c>
      <c r="K3777" s="38" t="n">
        <f aca="false">(Sens!$K$3775-Sens!$K$3776)*Sens!$K$3774+Sens!$K$3776</f>
        <v>169.0734253105</v>
      </c>
      <c r="L3777" s="38" t="n">
        <f aca="false">(Sens!$L$3775-Sens!$L$3776)*Sens!$L$3774+Sens!$L$3776</f>
        <v>205.7308027105</v>
      </c>
      <c r="M3777" s="38" t="n">
        <f aca="false">(Sens!$M$3775-Sens!$M$3776)*Sens!$M$3774+Sens!$M$3776</f>
        <v>265.82926376575</v>
      </c>
      <c r="R3777" s="38" t="n">
        <f aca="false">Sens!$R$3775*Sens!$C$3774</f>
        <v>1.09927679019314</v>
      </c>
      <c r="S3777" s="38" t="n">
        <f aca="false">Sens!$C$3777</f>
        <v>18.472138699801</v>
      </c>
      <c r="T3777" s="38" t="n">
        <f aca="false">Sens!$D$3777</f>
        <v>50.8377268390402</v>
      </c>
      <c r="U3777" s="38" t="n">
        <f aca="false">Sens!$G$3777</f>
        <v>122.060039060065</v>
      </c>
      <c r="V3777" s="38" t="n">
        <f aca="false">Sens!$H$3777</f>
        <v>152.52478394475</v>
      </c>
      <c r="W3777" s="38" t="n">
        <f aca="false">Sens!$I$3777</f>
        <v>158.5998889105</v>
      </c>
      <c r="X3777" s="38" t="n">
        <f aca="false">Sens!$J$3777</f>
        <v>163.8366571105</v>
      </c>
      <c r="Y3777" s="38" t="n">
        <f aca="false">Sens!$K$3777</f>
        <v>169.0734253105</v>
      </c>
      <c r="Z3777" s="38" t="n">
        <f aca="false">Sens!$L$3777</f>
        <v>205.7308027105</v>
      </c>
      <c r="AA3777" s="38" t="n">
        <f aca="false">Sens!$M$3777</f>
        <v>265.82926376575</v>
      </c>
    </row>
    <row r="3778" customFormat="false" ht="15" hidden="false" customHeight="false" outlineLevel="0" collapsed="false">
      <c r="A3778" s="5" t="s">
        <v>590</v>
      </c>
      <c r="B3778" s="0" t="s">
        <v>73</v>
      </c>
      <c r="C3778" s="38" t="n">
        <f aca="false">Sens!$C$3775-Sens!$C$3777</f>
        <v>6.80596660793636</v>
      </c>
      <c r="D3778" s="38" t="n">
        <f aca="false">Sens!$D$3775-Sens!$D$3777</f>
        <v>18.7309047919624</v>
      </c>
      <c r="E3778" s="38" t="n">
        <f aca="false">Sens!$E$3775-Sens!$E$3777</f>
        <v>15.3547210779455</v>
      </c>
      <c r="F3778" s="38" t="n">
        <f aca="false">Sens!$F$3775-Sens!$F$3777</f>
        <v>23.0232905</v>
      </c>
      <c r="G3778" s="38" t="n">
        <f aca="false">Sens!$G$3775-Sens!$G$3777</f>
        <v>38.3780115779455</v>
      </c>
      <c r="H3778" s="38" t="n">
        <f aca="false">Sens!$H$3775-Sens!$H$3777</f>
        <v>46.046581</v>
      </c>
      <c r="I3778" s="38" t="n">
        <f aca="false">Sens!$I$3775-Sens!$I$3777</f>
        <v>46.046581</v>
      </c>
      <c r="J3778" s="38" t="n">
        <f aca="false">Sens!$J$3775-Sens!$J$3777</f>
        <v>46.046581</v>
      </c>
      <c r="K3778" s="38" t="n">
        <f aca="false">Sens!$K$3775-Sens!$K$3777</f>
        <v>46.046581</v>
      </c>
      <c r="L3778" s="38" t="n">
        <f aca="false">Sens!$L$3775-Sens!$L$3777</f>
        <v>46.046581</v>
      </c>
      <c r="M3778" s="38" t="n">
        <f aca="false">Sens!$M$3775-Sens!$M$3777</f>
        <v>46.046581</v>
      </c>
      <c r="R3778" s="38" t="n">
        <f aca="false">Sens!$R$3775-Sens!$R$3777</f>
        <v>0.405023005106309</v>
      </c>
      <c r="S3778" s="38" t="n">
        <f aca="false">Sens!$S$3775-Sens!$S$3777</f>
        <v>6.80596660793636</v>
      </c>
      <c r="T3778" s="38" t="n">
        <f aca="false">Sens!$T$3775-Sens!$T$3777</f>
        <v>18.7309047919624</v>
      </c>
      <c r="U3778" s="38" t="n">
        <f aca="false">Sens!$U$3775-Sens!$U$3777</f>
        <v>38.3780115779455</v>
      </c>
      <c r="V3778" s="38" t="n">
        <f aca="false">Sens!$V$3775-Sens!$V$3777</f>
        <v>46.046581</v>
      </c>
      <c r="W3778" s="38" t="n">
        <f aca="false">Sens!$W$3775-Sens!$W$3777</f>
        <v>46.046581</v>
      </c>
      <c r="X3778" s="38" t="n">
        <f aca="false">Sens!$X$3775-Sens!$X$3777</f>
        <v>46.046581</v>
      </c>
      <c r="Y3778" s="38" t="n">
        <f aca="false">Sens!$Y$3775-Sens!$Y$3777</f>
        <v>46.046581</v>
      </c>
      <c r="Z3778" s="38" t="n">
        <f aca="false">Sens!$Z$3775-Sens!$Z$3777</f>
        <v>46.046581</v>
      </c>
      <c r="AA3778" s="38" t="n">
        <f aca="false">Sens!$AA$3775-Sens!$AA$3777</f>
        <v>46.046581</v>
      </c>
    </row>
    <row r="3779" customFormat="false" ht="17.15" hidden="false" customHeight="false" outlineLevel="0" collapsed="false">
      <c r="A3779" s="0" t="s">
        <v>591</v>
      </c>
      <c r="B3779" s="0" t="s">
        <v>52</v>
      </c>
      <c r="C3779" s="12" t="n">
        <f aca="false">Sens!$C$3775/Sens!$C$3891</f>
        <v>0.325505489553393</v>
      </c>
      <c r="D3779" s="12" t="n">
        <f aca="false">Sens!$D$3775/Sens!$D$3891</f>
        <v>0.54214956071542</v>
      </c>
      <c r="E3779" s="12" t="n">
        <f aca="false">Sens!$E$3775/Sens!$E$3891</f>
        <v>0.666492790452817</v>
      </c>
      <c r="F3779" s="12" t="n">
        <f aca="false">Sens!$F$3775/Sens!$F$3891</f>
        <v>0.723383481058938</v>
      </c>
      <c r="G3779" s="12" t="n">
        <f aca="false">Sens!$G$3775/Sens!$G$3891</f>
        <v>0.699494931364102</v>
      </c>
      <c r="H3779" s="12" t="n">
        <f aca="false">Sens!$H$3775/Sens!$H$3891</f>
        <v>0.714522277595497</v>
      </c>
      <c r="I3779" s="12" t="n">
        <f aca="false">Sens!$I$3775/Sens!$I$3891</f>
        <v>0.695911374786195</v>
      </c>
      <c r="J3779" s="12" t="n">
        <f aca="false">Sens!$J$3775/Sens!$J$3891</f>
        <v>0.680590353731815</v>
      </c>
      <c r="K3779" s="12" t="n">
        <f aca="false">Sens!$K$3775/Sens!$K$3891</f>
        <v>0.670194305839463</v>
      </c>
      <c r="L3779" s="12" t="n">
        <f aca="false">Sens!$L$3775/Sens!$L$3891</f>
        <v>0.688681266676937</v>
      </c>
      <c r="M3779" s="12" t="n">
        <f aca="false">Sens!$M$3775/Sens!$M$3891</f>
        <v>0.718124392193966</v>
      </c>
    </row>
    <row r="3780" customFormat="false" ht="17.15" hidden="false" customHeight="false" outlineLevel="0" collapsed="false">
      <c r="A3780" s="0" t="s">
        <v>592</v>
      </c>
      <c r="B3780" s="0" t="s">
        <v>73</v>
      </c>
      <c r="C3780" s="38" t="n">
        <f aca="false">Sens!$S$3780</f>
        <v>0.183212798365523</v>
      </c>
      <c r="D3780" s="38" t="n">
        <f aca="false">Sens!$T$3780</f>
        <v>3.2619025816657</v>
      </c>
      <c r="E3780" s="38" t="n">
        <f aca="false">Sens!$G$3780/2</f>
        <v>5.86742852741953</v>
      </c>
      <c r="F3780" s="38" t="n">
        <f aca="false">Sens!$G$3780/2</f>
        <v>5.86742852741953</v>
      </c>
      <c r="G3780" s="38" t="n">
        <f aca="false">Sens!$U$3780</f>
        <v>11.7348570548391</v>
      </c>
      <c r="H3780" s="38" t="n">
        <f aca="false">Sens!$V$3780</f>
        <v>32.0781968981833</v>
      </c>
      <c r="I3780" s="38" t="n">
        <f aca="false">Sens!$W$3780</f>
        <v>57.4989942223083</v>
      </c>
      <c r="J3780" s="38" t="n">
        <f aca="false">Sens!$X$3780</f>
        <v>83.932309040725</v>
      </c>
      <c r="K3780" s="38" t="n">
        <f aca="false">Sens!$Y$3780</f>
        <v>111.055205760776</v>
      </c>
      <c r="L3780" s="38" t="n">
        <f aca="false">Sens!$Z$3780</f>
        <v>136.155420195893</v>
      </c>
      <c r="M3780" s="38" t="n">
        <f aca="false">Sens!$AA$3780</f>
        <v>161.970932841136</v>
      </c>
      <c r="N3780" s="38" t="n">
        <f aca="false">Sens!$D$3780/2</f>
        <v>1.63095129083285</v>
      </c>
      <c r="O3780" s="38" t="n">
        <f aca="false">Sens!$D$3780/2</f>
        <v>1.63095129083285</v>
      </c>
      <c r="R3780" s="38" t="n">
        <f aca="false">SUMPRODUCT(--(Sens!$R$3746:$AA$3746&lt;Sens!R$3746),--(Sens!$R$3746:$AA$3746&gt;=Sens!R$3746-tk_life),Sens!$R$3777:$AA$3777)/tk_life</f>
        <v>0</v>
      </c>
      <c r="S3780" s="38" t="n">
        <f aca="false">SUMPRODUCT(--(Sens!$R$3746:$AA$3746&lt;Sens!S$3746),--(Sens!$R$3746:$AA$3746&gt;=Sens!S$3746-tk_life),Sens!$R$3777:$AA$3777)/tk_life</f>
        <v>0.183212798365523</v>
      </c>
      <c r="T3780" s="38" t="n">
        <f aca="false">SUMPRODUCT(--(Sens!$R$3746:$AA$3746&lt;Sens!T$3746),--(Sens!$R$3746:$AA$3746&gt;=Sens!T$3746-tk_life),Sens!$R$3777:$AA$3777)/tk_life</f>
        <v>3.2619025816657</v>
      </c>
      <c r="U3780" s="38" t="n">
        <f aca="false">SUMPRODUCT(--(Sens!$R$3746:$AA$3746&lt;Sens!U$3746),--(Sens!$R$3746:$AA$3746&gt;=Sens!U$3746-tk_life),Sens!$R$3777:$AA$3777)/tk_life</f>
        <v>11.7348570548391</v>
      </c>
      <c r="V3780" s="38" t="n">
        <f aca="false">SUMPRODUCT(--(Sens!$R$3746:$AA$3746&lt;Sens!V$3746),--(Sens!$R$3746:$AA$3746&gt;=Sens!V$3746-tk_life),Sens!$R$3777:$AA$3777)/tk_life</f>
        <v>32.0781968981833</v>
      </c>
      <c r="W3780" s="38" t="n">
        <f aca="false">SUMPRODUCT(--(Sens!$R$3746:$AA$3746&lt;Sens!W$3746),--(Sens!$R$3746:$AA$3746&gt;=Sens!W$3746-tk_life),Sens!$R$3777:$AA$3777)/tk_life</f>
        <v>57.4989942223083</v>
      </c>
      <c r="X3780" s="38" t="n">
        <f aca="false">SUMPRODUCT(--(Sens!$R$3746:$AA$3746&lt;Sens!X$3746),--(Sens!$R$3746:$AA$3746&gt;=Sens!X$3746-tk_life),Sens!$R$3777:$AA$3777)/tk_life</f>
        <v>83.932309040725</v>
      </c>
      <c r="Y3780" s="38" t="n">
        <f aca="false">SUMPRODUCT(--(Sens!$R$3746:$AA$3746&lt;Sens!Y$3746),--(Sens!$R$3746:$AA$3746&gt;=Sens!Y$3746-tk_life),Sens!$R$3777:$AA$3777)/tk_life</f>
        <v>111.055205760776</v>
      </c>
      <c r="Z3780" s="38" t="n">
        <f aca="false">SUMPRODUCT(--(Sens!$R$3746:$AA$3746&lt;Sens!Z$3746),--(Sens!$R$3746:$AA$3746&gt;=Sens!Z$3746-tk_life),Sens!$R$3777:$AA$3777)/tk_life</f>
        <v>136.155420195893</v>
      </c>
      <c r="AA3780" s="38" t="n">
        <f aca="false">SUMPRODUCT(--(Sens!$R$3746:$AA$3746&lt;Sens!AA$3746),--(Sens!$R$3746:$AA$3746&gt;=Sens!AA$3746-tk_life),Sens!$R$3777:$AA$3777)/tk_life</f>
        <v>161.970932841136</v>
      </c>
    </row>
    <row r="3781" customFormat="false" ht="17.15" hidden="false" customHeight="false" outlineLevel="0" collapsed="false">
      <c r="A3781" s="0" t="s">
        <v>593</v>
      </c>
      <c r="B3781" s="0" t="s">
        <v>73</v>
      </c>
      <c r="C3781" s="38" t="n">
        <f aca="false">Sens!$S$3781</f>
        <v>0.0202511502553155</v>
      </c>
      <c r="D3781" s="38" t="n">
        <f aca="false">Sens!$T$3781</f>
        <v>0.360549480652134</v>
      </c>
      <c r="E3781" s="38" t="n">
        <f aca="false">Sens!$G$3781/2</f>
        <v>0.648547360125127</v>
      </c>
      <c r="F3781" s="38" t="n">
        <f aca="false">Sens!$G$3781/2</f>
        <v>0.648547360125127</v>
      </c>
      <c r="G3781" s="38" t="n">
        <f aca="false">Sens!$U$3781</f>
        <v>1.29709472025025</v>
      </c>
      <c r="H3781" s="38" t="n">
        <f aca="false">Sens!$V$3781</f>
        <v>3.21599529914753</v>
      </c>
      <c r="I3781" s="38" t="n">
        <f aca="false">Sens!$W$3781</f>
        <v>5.51832434914753</v>
      </c>
      <c r="J3781" s="38" t="n">
        <f aca="false">Sens!$X$3781</f>
        <v>7.82065339914753</v>
      </c>
      <c r="K3781" s="38" t="n">
        <f aca="false">Sens!$Y$3781</f>
        <v>10.1229824491475</v>
      </c>
      <c r="L3781" s="38" t="n">
        <f aca="false">Sens!$Z$3781</f>
        <v>12.4253114991475</v>
      </c>
      <c r="M3781" s="38" t="n">
        <f aca="false">Sens!$AA$3781</f>
        <v>14.7276405491475</v>
      </c>
      <c r="N3781" s="38" t="n">
        <f aca="false">Sens!$D$3781/2</f>
        <v>0.180274740326067</v>
      </c>
      <c r="O3781" s="38" t="n">
        <f aca="false">Sens!$D$3781/2</f>
        <v>0.180274740326067</v>
      </c>
      <c r="R3781" s="38" t="n">
        <f aca="false">SUMPRODUCT(--(Sens!$R$3746:$AA$3746&lt;Sens!R$3746),Sens!$R$3778:$AA$3778)/fac_life</f>
        <v>0</v>
      </c>
      <c r="S3781" s="38" t="n">
        <f aca="false">SUMPRODUCT(--(Sens!$R$3746:$AA$3746&lt;Sens!S$3746),Sens!$R$3778:$AA$3778)/fac_life</f>
        <v>0.0202511502553155</v>
      </c>
      <c r="T3781" s="38" t="n">
        <f aca="false">SUMPRODUCT(--(Sens!$R$3746:$AA$3746&lt;Sens!T$3746),Sens!$R$3778:$AA$3778)/fac_life</f>
        <v>0.360549480652134</v>
      </c>
      <c r="U3781" s="38" t="n">
        <f aca="false">SUMPRODUCT(--(Sens!$R$3746:$AA$3746&lt;Sens!U$3746),Sens!$R$3778:$AA$3778)/fac_life</f>
        <v>1.29709472025025</v>
      </c>
      <c r="V3781" s="38" t="n">
        <f aca="false">SUMPRODUCT(--(Sens!$R$3746:$AA$3746&lt;Sens!V$3746),Sens!$R$3778:$AA$3778)/fac_life</f>
        <v>3.21599529914753</v>
      </c>
      <c r="W3781" s="38" t="n">
        <f aca="false">SUMPRODUCT(--(Sens!$R$3746:$AA$3746&lt;Sens!W$3746),Sens!$R$3778:$AA$3778)/fac_life</f>
        <v>5.51832434914753</v>
      </c>
      <c r="X3781" s="38" t="n">
        <f aca="false">SUMPRODUCT(--(Sens!$R$3746:$AA$3746&lt;Sens!X$3746),Sens!$R$3778:$AA$3778)/fac_life</f>
        <v>7.82065339914753</v>
      </c>
      <c r="Y3781" s="38" t="n">
        <f aca="false">SUMPRODUCT(--(Sens!$R$3746:$AA$3746&lt;Sens!Y$3746),Sens!$R$3778:$AA$3778)/fac_life</f>
        <v>10.1229824491475</v>
      </c>
      <c r="Z3781" s="38" t="n">
        <f aca="false">SUMPRODUCT(--(Sens!$R$3746:$AA$3746&lt;Sens!Z$3746),Sens!$R$3778:$AA$3778)/fac_life</f>
        <v>12.4253114991475</v>
      </c>
      <c r="AA3781" s="38" t="n">
        <f aca="false">SUMPRODUCT(--(Sens!$R$3746:$AA$3746&lt;Sens!AA$3746),Sens!$R$3778:$AA$3778)/fac_life</f>
        <v>14.7276405491475</v>
      </c>
    </row>
    <row r="3782" customFormat="false" ht="17.15" hidden="false" customHeight="false" outlineLevel="0" collapsed="false">
      <c r="A3782" s="1" t="s">
        <v>594</v>
      </c>
      <c r="B3782" s="8" t="s">
        <v>73</v>
      </c>
      <c r="C3782" s="38" t="n">
        <f aca="false">Sens!$C$3780+Sens!$C$3781</f>
        <v>0.203463948620839</v>
      </c>
      <c r="D3782" s="38" t="n">
        <f aca="false">Sens!$D$3780+Sens!$D$3781</f>
        <v>3.62245206231783</v>
      </c>
      <c r="E3782" s="38" t="n">
        <f aca="false">Sens!$E$3780+Sens!$E$3781</f>
        <v>6.51597588754466</v>
      </c>
      <c r="F3782" s="38" t="n">
        <f aca="false">Sens!$F$3780+Sens!$F$3781</f>
        <v>6.51597588754466</v>
      </c>
      <c r="G3782" s="38" t="n">
        <f aca="false">Sens!$G$3780+Sens!$G$3781</f>
        <v>13.0319517750893</v>
      </c>
      <c r="H3782" s="38" t="n">
        <f aca="false">Sens!$H$3780+Sens!$H$3781</f>
        <v>35.2941921973308</v>
      </c>
      <c r="I3782" s="38" t="n">
        <f aca="false">Sens!$I$3780+Sens!$I$3781</f>
        <v>63.0173185714558</v>
      </c>
      <c r="J3782" s="38" t="n">
        <f aca="false">Sens!$J$3780+Sens!$J$3781</f>
        <v>91.7529624398725</v>
      </c>
      <c r="K3782" s="38" t="n">
        <f aca="false">Sens!$K$3780+Sens!$K$3781</f>
        <v>121.178188209924</v>
      </c>
      <c r="L3782" s="38" t="n">
        <f aca="false">Sens!$L$3780+Sens!$L$3781</f>
        <v>148.58073169504</v>
      </c>
      <c r="M3782" s="38" t="n">
        <f aca="false">Sens!$M$3780+Sens!$M$3781</f>
        <v>176.698573390283</v>
      </c>
      <c r="N3782" s="38" t="n">
        <f aca="false">Sens!$N$3780+Sens!$N$3781</f>
        <v>1.81122603115892</v>
      </c>
      <c r="O3782" s="38" t="n">
        <f aca="false">Sens!$O$3780+Sens!$O$3781</f>
        <v>1.81122603115892</v>
      </c>
      <c r="R3782" s="38" t="n">
        <f aca="false">Sens!$R$3780+Sens!$R$3781</f>
        <v>0</v>
      </c>
      <c r="S3782" s="38" t="n">
        <f aca="false">Sens!$S$3780+Sens!$S$3781</f>
        <v>0.203463948620839</v>
      </c>
      <c r="T3782" s="38" t="n">
        <f aca="false">Sens!$T$3780+Sens!$T$3781</f>
        <v>3.62245206231783</v>
      </c>
      <c r="U3782" s="38" t="n">
        <f aca="false">Sens!$U$3780+Sens!$U$3781</f>
        <v>13.0319517750893</v>
      </c>
      <c r="V3782" s="38" t="n">
        <f aca="false">Sens!$V$3780+Sens!$V$3781</f>
        <v>35.2941921973308</v>
      </c>
      <c r="W3782" s="38" t="n">
        <f aca="false">Sens!$W$3780+Sens!$W$3781</f>
        <v>63.0173185714558</v>
      </c>
      <c r="X3782" s="38" t="n">
        <f aca="false">Sens!$X$3780+Sens!$X$3781</f>
        <v>91.7529624398725</v>
      </c>
      <c r="Y3782" s="38" t="n">
        <f aca="false">Sens!$Y$3780+Sens!$Y$3781</f>
        <v>121.178188209924</v>
      </c>
      <c r="Z3782" s="38" t="n">
        <f aca="false">Sens!$Z$3780+Sens!$Z$3781</f>
        <v>148.58073169504</v>
      </c>
      <c r="AA3782" s="38" t="n">
        <f aca="false">Sens!$AA$3780+Sens!$AA$3781</f>
        <v>176.698573390283</v>
      </c>
    </row>
    <row r="3783" customFormat="false" ht="17.15" hidden="false" customHeight="false" outlineLevel="0" collapsed="false">
      <c r="A3783" s="0" t="s">
        <v>595</v>
      </c>
      <c r="B3783" s="0" t="s">
        <v>73</v>
      </c>
      <c r="C3783" s="38" t="n">
        <f aca="false">Sens!$S$3783</f>
        <v>26.578941154416</v>
      </c>
      <c r="D3783" s="38" t="n">
        <f aca="false">Sens!$T$3783</f>
        <v>92.5251207231008</v>
      </c>
      <c r="G3783" s="38" t="n">
        <f aca="false">Sens!$U$3783</f>
        <v>239.931219586022</v>
      </c>
      <c r="H3783" s="38" t="n">
        <f aca="false">Sens!$V$3783</f>
        <v>403.208392333442</v>
      </c>
      <c r="I3783" s="38" t="n">
        <f aca="false">Sens!$W$3783</f>
        <v>544.837543672486</v>
      </c>
      <c r="J3783" s="38" t="n">
        <f aca="false">Sens!$X$3783</f>
        <v>662.967819343113</v>
      </c>
      <c r="K3783" s="38" t="n">
        <f aca="false">Sens!$Y$3783</f>
        <v>756.90963744369</v>
      </c>
      <c r="L3783" s="38" t="n">
        <f aca="false">Sens!$Z$3783</f>
        <v>860.10628945915</v>
      </c>
      <c r="M3783" s="38" t="n">
        <f aca="false">Sens!$AA$3783</f>
        <v>995.283560834616</v>
      </c>
      <c r="R3783" s="38" t="n">
        <f aca="false">SUM(Sens!$R$3775:$R$3775)-SUM(Sens!$R$3782:$R$3782)</f>
        <v>1.50429979529945</v>
      </c>
      <c r="S3783" s="38" t="n">
        <f aca="false">SUM(Sens!$R$3775:$S$3775)-SUM(Sens!$R$3782:$S$3782)</f>
        <v>26.578941154416</v>
      </c>
      <c r="T3783" s="38" t="n">
        <f aca="false">SUM(Sens!$R$3775:$T$3775)-SUM(Sens!$R$3782:$T$3782)</f>
        <v>92.5251207231008</v>
      </c>
      <c r="U3783" s="38" t="n">
        <f aca="false">SUM(Sens!$R$3775:$U$3775)-SUM(Sens!$R$3782:$U$3782)</f>
        <v>239.931219586022</v>
      </c>
      <c r="V3783" s="38" t="n">
        <f aca="false">SUM(Sens!$R$3775:$V$3775)-SUM(Sens!$R$3782:$V$3782)</f>
        <v>403.208392333442</v>
      </c>
      <c r="W3783" s="38" t="n">
        <f aca="false">SUM(Sens!$R$3775:$W$3775)-SUM(Sens!$R$3782:$W$3782)</f>
        <v>544.837543672486</v>
      </c>
      <c r="X3783" s="38" t="n">
        <f aca="false">SUM(Sens!$R$3775:$X$3775)-SUM(Sens!$R$3782:$X$3782)</f>
        <v>662.967819343113</v>
      </c>
      <c r="Y3783" s="38" t="n">
        <f aca="false">SUM(Sens!$R$3775:$Y$3775)-SUM(Sens!$R$3782:$Y$3782)</f>
        <v>756.90963744369</v>
      </c>
      <c r="Z3783" s="38" t="n">
        <f aca="false">SUM(Sens!$R$3775:$Z$3775)-SUM(Sens!$R$3782:$Z$3782)</f>
        <v>860.10628945915</v>
      </c>
      <c r="AA3783" s="38" t="n">
        <f aca="false">SUM(Sens!$R$3775:$AA$3775)-SUM(Sens!$R$3782:$AA$3782)</f>
        <v>995.283560834616</v>
      </c>
    </row>
    <row r="3784" customFormat="false" ht="17.15" hidden="false" customHeight="false" outlineLevel="0" collapsed="false">
      <c r="A3784" s="1" t="s">
        <v>596</v>
      </c>
    </row>
    <row r="3785" customFormat="false" ht="17.15" hidden="false" customHeight="false" outlineLevel="0" collapsed="false">
      <c r="A3785" s="0" t="s">
        <v>597</v>
      </c>
      <c r="B3785" s="0" t="s">
        <v>73</v>
      </c>
      <c r="C3785" s="38" t="n">
        <f aca="false">Sens!$C$3766-ext_sh*Sens!$C$3768</f>
        <v>1.80694998843362</v>
      </c>
      <c r="D3785" s="38" t="n">
        <f aca="false">Sens!$D$3766-ext_sh*Sens!$D$3768</f>
        <v>6.77606245662607</v>
      </c>
      <c r="E3785" s="38" t="n">
        <f aca="false">Sens!$E$3766-ext_sh*Sens!$E$3768</f>
        <v>6.62548329092326</v>
      </c>
      <c r="F3785" s="38" t="n">
        <f aca="false">Sens!$F$3766-ext_sh*Sens!$F$3768</f>
        <v>11.7200577158706</v>
      </c>
      <c r="G3785" s="38" t="n">
        <f aca="false">Sens!$G$3766-ext_sh*Sens!$G$3768</f>
        <v>18.3455410067939</v>
      </c>
      <c r="H3785" s="38" t="n">
        <f aca="false">Sens!$H$3766-ext_sh*Sens!$H$3768</f>
        <v>47.5171727060453</v>
      </c>
      <c r="I3785" s="38" t="n">
        <f aca="false">Sens!$I$3766-ext_sh*Sens!$I$3768</f>
        <v>80.5539692643667</v>
      </c>
      <c r="J3785" s="38" t="n">
        <f aca="false">Sens!$J$3766-ext_sh*Sens!$J$3768</f>
        <v>113.759316834883</v>
      </c>
      <c r="K3785" s="38" t="n">
        <f aca="false">Sens!$K$3766-ext_sh*Sens!$K$3768</f>
        <v>147.020848076132</v>
      </c>
      <c r="L3785" s="38" t="n">
        <f aca="false">Sens!$L$3766-ext_sh*Sens!$L$3768</f>
        <v>180.307917349531</v>
      </c>
      <c r="M3785" s="38" t="n">
        <f aca="false">Sens!$M$3766-ext_sh*Sens!$M$3768</f>
        <v>213.608737871012</v>
      </c>
      <c r="N3785" s="38" t="n">
        <f aca="false">Sens!$N$3766-ext_sh*Sens!$N$3768</f>
        <v>2.37162185981912</v>
      </c>
      <c r="O3785" s="38" t="n">
        <f aca="false">Sens!$O$3766-ext_sh*Sens!$O$3768</f>
        <v>4.40444059680694</v>
      </c>
    </row>
    <row r="3786" customFormat="false" ht="17.15" hidden="false" customHeight="false" outlineLevel="0" collapsed="false">
      <c r="A3786" s="1" t="s">
        <v>598</v>
      </c>
      <c r="B3786" s="8" t="s">
        <v>73</v>
      </c>
      <c r="C3786" s="38" t="n">
        <f aca="false">Sens!$C$3785-ext_sh*Sens!$C$3782</f>
        <v>1.64417882953695</v>
      </c>
      <c r="D3786" s="38" t="n">
        <f aca="false">Sens!$D$3785-ext_sh*Sens!$D$3782</f>
        <v>3.8781008067718</v>
      </c>
      <c r="E3786" s="38" t="n">
        <f aca="false">Sens!$E$3785-ext_sh*Sens!$E$3782</f>
        <v>1.41270258088753</v>
      </c>
      <c r="F3786" s="38" t="n">
        <f aca="false">Sens!$F$3785-ext_sh*Sens!$F$3782</f>
        <v>6.50727700583486</v>
      </c>
      <c r="G3786" s="38" t="n">
        <f aca="false">Sens!$G$3785-ext_sh*Sens!$G$3782</f>
        <v>7.9199795867224</v>
      </c>
      <c r="H3786" s="38" t="n">
        <f aca="false">Sens!$H$3785-ext_sh*Sens!$H$3782</f>
        <v>19.2818189481807</v>
      </c>
      <c r="I3786" s="38" t="n">
        <f aca="false">Sens!$I$3785-ext_sh*Sens!$I$3782</f>
        <v>30.140114407202</v>
      </c>
      <c r="J3786" s="38" t="n">
        <f aca="false">Sens!$J$3785-ext_sh*Sens!$J$3782</f>
        <v>40.3569468829854</v>
      </c>
      <c r="K3786" s="38" t="n">
        <f aca="false">Sens!$K$3785-ext_sh*Sens!$K$3782</f>
        <v>50.0782975081929</v>
      </c>
      <c r="L3786" s="38" t="n">
        <f aca="false">Sens!$L$3785-ext_sh*Sens!$L$3782</f>
        <v>61.443331993499</v>
      </c>
      <c r="M3786" s="38" t="n">
        <f aca="false">Sens!$M$3785-ext_sh*Sens!$M$3782</f>
        <v>72.2498791587849</v>
      </c>
      <c r="N3786" s="38" t="n">
        <f aca="false">Sens!$N$3785-ext_sh*Sens!$N$3782</f>
        <v>0.92264103489199</v>
      </c>
      <c r="O3786" s="38" t="n">
        <f aca="false">Sens!$O$3785-ext_sh*Sens!$O$3782</f>
        <v>2.95545977187981</v>
      </c>
    </row>
    <row r="3787" customFormat="false" ht="17.15" hidden="false" customHeight="false" outlineLevel="0" collapsed="false">
      <c r="A3787" s="0" t="s">
        <v>599</v>
      </c>
      <c r="B3787" s="0" t="s">
        <v>52</v>
      </c>
      <c r="C3787" s="12" t="n">
        <f aca="false">Sens!$C$3786/Sens!$C$3766</f>
        <v>0.708390794789371</v>
      </c>
      <c r="D3787" s="12" t="n">
        <f aca="false">Sens!$D$3786/Sens!$D$3766</f>
        <v>0.445565630441968</v>
      </c>
      <c r="E3787" s="12" t="n">
        <f aca="false">Sens!$E$3786/Sens!$E$3766</f>
        <v>0.165998118402711</v>
      </c>
      <c r="F3787" s="12" t="n">
        <f aca="false">Sens!$F$3786/Sens!$F$3766</f>
        <v>0.434878595403858</v>
      </c>
      <c r="G3787" s="12" t="n">
        <f aca="false">Sens!$G$3786/Sens!$G$3766</f>
        <v>0.3373967615381</v>
      </c>
      <c r="H3787" s="12" t="n">
        <f aca="false">Sens!$H$3786/Sens!$H$3766</f>
        <v>0.320477578041224</v>
      </c>
      <c r="I3787" s="12" t="n">
        <f aca="false">Sens!$I$3786/Sens!$I$3766</f>
        <v>0.296936118226494</v>
      </c>
      <c r="J3787" s="12" t="n">
        <f aca="false">Sens!$J$3786/Sens!$J$3766</f>
        <v>0.282166278613001</v>
      </c>
      <c r="K3787" s="12" t="n">
        <f aca="false">Sens!$K$3786/Sens!$K$3766</f>
        <v>0.271267685694333</v>
      </c>
      <c r="L3787" s="12" t="n">
        <f aca="false">Sens!$L$3786/Sens!$L$3766</f>
        <v>0.27160960915653</v>
      </c>
      <c r="M3787" s="12" t="n">
        <f aca="false">Sens!$M$3786/Sens!$M$3766</f>
        <v>0.26974494804234</v>
      </c>
      <c r="N3787" s="12" t="n">
        <f aca="false">Sens!$N$3786/Sens!$N$3766</f>
        <v>0.302870734830849</v>
      </c>
      <c r="O3787" s="12" t="n">
        <f aca="false">Sens!$O$3786/Sens!$O$3766</f>
        <v>0.52240134346334</v>
      </c>
    </row>
    <row r="3788" customFormat="false" ht="17.15" hidden="false" customHeight="false" outlineLevel="0" collapsed="false">
      <c r="A3788" s="5" t="s">
        <v>600</v>
      </c>
      <c r="B3788" s="0" t="s">
        <v>73</v>
      </c>
      <c r="C3788" s="38" t="n">
        <f aca="false">rd2*(1-ext_sh)/ext_sh*Sens!$C$3749*he_open*Sens!$C$3750/1000</f>
        <v>0</v>
      </c>
      <c r="D3788" s="38" t="n">
        <f aca="false">rd2*(1-ext_sh)/ext_sh*Sens!$D$3749*he_open*Sens!$D$3750/1000</f>
        <v>0</v>
      </c>
      <c r="E3788" s="38" t="n">
        <f aca="false">rd2*(1-ext_sh)/ext_sh*Sens!$E$3749*he_open*Sens!$E$3750/1000</f>
        <v>0</v>
      </c>
      <c r="F3788" s="38" t="n">
        <f aca="false">rd2*(1-ext_sh)/ext_sh*(mw_open*he_open+Sens!$F$3764*Sens!$F$3761)*Sens!$F$3750/1000</f>
        <v>0</v>
      </c>
      <c r="G3788" s="38" t="n">
        <f aca="false">Sens!$E$3788+Sens!$F$3788</f>
        <v>0</v>
      </c>
      <c r="H3788" s="38" t="n">
        <f aca="false">rd2*(1-ext_sh)/ext_sh*(mw_open*he_open+Sens!$H$3764*Sens!$H$3761)*Sens!$H$3750/1000</f>
        <v>0</v>
      </c>
      <c r="I3788" s="38" t="n">
        <f aca="false">rd2*(1-ext_sh)/ext_sh*(mw_open*he_open+Sens!$I$3764*Sens!$I$3761)*Sens!$I$3750/1000</f>
        <v>0</v>
      </c>
      <c r="J3788" s="38" t="n">
        <f aca="false">rd2*(1-ext_sh)/ext_sh*(mw_open*he_open+Sens!$J$3764*Sens!$J$3761)*Sens!$J$3750/1000</f>
        <v>0</v>
      </c>
      <c r="K3788" s="38" t="n">
        <f aca="false">rd2*(1-ext_sh)/ext_sh*(mw_open*he_open+Sens!$K$3764*Sens!$K$3761)*Sens!$K$3750/1000</f>
        <v>0</v>
      </c>
      <c r="L3788" s="38" t="n">
        <f aca="false">rd2*(1-ext_sh)/ext_sh*(mw_open*he_open+Sens!$L$3764*Sens!$L$3761)*Sens!$L$3750/1000</f>
        <v>0</v>
      </c>
      <c r="M3788" s="38" t="n">
        <f aca="false">rd2*(1-ext_sh)/ext_sh*(mw_open*he_open+Sens!$M$3764*Sens!$M$3761)*Sens!$M$3750/1000</f>
        <v>0</v>
      </c>
      <c r="N3788" s="38" t="n">
        <f aca="false">rd2*(1-ext_sh)/ext_sh*Sens!$N$3749*he_open*Sens!$N$3750/1000</f>
        <v>0</v>
      </c>
      <c r="O3788" s="38" t="n">
        <f aca="false">rd2*(1-ext_sh)/ext_sh*Sens!$O$3749*he_open*Sens!$O$3750/1000</f>
        <v>0</v>
      </c>
      <c r="P3788" s="8" t="s">
        <v>601</v>
      </c>
    </row>
    <row r="3789" customFormat="false" ht="17.15" hidden="false" customHeight="false" outlineLevel="0" collapsed="false">
      <c r="A3789" s="5" t="s">
        <v>602</v>
      </c>
      <c r="B3789" s="0" t="s">
        <v>73</v>
      </c>
      <c r="C3789" s="38" t="n">
        <f aca="false">(1-ext_sh)*(Sens!$C$3768+Sens!$C$3782)-Sens!$C$3788</f>
        <v>0.169206631859174</v>
      </c>
      <c r="D3789" s="38" t="n">
        <f aca="false">(1-ext_sh)*(Sens!$D$3768+Sens!$D$3782)-Sens!$D$3788</f>
        <v>1.20641732046984</v>
      </c>
      <c r="E3789" s="38" t="n">
        <f aca="false">(1-ext_sh)*(Sens!$E$3768+Sens!$E$3782)-Sens!$E$3788</f>
        <v>1.77441259867062</v>
      </c>
      <c r="F3789" s="38" t="n">
        <f aca="false">(1-ext_sh)*(Sens!$F$3768+Sens!$F$3782)-Sens!$F$3788</f>
        <v>2.1140391597214</v>
      </c>
      <c r="G3789" s="38" t="n">
        <f aca="false">(1-ext_sh)*(Sens!$G$3768+Sens!$G$3782)-Sens!$G$3788</f>
        <v>3.88845175839202</v>
      </c>
      <c r="H3789" s="38" t="n">
        <f aca="false">(1-ext_sh)*(Sens!$H$3768+Sens!$H$3782)-Sens!$H$3788</f>
        <v>10.2210179503985</v>
      </c>
      <c r="I3789" s="38" t="n">
        <f aca="false">(1-ext_sh)*(Sens!$I$3768+Sens!$I$3782)-Sens!$I$3788</f>
        <v>17.8408961823075</v>
      </c>
      <c r="J3789" s="38" t="n">
        <f aca="false">(1-ext_sh)*(Sens!$J$3768+Sens!$J$3782)-Sens!$J$3788</f>
        <v>25.6671150670732</v>
      </c>
      <c r="K3789" s="38" t="n">
        <f aca="false">(1-ext_sh)*(Sens!$K$3768+Sens!$K$3782)-Sens!$K$3788</f>
        <v>33.6325293834986</v>
      </c>
      <c r="L3789" s="38" t="n">
        <f aca="false">(1-ext_sh)*(Sens!$L$3768+Sens!$L$3782)-Sens!$L$3788</f>
        <v>41.1939886299065</v>
      </c>
      <c r="M3789" s="38" t="n">
        <f aca="false">(1-ext_sh)*(Sens!$M$3768+Sens!$M$3782)-Sens!$M$3788</f>
        <v>48.8988205728617</v>
      </c>
      <c r="N3789" s="38" t="n">
        <f aca="false">(1-ext_sh)*(Sens!$N$3768+Sens!$N$3782)-Sens!$N$3788</f>
        <v>0.530919624033979</v>
      </c>
      <c r="O3789" s="38" t="n">
        <f aca="false">(1-ext_sh)*(Sens!$O$3768+Sens!$O$3782)-Sens!$O$3788</f>
        <v>0.675497696435861</v>
      </c>
    </row>
    <row r="3790" customFormat="false" ht="17.15" hidden="false" customHeight="false" outlineLevel="0" collapsed="false">
      <c r="A3790" s="0" t="s">
        <v>603</v>
      </c>
      <c r="B3790" s="0" t="s">
        <v>73</v>
      </c>
      <c r="C3790" s="38" t="n">
        <f aca="false">Q!$D$24</f>
        <v>39.834</v>
      </c>
      <c r="D3790" s="38" t="n">
        <f aca="false">Q!$E$24</f>
        <v>45.606</v>
      </c>
      <c r="E3790" s="38" t="n">
        <f aca="false">Q!$P$24</f>
        <v>30.782</v>
      </c>
      <c r="N3790" s="38" t="n">
        <f aca="false">Q!$N$24</f>
        <v>21.707</v>
      </c>
      <c r="O3790" s="38" t="n">
        <f aca="false">Q!$O$24</f>
        <v>23.899</v>
      </c>
    </row>
    <row r="3791" customFormat="false" ht="17.15" hidden="false" customHeight="false" outlineLevel="0" collapsed="false">
      <c r="A3791" s="0" t="s">
        <v>604</v>
      </c>
      <c r="B3791" s="0" t="s">
        <v>73</v>
      </c>
      <c r="C3791" s="38" t="n">
        <f aca="false">Sens!$C$3790-Sens!$C$3786</f>
        <v>38.1898211704631</v>
      </c>
      <c r="D3791" s="38" t="n">
        <f aca="false">Sens!$D$3790-Sens!$D$3786</f>
        <v>41.7278991932282</v>
      </c>
      <c r="E3791" s="38" t="n">
        <f aca="false">Sens!$E$3790-Sens!$E$3786</f>
        <v>29.3692974191125</v>
      </c>
      <c r="F3791" s="38" t="n">
        <f aca="false">Sens!$F$3770*Sens!$F$3792</f>
        <v>29.458060516894</v>
      </c>
      <c r="G3791" s="38" t="n">
        <f aca="false">Sens!$E$3791+Sens!$F$3791</f>
        <v>58.8273579360065</v>
      </c>
      <c r="H3791" s="38" t="n">
        <f aca="false">Sens!$H$3770*Sens!$H$3792</f>
        <v>67.8004040185081</v>
      </c>
      <c r="I3791" s="38" t="n">
        <f aca="false">Sens!$I$3770*Sens!$I$3792</f>
        <v>78.9527630302702</v>
      </c>
      <c r="J3791" s="38" t="n">
        <f aca="false">Sens!$J$3770*Sens!$J$3792</f>
        <v>88.6042681781841</v>
      </c>
      <c r="K3791" s="38" t="n">
        <f aca="false">Sens!$K$3770*Sens!$K$3792</f>
        <v>95.6926096324389</v>
      </c>
      <c r="L3791" s="38" t="n">
        <f aca="false">Sens!$L$3770*Sens!$L$3792</f>
        <v>103.348018403034</v>
      </c>
      <c r="M3791" s="38" t="n">
        <f aca="false">Sens!$M$3770*Sens!$M$3792</f>
        <v>111.615859875277</v>
      </c>
      <c r="N3791" s="38" t="n">
        <f aca="false">Sens!$N$3790-Sens!$N$3786</f>
        <v>20.784358965108</v>
      </c>
      <c r="O3791" s="38" t="n">
        <f aca="false">Sens!$O$3790-Sens!$O$3786</f>
        <v>20.9435402281202</v>
      </c>
      <c r="P3791" s="5" t="s">
        <v>605</v>
      </c>
    </row>
    <row r="3792" customFormat="false" ht="17.15" hidden="false" customHeight="false" outlineLevel="0" collapsed="false">
      <c r="A3792" s="0" t="s">
        <v>606</v>
      </c>
      <c r="B3792" s="0" t="s">
        <v>52</v>
      </c>
      <c r="C3792" s="12" t="n">
        <f aca="false">Sens!$C$3791/Sens!$C$3770</f>
        <v>0.362900395443635</v>
      </c>
      <c r="D3792" s="12" t="n">
        <f aca="false">Sens!$D$3791/Sens!$D$3770</f>
        <v>0.34767098474203</v>
      </c>
      <c r="E3792" s="12" t="n">
        <f aca="false">Sens!$E$3791/Sens!$E$3770</f>
        <v>0.411861655558416</v>
      </c>
      <c r="F3792" s="12" t="n">
        <f aca="false">(Sens!$O$3791+Sens!$E$3791)/(Sens!$O$3770+Sens!$E$3770)</f>
        <v>0.37480827803158</v>
      </c>
      <c r="G3792" s="12" t="n">
        <f aca="false">Sens!$G$3791/Sens!$G$3770</f>
        <v>0.392434440489471</v>
      </c>
      <c r="H3792" s="12" t="n">
        <f aca="false">Sens!$F$3792</f>
        <v>0.37480827803158</v>
      </c>
      <c r="I3792" s="12" t="n">
        <f aca="false">Sens!$F$3792</f>
        <v>0.37480827803158</v>
      </c>
      <c r="J3792" s="12" t="n">
        <f aca="false">Sens!$F$3792</f>
        <v>0.37480827803158</v>
      </c>
      <c r="K3792" s="12" t="n">
        <f aca="false">Sens!$F$3792</f>
        <v>0.37480827803158</v>
      </c>
      <c r="L3792" s="12" t="n">
        <f aca="false">Sens!$F$3792</f>
        <v>0.37480827803158</v>
      </c>
      <c r="M3792" s="12" t="n">
        <f aca="false">Sens!$F$3792</f>
        <v>0.37480827803158</v>
      </c>
      <c r="N3792" s="12" t="n">
        <f aca="false">Sens!$N$3791/Sens!$N$3770</f>
        <v>0.364039571356823</v>
      </c>
      <c r="O3792" s="12" t="n">
        <f aca="false">Sens!$O$3791/Sens!$O$3770</f>
        <v>0.332819892300086</v>
      </c>
      <c r="P3792" s="8" t="s">
        <v>607</v>
      </c>
    </row>
    <row r="3793" customFormat="false" ht="17.15" hidden="false" customHeight="false" outlineLevel="0" collapsed="false">
      <c r="A3793" s="0" t="s">
        <v>608</v>
      </c>
      <c r="B3793" s="0" t="s">
        <v>52</v>
      </c>
      <c r="D3793" s="12" t="n">
        <f aca="false">(Q!$E$31-ext_sh*Sens!$D$3782)/Sens!$D$3770</f>
        <v>0.154572973163571</v>
      </c>
    </row>
    <row r="3794" customFormat="false" ht="17.15" hidden="false" customHeight="false" outlineLevel="0" collapsed="false">
      <c r="A3794" s="0" t="s">
        <v>609</v>
      </c>
      <c r="B3794" s="0" t="s">
        <v>73</v>
      </c>
      <c r="C3794" s="38" t="n">
        <f aca="false">Q!$D$31</f>
        <v>13.32</v>
      </c>
      <c r="D3794" s="38" t="n">
        <f aca="false">Q!$E$31</f>
        <v>21.45</v>
      </c>
      <c r="E3794" s="38" t="n">
        <f aca="false">Q!$P$31</f>
        <v>15.353</v>
      </c>
      <c r="F3794" s="38" t="n">
        <f aca="false">ext_sh*Sens!$F$3782+Sens!$D$3793*Sens!$F$3770</f>
        <v>17.3614451462707</v>
      </c>
      <c r="G3794" s="38" t="n">
        <f aca="false">Sens!$E$3794+Sens!$F$3794</f>
        <v>32.7144451462707</v>
      </c>
      <c r="H3794" s="38" t="n">
        <f aca="false">ext_sh*Sens!$H$3782+Sens!$D$3793*Sens!$H$3770</f>
        <v>56.1966092719415</v>
      </c>
      <c r="I3794" s="38" t="n">
        <f aca="false">ext_sh*Sens!$I$3782+Sens!$D$3793*Sens!$I$3770</f>
        <v>82.9744039068297</v>
      </c>
      <c r="J3794" s="38" t="n">
        <f aca="false">ext_sh*Sens!$J$3782+Sens!$D$3793*Sens!$J$3770</f>
        <v>109.943252237669</v>
      </c>
      <c r="K3794" s="38" t="n">
        <f aca="false">ext_sh*Sens!$K$3782+Sens!$D$3793*Sens!$K$3770</f>
        <v>136.406703436571</v>
      </c>
      <c r="L3794" s="38" t="n">
        <f aca="false">ext_sh*Sens!$L$3782+Sens!$D$3793*Sens!$L$3770</f>
        <v>161.485870454155</v>
      </c>
      <c r="M3794" s="38" t="n">
        <f aca="false">ext_sh*Sens!$M$3782+Sens!$D$3793*Sens!$M$3770</f>
        <v>187.389846618199</v>
      </c>
      <c r="N3794" s="38" t="n">
        <f aca="false">Q!$N$31</f>
        <v>9.234</v>
      </c>
      <c r="O3794" s="38" t="n">
        <f aca="false">Q!$O$31</f>
        <v>12.216</v>
      </c>
    </row>
    <row r="3795" customFormat="false" ht="17.15" hidden="false" customHeight="false" outlineLevel="0" collapsed="false">
      <c r="A3795" s="1" t="s">
        <v>610</v>
      </c>
    </row>
    <row r="3796" customFormat="false" ht="17.15" hidden="false" customHeight="false" outlineLevel="0" collapsed="false">
      <c r="A3796" s="14" t="s">
        <v>611</v>
      </c>
      <c r="B3796" s="13" t="s">
        <v>52</v>
      </c>
      <c r="C3796" s="13"/>
      <c r="D3796" s="13"/>
      <c r="E3796" s="13"/>
      <c r="F3796" s="13"/>
      <c r="G3796" s="16" t="n">
        <f aca="false">Sens!$G$3786*(1-tax)/(ext_sh*(Sens!$D$3783+Sens!$G$3783)/2)</f>
        <v>0.0492184452944045</v>
      </c>
      <c r="H3796" s="16" t="n">
        <f aca="false">Sens!$H$3786*(1-tax)/(ext_sh*(Sens!$G$3783+Sens!$H$3783)/2)</f>
        <v>0.0619414246858107</v>
      </c>
      <c r="I3796" s="16" t="n">
        <f aca="false">Sens!$I$3786*(1-tax)/(ext_sh*(Sens!$H$3783+Sens!$I$3783)/2)</f>
        <v>0.0656831488051666</v>
      </c>
      <c r="J3796" s="16" t="n">
        <f aca="false">Sens!$J$3786*(1-tax)/(ext_sh*(Sens!$I$3783+Sens!$J$3783)/2)</f>
        <v>0.0690334849962116</v>
      </c>
      <c r="K3796" s="16" t="n">
        <f aca="false">Sens!$K$3786*(1-tax)/(ext_sh*(Sens!$J$3783+Sens!$K$3783)/2)</f>
        <v>0.0728680488295485</v>
      </c>
      <c r="L3796" s="16" t="n">
        <f aca="false">Sens!$L$3786*(1-tax)/(ext_sh*(Sens!$K$3783+Sens!$L$3783)/2)</f>
        <v>0.0785052878122331</v>
      </c>
      <c r="M3796" s="16" t="n">
        <f aca="false">Sens!$M$3786*(1-tax)/(ext_sh*(Sens!$L$3783+Sens!$M$3783)/2)</f>
        <v>0.0804526580722741</v>
      </c>
      <c r="N3796" s="13"/>
      <c r="O3796" s="13"/>
      <c r="P3796" s="8" t="s">
        <v>612</v>
      </c>
    </row>
    <row r="3797" customFormat="false" ht="17.15" hidden="false" customHeight="false" outlineLevel="0" collapsed="false">
      <c r="A3797" s="5" t="s">
        <v>613</v>
      </c>
      <c r="B3797" s="0" t="s">
        <v>57</v>
      </c>
      <c r="H3797" s="36" t="n">
        <f aca="false">Sens!$H$3766*1000/(mw_open*he_open+Sens!$H$3764*Sens!$H$3761)</f>
        <v>0.991949006767191</v>
      </c>
      <c r="I3797" s="36" t="n">
        <f aca="false">Sens!$I$3766*1000/(mw_open*he_open+Sens!$I$3764*Sens!$I$3761)</f>
        <v>0.991949006767191</v>
      </c>
      <c r="J3797" s="36" t="n">
        <f aca="false">Sens!$J$3766*1000/(mw_open*he_open+Sens!$J$3764*Sens!$J$3761)</f>
        <v>0.991949006767191</v>
      </c>
      <c r="K3797" s="36" t="n">
        <f aca="false">Sens!$K$3766*1000/(mw_open*he_open+Sens!$K$3764*Sens!$K$3761)</f>
        <v>0.991949006767191</v>
      </c>
      <c r="L3797" s="36" t="n">
        <f aca="false">Sens!$L$3766*1000/(mw_open*he_open+Sens!$L$3764*Sens!$L$3761)</f>
        <v>0.991949006767191</v>
      </c>
      <c r="M3797" s="36" t="n">
        <f aca="false">Sens!$M$3766*1000/(mw_open*he_open+Sens!$M$3764*Sens!$M$3761)</f>
        <v>0.991949006767192</v>
      </c>
    </row>
    <row r="3798" customFormat="false" ht="17.15" hidden="false" customHeight="false" outlineLevel="0" collapsed="false">
      <c r="A3798" s="5" t="s">
        <v>614</v>
      </c>
      <c r="B3798" s="0" t="s">
        <v>57</v>
      </c>
      <c r="H3798" s="36" t="n">
        <f aca="false">Sens!$H$3797*(Sens!$H$3766+wacc*ext_sh*(Sens!$G$3783+Sens!$H$3783)/2/(1-tax)-Sens!$H$3786)/Sens!$H$3766</f>
        <v>1.3149781212103</v>
      </c>
      <c r="I3798" s="36" t="n">
        <f aca="false">Sens!$I$3797*(Sens!$I$3766+wacc*ext_sh*(Sens!$H$3783+Sens!$I$3783)/2/(1-tax)-Sens!$I$3786)/Sens!$I$3766</f>
        <v>1.25742005569107</v>
      </c>
      <c r="J3798" s="36" t="n">
        <f aca="false">Sens!$J$3797*(Sens!$J$3766+wacc*ext_sh*(Sens!$I$3783+Sens!$J$3783)/2/(1-tax)-Sens!$J$3786)/Sens!$J$3766</f>
        <v>1.21838845868559</v>
      </c>
      <c r="K3798" s="36" t="n">
        <f aca="false">Sens!$K$3797*(Sens!$K$3766+wacc*ext_sh*(Sens!$J$3783+Sens!$K$3783)/2/(1-tax)-Sens!$K$3786)/Sens!$K$3766</f>
        <v>1.18402644209548</v>
      </c>
      <c r="L3798" s="36" t="n">
        <f aca="false">Sens!$L$3797*(Sens!$L$3766+wacc*ext_sh*(Sens!$K$3783+Sens!$L$3783)/2/(1-tax)-Sens!$L$3786)/Sens!$L$3766</f>
        <v>1.15111215322059</v>
      </c>
      <c r="M3798" s="36" t="n">
        <f aca="false">Sens!$M$3797*(Sens!$M$3766+wacc*ext_sh*(Sens!$L$3783+Sens!$M$3783)/2/(1-tax)-Sens!$M$3786)/Sens!$M$3766</f>
        <v>1.1397166845677</v>
      </c>
    </row>
    <row r="3799" customFormat="false" ht="17.15" hidden="false" customHeight="false" outlineLevel="0" collapsed="false">
      <c r="A3799" s="5" t="s">
        <v>615</v>
      </c>
      <c r="B3799" s="0" t="s">
        <v>52</v>
      </c>
      <c r="C3799" s="12" t="n">
        <f aca="false">Sens!$C$3767/tk_pq</f>
        <v>0.195316432429398</v>
      </c>
      <c r="D3799" s="12" t="n">
        <f aca="false">Sens!$D$3767/tk_pq</f>
        <v>0.195316432429398</v>
      </c>
      <c r="E3799" s="12" t="n">
        <f aca="false">Sens!$E$3767/tk_pq</f>
        <v>0.195316432429398</v>
      </c>
      <c r="F3799" s="12" t="n">
        <f aca="false">Sens!$F$3767/tk_pq</f>
        <v>0.202241827274866</v>
      </c>
      <c r="G3799" s="12" t="n">
        <f aca="false">Sens!$G$3767/tk_pq</f>
        <v>0.199675016194063</v>
      </c>
      <c r="H3799" s="12" t="n">
        <f aca="false">Sens!$H$3767/tk_pq</f>
        <v>0.212647947710325</v>
      </c>
      <c r="I3799" s="12" t="n">
        <f aca="false">Sens!$I$3767/tk_pq</f>
        <v>0.219285125475351</v>
      </c>
      <c r="J3799" s="12" t="n">
        <f aca="false">Sens!$J$3767/tk_pq</f>
        <v>0.222492493217189</v>
      </c>
      <c r="K3799" s="12" t="n">
        <f aca="false">Sens!$K$3767/tk_pq</f>
        <v>0.224371415939166</v>
      </c>
      <c r="L3799" s="12" t="n">
        <f aca="false">Sens!$L$3767/tk_pq</f>
        <v>0.225603749825993</v>
      </c>
      <c r="M3799" s="12" t="n">
        <f aca="false">Sens!$M$3767/tk_pq</f>
        <v>0.22647376274628</v>
      </c>
      <c r="N3799" s="12" t="n">
        <f aca="false">Sens!$N$3767/tk_pq</f>
        <v>0.195316432429398</v>
      </c>
      <c r="O3799" s="12" t="n">
        <f aca="false">Sens!$O$3767/tk_pq</f>
        <v>0.195316432429398</v>
      </c>
      <c r="P3799" s="5" t="s">
        <v>616</v>
      </c>
    </row>
    <row r="3802" customFormat="false" ht="17.15" hidden="false" customHeight="false" outlineLevel="0" collapsed="false">
      <c r="A3802" s="1" t="s">
        <v>643</v>
      </c>
    </row>
    <row r="3803" customFormat="false" ht="17.15" hidden="false" customHeight="false" outlineLevel="0" collapsed="false">
      <c r="A3803" s="0" t="s">
        <v>644</v>
      </c>
      <c r="B3803" s="0" t="s">
        <v>73</v>
      </c>
      <c r="C3803" s="38" t="n">
        <f aca="false">Sens!$C$3766</f>
        <v>2.32100535697364</v>
      </c>
      <c r="D3803" s="38" t="n">
        <f aca="false">Sens!$D$3766</f>
        <v>8.70377008865116</v>
      </c>
      <c r="E3803" s="38" t="n">
        <f aca="false">Sens!$E$3766</f>
        <v>8.51035297557002</v>
      </c>
      <c r="F3803" s="38" t="n">
        <f aca="false">Sens!$F$3766</f>
        <v>14.9634336447205</v>
      </c>
      <c r="G3803" s="38" t="n">
        <f aca="false">Sens!$G$3766</f>
        <v>23.4737866202905</v>
      </c>
      <c r="H3803" s="38" t="n">
        <f aca="false">Sens!$H$3766</f>
        <v>60.1658907497746</v>
      </c>
      <c r="I3803" s="38" t="n">
        <f aca="false">Sens!$I$3766</f>
        <v>101.503699136432</v>
      </c>
      <c r="J3803" s="38" t="n">
        <f aca="false">Sens!$J$3766</f>
        <v>143.025407151278</v>
      </c>
      <c r="K3803" s="38" t="n">
        <f aca="false">Sens!$K$3766</f>
        <v>184.608415042187</v>
      </c>
      <c r="L3803" s="38" t="n">
        <f aca="false">Sens!$L$3766</f>
        <v>226.219286513125</v>
      </c>
      <c r="M3803" s="38" t="n">
        <f aca="false">Sens!$M$3766</f>
        <v>267.845161450232</v>
      </c>
      <c r="N3803" s="38" t="n">
        <f aca="false">Sens!$N$3766</f>
        <v>3.04631953102791</v>
      </c>
      <c r="O3803" s="38" t="n">
        <f aca="false">Sens!$O$3766</f>
        <v>5.65745055762326</v>
      </c>
      <c r="P3803" s="8" t="s">
        <v>645</v>
      </c>
    </row>
    <row r="3804" customFormat="false" ht="17.15" hidden="false" customHeight="false" outlineLevel="0" collapsed="false">
      <c r="A3804" s="0" t="s">
        <v>646</v>
      </c>
      <c r="B3804" s="0" t="s">
        <v>73</v>
      </c>
      <c r="C3804" s="38" t="n">
        <f aca="false">Sens!$C$3770</f>
        <v>105.234994643026</v>
      </c>
      <c r="D3804" s="38" t="n">
        <f aca="false">Sens!$D$3770</f>
        <v>120.021229911349</v>
      </c>
      <c r="E3804" s="38" t="n">
        <f aca="false">Sens!$E$3770</f>
        <v>71.30864702443</v>
      </c>
      <c r="F3804" s="38" t="n">
        <f aca="false">Sens!$F$3770</f>
        <v>78.5950104186653</v>
      </c>
      <c r="G3804" s="38" t="n">
        <f aca="false">Sens!$G$3770</f>
        <v>149.903657443095</v>
      </c>
      <c r="H3804" s="38" t="n">
        <f aca="false">Sens!$H$3770</f>
        <v>180.893560768142</v>
      </c>
      <c r="I3804" s="38" t="n">
        <f aca="false">Sens!$I$3770</f>
        <v>210.64839721501</v>
      </c>
      <c r="J3804" s="38" t="n">
        <f aca="false">Sens!$J$3770</f>
        <v>236.398909446495</v>
      </c>
      <c r="K3804" s="38" t="n">
        <f aca="false">Sens!$K$3770</f>
        <v>255.310822202215</v>
      </c>
      <c r="L3804" s="38" t="n">
        <f aca="false">Sens!$L$3770</f>
        <v>275.735687978392</v>
      </c>
      <c r="M3804" s="38" t="n">
        <f aca="false">Sens!$M$3770</f>
        <v>297.794543016663</v>
      </c>
      <c r="N3804" s="38" t="n">
        <f aca="false">Sens!$N$3770</f>
        <v>57.0936804689721</v>
      </c>
      <c r="O3804" s="38" t="n">
        <f aca="false">Sens!$O$3770</f>
        <v>62.9275494423768</v>
      </c>
      <c r="P3804" s="8" t="s">
        <v>645</v>
      </c>
    </row>
    <row r="3805" customFormat="false" ht="17.15" hidden="false" customHeight="false" outlineLevel="0" collapsed="false">
      <c r="A3805" s="1" t="s">
        <v>476</v>
      </c>
      <c r="B3805" s="8" t="s">
        <v>73</v>
      </c>
      <c r="C3805" s="38" t="n">
        <f aca="false">Q!$D$7</f>
        <v>107.556</v>
      </c>
      <c r="D3805" s="38" t="n">
        <f aca="false">Q!$E$7</f>
        <v>128.725</v>
      </c>
      <c r="E3805" s="38" t="n">
        <f aca="false">Q!$P$7</f>
        <v>79.819</v>
      </c>
      <c r="F3805" s="38" t="n">
        <f aca="false">Sens!$F$3803+Sens!$F$3804</f>
        <v>93.5584440633857</v>
      </c>
      <c r="G3805" s="38" t="n">
        <f aca="false">Sens!$G$3803+Sens!$G$3804</f>
        <v>173.377444063386</v>
      </c>
      <c r="H3805" s="38" t="n">
        <f aca="false">Sens!$H$3803+Sens!$H$3804</f>
        <v>241.059451517916</v>
      </c>
      <c r="I3805" s="38" t="n">
        <f aca="false">Sens!$I$3803+Sens!$I$3804</f>
        <v>312.152096351442</v>
      </c>
      <c r="J3805" s="38" t="n">
        <f aca="false">Sens!$J$3803+Sens!$J$3804</f>
        <v>379.424316597773</v>
      </c>
      <c r="K3805" s="38" t="n">
        <f aca="false">Sens!$K$3803+Sens!$K$3804</f>
        <v>439.919237244402</v>
      </c>
      <c r="L3805" s="38" t="n">
        <f aca="false">Sens!$L$3803+Sens!$L$3804</f>
        <v>501.954974491517</v>
      </c>
      <c r="M3805" s="38" t="n">
        <f aca="false">Sens!$M$3803+Sens!$M$3804</f>
        <v>565.639704466895</v>
      </c>
      <c r="N3805" s="38" t="n">
        <f aca="false">Q!$N$7</f>
        <v>60.14</v>
      </c>
      <c r="O3805" s="38" t="n">
        <f aca="false">Q!$O$7</f>
        <v>68.585</v>
      </c>
      <c r="P3805" s="5" t="s">
        <v>647</v>
      </c>
    </row>
    <row r="3806" customFormat="false" ht="15" hidden="false" customHeight="false" outlineLevel="0" collapsed="false">
      <c r="A3806" s="3" t="s">
        <v>648</v>
      </c>
      <c r="B3806" s="8" t="s">
        <v>73</v>
      </c>
      <c r="C3806" s="38" t="n">
        <f aca="false">Q!$D$8</f>
        <v>637.959</v>
      </c>
      <c r="D3806" s="38" t="n">
        <f aca="false">Q!$E$8</f>
        <v>716.924</v>
      </c>
      <c r="E3806" s="38" t="n">
        <f aca="false">Q!$P$8</f>
        <v>382.125</v>
      </c>
      <c r="F3806" s="38" t="n">
        <f aca="false">Sens!$F$3739+Sens!$F$3805</f>
        <v>450.494873271816</v>
      </c>
      <c r="G3806" s="38" t="n">
        <f aca="false">Sens!$G$3739+Sens!$G$3805</f>
        <v>832.619873271816</v>
      </c>
      <c r="H3806" s="38" t="n">
        <f aca="false">Sens!$H$3739+Sens!$H$3805</f>
        <v>971.634229175987</v>
      </c>
      <c r="I3806" s="38" t="n">
        <f aca="false">Sens!$I$3739+Sens!$I$3805</f>
        <v>1112.73743356704</v>
      </c>
      <c r="J3806" s="38" t="n">
        <f aca="false">Sens!$J$3739+Sens!$J$3805</f>
        <v>1246.49419551652</v>
      </c>
      <c r="K3806" s="38" t="n">
        <f aca="false">Sens!$K$3739+Sens!$K$3805</f>
        <v>1367.56265566784</v>
      </c>
      <c r="L3806" s="38" t="n">
        <f aca="false">Sens!$L$3739+Sens!$L$3805</f>
        <v>1495.1026905866</v>
      </c>
      <c r="M3806" s="38" t="n">
        <f aca="false">Sens!$M$3739+Sens!$M$3805</f>
        <v>1629.69057335754</v>
      </c>
      <c r="N3806" s="38" t="n">
        <f aca="false">Q!$N$8</f>
        <v>323.369</v>
      </c>
      <c r="O3806" s="38" t="n">
        <f aca="false">Q!$O$8</f>
        <v>393.555</v>
      </c>
    </row>
    <row r="3807" customFormat="false" ht="17.15" hidden="false" customHeight="false" outlineLevel="0" collapsed="false">
      <c r="A3807" s="24" t="s">
        <v>656</v>
      </c>
      <c r="B3807" s="25" t="s">
        <v>73</v>
      </c>
      <c r="C3807" s="39" t="n">
        <f aca="false">Sens!$C$3739-(Sens!$C$3741+Sens!$C$3742)</f>
        <v>0</v>
      </c>
      <c r="D3807" s="39" t="n">
        <f aca="false">Sens!$D$3739-(Sens!$D$3741+Sens!$D$3742)</f>
        <v>0</v>
      </c>
      <c r="E3807" s="39" t="n">
        <f aca="false">Sens!$E$3739-(Sens!$E$3741+Sens!$E$3742)</f>
        <v>0</v>
      </c>
      <c r="F3807" s="39" t="n">
        <f aca="false">Sens!$F$3739-(Sens!$F$3741+Sens!$F$3742)</f>
        <v>0</v>
      </c>
      <c r="G3807" s="39" t="n">
        <f aca="false">Sens!$G$3739-(Sens!$G$3741+Sens!$G$3742)</f>
        <v>0</v>
      </c>
      <c r="H3807" s="39" t="n">
        <f aca="false">Sens!$H$3739-(Sens!$H$3741+Sens!$H$3742)</f>
        <v>0</v>
      </c>
      <c r="I3807" s="39" t="n">
        <f aca="false">Sens!$I$3739-(Sens!$I$3741+Sens!$I$3742)</f>
        <v>0</v>
      </c>
      <c r="J3807" s="39" t="n">
        <f aca="false">Sens!$J$3739-(Sens!$J$3741+Sens!$J$3742)</f>
        <v>0</v>
      </c>
      <c r="K3807" s="39" t="n">
        <f aca="false">Sens!$K$3739-(Sens!$K$3741+Sens!$K$3742)</f>
        <v>0</v>
      </c>
      <c r="L3807" s="39" t="n">
        <f aca="false">Sens!$L$3739-(Sens!$L$3741+Sens!$L$3742)</f>
        <v>0</v>
      </c>
      <c r="M3807" s="39" t="n">
        <f aca="false">Sens!$M$3739-(Sens!$M$3741+Sens!$M$3742)</f>
        <v>0</v>
      </c>
      <c r="N3807" s="39" t="n">
        <f aca="false">Sens!$N$3739-(Sens!$N$3741+Sens!$N$3742)</f>
        <v>0</v>
      </c>
      <c r="O3807" s="39" t="n">
        <f aca="false">Sens!$O$3739-(Sens!$O$3741+Sens!$O$3742)</f>
        <v>0</v>
      </c>
    </row>
    <row r="3808" customFormat="false" ht="17.15" hidden="false" customHeight="false" outlineLevel="0" collapsed="false">
      <c r="A3808" s="24" t="s">
        <v>657</v>
      </c>
      <c r="B3808" s="25" t="s">
        <v>73</v>
      </c>
      <c r="C3808" s="39" t="n">
        <f aca="false">Sens!$C$3803+Sens!$C$3804-Sens!$C$3805</f>
        <v>0</v>
      </c>
      <c r="D3808" s="39" t="n">
        <f aca="false">Sens!$D$3803+Sens!$D$3804-Sens!$D$3805</f>
        <v>0</v>
      </c>
      <c r="E3808" s="39" t="n">
        <f aca="false">Sens!$E$3803+Sens!$E$3804-Sens!$E$3805</f>
        <v>0</v>
      </c>
      <c r="F3808" s="39" t="n">
        <f aca="false">Sens!$F$3803+Sens!$F$3804-Sens!$F$3805</f>
        <v>0</v>
      </c>
      <c r="G3808" s="39" t="n">
        <f aca="false">Sens!$G$3803+Sens!$G$3804-Sens!$G$3805</f>
        <v>0</v>
      </c>
      <c r="H3808" s="39" t="n">
        <f aca="false">Sens!$H$3803+Sens!$H$3804-Sens!$H$3805</f>
        <v>0</v>
      </c>
      <c r="I3808" s="39" t="n">
        <f aca="false">Sens!$I$3803+Sens!$I$3804-Sens!$I$3805</f>
        <v>0</v>
      </c>
      <c r="J3808" s="39" t="n">
        <f aca="false">Sens!$J$3803+Sens!$J$3804-Sens!$J$3805</f>
        <v>0</v>
      </c>
      <c r="K3808" s="39" t="n">
        <f aca="false">Sens!$K$3803+Sens!$K$3804-Sens!$K$3805</f>
        <v>0</v>
      </c>
      <c r="L3808" s="39" t="n">
        <f aca="false">Sens!$L$3803+Sens!$L$3804-Sens!$L$3805</f>
        <v>0</v>
      </c>
      <c r="M3808" s="39" t="n">
        <f aca="false">Sens!$M$3803+Sens!$M$3804-Sens!$M$3805</f>
        <v>0</v>
      </c>
      <c r="N3808" s="39" t="n">
        <f aca="false">Sens!$N$3803+Sens!$N$3804-Sens!$N$3805</f>
        <v>0</v>
      </c>
      <c r="O3808" s="39" t="n">
        <f aca="false">Sens!$O$3803+Sens!$O$3804-Sens!$O$3805</f>
        <v>0</v>
      </c>
    </row>
    <row r="3809" customFormat="false" ht="17.15" hidden="false" customHeight="false" outlineLevel="0" collapsed="false">
      <c r="A3809" s="24" t="s">
        <v>658</v>
      </c>
      <c r="B3809" s="25" t="s">
        <v>73</v>
      </c>
      <c r="C3809" s="39" t="n">
        <f aca="false">Sens!$C$3741+Sens!$C$3742+Sens!$C$3805-Sens!$C$3806</f>
        <v>0</v>
      </c>
      <c r="D3809" s="39" t="n">
        <f aca="false">Sens!$D$3741+Sens!$D$3742+Sens!$D$3805-Sens!$D$3806</f>
        <v>0</v>
      </c>
      <c r="E3809" s="39" t="n">
        <f aca="false">Sens!$E$3741+Sens!$E$3742+Sens!$E$3805-Sens!$E$3806</f>
        <v>0</v>
      </c>
      <c r="F3809" s="39" t="n">
        <f aca="false">Sens!$F$3741+Sens!$F$3742+Sens!$F$3805-Sens!$F$3806</f>
        <v>0</v>
      </c>
      <c r="G3809" s="39" t="n">
        <f aca="false">Sens!$G$3741+Sens!$G$3742+Sens!$G$3805-Sens!$G$3806</f>
        <v>0</v>
      </c>
      <c r="H3809" s="39" t="n">
        <f aca="false">Sens!$H$3741+Sens!$H$3742+Sens!$H$3805-Sens!$H$3806</f>
        <v>0</v>
      </c>
      <c r="I3809" s="39" t="n">
        <f aca="false">Sens!$I$3741+Sens!$I$3742+Sens!$I$3805-Sens!$I$3806</f>
        <v>0</v>
      </c>
      <c r="J3809" s="39" t="n">
        <f aca="false">Sens!$J$3741+Sens!$J$3742+Sens!$J$3805-Sens!$J$3806</f>
        <v>0</v>
      </c>
      <c r="K3809" s="39" t="n">
        <f aca="false">Sens!$K$3741+Sens!$K$3742+Sens!$K$3805-Sens!$K$3806</f>
        <v>0</v>
      </c>
      <c r="L3809" s="39" t="n">
        <f aca="false">Sens!$L$3741+Sens!$L$3742+Sens!$L$3805-Sens!$L$3806</f>
        <v>0</v>
      </c>
      <c r="M3809" s="39" t="n">
        <f aca="false">Sens!$M$3741+Sens!$M$3742+Sens!$M$3805-Sens!$M$3806</f>
        <v>0</v>
      </c>
      <c r="N3809" s="39" t="n">
        <f aca="false">Sens!$N$3741+Sens!$N$3742+Sens!$N$3805-Sens!$N$3806</f>
        <v>0</v>
      </c>
      <c r="O3809" s="39" t="n">
        <f aca="false">Sens!$O$3741+Sens!$O$3742+Sens!$O$3805-Sens!$O$3806</f>
        <v>0</v>
      </c>
    </row>
    <row r="3810" customFormat="false" ht="15" hidden="false" customHeight="false" outlineLevel="0" collapsed="false">
      <c r="A3810" s="5" t="s">
        <v>652</v>
      </c>
      <c r="B3810" s="0" t="s">
        <v>52</v>
      </c>
      <c r="G3810" s="12" t="n">
        <f aca="false">Sens!$G$3806/Sens!$D$3806-1</f>
        <v>0.161378156222718</v>
      </c>
      <c r="H3810" s="12" t="n">
        <f aca="false">Sens!$H$3806/Sens!$G$3806-1</f>
        <v>0.166960170381123</v>
      </c>
      <c r="I3810" s="12" t="n">
        <f aca="false">Sens!$I$3806/Sens!$H$3806-1</f>
        <v>0.145222554078524</v>
      </c>
      <c r="J3810" s="12" t="n">
        <f aca="false">Sens!$J$3806/Sens!$I$3806-1</f>
        <v>0.120205142663979</v>
      </c>
      <c r="K3810" s="12" t="n">
        <f aca="false">Sens!$K$3806/Sens!$J$3806-1</f>
        <v>0.0971271752301668</v>
      </c>
      <c r="L3810" s="12" t="n">
        <f aca="false">Sens!$L$3806/Sens!$K$3806-1</f>
        <v>0.0932608348072213</v>
      </c>
      <c r="M3810" s="12" t="n">
        <f aca="false">Sens!$M$3806/Sens!$L$3806-1</f>
        <v>0.0900191562882771</v>
      </c>
    </row>
    <row r="3811" customFormat="false" ht="17.15" hidden="false" customHeight="false" outlineLevel="0" collapsed="false">
      <c r="A3811" s="0" t="s">
        <v>653</v>
      </c>
      <c r="B3811" s="0" t="s">
        <v>52</v>
      </c>
      <c r="C3811" s="12" t="n">
        <f aca="false">Sens!$C$3805/Sens!$C$3806</f>
        <v>0.168593906504964</v>
      </c>
      <c r="D3811" s="12" t="n">
        <f aca="false">Sens!$D$3805/Sens!$D$3806</f>
        <v>0.179551807444025</v>
      </c>
      <c r="E3811" s="12" t="n">
        <f aca="false">Sens!$E$3805/Sens!$E$3806</f>
        <v>0.208881910369643</v>
      </c>
      <c r="F3811" s="12" t="n">
        <f aca="false">Sens!$F$3805/Sens!$F$3806</f>
        <v>0.207679264769203</v>
      </c>
      <c r="G3811" s="12" t="n">
        <f aca="false">Sens!$G$3805/Sens!$G$3806</f>
        <v>0.208231210458731</v>
      </c>
      <c r="H3811" s="12" t="n">
        <f aca="false">Sens!$H$3805/Sens!$H$3806</f>
        <v>0.248096911656098</v>
      </c>
      <c r="I3811" s="12" t="n">
        <f aca="false">Sens!$I$3805/Sens!$I$3806</f>
        <v>0.280526283141921</v>
      </c>
      <c r="J3811" s="12" t="n">
        <f aca="false">Sens!$J$3805/Sens!$J$3806</f>
        <v>0.304393167623656</v>
      </c>
      <c r="K3811" s="12" t="n">
        <f aca="false">Sens!$K$3805/Sens!$K$3806</f>
        <v>0.321681230049069</v>
      </c>
      <c r="L3811" s="12" t="n">
        <f aca="false">Sens!$L$3805/Sens!$L$3806</f>
        <v>0.335732774512349</v>
      </c>
      <c r="M3811" s="12" t="n">
        <f aca="false">Sens!$M$3805/Sens!$M$3806</f>
        <v>0.347084111373085</v>
      </c>
      <c r="N3811" s="12" t="n">
        <f aca="false">Sens!$N$3805/Sens!$N$3806</f>
        <v>0.185979484737251</v>
      </c>
      <c r="O3811" s="12" t="n">
        <f aca="false">Sens!$O$3805/Sens!$O$3806</f>
        <v>0.174270432341096</v>
      </c>
    </row>
    <row r="3812" customFormat="false" ht="17.15" hidden="false" customHeight="false" outlineLevel="0" collapsed="false">
      <c r="A3812" s="0" t="s">
        <v>654</v>
      </c>
      <c r="B3812" s="0" t="s">
        <v>52</v>
      </c>
      <c r="C3812" s="12" t="n">
        <f aca="false">Sens!$C$3803/Sens!$C$3805</f>
        <v>0.0215795060896058</v>
      </c>
      <c r="D3812" s="12" t="n">
        <f aca="false">Sens!$D$3803/Sens!$D$3805</f>
        <v>0.0676152269462122</v>
      </c>
      <c r="E3812" s="12" t="n">
        <f aca="false">Sens!$E$3803/Sens!$E$3805</f>
        <v>0.106620641395783</v>
      </c>
      <c r="F3812" s="12" t="n">
        <f aca="false">Sens!$F$3803/Sens!$F$3805</f>
        <v>0.159936751776064</v>
      </c>
      <c r="G3812" s="12" t="n">
        <f aca="false">Sens!$G$3803/Sens!$G$3805</f>
        <v>0.135391237003751</v>
      </c>
      <c r="H3812" s="12" t="n">
        <f aca="false">Sens!$H$3803/Sens!$H$3805</f>
        <v>0.249589428545194</v>
      </c>
      <c r="I3812" s="12" t="n">
        <f aca="false">Sens!$I$3803/Sens!$I$3805</f>
        <v>0.325173850577483</v>
      </c>
      <c r="J3812" s="12" t="n">
        <f aca="false">Sens!$J$3803/Sens!$J$3805</f>
        <v>0.376953718817392</v>
      </c>
      <c r="K3812" s="12" t="n">
        <f aca="false">Sens!$K$3803/Sens!$K$3805</f>
        <v>0.419641605578676</v>
      </c>
      <c r="L3812" s="12" t="n">
        <f aca="false">Sens!$L$3803/Sens!$L$3805</f>
        <v>0.450676451094615</v>
      </c>
      <c r="M3812" s="12" t="n">
        <f aca="false">Sens!$M$3803/Sens!$M$3805</f>
        <v>0.473526096798086</v>
      </c>
      <c r="N3812" s="12" t="n">
        <f aca="false">Sens!$N$3803/Sens!$N$3805</f>
        <v>0.0506537999838362</v>
      </c>
      <c r="O3812" s="12" t="n">
        <f aca="false">Sens!$O$3803/Sens!$O$3805</f>
        <v>0.0824881615167056</v>
      </c>
    </row>
    <row r="3815" customFormat="false" ht="19.4" hidden="false" customHeight="false" outlineLevel="0" collapsed="false">
      <c r="A3815" s="31" t="s">
        <v>1127</v>
      </c>
    </row>
    <row r="3816" customFormat="false" ht="17.15" hidden="false" customHeight="false" outlineLevel="0" collapsed="false">
      <c r="A3816" s="6" t="s">
        <v>16</v>
      </c>
      <c r="B3816" s="6" t="s">
        <v>17</v>
      </c>
      <c r="C3816" s="20" t="s">
        <v>457</v>
      </c>
      <c r="D3816" s="20" t="s">
        <v>458</v>
      </c>
      <c r="E3816" s="20" t="s">
        <v>540</v>
      </c>
      <c r="F3816" s="20" t="s">
        <v>541</v>
      </c>
      <c r="G3816" s="20" t="s">
        <v>542</v>
      </c>
      <c r="H3816" s="20" t="s">
        <v>543</v>
      </c>
      <c r="I3816" s="20" t="s">
        <v>544</v>
      </c>
      <c r="J3816" s="20" t="s">
        <v>545</v>
      </c>
      <c r="K3816" s="20" t="s">
        <v>546</v>
      </c>
      <c r="L3816" s="20" t="s">
        <v>547</v>
      </c>
      <c r="M3816" s="20" t="s">
        <v>548</v>
      </c>
      <c r="N3816" s="20" t="s">
        <v>549</v>
      </c>
      <c r="O3816" s="20" t="s">
        <v>550</v>
      </c>
      <c r="P3816" s="6" t="s">
        <v>23</v>
      </c>
      <c r="R3816" s="20" t="n">
        <v>2023</v>
      </c>
      <c r="S3816" s="20" t="n">
        <v>2024</v>
      </c>
      <c r="T3816" s="20" t="n">
        <v>2025</v>
      </c>
      <c r="U3816" s="20" t="n">
        <v>2026</v>
      </c>
      <c r="V3816" s="20" t="n">
        <v>2027</v>
      </c>
      <c r="W3816" s="20" t="n">
        <v>2028</v>
      </c>
      <c r="X3816" s="20" t="n">
        <v>2029</v>
      </c>
      <c r="Y3816" s="20" t="n">
        <v>2030</v>
      </c>
      <c r="Z3816" s="20" t="n">
        <v>2031</v>
      </c>
      <c r="AA3816" s="20" t="n">
        <v>2032</v>
      </c>
    </row>
    <row r="3817" customFormat="false" ht="17.15" hidden="false" customHeight="false" outlineLevel="0" collapsed="false">
      <c r="A3817" s="1" t="s">
        <v>669</v>
      </c>
    </row>
    <row r="3818" customFormat="false" ht="15" hidden="false" customHeight="false" outlineLevel="0" collapsed="false">
      <c r="A3818" s="0" t="s">
        <v>479</v>
      </c>
      <c r="B3818" s="0" t="s">
        <v>73</v>
      </c>
      <c r="C3818" s="38" t="n">
        <f aca="false">Sens!$C$3727</f>
        <v>247.029</v>
      </c>
      <c r="D3818" s="38" t="n">
        <f aca="false">Sens!$D$3727</f>
        <v>269.287</v>
      </c>
      <c r="E3818" s="38" t="n">
        <f aca="false">Sens!$E$3727</f>
        <v>134.686</v>
      </c>
      <c r="F3818" s="38" t="n">
        <f aca="false">Sens!$F$3727</f>
        <v>160.728085930082</v>
      </c>
      <c r="G3818" s="38" t="n">
        <f aca="false">Sens!$G$3727</f>
        <v>295.414085930082</v>
      </c>
      <c r="H3818" s="38" t="n">
        <f aca="false">Sens!$H$3727</f>
        <v>320.828163943375</v>
      </c>
      <c r="I3818" s="38" t="n">
        <f aca="false">Sens!$I$3727</f>
        <v>344.575578072228</v>
      </c>
      <c r="J3818" s="38" t="n">
        <f aca="false">Sens!$J$3727</f>
        <v>365.942555779681</v>
      </c>
      <c r="K3818" s="38" t="n">
        <f aca="false">Sens!$K$3727</f>
        <v>384.239683568665</v>
      </c>
      <c r="L3818" s="38" t="n">
        <f aca="false">Sens!$L$3727</f>
        <v>403.451667747098</v>
      </c>
      <c r="M3818" s="38" t="n">
        <f aca="false">Sens!$M$3727</f>
        <v>423.624251134453</v>
      </c>
      <c r="N3818" s="38" t="n">
        <f aca="false">Sens!$N$3727</f>
        <v>118.892</v>
      </c>
      <c r="O3818" s="38" t="n">
        <f aca="false">Sens!$O$3727</f>
        <v>150.395</v>
      </c>
    </row>
    <row r="3819" customFormat="false" ht="15" hidden="false" customHeight="false" outlineLevel="0" collapsed="false">
      <c r="A3819" s="0" t="s">
        <v>480</v>
      </c>
      <c r="B3819" s="0" t="s">
        <v>73</v>
      </c>
      <c r="C3819" s="38" t="n">
        <f aca="false">Sens!$C$3729</f>
        <v>21.215</v>
      </c>
      <c r="D3819" s="38" t="n">
        <f aca="false">Sens!$D$3729</f>
        <v>22.561</v>
      </c>
      <c r="E3819" s="38" t="n">
        <f aca="false">Sens!$E$3729</f>
        <v>11.579</v>
      </c>
      <c r="F3819" s="38" t="n">
        <f aca="false">Sens!$F$3729</f>
        <v>12.0952613121125</v>
      </c>
      <c r="G3819" s="38" t="n">
        <f aca="false">Sens!$G$3729</f>
        <v>23.6742613121125</v>
      </c>
      <c r="H3819" s="38" t="n">
        <f aca="false">Sens!$H$3729</f>
        <v>24.8803243963206</v>
      </c>
      <c r="I3819" s="38" t="n">
        <f aca="false">Sens!$I$3729</f>
        <v>25.9741308664154</v>
      </c>
      <c r="J3819" s="38" t="n">
        <f aca="false">Sens!$J$3729</f>
        <v>26.9346894124267</v>
      </c>
      <c r="K3819" s="38" t="n">
        <f aca="false">Sens!$K$3729</f>
        <v>27.7427300947995</v>
      </c>
      <c r="L3819" s="38" t="n">
        <f aca="false">Sens!$L$3729</f>
        <v>28.5750119976435</v>
      </c>
      <c r="M3819" s="38" t="n">
        <f aca="false">Sens!$M$3729</f>
        <v>29.4322623575728</v>
      </c>
      <c r="N3819" s="38" t="n">
        <f aca="false">Sens!$N$3729</f>
        <v>11.128</v>
      </c>
      <c r="O3819" s="38" t="n">
        <f aca="false">Sens!$O$3729</f>
        <v>11.433</v>
      </c>
    </row>
    <row r="3820" customFormat="false" ht="15" hidden="false" customHeight="false" outlineLevel="0" collapsed="false">
      <c r="A3820" s="0" t="s">
        <v>481</v>
      </c>
      <c r="B3820" s="0" t="s">
        <v>73</v>
      </c>
      <c r="C3820" s="38" t="n">
        <f aca="false">Sens!$C$3731</f>
        <v>156.146</v>
      </c>
      <c r="D3820" s="38" t="n">
        <f aca="false">Sens!$D$3731</f>
        <v>172.162</v>
      </c>
      <c r="E3820" s="38" t="n">
        <f aca="false">Sens!$E$3731</f>
        <v>88.358</v>
      </c>
      <c r="F3820" s="38" t="n">
        <f aca="false">Sens!$F$3731</f>
        <v>103.62028337149</v>
      </c>
      <c r="G3820" s="38" t="n">
        <f aca="false">Sens!$G$3731</f>
        <v>191.97828337149</v>
      </c>
      <c r="H3820" s="38" t="n">
        <f aca="false">Sens!$H$3731</f>
        <v>212.128608444755</v>
      </c>
      <c r="I3820" s="38" t="n">
        <f aca="false">Sens!$I$3731</f>
        <v>231.92183134134</v>
      </c>
      <c r="J3820" s="38" t="n">
        <f aca="false">Sens!$J$3731</f>
        <v>250.859136487863</v>
      </c>
      <c r="K3820" s="38" t="n">
        <f aca="false">Sens!$K$3731</f>
        <v>268.419276042014</v>
      </c>
      <c r="L3820" s="38" t="n">
        <f aca="false">Sens!$L$3731</f>
        <v>287.208625364954</v>
      </c>
      <c r="M3820" s="38" t="n">
        <f aca="false">Sens!$M$3731</f>
        <v>307.313229140501</v>
      </c>
      <c r="N3820" s="38" t="n">
        <f aca="false">Sens!$N$3731</f>
        <v>76.86</v>
      </c>
      <c r="O3820" s="38" t="n">
        <f aca="false">Sens!$O$3731</f>
        <v>95.302</v>
      </c>
    </row>
    <row r="3821" customFormat="false" ht="15" hidden="false" customHeight="false" outlineLevel="0" collapsed="false">
      <c r="A3821" s="0" t="s">
        <v>482</v>
      </c>
      <c r="B3821" s="0" t="s">
        <v>73</v>
      </c>
      <c r="C3821" s="38" t="n">
        <f aca="false">Sens!$C$3733</f>
        <v>56.214</v>
      </c>
      <c r="D3821" s="38" t="n">
        <f aca="false">Sens!$D$3733</f>
        <v>68.635</v>
      </c>
      <c r="E3821" s="38" t="n">
        <f aca="false">Sens!$E$3733</f>
        <v>37.052</v>
      </c>
      <c r="F3821" s="38" t="n">
        <f aca="false">Sens!$F$3733</f>
        <v>48.1533381827382</v>
      </c>
      <c r="G3821" s="38" t="n">
        <f aca="false">Sens!$G$3733</f>
        <v>85.2053381827382</v>
      </c>
      <c r="H3821" s="38" t="n">
        <f aca="false">Sens!$H$3733</f>
        <v>102.932401895311</v>
      </c>
      <c r="I3821" s="38" t="n">
        <f aca="false">Sens!$I$3733</f>
        <v>121.669605102968</v>
      </c>
      <c r="J3821" s="38" t="n">
        <f aca="false">Sens!$J$3733</f>
        <v>140.652135641804</v>
      </c>
      <c r="K3821" s="38" t="n">
        <f aca="false">Sens!$K$3733</f>
        <v>158.936913275239</v>
      </c>
      <c r="L3821" s="38" t="n">
        <f aca="false">Sens!$L$3733</f>
        <v>179.59871200102</v>
      </c>
      <c r="M3821" s="38" t="n">
        <f aca="false">Sens!$M$3733</f>
        <v>202.946544561152</v>
      </c>
      <c r="N3821" s="38" t="n">
        <f aca="false">Sens!$N$3733</f>
        <v>29.615</v>
      </c>
      <c r="O3821" s="38" t="n">
        <f aca="false">Sens!$O$3733</f>
        <v>39.02</v>
      </c>
    </row>
    <row r="3822" customFormat="false" ht="15" hidden="false" customHeight="false" outlineLevel="0" collapsed="false">
      <c r="A3822" s="0" t="s">
        <v>483</v>
      </c>
      <c r="B3822" s="0" t="s">
        <v>73</v>
      </c>
      <c r="C3822" s="38" t="n">
        <f aca="false">Sens!$C$3735</f>
        <v>44.374</v>
      </c>
      <c r="D3822" s="38" t="n">
        <f aca="false">Sens!$D$3735</f>
        <v>49.619</v>
      </c>
      <c r="E3822" s="38" t="n">
        <f aca="false">Sens!$E$3735</f>
        <v>27.157</v>
      </c>
      <c r="F3822" s="38" t="n">
        <f aca="false">Sens!$F$3735</f>
        <v>28.9776360923374</v>
      </c>
      <c r="G3822" s="38" t="n">
        <f aca="false">Sens!$G$3735</f>
        <v>56.1346360923374</v>
      </c>
      <c r="H3822" s="38" t="n">
        <f aca="false">Sens!$H$3735</f>
        <v>62.4937078946075</v>
      </c>
      <c r="I3822" s="38" t="n">
        <f aca="false">Sens!$I$3735</f>
        <v>68.6715233062498</v>
      </c>
      <c r="J3822" s="38" t="n">
        <f aca="false">Sens!$J$3735</f>
        <v>74.4692882949818</v>
      </c>
      <c r="K3822" s="38" t="n">
        <f aca="false">Sens!$K$3735</f>
        <v>79.6821384756306</v>
      </c>
      <c r="L3822" s="38" t="n">
        <f aca="false">Sens!$L$3735</f>
        <v>85.2598881689247</v>
      </c>
      <c r="M3822" s="38" t="n">
        <f aca="false">Sens!$M$3735</f>
        <v>91.2280803407494</v>
      </c>
      <c r="N3822" s="38" t="n">
        <f aca="false">Sens!$N$3735</f>
        <v>23.923</v>
      </c>
      <c r="O3822" s="38" t="n">
        <f aca="false">Sens!$O$3735</f>
        <v>25.696</v>
      </c>
    </row>
    <row r="3823" customFormat="false" ht="15" hidden="false" customHeight="false" outlineLevel="0" collapsed="false">
      <c r="A3823" s="0" t="s">
        <v>484</v>
      </c>
      <c r="B3823" s="0" t="s">
        <v>73</v>
      </c>
      <c r="C3823" s="38" t="n">
        <f aca="false">Sens!$C$3737</f>
        <v>5.425</v>
      </c>
      <c r="D3823" s="38" t="n">
        <f aca="false">Sens!$D$3737</f>
        <v>5.935</v>
      </c>
      <c r="E3823" s="38" t="n">
        <f aca="false">Sens!$E$3737</f>
        <v>3.474</v>
      </c>
      <c r="F3823" s="38" t="n">
        <f aca="false">Sens!$F$3737</f>
        <v>3.36182431966931</v>
      </c>
      <c r="G3823" s="38" t="n">
        <f aca="false">Sens!$G$3737</f>
        <v>6.83582431966931</v>
      </c>
      <c r="H3823" s="38" t="n">
        <f aca="false">Sens!$H$3737</f>
        <v>7.31157108370141</v>
      </c>
      <c r="I3823" s="38" t="n">
        <f aca="false">Sens!$I$3737</f>
        <v>7.77266852639815</v>
      </c>
      <c r="J3823" s="38" t="n">
        <f aca="false">Sens!$J$3737</f>
        <v>8.2120733019884</v>
      </c>
      <c r="K3823" s="38" t="n">
        <f aca="false">Sens!$K$3737</f>
        <v>8.62267696708783</v>
      </c>
      <c r="L3823" s="38" t="n">
        <f aca="false">Sens!$L$3737</f>
        <v>9.05381081544222</v>
      </c>
      <c r="M3823" s="38" t="n">
        <f aca="false">Sens!$M$3737</f>
        <v>9.50650135621433</v>
      </c>
      <c r="N3823" s="38" t="n">
        <f aca="false">Sens!$N$3737</f>
        <v>2.811</v>
      </c>
      <c r="O3823" s="38" t="n">
        <f aca="false">Sens!$O$3737</f>
        <v>3.124</v>
      </c>
    </row>
    <row r="3824" customFormat="false" ht="17.15" hidden="false" customHeight="false" outlineLevel="0" collapsed="false">
      <c r="A3824" s="0" t="s">
        <v>670</v>
      </c>
      <c r="B3824" s="0" t="s">
        <v>73</v>
      </c>
      <c r="C3824" s="38" t="n">
        <f aca="false">Sens!$C$3805</f>
        <v>107.556</v>
      </c>
      <c r="D3824" s="38" t="n">
        <f aca="false">Sens!$D$3805</f>
        <v>128.725</v>
      </c>
      <c r="E3824" s="38" t="n">
        <f aca="false">Sens!$E$3805</f>
        <v>79.819</v>
      </c>
      <c r="F3824" s="38" t="n">
        <f aca="false">Sens!$F$3805</f>
        <v>93.5584440633857</v>
      </c>
      <c r="G3824" s="38" t="n">
        <f aca="false">Sens!$G$3805</f>
        <v>173.377444063386</v>
      </c>
      <c r="H3824" s="38" t="n">
        <f aca="false">Sens!$H$3805</f>
        <v>241.059451517916</v>
      </c>
      <c r="I3824" s="38" t="n">
        <f aca="false">Sens!$I$3805</f>
        <v>312.152096351442</v>
      </c>
      <c r="J3824" s="38" t="n">
        <f aca="false">Sens!$J$3805</f>
        <v>379.424316597773</v>
      </c>
      <c r="K3824" s="38" t="n">
        <f aca="false">Sens!$K$3805</f>
        <v>439.919237244402</v>
      </c>
      <c r="L3824" s="38" t="n">
        <f aca="false">Sens!$L$3805</f>
        <v>501.954974491517</v>
      </c>
      <c r="M3824" s="38" t="n">
        <f aca="false">Sens!$M$3805</f>
        <v>565.639704466895</v>
      </c>
      <c r="N3824" s="38" t="n">
        <f aca="false">Sens!$N$3805</f>
        <v>60.14</v>
      </c>
      <c r="O3824" s="38" t="n">
        <f aca="false">Sens!$O$3805</f>
        <v>68.585</v>
      </c>
    </row>
    <row r="3825" customFormat="false" ht="15" hidden="false" customHeight="false" outlineLevel="0" collapsed="false">
      <c r="A3825" s="1" t="s">
        <v>472</v>
      </c>
      <c r="B3825" s="8" t="s">
        <v>73</v>
      </c>
      <c r="C3825" s="38" t="n">
        <f aca="false">Sens!$C$3741</f>
        <v>387.497</v>
      </c>
      <c r="D3825" s="38" t="n">
        <f aca="false">Sens!$D$3741</f>
        <v>426.305</v>
      </c>
      <c r="E3825" s="38" t="n">
        <f aca="false">Sens!$E$3741</f>
        <v>220.32</v>
      </c>
      <c r="F3825" s="38" t="n">
        <f aca="false">Sens!$F$3741</f>
        <v>256.304015003807</v>
      </c>
      <c r="G3825" s="38" t="n">
        <f aca="false">Sens!$G$3741</f>
        <v>476.624015003807</v>
      </c>
      <c r="H3825" s="38" t="n">
        <f aca="false">Sens!$H$3741</f>
        <v>528.196409029692</v>
      </c>
      <c r="I3825" s="38" t="n">
        <f aca="false">Sens!$I$3741</f>
        <v>578.813166250611</v>
      </c>
      <c r="J3825" s="38" t="n">
        <f aca="false">Sens!$J$3741</f>
        <v>626.880656749198</v>
      </c>
      <c r="K3825" s="38" t="n">
        <f aca="false">Sens!$K$3741</f>
        <v>670.674566732181</v>
      </c>
      <c r="L3825" s="38" t="n">
        <f aca="false">Sens!$L$3741</f>
        <v>718.033353079948</v>
      </c>
      <c r="M3825" s="38" t="n">
        <f aca="false">Sens!$M$3741</f>
        <v>769.295444026409</v>
      </c>
      <c r="N3825" s="38" t="n">
        <f aca="false">Sens!$N$3741</f>
        <v>192.955</v>
      </c>
      <c r="O3825" s="38" t="n">
        <f aca="false">Sens!$O$3741</f>
        <v>233.35</v>
      </c>
    </row>
    <row r="3826" customFormat="false" ht="15" hidden="false" customHeight="false" outlineLevel="0" collapsed="false">
      <c r="A3826" s="1" t="s">
        <v>475</v>
      </c>
      <c r="B3826" s="8" t="s">
        <v>73</v>
      </c>
      <c r="C3826" s="38" t="n">
        <f aca="false">Sens!$C$3742</f>
        <v>142.906</v>
      </c>
      <c r="D3826" s="38" t="n">
        <f aca="false">Sens!$D$3742</f>
        <v>161.894</v>
      </c>
      <c r="E3826" s="38" t="n">
        <f aca="false">Sens!$E$3742</f>
        <v>81.986</v>
      </c>
      <c r="F3826" s="38" t="n">
        <f aca="false">Sens!$F$3742</f>
        <v>100.632414204623</v>
      </c>
      <c r="G3826" s="38" t="n">
        <f aca="false">Sens!$G$3742</f>
        <v>182.618414204623</v>
      </c>
      <c r="H3826" s="38" t="n">
        <f aca="false">Sens!$H$3742</f>
        <v>202.378368628379</v>
      </c>
      <c r="I3826" s="38" t="n">
        <f aca="false">Sens!$I$3742</f>
        <v>221.772170964988</v>
      </c>
      <c r="J3826" s="38" t="n">
        <f aca="false">Sens!$J$3742</f>
        <v>240.189222169547</v>
      </c>
      <c r="K3826" s="38" t="n">
        <f aca="false">Sens!$K$3742</f>
        <v>256.968851691254</v>
      </c>
      <c r="L3826" s="38" t="n">
        <f aca="false">Sens!$L$3742</f>
        <v>275.114363015135</v>
      </c>
      <c r="M3826" s="38" t="n">
        <f aca="false">Sens!$M$3742</f>
        <v>294.755424864234</v>
      </c>
      <c r="N3826" s="38" t="n">
        <f aca="false">Sens!$N$3742</f>
        <v>70.274</v>
      </c>
      <c r="O3826" s="38" t="n">
        <f aca="false">Sens!$O$3742</f>
        <v>91.62</v>
      </c>
    </row>
    <row r="3827" customFormat="false" ht="15" hidden="false" customHeight="false" outlineLevel="0" collapsed="false">
      <c r="A3827" s="1" t="s">
        <v>476</v>
      </c>
      <c r="B3827" s="8" t="s">
        <v>73</v>
      </c>
      <c r="C3827" s="38" t="n">
        <f aca="false">Sens!$C$3805</f>
        <v>107.556</v>
      </c>
      <c r="D3827" s="38" t="n">
        <f aca="false">Sens!$D$3805</f>
        <v>128.725</v>
      </c>
      <c r="E3827" s="38" t="n">
        <f aca="false">Sens!$E$3805</f>
        <v>79.819</v>
      </c>
      <c r="F3827" s="38" t="n">
        <f aca="false">Sens!$F$3805</f>
        <v>93.5584440633857</v>
      </c>
      <c r="G3827" s="38" t="n">
        <f aca="false">Sens!$G$3805</f>
        <v>173.377444063386</v>
      </c>
      <c r="H3827" s="38" t="n">
        <f aca="false">Sens!$H$3805</f>
        <v>241.059451517916</v>
      </c>
      <c r="I3827" s="38" t="n">
        <f aca="false">Sens!$I$3805</f>
        <v>312.152096351442</v>
      </c>
      <c r="J3827" s="38" t="n">
        <f aca="false">Sens!$J$3805</f>
        <v>379.424316597773</v>
      </c>
      <c r="K3827" s="38" t="n">
        <f aca="false">Sens!$K$3805</f>
        <v>439.919237244402</v>
      </c>
      <c r="L3827" s="38" t="n">
        <f aca="false">Sens!$L$3805</f>
        <v>501.954974491517</v>
      </c>
      <c r="M3827" s="38" t="n">
        <f aca="false">Sens!$M$3805</f>
        <v>565.639704466895</v>
      </c>
      <c r="N3827" s="38" t="n">
        <f aca="false">Sens!$N$3805</f>
        <v>60.14</v>
      </c>
      <c r="O3827" s="38" t="n">
        <f aca="false">Sens!$O$3805</f>
        <v>68.585</v>
      </c>
    </row>
    <row r="3828" customFormat="false" ht="17.15" hidden="false" customHeight="false" outlineLevel="0" collapsed="false">
      <c r="A3828" s="0" t="s">
        <v>644</v>
      </c>
      <c r="B3828" s="0" t="s">
        <v>73</v>
      </c>
      <c r="C3828" s="38" t="n">
        <f aca="false">Sens!$C$3803</f>
        <v>2.32100535697364</v>
      </c>
      <c r="D3828" s="38" t="n">
        <f aca="false">Sens!$D$3803</f>
        <v>8.70377008865116</v>
      </c>
      <c r="E3828" s="38" t="n">
        <f aca="false">Sens!$E$3803</f>
        <v>8.51035297557002</v>
      </c>
      <c r="F3828" s="38" t="n">
        <f aca="false">Sens!$F$3803</f>
        <v>14.9634336447205</v>
      </c>
      <c r="G3828" s="38" t="n">
        <f aca="false">Sens!$G$3803</f>
        <v>23.4737866202905</v>
      </c>
      <c r="H3828" s="38" t="n">
        <f aca="false">Sens!$H$3803</f>
        <v>60.1658907497746</v>
      </c>
      <c r="I3828" s="38" t="n">
        <f aca="false">Sens!$I$3803</f>
        <v>101.503699136432</v>
      </c>
      <c r="J3828" s="38" t="n">
        <f aca="false">Sens!$J$3803</f>
        <v>143.025407151278</v>
      </c>
      <c r="K3828" s="38" t="n">
        <f aca="false">Sens!$K$3803</f>
        <v>184.608415042187</v>
      </c>
      <c r="L3828" s="38" t="n">
        <f aca="false">Sens!$L$3803</f>
        <v>226.219286513125</v>
      </c>
      <c r="M3828" s="38" t="n">
        <f aca="false">Sens!$M$3803</f>
        <v>267.845161450232</v>
      </c>
      <c r="N3828" s="38" t="n">
        <f aca="false">Sens!$N$3803</f>
        <v>3.04631953102791</v>
      </c>
      <c r="O3828" s="38" t="n">
        <f aca="false">Sens!$O$3803</f>
        <v>5.65745055762326</v>
      </c>
    </row>
    <row r="3829" customFormat="false" ht="17.15" hidden="false" customHeight="false" outlineLevel="0" collapsed="false">
      <c r="A3829" s="0" t="s">
        <v>646</v>
      </c>
      <c r="B3829" s="0" t="s">
        <v>73</v>
      </c>
      <c r="C3829" s="38" t="n">
        <f aca="false">Sens!$C$3804</f>
        <v>105.234994643026</v>
      </c>
      <c r="D3829" s="38" t="n">
        <f aca="false">Sens!$D$3804</f>
        <v>120.021229911349</v>
      </c>
      <c r="E3829" s="38" t="n">
        <f aca="false">Sens!$E$3804</f>
        <v>71.30864702443</v>
      </c>
      <c r="F3829" s="38" t="n">
        <f aca="false">Sens!$F$3804</f>
        <v>78.5950104186653</v>
      </c>
      <c r="G3829" s="38" t="n">
        <f aca="false">Sens!$G$3804</f>
        <v>149.903657443095</v>
      </c>
      <c r="H3829" s="38" t="n">
        <f aca="false">Sens!$H$3804</f>
        <v>180.893560768142</v>
      </c>
      <c r="I3829" s="38" t="n">
        <f aca="false">Sens!$I$3804</f>
        <v>210.64839721501</v>
      </c>
      <c r="J3829" s="38" t="n">
        <f aca="false">Sens!$J$3804</f>
        <v>236.398909446495</v>
      </c>
      <c r="K3829" s="38" t="n">
        <f aca="false">Sens!$K$3804</f>
        <v>255.310822202215</v>
      </c>
      <c r="L3829" s="38" t="n">
        <f aca="false">Sens!$L$3804</f>
        <v>275.735687978392</v>
      </c>
      <c r="M3829" s="38" t="n">
        <f aca="false">Sens!$M$3804</f>
        <v>297.794543016663</v>
      </c>
      <c r="N3829" s="38" t="n">
        <f aca="false">Sens!$N$3804</f>
        <v>57.0936804689721</v>
      </c>
      <c r="O3829" s="38" t="n">
        <f aca="false">Sens!$O$3804</f>
        <v>62.9275494423768</v>
      </c>
    </row>
    <row r="3830" customFormat="false" ht="15" hidden="false" customHeight="false" outlineLevel="0" collapsed="false">
      <c r="A3830" s="3" t="s">
        <v>477</v>
      </c>
      <c r="B3830" s="8" t="s">
        <v>73</v>
      </c>
      <c r="C3830" s="38" t="n">
        <f aca="false">Sens!$C$3806</f>
        <v>637.959</v>
      </c>
      <c r="D3830" s="38" t="n">
        <f aca="false">Sens!$D$3806</f>
        <v>716.924</v>
      </c>
      <c r="E3830" s="38" t="n">
        <f aca="false">Sens!$E$3806</f>
        <v>382.125</v>
      </c>
      <c r="F3830" s="38" t="n">
        <f aca="false">Sens!$F$3806</f>
        <v>450.494873271816</v>
      </c>
      <c r="G3830" s="38" t="n">
        <f aca="false">Sens!$G$3806</f>
        <v>832.619873271816</v>
      </c>
      <c r="H3830" s="38" t="n">
        <f aca="false">Sens!$H$3806</f>
        <v>971.634229175987</v>
      </c>
      <c r="I3830" s="38" t="n">
        <f aca="false">Sens!$I$3806</f>
        <v>1112.73743356704</v>
      </c>
      <c r="J3830" s="38" t="n">
        <f aca="false">Sens!$J$3806</f>
        <v>1246.49419551652</v>
      </c>
      <c r="K3830" s="38" t="n">
        <f aca="false">Sens!$K$3806</f>
        <v>1367.56265566784</v>
      </c>
      <c r="L3830" s="38" t="n">
        <f aca="false">Sens!$L$3806</f>
        <v>1495.1026905866</v>
      </c>
      <c r="M3830" s="38" t="n">
        <f aca="false">Sens!$M$3806</f>
        <v>1629.69057335754</v>
      </c>
      <c r="N3830" s="38" t="n">
        <f aca="false">Sens!$N$3806</f>
        <v>323.369</v>
      </c>
      <c r="O3830" s="38" t="n">
        <f aca="false">Sens!$O$3806</f>
        <v>393.555</v>
      </c>
    </row>
    <row r="3831" customFormat="false" ht="17.15" hidden="false" customHeight="false" outlineLevel="0" collapsed="false">
      <c r="A3831" s="24" t="s">
        <v>656</v>
      </c>
      <c r="B3831" s="25" t="s">
        <v>73</v>
      </c>
      <c r="C3831" s="39" t="n">
        <f aca="false">Sens!$C$3818+Sens!$C$3819+Sens!$C$3820+Sens!$C$3821+Sens!$C$3822+Sens!$C$3823-(Sens!$C$3825+Sens!$C$3826)</f>
        <v>0</v>
      </c>
      <c r="D3831" s="39" t="n">
        <f aca="false">Sens!$D$3818+Sens!$D$3819+Sens!$D$3820+Sens!$D$3821+Sens!$D$3822+Sens!$D$3823-(Sens!$D$3825+Sens!$D$3826)</f>
        <v>0</v>
      </c>
      <c r="E3831" s="39" t="n">
        <f aca="false">Sens!$E$3818+Sens!$E$3819+Sens!$E$3820+Sens!$E$3821+Sens!$E$3822+Sens!$E$3823-(Sens!$E$3825+Sens!$E$3826)</f>
        <v>0</v>
      </c>
      <c r="F3831" s="39" t="n">
        <f aca="false">Sens!$F$3818+Sens!$F$3819+Sens!$F$3820+Sens!$F$3821+Sens!$F$3822+Sens!$F$3823-(Sens!$F$3825+Sens!$F$3826)</f>
        <v>0</v>
      </c>
      <c r="G3831" s="39" t="n">
        <f aca="false">Sens!$G$3818+Sens!$G$3819+Sens!$G$3820+Sens!$G$3821+Sens!$G$3822+Sens!$G$3823-(Sens!$G$3825+Sens!$G$3826)</f>
        <v>0</v>
      </c>
      <c r="H3831" s="39" t="n">
        <f aca="false">Sens!$H$3818+Sens!$H$3819+Sens!$H$3820+Sens!$H$3821+Sens!$H$3822+Sens!$H$3823-(Sens!$H$3825+Sens!$H$3826)</f>
        <v>0</v>
      </c>
      <c r="I3831" s="39" t="n">
        <f aca="false">Sens!$I$3818+Sens!$I$3819+Sens!$I$3820+Sens!$I$3821+Sens!$I$3822+Sens!$I$3823-(Sens!$I$3825+Sens!$I$3826)</f>
        <v>0</v>
      </c>
      <c r="J3831" s="39" t="n">
        <f aca="false">Sens!$J$3818+Sens!$J$3819+Sens!$J$3820+Sens!$J$3821+Sens!$J$3822+Sens!$J$3823-(Sens!$J$3825+Sens!$J$3826)</f>
        <v>0</v>
      </c>
      <c r="K3831" s="39" t="n">
        <f aca="false">Sens!$K$3818+Sens!$K$3819+Sens!$K$3820+Sens!$K$3821+Sens!$K$3822+Sens!$K$3823-(Sens!$K$3825+Sens!$K$3826)</f>
        <v>0</v>
      </c>
      <c r="L3831" s="39" t="n">
        <f aca="false">Sens!$L$3818+Sens!$L$3819+Sens!$L$3820+Sens!$L$3821+Sens!$L$3822+Sens!$L$3823-(Sens!$L$3825+Sens!$L$3826)</f>
        <v>0</v>
      </c>
      <c r="M3831" s="39" t="n">
        <f aca="false">Sens!$M$3818+Sens!$M$3819+Sens!$M$3820+Sens!$M$3821+Sens!$M$3822+Sens!$M$3823-(Sens!$M$3825+Sens!$M$3826)</f>
        <v>0</v>
      </c>
      <c r="N3831" s="39" t="n">
        <f aca="false">Sens!$N$3818+Sens!$N$3819+Sens!$N$3820+Sens!$N$3821+Sens!$N$3822+Sens!$N$3823-(Sens!$N$3825+Sens!$N$3826)</f>
        <v>0</v>
      </c>
      <c r="O3831" s="39" t="n">
        <f aca="false">Sens!$O$3818+Sens!$O$3819+Sens!$O$3820+Sens!$O$3821+Sens!$O$3822+Sens!$O$3823-(Sens!$O$3825+Sens!$O$3826)</f>
        <v>0</v>
      </c>
    </row>
    <row r="3832" customFormat="false" ht="17.15" hidden="false" customHeight="false" outlineLevel="0" collapsed="false">
      <c r="A3832" s="24" t="s">
        <v>657</v>
      </c>
      <c r="B3832" s="25" t="s">
        <v>73</v>
      </c>
      <c r="C3832" s="39" t="n">
        <f aca="false">Sens!$C$3828+Sens!$C$3829-Sens!$C$3827</f>
        <v>0</v>
      </c>
      <c r="D3832" s="39" t="n">
        <f aca="false">Sens!$D$3828+Sens!$D$3829-Sens!$D$3827</f>
        <v>0</v>
      </c>
      <c r="E3832" s="39" t="n">
        <f aca="false">Sens!$E$3828+Sens!$E$3829-Sens!$E$3827</f>
        <v>0</v>
      </c>
      <c r="F3832" s="39" t="n">
        <f aca="false">Sens!$F$3828+Sens!$F$3829-Sens!$F$3827</f>
        <v>0</v>
      </c>
      <c r="G3832" s="39" t="n">
        <f aca="false">Sens!$G$3828+Sens!$G$3829-Sens!$G$3827</f>
        <v>0</v>
      </c>
      <c r="H3832" s="39" t="n">
        <f aca="false">Sens!$H$3828+Sens!$H$3829-Sens!$H$3827</f>
        <v>0</v>
      </c>
      <c r="I3832" s="39" t="n">
        <f aca="false">Sens!$I$3828+Sens!$I$3829-Sens!$I$3827</f>
        <v>0</v>
      </c>
      <c r="J3832" s="39" t="n">
        <f aca="false">Sens!$J$3828+Sens!$J$3829-Sens!$J$3827</f>
        <v>0</v>
      </c>
      <c r="K3832" s="39" t="n">
        <f aca="false">Sens!$K$3828+Sens!$K$3829-Sens!$K$3827</f>
        <v>0</v>
      </c>
      <c r="L3832" s="39" t="n">
        <f aca="false">Sens!$L$3828+Sens!$L$3829-Sens!$L$3827</f>
        <v>0</v>
      </c>
      <c r="M3832" s="39" t="n">
        <f aca="false">Sens!$M$3828+Sens!$M$3829-Sens!$M$3827</f>
        <v>0</v>
      </c>
      <c r="N3832" s="39" t="n">
        <f aca="false">Sens!$N$3828+Sens!$N$3829-Sens!$N$3827</f>
        <v>0</v>
      </c>
      <c r="O3832" s="39" t="n">
        <f aca="false">Sens!$O$3828+Sens!$O$3829-Sens!$O$3827</f>
        <v>0</v>
      </c>
    </row>
    <row r="3833" customFormat="false" ht="17.15" hidden="false" customHeight="false" outlineLevel="0" collapsed="false">
      <c r="A3833" s="24" t="s">
        <v>711</v>
      </c>
      <c r="B3833" s="25" t="s">
        <v>73</v>
      </c>
      <c r="C3833" s="39" t="n">
        <f aca="false">Sens!$C$3818+Sens!$C$3819+Sens!$C$3820+Sens!$C$3821+Sens!$C$3822+Sens!$C$3823+Sens!$C$3824-Sens!$C$3830</f>
        <v>0</v>
      </c>
      <c r="D3833" s="39" t="n">
        <f aca="false">Sens!$D$3818+Sens!$D$3819+Sens!$D$3820+Sens!$D$3821+Sens!$D$3822+Sens!$D$3823+Sens!$D$3824-Sens!$D$3830</f>
        <v>0</v>
      </c>
      <c r="E3833" s="39" t="n">
        <f aca="false">Sens!$E$3818+Sens!$E$3819+Sens!$E$3820+Sens!$E$3821+Sens!$E$3822+Sens!$E$3823+Sens!$E$3824-Sens!$E$3830</f>
        <v>0</v>
      </c>
      <c r="F3833" s="39" t="n">
        <f aca="false">Sens!$F$3818+Sens!$F$3819+Sens!$F$3820+Sens!$F$3821+Sens!$F$3822+Sens!$F$3823+Sens!$F$3824-Sens!$F$3830</f>
        <v>0</v>
      </c>
      <c r="G3833" s="39" t="n">
        <f aca="false">Sens!$G$3818+Sens!$G$3819+Sens!$G$3820+Sens!$G$3821+Sens!$G$3822+Sens!$G$3823+Sens!$G$3824-Sens!$G$3830</f>
        <v>0</v>
      </c>
      <c r="H3833" s="39" t="n">
        <f aca="false">Sens!$H$3818+Sens!$H$3819+Sens!$H$3820+Sens!$H$3821+Sens!$H$3822+Sens!$H$3823+Sens!$H$3824-Sens!$H$3830</f>
        <v>0</v>
      </c>
      <c r="I3833" s="39" t="n">
        <f aca="false">Sens!$I$3818+Sens!$I$3819+Sens!$I$3820+Sens!$I$3821+Sens!$I$3822+Sens!$I$3823+Sens!$I$3824-Sens!$I$3830</f>
        <v>0</v>
      </c>
      <c r="J3833" s="39" t="n">
        <f aca="false">Sens!$J$3818+Sens!$J$3819+Sens!$J$3820+Sens!$J$3821+Sens!$J$3822+Sens!$J$3823+Sens!$J$3824-Sens!$J$3830</f>
        <v>0</v>
      </c>
      <c r="K3833" s="39" t="n">
        <f aca="false">Sens!$K$3818+Sens!$K$3819+Sens!$K$3820+Sens!$K$3821+Sens!$K$3822+Sens!$K$3823+Sens!$K$3824-Sens!$K$3830</f>
        <v>0</v>
      </c>
      <c r="L3833" s="39" t="n">
        <f aca="false">Sens!$L$3818+Sens!$L$3819+Sens!$L$3820+Sens!$L$3821+Sens!$L$3822+Sens!$L$3823+Sens!$L$3824-Sens!$L$3830</f>
        <v>0</v>
      </c>
      <c r="M3833" s="39" t="n">
        <f aca="false">Sens!$M$3818+Sens!$M$3819+Sens!$M$3820+Sens!$M$3821+Sens!$M$3822+Sens!$M$3823+Sens!$M$3824-Sens!$M$3830</f>
        <v>0</v>
      </c>
      <c r="N3833" s="39" t="n">
        <f aca="false">Sens!$N$3818+Sens!$N$3819+Sens!$N$3820+Sens!$N$3821+Sens!$N$3822+Sens!$N$3823+Sens!$N$3824-Sens!$N$3830</f>
        <v>0</v>
      </c>
      <c r="O3833" s="39" t="n">
        <f aca="false">Sens!$O$3818+Sens!$O$3819+Sens!$O$3820+Sens!$O$3821+Sens!$O$3822+Sens!$O$3823+Sens!$O$3824-Sens!$O$3830</f>
        <v>0</v>
      </c>
    </row>
    <row r="3834" customFormat="false" ht="17.15" hidden="false" customHeight="false" outlineLevel="0" collapsed="false">
      <c r="A3834" s="24" t="s">
        <v>658</v>
      </c>
      <c r="B3834" s="25" t="s">
        <v>73</v>
      </c>
      <c r="C3834" s="39" t="n">
        <f aca="false">Sens!$C$3825+Sens!$C$3826+Sens!$C$3827-Sens!$C$3830</f>
        <v>0</v>
      </c>
      <c r="D3834" s="39" t="n">
        <f aca="false">Sens!$D$3825+Sens!$D$3826+Sens!$D$3827-Sens!$D$3830</f>
        <v>0</v>
      </c>
      <c r="E3834" s="39" t="n">
        <f aca="false">Sens!$E$3825+Sens!$E$3826+Sens!$E$3827-Sens!$E$3830</f>
        <v>0</v>
      </c>
      <c r="F3834" s="39" t="n">
        <f aca="false">Sens!$F$3825+Sens!$F$3826+Sens!$F$3827-Sens!$F$3830</f>
        <v>0</v>
      </c>
      <c r="G3834" s="39" t="n">
        <f aca="false">Sens!$G$3825+Sens!$G$3826+Sens!$G$3827-Sens!$G$3830</f>
        <v>0</v>
      </c>
      <c r="H3834" s="39" t="n">
        <f aca="false">Sens!$H$3825+Sens!$H$3826+Sens!$H$3827-Sens!$H$3830</f>
        <v>0</v>
      </c>
      <c r="I3834" s="39" t="n">
        <f aca="false">Sens!$I$3825+Sens!$I$3826+Sens!$I$3827-Sens!$I$3830</f>
        <v>0</v>
      </c>
      <c r="J3834" s="39" t="n">
        <f aca="false">Sens!$J$3825+Sens!$J$3826+Sens!$J$3827-Sens!$J$3830</f>
        <v>0</v>
      </c>
      <c r="K3834" s="39" t="n">
        <f aca="false">Sens!$K$3825+Sens!$K$3826+Sens!$K$3827-Sens!$K$3830</f>
        <v>0</v>
      </c>
      <c r="L3834" s="39" t="n">
        <f aca="false">Sens!$L$3825+Sens!$L$3826+Sens!$L$3827-Sens!$L$3830</f>
        <v>0</v>
      </c>
      <c r="M3834" s="39" t="n">
        <f aca="false">Sens!$M$3825+Sens!$M$3826+Sens!$M$3827-Sens!$M$3830</f>
        <v>0</v>
      </c>
      <c r="N3834" s="39" t="n">
        <f aca="false">Sens!$N$3825+Sens!$N$3826+Sens!$N$3827-Sens!$N$3830</f>
        <v>0</v>
      </c>
      <c r="O3834" s="39" t="n">
        <f aca="false">Sens!$O$3825+Sens!$O$3826+Sens!$O$3827-Sens!$O$3830</f>
        <v>0</v>
      </c>
    </row>
    <row r="3835" customFormat="false" ht="17.15" hidden="false" customHeight="false" outlineLevel="0" collapsed="false">
      <c r="A3835" s="1" t="s">
        <v>672</v>
      </c>
    </row>
    <row r="3836" customFormat="false" ht="17.15" hidden="false" customHeight="false" outlineLevel="0" collapsed="false">
      <c r="A3836" s="0" t="s">
        <v>673</v>
      </c>
      <c r="B3836" s="0" t="s">
        <v>73</v>
      </c>
      <c r="C3836" s="38" t="n">
        <f aca="false">Sens!$C$3743*m_ad</f>
        <v>20.5341564414228</v>
      </c>
      <c r="D3836" s="38" t="n">
        <f aca="false">Sens!$D$3743*m_ad</f>
        <v>24.8720617299587</v>
      </c>
      <c r="E3836" s="38" t="n">
        <f aca="false">Sens!$E$3743*m_ad</f>
        <v>13.5017112462207</v>
      </c>
      <c r="F3836" s="38" t="n">
        <f aca="false">Sens!$F$3743*m_ad</f>
        <v>17.2886442824599</v>
      </c>
      <c r="G3836" s="38" t="n">
        <f aca="false">Sens!$G$3743*m_ad</f>
        <v>30.8011958765886</v>
      </c>
      <c r="H3836" s="38" t="n">
        <f aca="false">Sens!$H$3743*m_ad</f>
        <v>37.2094183351004</v>
      </c>
      <c r="I3836" s="38" t="n">
        <f aca="false">Sens!$I$3743*m_ad</f>
        <v>43.9827998917903</v>
      </c>
      <c r="J3836" s="38" t="n">
        <f aca="false">Sens!$J$3743*m_ad</f>
        <v>50.8448657415386</v>
      </c>
      <c r="K3836" s="38" t="n">
        <f aca="false">Sens!$K$3743*m_ad</f>
        <v>57.4546982879386</v>
      </c>
      <c r="L3836" s="38" t="n">
        <f aca="false">Sens!$L$3743*m_ad</f>
        <v>64.9238090653706</v>
      </c>
      <c r="M3836" s="38" t="n">
        <f aca="false">Sens!$M$3743*m_ad</f>
        <v>73.3639042438688</v>
      </c>
      <c r="N3836" s="38" t="n">
        <f aca="false">Sens!$N$3743*m_ad</f>
        <v>10.8543555706248</v>
      </c>
      <c r="O3836" s="38" t="n">
        <f aca="false">Sens!$O$3743*m_ad</f>
        <v>14.0094731821399</v>
      </c>
    </row>
    <row r="3837" customFormat="false" ht="17.15" hidden="false" customHeight="false" outlineLevel="0" collapsed="false">
      <c r="A3837" s="0" t="s">
        <v>674</v>
      </c>
      <c r="B3837" s="0" t="s">
        <v>73</v>
      </c>
      <c r="C3837" s="38" t="n">
        <f aca="false">Sens!$C$3741-Sens!$C$3743</f>
        <v>346.428687117154</v>
      </c>
      <c r="D3837" s="38" t="n">
        <f aca="false">Sens!$D$3741-Sens!$D$3743</f>
        <v>376.560876540083</v>
      </c>
      <c r="E3837" s="38" t="n">
        <f aca="false">Sens!$E$3741-Sens!$E$3743</f>
        <v>193.316577507559</v>
      </c>
      <c r="F3837" s="38" t="n">
        <f aca="false">Sens!$F$3741-Sens!$F$3743</f>
        <v>221.726726438887</v>
      </c>
      <c r="G3837" s="38" t="n">
        <f aca="false">Sens!$G$3741-Sens!$G$3743</f>
        <v>415.02162325063</v>
      </c>
      <c r="H3837" s="38" t="n">
        <f aca="false">Sens!$H$3741-Sens!$H$3743</f>
        <v>453.777572359491</v>
      </c>
      <c r="I3837" s="38" t="n">
        <f aca="false">Sens!$I$3741-Sens!$I$3743</f>
        <v>490.847566467031</v>
      </c>
      <c r="J3837" s="38" t="n">
        <f aca="false">Sens!$J$3741-Sens!$J$3743</f>
        <v>525.190925266121</v>
      </c>
      <c r="K3837" s="38" t="n">
        <f aca="false">Sens!$K$3741-Sens!$K$3743</f>
        <v>555.765170156304</v>
      </c>
      <c r="L3837" s="38" t="n">
        <f aca="false">Sens!$L$3741-Sens!$L$3743</f>
        <v>588.185734949207</v>
      </c>
      <c r="M3837" s="38" t="n">
        <f aca="false">Sens!$M$3741-Sens!$M$3743</f>
        <v>622.567635538672</v>
      </c>
      <c r="N3837" s="38" t="n">
        <f aca="false">Sens!$N$3741-Sens!$N$3743</f>
        <v>171.24628885875</v>
      </c>
      <c r="O3837" s="38" t="n">
        <f aca="false">Sens!$O$3741-Sens!$O$3743</f>
        <v>205.33105363572</v>
      </c>
    </row>
    <row r="3838" customFormat="false" ht="17.15" hidden="false" customHeight="false" outlineLevel="0" collapsed="false">
      <c r="A3838" s="0" t="s">
        <v>675</v>
      </c>
      <c r="B3838" s="0" t="s">
        <v>73</v>
      </c>
      <c r="C3838" s="38" t="n">
        <f aca="false">Sens!$C$3789*Sens!$C$3740</f>
        <v>0.123617442257179</v>
      </c>
      <c r="D3838" s="38" t="n">
        <f aca="false">Sens!$D$3789*Sens!$D$3740</f>
        <v>0.874366899302609</v>
      </c>
      <c r="E3838" s="38" t="n">
        <f aca="false">Sens!$E$3789*Sens!$E$3740</f>
        <v>1.29318830502574</v>
      </c>
      <c r="F3838" s="38" t="n">
        <f aca="false">Sens!$F$3789*Sens!$F$3740</f>
        <v>1.51802024162534</v>
      </c>
      <c r="G3838" s="38" t="n">
        <f aca="false">Sens!$G$3789*Sens!$G$3740</f>
        <v>2.81130189308167</v>
      </c>
      <c r="H3838" s="38" t="n">
        <f aca="false">Sens!$H$3789*Sens!$H$3740</f>
        <v>7.38966789318209</v>
      </c>
      <c r="I3838" s="38" t="n">
        <f aca="false">Sens!$I$3789*Sens!$I$3740</f>
        <v>12.8987443661473</v>
      </c>
      <c r="J3838" s="38" t="n">
        <f aca="false">Sens!$J$3789*Sens!$J$3740</f>
        <v>18.5570025453645</v>
      </c>
      <c r="K3838" s="38" t="n">
        <f aca="false">Sens!$K$3789*Sens!$K$3740</f>
        <v>24.3158972773405</v>
      </c>
      <c r="L3838" s="38" t="n">
        <f aca="false">Sens!$L$3789*Sens!$L$3740</f>
        <v>29.7827375558674</v>
      </c>
      <c r="M3838" s="38" t="n">
        <f aca="false">Sens!$M$3789*Sens!$M$3740</f>
        <v>35.3532344973194</v>
      </c>
      <c r="N3838" s="38" t="n">
        <f aca="false">Sens!$N$3789*Sens!$N$3740</f>
        <v>0.389180508437431</v>
      </c>
      <c r="O3838" s="38" t="n">
        <f aca="false">Sens!$O$3789*Sens!$O$3740</f>
        <v>0.485052120082802</v>
      </c>
    </row>
    <row r="3839" customFormat="false" ht="17.15" hidden="false" customHeight="false" outlineLevel="0" collapsed="false">
      <c r="A3839" s="0" t="s">
        <v>676</v>
      </c>
      <c r="B3839" s="0" t="s">
        <v>52</v>
      </c>
      <c r="C3839" s="28" t="n">
        <f aca="false">(Sens!$C$3840-Sens!$C$3836+Sens!$C$3838)/Sens!$C$3837</f>
        <v>0.0131526665379575</v>
      </c>
      <c r="D3839" s="28" t="n">
        <f aca="false">(Sens!$D$3840-Sens!$D$3836+Sens!$D$3838)/Sens!$D$3837</f>
        <v>0.0149280116962589</v>
      </c>
      <c r="E3839" s="28" t="n">
        <f aca="false">(Sens!$E$3840-Sens!$E$3836+Sens!$E$3838)/Sens!$E$3837</f>
        <v>0.0268030663774938</v>
      </c>
      <c r="F3839" s="28" t="n">
        <f aca="false">Sens!$O$3839+(Sens!$E$3839-Sens!$N$3839)</f>
        <v>0.0232379346966962</v>
      </c>
      <c r="G3839" s="28" t="n">
        <f aca="false">(Sens!$G$3840-Sens!$G$3836+Sens!$G$3838)/Sens!$G$3837</f>
        <v>0.0248738876928168</v>
      </c>
      <c r="H3839" s="28" t="n">
        <f aca="false">Sens!$G$3839+step_na</f>
        <v>0.0278738876928168</v>
      </c>
      <c r="I3839" s="28" t="n">
        <f aca="false">Sens!$H$3839+step_na</f>
        <v>0.0308738876928168</v>
      </c>
      <c r="J3839" s="28" t="n">
        <f aca="false">Sens!$I$3839+step_na</f>
        <v>0.0338738876928168</v>
      </c>
      <c r="K3839" s="28" t="n">
        <f aca="false">Sens!$J$3839+step_na</f>
        <v>0.0368738876928168</v>
      </c>
      <c r="L3839" s="28" t="n">
        <f aca="false">Sens!$K$3839</f>
        <v>0.0368738876928168</v>
      </c>
      <c r="M3839" s="28" t="n">
        <f aca="false">Sens!$L$3839</f>
        <v>0.0368738876928168</v>
      </c>
      <c r="N3839" s="28" t="n">
        <f aca="false">(Sens!$N$3840-Sens!$N$3836+Sens!$N$3838)/Sens!$N$3837</f>
        <v>0.0168927744775755</v>
      </c>
      <c r="O3839" s="28" t="n">
        <f aca="false">(Sens!$O$3840-Sens!$O$3836+Sens!$O$3838)/Sens!$O$3837</f>
        <v>0.0133276427967779</v>
      </c>
      <c r="P3839" s="8" t="s">
        <v>677</v>
      </c>
    </row>
    <row r="3840" customFormat="false" ht="17.15" hidden="false" customHeight="false" outlineLevel="0" collapsed="false">
      <c r="A3840" s="1" t="s">
        <v>678</v>
      </c>
      <c r="B3840" s="8" t="s">
        <v>73</v>
      </c>
      <c r="C3840" s="38" t="n">
        <f aca="false">Q!$D$22</f>
        <v>24.967</v>
      </c>
      <c r="D3840" s="38" t="n">
        <f aca="false">Q!$E$22</f>
        <v>29.619</v>
      </c>
      <c r="E3840" s="38" t="n">
        <f aca="false">Q!$P$22</f>
        <v>17.39</v>
      </c>
      <c r="F3840" s="38" t="n">
        <f aca="false">Sens!$F$3836+Sens!$F$3837*Sens!$F$3839-Sens!$F$3838</f>
        <v>20.9230952303336</v>
      </c>
      <c r="G3840" s="38" t="n">
        <f aca="false">Sens!$E$3840+Sens!$F$3840</f>
        <v>38.3130952303336</v>
      </c>
      <c r="H3840" s="38" t="n">
        <f aca="false">Sens!$H$3836+Sens!$H$3837*Sens!$H$3839-Sens!$H$3838</f>
        <v>42.4682955313858</v>
      </c>
      <c r="I3840" s="38" t="n">
        <f aca="false">Sens!$I$3836+Sens!$I$3837*Sens!$I$3839-Sens!$I$3838</f>
        <v>46.2384281670386</v>
      </c>
      <c r="J3840" s="38" t="n">
        <f aca="false">Sens!$J$3836+Sens!$J$3837*Sens!$J$3839-Sens!$J$3838</f>
        <v>50.0781216159251</v>
      </c>
      <c r="K3840" s="38" t="n">
        <f aca="false">Sens!$K$3836+Sens!$K$3837*Sens!$K$3839-Sens!$K$3838</f>
        <v>53.6320234785208</v>
      </c>
      <c r="L3840" s="38" t="n">
        <f aca="false">Sens!$L$3836+Sens!$L$3837*Sens!$L$3839-Sens!$L$3838</f>
        <v>56.8297662425371</v>
      </c>
      <c r="M3840" s="38" t="n">
        <f aca="false">Sens!$M$3836+Sens!$M$3837*Sens!$M$3839-Sens!$M$3838</f>
        <v>60.9671588205848</v>
      </c>
      <c r="N3840" s="38" t="n">
        <f aca="false">Q!$N$22</f>
        <v>13.358</v>
      </c>
      <c r="O3840" s="38" t="n">
        <f aca="false">Q!$O$22</f>
        <v>16.261</v>
      </c>
    </row>
    <row r="3841" customFormat="false" ht="17.15" hidden="false" customHeight="false" outlineLevel="0" collapsed="false">
      <c r="A3841" s="0" t="s">
        <v>679</v>
      </c>
      <c r="B3841" s="0" t="s">
        <v>73</v>
      </c>
      <c r="C3841" s="38" t="n">
        <f aca="false">Sens!$C$3744*m_ad</f>
        <v>7.57284355857716</v>
      </c>
      <c r="D3841" s="38" t="n">
        <f aca="false">Sens!$D$3744*m_ad</f>
        <v>9.44543827004127</v>
      </c>
      <c r="E3841" s="38" t="n">
        <f aca="false">Sens!$E$3744*m_ad</f>
        <v>5.02428875377928</v>
      </c>
      <c r="F3841" s="38" t="n">
        <f aca="false">Sens!$F$3744*m_ad</f>
        <v>6.78802480890925</v>
      </c>
      <c r="G3841" s="38" t="n">
        <f aca="false">Sens!$G$3744*m_ad</f>
        <v>11.8014732147805</v>
      </c>
      <c r="H3841" s="38" t="n">
        <f aca="false">Sens!$H$3744*m_ad</f>
        <v>14.2567826125551</v>
      </c>
      <c r="I3841" s="38" t="n">
        <f aca="false">Sens!$I$3744*m_ad</f>
        <v>16.8520026596936</v>
      </c>
      <c r="J3841" s="38" t="n">
        <f aca="false">Sens!$J$3744*m_ad</f>
        <v>19.4812020793635</v>
      </c>
      <c r="K3841" s="38" t="n">
        <f aca="false">Sens!$K$3744*m_ad</f>
        <v>22.0137583496807</v>
      </c>
      <c r="L3841" s="38" t="n">
        <f aca="false">Sens!$L$3744*m_ad</f>
        <v>24.8755469351392</v>
      </c>
      <c r="M3841" s="38" t="n">
        <f aca="false">Sens!$M$3744*m_ad</f>
        <v>28.1093680367073</v>
      </c>
      <c r="N3841" s="38" t="n">
        <f aca="false">Sens!$N$3744*m_ad</f>
        <v>3.95314442937518</v>
      </c>
      <c r="O3841" s="38" t="n">
        <f aca="false">Sens!$O$3744*m_ad</f>
        <v>5.50052681786011</v>
      </c>
    </row>
    <row r="3842" customFormat="false" ht="17.15" hidden="false" customHeight="false" outlineLevel="0" collapsed="false">
      <c r="A3842" s="0" t="s">
        <v>680</v>
      </c>
      <c r="B3842" s="0" t="s">
        <v>73</v>
      </c>
      <c r="C3842" s="38" t="n">
        <f aca="false">Sens!$C$3742-Sens!$C$3744</f>
        <v>127.760312882846</v>
      </c>
      <c r="D3842" s="38" t="n">
        <f aca="false">Sens!$D$3742-Sens!$D$3744</f>
        <v>143.003123459917</v>
      </c>
      <c r="E3842" s="38" t="n">
        <f aca="false">Sens!$E$3742-Sens!$E$3744</f>
        <v>71.9374224924414</v>
      </c>
      <c r="F3842" s="38" t="n">
        <f aca="false">Sens!$F$3742-Sens!$F$3744</f>
        <v>87.0563645868046</v>
      </c>
      <c r="G3842" s="38" t="n">
        <f aca="false">Sens!$G$3742-Sens!$G$3744</f>
        <v>159.015467775062</v>
      </c>
      <c r="H3842" s="38" t="n">
        <f aca="false">Sens!$H$3742-Sens!$H$3744</f>
        <v>173.864803403269</v>
      </c>
      <c r="I3842" s="38" t="n">
        <f aca="false">Sens!$I$3742-Sens!$I$3744</f>
        <v>188.068165645601</v>
      </c>
      <c r="J3842" s="38" t="n">
        <f aca="false">Sens!$J$3742-Sens!$J$3744</f>
        <v>201.22681801082</v>
      </c>
      <c r="K3842" s="38" t="n">
        <f aca="false">Sens!$K$3742-Sens!$K$3744</f>
        <v>212.941334991893</v>
      </c>
      <c r="L3842" s="38" t="n">
        <f aca="false">Sens!$L$3742-Sens!$L$3744</f>
        <v>225.363269144856</v>
      </c>
      <c r="M3842" s="38" t="n">
        <f aca="false">Sens!$M$3742-Sens!$M$3744</f>
        <v>238.536688790819</v>
      </c>
      <c r="N3842" s="38" t="n">
        <f aca="false">Sens!$N$3742-Sens!$N$3744</f>
        <v>62.3677111412496</v>
      </c>
      <c r="O3842" s="38" t="n">
        <f aca="false">Sens!$O$3742-Sens!$O$3744</f>
        <v>80.6189463642798</v>
      </c>
    </row>
    <row r="3843" customFormat="false" ht="17.15" hidden="false" customHeight="false" outlineLevel="0" collapsed="false">
      <c r="A3843" s="0" t="s">
        <v>681</v>
      </c>
      <c r="B3843" s="0" t="s">
        <v>73</v>
      </c>
      <c r="C3843" s="38" t="n">
        <f aca="false">Sens!$C$3789*(1-Sens!$C$3740)</f>
        <v>0.0455891896019953</v>
      </c>
      <c r="D3843" s="38" t="n">
        <f aca="false">Sens!$D$3789*(1-Sens!$D$3740)</f>
        <v>0.332050421167231</v>
      </c>
      <c r="E3843" s="38" t="n">
        <f aca="false">Sens!$E$3789*(1-Sens!$E$3740)</f>
        <v>0.481224293644882</v>
      </c>
      <c r="F3843" s="38" t="n">
        <f aca="false">Sens!$F$3789*(1-Sens!$F$3740)</f>
        <v>0.596018918096053</v>
      </c>
      <c r="G3843" s="38" t="n">
        <f aca="false">Sens!$G$3789*(1-Sens!$G$3740)</f>
        <v>1.07714986531035</v>
      </c>
      <c r="H3843" s="38" t="n">
        <f aca="false">Sens!$H$3789*(1-Sens!$H$3740)</f>
        <v>2.83135005721638</v>
      </c>
      <c r="I3843" s="38" t="n">
        <f aca="false">Sens!$I$3789*(1-Sens!$I$3740)</f>
        <v>4.9421518161602</v>
      </c>
      <c r="J3843" s="38" t="n">
        <f aca="false">Sens!$J$3789*(1-Sens!$J$3740)</f>
        <v>7.11011252170866</v>
      </c>
      <c r="K3843" s="38" t="n">
        <f aca="false">Sens!$K$3789*(1-Sens!$K$3740)</f>
        <v>9.31663210615807</v>
      </c>
      <c r="L3843" s="38" t="n">
        <f aca="false">Sens!$L$3789*(1-Sens!$L$3740)</f>
        <v>11.411251074039</v>
      </c>
      <c r="M3843" s="38" t="n">
        <f aca="false">Sens!$M$3789*(1-Sens!$M$3740)</f>
        <v>13.5455860755423</v>
      </c>
      <c r="N3843" s="38" t="n">
        <f aca="false">Sens!$N$3789*(1-Sens!$N$3740)</f>
        <v>0.141739115596548</v>
      </c>
      <c r="O3843" s="38" t="n">
        <f aca="false">Sens!$O$3789*(1-Sens!$O$3740)</f>
        <v>0.190445576353059</v>
      </c>
    </row>
    <row r="3844" customFormat="false" ht="17.15" hidden="false" customHeight="false" outlineLevel="0" collapsed="false">
      <c r="A3844" s="0" t="s">
        <v>682</v>
      </c>
      <c r="B3844" s="0" t="s">
        <v>52</v>
      </c>
      <c r="C3844" s="28" t="n">
        <f aca="false">(Sens!$C$3845-Sens!$C$3841+Sens!$C$3843)/Sens!$C$3842</f>
        <v>-0.0292364215826579</v>
      </c>
      <c r="D3844" s="28" t="n">
        <f aca="false">(Sens!$D$3845-Sens!$D$3841+Sens!$D$3843)/Sens!$D$3842</f>
        <v>-0.0305125352740778</v>
      </c>
      <c r="E3844" s="28" t="n">
        <f aca="false">(Sens!$E$3845-Sens!$E$3841+Sens!$E$3843)/Sens!$E$3842</f>
        <v>-0.019490056934994</v>
      </c>
      <c r="F3844" s="28" t="n">
        <f aca="false">Sens!$O$3844+(Sens!$E$3844-Sens!$N$3844)</f>
        <v>-0.0367332293992226</v>
      </c>
      <c r="G3844" s="28" t="n">
        <f aca="false">(Sens!$G$3845-Sens!$G$3841+Sens!$G$3843)/Sens!$G$3842</f>
        <v>-0.0288599526442178</v>
      </c>
      <c r="H3844" s="28" t="n">
        <f aca="false">Sens!$G$3844+step_in</f>
        <v>-0.0288599526442178</v>
      </c>
      <c r="I3844" s="28" t="n">
        <f aca="false">Sens!$H$3844+step_in</f>
        <v>-0.0288599526442178</v>
      </c>
      <c r="J3844" s="28" t="n">
        <f aca="false">Sens!$I$3844+step_in</f>
        <v>-0.0288599526442178</v>
      </c>
      <c r="K3844" s="28" t="n">
        <f aca="false">Sens!$J$3844+step_in</f>
        <v>-0.0288599526442178</v>
      </c>
      <c r="L3844" s="28" t="n">
        <f aca="false">Sens!$K$3844</f>
        <v>-0.0288599526442178</v>
      </c>
      <c r="M3844" s="28" t="n">
        <f aca="false">Sens!$L$3844</f>
        <v>-0.0288599526442178</v>
      </c>
      <c r="N3844" s="28" t="n">
        <f aca="false">(Sens!$N$3845-Sens!$N$3841+Sens!$N$3843)/Sens!$N$3842</f>
        <v>-0.02085061789158</v>
      </c>
      <c r="O3844" s="28" t="n">
        <f aca="false">(Sens!$O$3845-Sens!$O$3841+Sens!$O$3843)/Sens!$O$3842</f>
        <v>-0.0380937903558086</v>
      </c>
      <c r="P3844" s="8" t="s">
        <v>677</v>
      </c>
    </row>
    <row r="3845" customFormat="false" ht="17.15" hidden="false" customHeight="false" outlineLevel="0" collapsed="false">
      <c r="A3845" s="1" t="s">
        <v>683</v>
      </c>
      <c r="B3845" s="8" t="s">
        <v>73</v>
      </c>
      <c r="C3845" s="38" t="n">
        <f aca="false">Q!$D$23</f>
        <v>3.792</v>
      </c>
      <c r="D3845" s="38" t="n">
        <f aca="false">Q!$E$23</f>
        <v>4.75</v>
      </c>
      <c r="E3845" s="38" t="n">
        <f aca="false">Q!$P$23</f>
        <v>3.141</v>
      </c>
      <c r="F3845" s="38" t="n">
        <f aca="false">Sens!$F$3841+Sens!$F$3842*Sens!$F$3844-Sens!$F$3843</f>
        <v>2.99414447978375</v>
      </c>
      <c r="G3845" s="38" t="n">
        <f aca="false">Sens!$E$3845+Sens!$F$3845</f>
        <v>6.13514447978375</v>
      </c>
      <c r="H3845" s="38" t="n">
        <f aca="false">Sens!$H$3841+Sens!$H$3842*Sens!$H$3844-Sens!$H$3843</f>
        <v>6.40770256262407</v>
      </c>
      <c r="I3845" s="38" t="n">
        <f aca="false">Sens!$I$3841+Sens!$I$3842*Sens!$I$3844-Sens!$I$3843</f>
        <v>6.48221248911646</v>
      </c>
      <c r="J3845" s="38" t="n">
        <f aca="false">Sens!$J$3841+Sens!$J$3842*Sens!$J$3844-Sens!$J$3843</f>
        <v>6.56369311911591</v>
      </c>
      <c r="K3845" s="38" t="n">
        <f aca="false">Sens!$K$3841+Sens!$K$3842*Sens!$K$3844-Sens!$K$3843</f>
        <v>6.55164939966012</v>
      </c>
      <c r="L3845" s="38" t="n">
        <f aca="false">Sens!$L$3841+Sens!$L$3842*Sens!$L$3844-Sens!$L$3843</f>
        <v>6.96032258583355</v>
      </c>
      <c r="M3845" s="38" t="n">
        <f aca="false">Sens!$M$3841+Sens!$M$3842*Sens!$M$3844-Sens!$M$3843</f>
        <v>7.67962441875344</v>
      </c>
      <c r="N3845" s="38" t="n">
        <f aca="false">Q!$N$23</f>
        <v>2.511</v>
      </c>
      <c r="O3845" s="38" t="n">
        <f aca="false">Q!$O$23</f>
        <v>2.239</v>
      </c>
    </row>
    <row r="3846" customFormat="false" ht="17.15" hidden="false" customHeight="false" outlineLevel="0" collapsed="false">
      <c r="A3846" s="0" t="s">
        <v>684</v>
      </c>
      <c r="B3846" s="0" t="s">
        <v>73</v>
      </c>
      <c r="C3846" s="38" t="n">
        <f aca="false">Sens!$C$3786</f>
        <v>1.64417882953695</v>
      </c>
      <c r="D3846" s="38" t="n">
        <f aca="false">Sens!$D$3786</f>
        <v>3.8781008067718</v>
      </c>
      <c r="E3846" s="38" t="n">
        <f aca="false">Sens!$E$3786</f>
        <v>1.41270258088753</v>
      </c>
      <c r="F3846" s="38" t="n">
        <f aca="false">Sens!$F$3786</f>
        <v>6.50727700583486</v>
      </c>
      <c r="G3846" s="38" t="n">
        <f aca="false">Sens!$G$3786</f>
        <v>7.9199795867224</v>
      </c>
      <c r="H3846" s="38" t="n">
        <f aca="false">Sens!$H$3786</f>
        <v>19.2818189481807</v>
      </c>
      <c r="I3846" s="38" t="n">
        <f aca="false">Sens!$I$3786</f>
        <v>30.140114407202</v>
      </c>
      <c r="J3846" s="38" t="n">
        <f aca="false">Sens!$J$3786</f>
        <v>40.3569468829854</v>
      </c>
      <c r="K3846" s="38" t="n">
        <f aca="false">Sens!$K$3786</f>
        <v>50.0782975081929</v>
      </c>
      <c r="L3846" s="38" t="n">
        <f aca="false">Sens!$L$3786</f>
        <v>61.443331993499</v>
      </c>
      <c r="M3846" s="38" t="n">
        <f aca="false">Sens!$M$3786</f>
        <v>72.2498791587849</v>
      </c>
      <c r="N3846" s="38" t="n">
        <f aca="false">Sens!$N$3786</f>
        <v>0.92264103489199</v>
      </c>
      <c r="O3846" s="38" t="n">
        <f aca="false">Sens!$O$3786</f>
        <v>2.95545977187981</v>
      </c>
    </row>
    <row r="3847" customFormat="false" ht="17.15" hidden="false" customHeight="false" outlineLevel="0" collapsed="false">
      <c r="A3847" s="0" t="s">
        <v>604</v>
      </c>
      <c r="B3847" s="0" t="s">
        <v>73</v>
      </c>
      <c r="C3847" s="38" t="n">
        <f aca="false">Sens!$C$3791</f>
        <v>38.1898211704631</v>
      </c>
      <c r="D3847" s="38" t="n">
        <f aca="false">Sens!$D$3791</f>
        <v>41.7278991932282</v>
      </c>
      <c r="E3847" s="38" t="n">
        <f aca="false">Sens!$E$3791</f>
        <v>29.3692974191125</v>
      </c>
      <c r="F3847" s="38" t="n">
        <f aca="false">Sens!$F$3791</f>
        <v>29.458060516894</v>
      </c>
      <c r="G3847" s="38" t="n">
        <f aca="false">Sens!$G$3791</f>
        <v>58.8273579360065</v>
      </c>
      <c r="H3847" s="38" t="n">
        <f aca="false">Sens!$H$3791</f>
        <v>67.8004040185081</v>
      </c>
      <c r="I3847" s="38" t="n">
        <f aca="false">Sens!$I$3791</f>
        <v>78.9527630302702</v>
      </c>
      <c r="J3847" s="38" t="n">
        <f aca="false">Sens!$J$3791</f>
        <v>88.6042681781841</v>
      </c>
      <c r="K3847" s="38" t="n">
        <f aca="false">Sens!$K$3791</f>
        <v>95.6926096324389</v>
      </c>
      <c r="L3847" s="38" t="n">
        <f aca="false">Sens!$L$3791</f>
        <v>103.348018403034</v>
      </c>
      <c r="M3847" s="38" t="n">
        <f aca="false">Sens!$M$3791</f>
        <v>111.615859875277</v>
      </c>
      <c r="N3847" s="38" t="n">
        <f aca="false">Sens!$N$3791</f>
        <v>20.784358965108</v>
      </c>
      <c r="O3847" s="38" t="n">
        <f aca="false">Sens!$O$3791</f>
        <v>20.9435402281202</v>
      </c>
    </row>
    <row r="3848" customFormat="false" ht="17.15" hidden="false" customHeight="false" outlineLevel="0" collapsed="false">
      <c r="A3848" s="1" t="s">
        <v>685</v>
      </c>
      <c r="B3848" s="8" t="s">
        <v>73</v>
      </c>
      <c r="C3848" s="38" t="n">
        <f aca="false">Q!$D$24</f>
        <v>39.834</v>
      </c>
      <c r="D3848" s="38" t="n">
        <f aca="false">Q!$E$24</f>
        <v>45.606</v>
      </c>
      <c r="E3848" s="38" t="n">
        <f aca="false">Q!$P$24</f>
        <v>30.782</v>
      </c>
      <c r="F3848" s="38" t="n">
        <f aca="false">Sens!$F$3846+Sens!$F$3847</f>
        <v>35.9653375227289</v>
      </c>
      <c r="G3848" s="38" t="n">
        <f aca="false">Sens!$G$3846+Sens!$G$3847</f>
        <v>66.7473375227289</v>
      </c>
      <c r="H3848" s="38" t="n">
        <f aca="false">Sens!$H$3846+Sens!$H$3847</f>
        <v>87.0822229666888</v>
      </c>
      <c r="I3848" s="38" t="n">
        <f aca="false">Sens!$I$3846+Sens!$I$3847</f>
        <v>109.092877437472</v>
      </c>
      <c r="J3848" s="38" t="n">
        <f aca="false">Sens!$J$3846+Sens!$J$3847</f>
        <v>128.96121506117</v>
      </c>
      <c r="K3848" s="38" t="n">
        <f aca="false">Sens!$K$3846+Sens!$K$3847</f>
        <v>145.770907140632</v>
      </c>
      <c r="L3848" s="38" t="n">
        <f aca="false">Sens!$L$3846+Sens!$L$3847</f>
        <v>164.791350396533</v>
      </c>
      <c r="M3848" s="38" t="n">
        <f aca="false">Sens!$M$3846+Sens!$M$3847</f>
        <v>183.865739034062</v>
      </c>
      <c r="N3848" s="38" t="n">
        <f aca="false">Q!$N$24</f>
        <v>21.707</v>
      </c>
      <c r="O3848" s="38" t="n">
        <f aca="false">Q!$O$24</f>
        <v>23.899</v>
      </c>
    </row>
    <row r="3849" customFormat="false" ht="17.15" hidden="false" customHeight="false" outlineLevel="0" collapsed="false">
      <c r="A3849" s="5" t="s">
        <v>686</v>
      </c>
      <c r="B3849" s="0" t="s">
        <v>73</v>
      </c>
      <c r="C3849" s="38" t="n">
        <f aca="false">Q!$D$26</f>
        <v>0</v>
      </c>
      <c r="D3849" s="38" t="n">
        <f aca="false">Q!$E$26</f>
        <v>0</v>
      </c>
      <c r="E3849" s="38" t="n">
        <f aca="false">Q!$P$26</f>
        <v>0</v>
      </c>
      <c r="F3849" s="41" t="n">
        <v>0</v>
      </c>
      <c r="G3849" s="38" t="n">
        <f aca="false">Sens!$E$3849+Sens!$F$3849</f>
        <v>0</v>
      </c>
      <c r="H3849" s="41" t="n">
        <v>0</v>
      </c>
      <c r="I3849" s="41" t="n">
        <v>0</v>
      </c>
      <c r="J3849" s="41" t="n">
        <v>0</v>
      </c>
      <c r="K3849" s="41" t="n">
        <v>0</v>
      </c>
      <c r="L3849" s="41" t="n">
        <v>0</v>
      </c>
      <c r="M3849" s="41" t="n">
        <v>0</v>
      </c>
      <c r="N3849" s="38" t="n">
        <f aca="false">Q!$N$26</f>
        <v>0</v>
      </c>
      <c r="O3849" s="38" t="n">
        <f aca="false">Q!$O$26</f>
        <v>0</v>
      </c>
    </row>
    <row r="3850" customFormat="false" ht="15" hidden="false" customHeight="false" outlineLevel="0" collapsed="false">
      <c r="A3850" s="3" t="s">
        <v>494</v>
      </c>
      <c r="B3850" s="8" t="s">
        <v>73</v>
      </c>
      <c r="C3850" s="38" t="n">
        <f aca="false">Q!$D$25</f>
        <v>68.593</v>
      </c>
      <c r="D3850" s="38" t="n">
        <f aca="false">Q!$E$25</f>
        <v>79.975</v>
      </c>
      <c r="E3850" s="38" t="n">
        <f aca="false">Q!$P$25</f>
        <v>51.313</v>
      </c>
      <c r="F3850" s="38" t="n">
        <f aca="false">Sens!$F$3840+Sens!$F$3845+Sens!$F$3848+Sens!$F$3849</f>
        <v>59.8825772328462</v>
      </c>
      <c r="G3850" s="38" t="n">
        <f aca="false">Sens!$G$3840+Sens!$G$3845+Sens!$G$3848+Sens!$G$3849</f>
        <v>111.195577232846</v>
      </c>
      <c r="H3850" s="38" t="n">
        <f aca="false">Sens!$H$3840+Sens!$H$3845+Sens!$H$3848+Sens!$H$3849</f>
        <v>135.958221060699</v>
      </c>
      <c r="I3850" s="38" t="n">
        <f aca="false">Sens!$I$3840+Sens!$I$3845+Sens!$I$3848+Sens!$I$3849</f>
        <v>161.813518093627</v>
      </c>
      <c r="J3850" s="38" t="n">
        <f aca="false">Sens!$J$3840+Sens!$J$3845+Sens!$J$3848+Sens!$J$3849</f>
        <v>185.603029796211</v>
      </c>
      <c r="K3850" s="38" t="n">
        <f aca="false">Sens!$K$3840+Sens!$K$3845+Sens!$K$3848+Sens!$K$3849</f>
        <v>205.954580018813</v>
      </c>
      <c r="L3850" s="38" t="n">
        <f aca="false">Sens!$L$3840+Sens!$L$3845+Sens!$L$3848+Sens!$L$3849</f>
        <v>228.581439224904</v>
      </c>
      <c r="M3850" s="38" t="n">
        <f aca="false">Sens!$M$3840+Sens!$M$3845+Sens!$M$3848+Sens!$M$3849</f>
        <v>252.5125222734</v>
      </c>
      <c r="N3850" s="38" t="n">
        <f aca="false">Q!$N$25</f>
        <v>37.576</v>
      </c>
      <c r="O3850" s="38" t="n">
        <f aca="false">Q!$O$25</f>
        <v>42.399</v>
      </c>
    </row>
    <row r="3851" customFormat="false" ht="17.15" hidden="false" customHeight="false" outlineLevel="0" collapsed="false">
      <c r="A3851" s="24" t="s">
        <v>712</v>
      </c>
      <c r="B3851" s="25" t="s">
        <v>73</v>
      </c>
      <c r="C3851" s="39" t="n">
        <f aca="false">Sens!$C$3840+Sens!$C$3845+Sens!$C$3848+Sens!$C$3849-Sens!$C$3850</f>
        <v>0</v>
      </c>
      <c r="D3851" s="39" t="n">
        <f aca="false">Sens!$D$3840+Sens!$D$3845+Sens!$D$3848+Sens!$D$3849-Sens!$D$3850</f>
        <v>0</v>
      </c>
      <c r="E3851" s="39" t="n">
        <f aca="false">Sens!$E$3840+Sens!$E$3845+Sens!$E$3848+Sens!$E$3849-Sens!$E$3850</f>
        <v>0</v>
      </c>
      <c r="F3851" s="39" t="n">
        <f aca="false">Sens!$F$3840+Sens!$F$3845+Sens!$F$3848+Sens!$F$3849-Sens!$F$3850</f>
        <v>0</v>
      </c>
      <c r="G3851" s="39" t="n">
        <f aca="false">Sens!$G$3840+Sens!$G$3845+Sens!$G$3848+Sens!$G$3849-Sens!$G$3850</f>
        <v>0</v>
      </c>
      <c r="H3851" s="39" t="n">
        <f aca="false">Sens!$H$3840+Sens!$H$3845+Sens!$H$3848+Sens!$H$3849-Sens!$H$3850</f>
        <v>0</v>
      </c>
      <c r="I3851" s="39" t="n">
        <f aca="false">Sens!$I$3840+Sens!$I$3845+Sens!$I$3848+Sens!$I$3849-Sens!$I$3850</f>
        <v>0</v>
      </c>
      <c r="J3851" s="39" t="n">
        <f aca="false">Sens!$J$3840+Sens!$J$3845+Sens!$J$3848+Sens!$J$3849-Sens!$J$3850</f>
        <v>0</v>
      </c>
      <c r="K3851" s="39" t="n">
        <f aca="false">Sens!$K$3840+Sens!$K$3845+Sens!$K$3848+Sens!$K$3849-Sens!$K$3850</f>
        <v>0</v>
      </c>
      <c r="L3851" s="39" t="n">
        <f aca="false">Sens!$L$3840+Sens!$L$3845+Sens!$L$3848+Sens!$L$3849-Sens!$L$3850</f>
        <v>0</v>
      </c>
      <c r="M3851" s="39" t="n">
        <f aca="false">Sens!$M$3840+Sens!$M$3845+Sens!$M$3848+Sens!$M$3849-Sens!$M$3850</f>
        <v>0</v>
      </c>
      <c r="N3851" s="39" t="n">
        <f aca="false">Sens!$N$3840+Sens!$N$3845+Sens!$N$3848+Sens!$N$3849-Sens!$N$3850</f>
        <v>0</v>
      </c>
      <c r="O3851" s="39" t="n">
        <f aca="false">Sens!$O$3840+Sens!$O$3845+Sens!$O$3848+Sens!$O$3849-Sens!$O$3850</f>
        <v>0</v>
      </c>
    </row>
    <row r="3852" customFormat="false" ht="17.15" hidden="false" customHeight="false" outlineLevel="0" collapsed="false">
      <c r="A3852" s="0" t="s">
        <v>688</v>
      </c>
      <c r="B3852" s="0" t="s">
        <v>52</v>
      </c>
      <c r="C3852" s="12" t="n">
        <f aca="false">Sens!$C$3840/Sens!$C$3825</f>
        <v>0.0644314665661928</v>
      </c>
      <c r="D3852" s="12" t="n">
        <f aca="false">Sens!$D$3840/Sens!$D$3825</f>
        <v>0.0694784250712518</v>
      </c>
      <c r="E3852" s="12" t="n">
        <f aca="false">Sens!$E$3840/Sens!$E$3825</f>
        <v>0.0789306463326071</v>
      </c>
      <c r="F3852" s="12" t="n">
        <f aca="false">Sens!$F$3840/Sens!$F$3825</f>
        <v>0.0816338957078875</v>
      </c>
      <c r="G3852" s="12" t="n">
        <f aca="false">Sens!$G$3840/Sens!$G$3825</f>
        <v>0.080384315570057</v>
      </c>
      <c r="H3852" s="12" t="n">
        <f aca="false">Sens!$H$3840/Sens!$H$3825</f>
        <v>0.0804024692432139</v>
      </c>
      <c r="I3852" s="12" t="n">
        <f aca="false">Sens!$I$3840/Sens!$I$3825</f>
        <v>0.079884893542692</v>
      </c>
      <c r="J3852" s="12" t="n">
        <f aca="false">Sens!$J$3840/Sens!$J$3825</f>
        <v>0.0798846177127466</v>
      </c>
      <c r="K3852" s="12" t="n">
        <f aca="false">Sens!$K$3840/Sens!$K$3825</f>
        <v>0.0799672838942432</v>
      </c>
      <c r="L3852" s="12" t="n">
        <f aca="false">Sens!$L$3840/Sens!$L$3825</f>
        <v>0.079146415690539</v>
      </c>
      <c r="M3852" s="12" t="n">
        <f aca="false">Sens!$M$3840/Sens!$M$3825</f>
        <v>0.0792506432918533</v>
      </c>
      <c r="N3852" s="12" t="n">
        <f aca="false">Sens!$N$3840/Sens!$N$3825</f>
        <v>0.069228576611127</v>
      </c>
      <c r="O3852" s="12" t="n">
        <f aca="false">Sens!$O$3840/Sens!$O$3825</f>
        <v>0.069685022498393</v>
      </c>
    </row>
    <row r="3853" customFormat="false" ht="17.15" hidden="false" customHeight="false" outlineLevel="0" collapsed="false">
      <c r="A3853" s="0" t="s">
        <v>689</v>
      </c>
      <c r="B3853" s="0" t="s">
        <v>52</v>
      </c>
      <c r="C3853" s="12" t="n">
        <f aca="false">Sens!$C$3845/Sens!$C$3826</f>
        <v>0.026534925055631</v>
      </c>
      <c r="D3853" s="12" t="n">
        <f aca="false">Sens!$D$3845/Sens!$D$3826</f>
        <v>0.0293401855535103</v>
      </c>
      <c r="E3853" s="12" t="n">
        <f aca="false">Sens!$E$3845/Sens!$E$3826</f>
        <v>0.03831141902276</v>
      </c>
      <c r="F3853" s="12" t="n">
        <f aca="false">Sens!$F$3845/Sens!$F$3826</f>
        <v>0.0297532808235678</v>
      </c>
      <c r="G3853" s="12" t="n">
        <f aca="false">Sens!$G$3845/Sens!$G$3826</f>
        <v>0.0335954317997163</v>
      </c>
      <c r="H3853" s="12" t="n">
        <f aca="false">Sens!$H$3845/Sens!$H$3826</f>
        <v>0.0316619933545878</v>
      </c>
      <c r="I3853" s="12" t="n">
        <f aca="false">Sens!$I$3845/Sens!$I$3826</f>
        <v>0.0292291519756995</v>
      </c>
      <c r="J3853" s="12" t="n">
        <f aca="false">Sens!$J$3845/Sens!$J$3826</f>
        <v>0.0273271758816999</v>
      </c>
      <c r="K3853" s="12" t="n">
        <f aca="false">Sens!$K$3845/Sens!$K$3826</f>
        <v>0.0254958893131992</v>
      </c>
      <c r="L3853" s="12" t="n">
        <f aca="false">Sens!$L$3845/Sens!$L$3826</f>
        <v>0.0252997426581128</v>
      </c>
      <c r="M3853" s="12" t="n">
        <f aca="false">Sens!$M$3845/Sens!$M$3826</f>
        <v>0.0260542258799502</v>
      </c>
      <c r="N3853" s="12" t="n">
        <f aca="false">Sens!$N$3845/Sens!$N$3826</f>
        <v>0.0357315650169337</v>
      </c>
      <c r="O3853" s="12" t="n">
        <f aca="false">Sens!$O$3845/Sens!$O$3826</f>
        <v>0.0244378956559703</v>
      </c>
    </row>
    <row r="3854" customFormat="false" ht="17.15" hidden="false" customHeight="false" outlineLevel="0" collapsed="false">
      <c r="A3854" s="13" t="s">
        <v>690</v>
      </c>
      <c r="B3854" s="13" t="s">
        <v>52</v>
      </c>
      <c r="C3854" s="16" t="n">
        <f aca="false">Sens!$C$3848/Sens!$C$3827</f>
        <v>0.370355907620217</v>
      </c>
      <c r="D3854" s="16" t="n">
        <f aca="false">Sens!$D$3848/Sens!$D$3827</f>
        <v>0.35429015342785</v>
      </c>
      <c r="E3854" s="16" t="n">
        <f aca="false">Sens!$E$3848/Sens!$E$3827</f>
        <v>0.385647527531039</v>
      </c>
      <c r="F3854" s="16" t="n">
        <f aca="false">Sens!$F$3848/Sens!$F$3827</f>
        <v>0.384415729470259</v>
      </c>
      <c r="G3854" s="16" t="n">
        <f aca="false">Sens!$G$3848/Sens!$G$3827</f>
        <v>0.38498282105443</v>
      </c>
      <c r="H3854" s="16" t="n">
        <f aca="false">Sens!$H$3848/Sens!$H$3827</f>
        <v>0.361247909668527</v>
      </c>
      <c r="I3854" s="16" t="n">
        <f aca="false">Sens!$I$3848/Sens!$I$3827</f>
        <v>0.349486287974975</v>
      </c>
      <c r="J3854" s="16" t="n">
        <f aca="false">Sens!$J$3848/Sens!$J$3827</f>
        <v>0.339886531832068</v>
      </c>
      <c r="K3854" s="16" t="n">
        <f aca="false">Sens!$K$3848/Sens!$K$3827</f>
        <v>0.33135833762061</v>
      </c>
      <c r="L3854" s="16" t="n">
        <f aca="false">Sens!$L$3848/Sens!$L$3827</f>
        <v>0.328299068185284</v>
      </c>
      <c r="M3854" s="16" t="n">
        <f aca="false">Sens!$M$3848/Sens!$M$3827</f>
        <v>0.325058049465166</v>
      </c>
      <c r="N3854" s="16" t="n">
        <f aca="false">Sens!$N$3848/Sens!$N$3827</f>
        <v>0.360941137346192</v>
      </c>
      <c r="O3854" s="16" t="n">
        <f aca="false">Sens!$O$3848/Sens!$O$3827</f>
        <v>0.348458117664212</v>
      </c>
    </row>
    <row r="3855" customFormat="false" ht="17.15" hidden="false" customHeight="false" outlineLevel="0" collapsed="false">
      <c r="A3855" s="0" t="s">
        <v>691</v>
      </c>
      <c r="B3855" s="0" t="s">
        <v>52</v>
      </c>
      <c r="C3855" s="12" t="n">
        <f aca="false">Sens!$C$3846/Sens!$C$3828</f>
        <v>0.708390794789371</v>
      </c>
      <c r="D3855" s="12" t="n">
        <f aca="false">Sens!$D$3846/Sens!$D$3828</f>
        <v>0.445565630441968</v>
      </c>
      <c r="E3855" s="12" t="n">
        <f aca="false">Sens!$E$3846/Sens!$E$3828</f>
        <v>0.165998118402711</v>
      </c>
      <c r="F3855" s="12" t="n">
        <f aca="false">Sens!$F$3846/Sens!$F$3828</f>
        <v>0.434878595403858</v>
      </c>
      <c r="G3855" s="12" t="n">
        <f aca="false">Sens!$G$3846/Sens!$G$3828</f>
        <v>0.3373967615381</v>
      </c>
      <c r="H3855" s="12" t="n">
        <f aca="false">Sens!$H$3846/Sens!$H$3828</f>
        <v>0.320477578041224</v>
      </c>
      <c r="I3855" s="12" t="n">
        <f aca="false">Sens!$I$3846/Sens!$I$3828</f>
        <v>0.296936118226494</v>
      </c>
      <c r="J3855" s="12" t="n">
        <f aca="false">Sens!$J$3846/Sens!$J$3828</f>
        <v>0.282166278613001</v>
      </c>
      <c r="K3855" s="12" t="n">
        <f aca="false">Sens!$K$3846/Sens!$K$3828</f>
        <v>0.271267685694333</v>
      </c>
      <c r="L3855" s="12" t="n">
        <f aca="false">Sens!$L$3846/Sens!$L$3828</f>
        <v>0.27160960915653</v>
      </c>
      <c r="M3855" s="12" t="n">
        <f aca="false">Sens!$M$3846/Sens!$M$3828</f>
        <v>0.26974494804234</v>
      </c>
      <c r="N3855" s="12" t="n">
        <f aca="false">Sens!$N$3846/Sens!$N$3828</f>
        <v>0.302870734830849</v>
      </c>
      <c r="O3855" s="12" t="n">
        <f aca="false">Sens!$O$3846/Sens!$O$3828</f>
        <v>0.52240134346334</v>
      </c>
    </row>
    <row r="3856" customFormat="false" ht="15" hidden="false" customHeight="false" outlineLevel="0" collapsed="false">
      <c r="A3856" s="5" t="s">
        <v>692</v>
      </c>
      <c r="B3856" s="0" t="s">
        <v>52</v>
      </c>
      <c r="C3856" s="12" t="n">
        <f aca="false">Sens!$C$3850/Sens!$C$3830</f>
        <v>0.107519448742004</v>
      </c>
      <c r="D3856" s="12" t="n">
        <f aca="false">Sens!$D$3850/Sens!$D$3830</f>
        <v>0.111552967957552</v>
      </c>
      <c r="E3856" s="12" t="n">
        <f aca="false">Sens!$E$3850/Sens!$E$3830</f>
        <v>0.13428328426562</v>
      </c>
      <c r="F3856" s="12" t="n">
        <f aca="false">Sens!$F$3850/Sens!$F$3830</f>
        <v>0.132926212451512</v>
      </c>
      <c r="G3856" s="12" t="n">
        <f aca="false">Sens!$G$3850/Sens!$G$3830</f>
        <v>0.133549030959228</v>
      </c>
      <c r="H3856" s="12" t="n">
        <f aca="false">Sens!$H$3850/Sens!$H$3830</f>
        <v>0.139927368734221</v>
      </c>
      <c r="I3856" s="12" t="n">
        <f aca="false">Sens!$I$3850/Sens!$I$3830</f>
        <v>0.145419317452915</v>
      </c>
      <c r="J3856" s="12" t="n">
        <f aca="false">Sens!$J$3850/Sens!$J$3830</f>
        <v>0.14890003536623</v>
      </c>
      <c r="K3856" s="12" t="n">
        <f aca="false">Sens!$K$3850/Sens!$K$3830</f>
        <v>0.150599739737875</v>
      </c>
      <c r="L3856" s="12" t="n">
        <f aca="false">Sens!$L$3850/Sens!$L$3830</f>
        <v>0.15288678206794</v>
      </c>
      <c r="M3856" s="12" t="n">
        <f aca="false">Sens!$M$3850/Sens!$M$3830</f>
        <v>0.154945071415101</v>
      </c>
      <c r="N3856" s="12" t="n">
        <f aca="false">Sens!$N$3850/Sens!$N$3830</f>
        <v>0.116201614873411</v>
      </c>
      <c r="O3856" s="12" t="n">
        <f aca="false">Sens!$O$3850/Sens!$O$3830</f>
        <v>0.107733353660861</v>
      </c>
    </row>
    <row r="3857" customFormat="false" ht="17.15" hidden="false" customHeight="false" outlineLevel="0" collapsed="false">
      <c r="A3857" s="1" t="s">
        <v>693</v>
      </c>
    </row>
    <row r="3858" customFormat="false" ht="17.15" hidden="false" customHeight="false" outlineLevel="0" collapsed="false">
      <c r="A3858" s="5" t="s">
        <v>694</v>
      </c>
      <c r="B3858" s="0" t="s">
        <v>52</v>
      </c>
      <c r="D3858" s="28" t="n">
        <f aca="false">(Q!$E$29+Q!$E$30-(1-ext_sh)*Sens!$D$3782)/Sens!$D$3739</f>
        <v>0.0334674312393194</v>
      </c>
    </row>
    <row r="3859" customFormat="false" ht="17.15" hidden="false" customHeight="false" outlineLevel="0" collapsed="false">
      <c r="A3859" s="0" t="s">
        <v>498</v>
      </c>
      <c r="B3859" s="0" t="s">
        <v>73</v>
      </c>
      <c r="C3859" s="38" t="n">
        <f aca="false">Q!$D$29</f>
        <v>14.285</v>
      </c>
      <c r="D3859" s="38" t="n">
        <f aca="false">Q!$E$29</f>
        <v>15.503</v>
      </c>
      <c r="E3859" s="38" t="n">
        <f aca="false">Q!$P$29</f>
        <v>8.78</v>
      </c>
      <c r="F3859" s="38" t="n">
        <f aca="false">(Sens!$D$3858*Sens!$F$3739+(1-ext_sh)*Sens!$F$3782)*Sens!$F$3740</f>
        <v>9.51361751569285</v>
      </c>
      <c r="G3859" s="38" t="n">
        <f aca="false">Sens!$E$3859+Sens!$F$3859</f>
        <v>18.2936175156929</v>
      </c>
      <c r="H3859" s="38" t="n">
        <f aca="false">(Sens!$D$3858*Sens!$H$3739+(1-ext_sh)*Sens!$H$3782)*Sens!$H$3740</f>
        <v>22.7808287337706</v>
      </c>
      <c r="I3859" s="38" t="n">
        <f aca="false">(Sens!$D$3858*Sens!$I$3739+(1-ext_sh)*Sens!$I$3782)*Sens!$I$3740</f>
        <v>28.4835361666997</v>
      </c>
      <c r="J3859" s="38" t="n">
        <f aca="false">(Sens!$D$3858*Sens!$J$3739+(1-ext_sh)*Sens!$J$3782)*Sens!$J$3740</f>
        <v>34.247333682885</v>
      </c>
      <c r="K3859" s="38" t="n">
        <f aca="false">(Sens!$D$3858*Sens!$K$3739+(1-ext_sh)*Sens!$K$3782)*Sens!$K$3740</f>
        <v>39.9678172516923</v>
      </c>
      <c r="L3859" s="38" t="n">
        <f aca="false">(Sens!$D$3858*Sens!$L$3739+(1-ext_sh)*Sens!$L$3782)*Sens!$L$3740</f>
        <v>45.5151332861724</v>
      </c>
      <c r="M3859" s="38" t="n">
        <f aca="false">(Sens!$D$3858*Sens!$M$3739+(1-ext_sh)*Sens!$M$3782)*Sens!$M$3740</f>
        <v>51.296513227344</v>
      </c>
      <c r="N3859" s="38" t="n">
        <f aca="false">Q!$N$29</f>
        <v>7.272</v>
      </c>
      <c r="O3859" s="38" t="n">
        <f aca="false">Q!$O$29</f>
        <v>8.231</v>
      </c>
    </row>
    <row r="3860" customFormat="false" ht="17.15" hidden="false" customHeight="false" outlineLevel="0" collapsed="false">
      <c r="A3860" s="0" t="s">
        <v>500</v>
      </c>
      <c r="B3860" s="0" t="s">
        <v>73</v>
      </c>
      <c r="C3860" s="38" t="n">
        <f aca="false">Q!$D$30</f>
        <v>4.462</v>
      </c>
      <c r="D3860" s="38" t="n">
        <f aca="false">Q!$E$30</f>
        <v>4.907</v>
      </c>
      <c r="E3860" s="38" t="n">
        <f aca="false">Q!$P$30</f>
        <v>2.57</v>
      </c>
      <c r="F3860" s="38" t="n">
        <f aca="false">(Sens!$D$3858*Sens!$F$3739+(1-ext_sh)*Sens!$F$3782)*(1-Sens!$F$3740)</f>
        <v>3.7353230631574</v>
      </c>
      <c r="G3860" s="38" t="n">
        <f aca="false">Sens!$E$3860+Sens!$F$3860</f>
        <v>6.3053230631574</v>
      </c>
      <c r="H3860" s="38" t="n">
        <f aca="false">(Sens!$D$3858*Sens!$H$3739+(1-ext_sh)*Sens!$H$3782)*(1-Sens!$H$3740)</f>
        <v>8.72847084214812</v>
      </c>
      <c r="I3860" s="38" t="n">
        <f aca="false">(Sens!$D$3858*Sens!$I$3739+(1-ext_sh)*Sens!$I$3782)*(1-Sens!$I$3740)</f>
        <v>10.9134622720619</v>
      </c>
      <c r="J3860" s="38" t="n">
        <f aca="false">(Sens!$D$3858*Sens!$J$3739+(1-ext_sh)*Sens!$J$3782)*(1-Sens!$J$3740)</f>
        <v>13.1218603574876</v>
      </c>
      <c r="K3860" s="38" t="n">
        <f aca="false">(Sens!$D$3858*Sens!$K$3739+(1-ext_sh)*Sens!$K$3782)*(1-Sens!$K$3740)</f>
        <v>15.313662710986</v>
      </c>
      <c r="L3860" s="38" t="n">
        <f aca="false">(Sens!$D$3858*Sens!$L$3739+(1-ext_sh)*Sens!$L$3782)*(1-Sens!$L$3740)</f>
        <v>17.439115951735</v>
      </c>
      <c r="M3860" s="38" t="n">
        <f aca="false">(Sens!$D$3858*Sens!$M$3739+(1-ext_sh)*Sens!$M$3782)*(1-Sens!$M$3740)</f>
        <v>19.6542507404483</v>
      </c>
      <c r="N3860" s="38" t="n">
        <f aca="false">Q!$N$30</f>
        <v>2.316</v>
      </c>
      <c r="O3860" s="38" t="n">
        <f aca="false">Q!$O$30</f>
        <v>2.591</v>
      </c>
    </row>
    <row r="3861" customFormat="false" ht="17.15" hidden="false" customHeight="false" outlineLevel="0" collapsed="false">
      <c r="A3861" s="0" t="s">
        <v>501</v>
      </c>
      <c r="B3861" s="0" t="s">
        <v>73</v>
      </c>
      <c r="C3861" s="38" t="n">
        <f aca="false">Sens!$C$3794</f>
        <v>13.32</v>
      </c>
      <c r="D3861" s="38" t="n">
        <f aca="false">Sens!$D$3794</f>
        <v>21.45</v>
      </c>
      <c r="E3861" s="38" t="n">
        <f aca="false">Sens!$E$3794</f>
        <v>15.353</v>
      </c>
      <c r="F3861" s="38" t="n">
        <f aca="false">Sens!$F$3794</f>
        <v>17.3614451462707</v>
      </c>
      <c r="G3861" s="38" t="n">
        <f aca="false">Sens!$G$3794</f>
        <v>32.7144451462707</v>
      </c>
      <c r="H3861" s="38" t="n">
        <f aca="false">Sens!$H$3794</f>
        <v>56.1966092719415</v>
      </c>
      <c r="I3861" s="38" t="n">
        <f aca="false">Sens!$I$3794</f>
        <v>82.9744039068297</v>
      </c>
      <c r="J3861" s="38" t="n">
        <f aca="false">Sens!$J$3794</f>
        <v>109.943252237669</v>
      </c>
      <c r="K3861" s="38" t="n">
        <f aca="false">Sens!$K$3794</f>
        <v>136.406703436571</v>
      </c>
      <c r="L3861" s="38" t="n">
        <f aca="false">Sens!$L$3794</f>
        <v>161.485870454155</v>
      </c>
      <c r="M3861" s="38" t="n">
        <f aca="false">Sens!$M$3794</f>
        <v>187.389846618199</v>
      </c>
      <c r="N3861" s="38" t="n">
        <f aca="false">Sens!$N$3794</f>
        <v>9.234</v>
      </c>
      <c r="O3861" s="38" t="n">
        <f aca="false">Sens!$O$3794</f>
        <v>12.216</v>
      </c>
    </row>
    <row r="3862" customFormat="false" ht="17.15" hidden="false" customHeight="false" outlineLevel="0" collapsed="false">
      <c r="A3862" s="5" t="s">
        <v>695</v>
      </c>
      <c r="B3862" s="0" t="s">
        <v>73</v>
      </c>
      <c r="C3862" s="38" t="n">
        <f aca="false">Sens!$C$3859+Sens!$C$3860+Sens!$C$3861</f>
        <v>32.067</v>
      </c>
      <c r="D3862" s="38" t="n">
        <f aca="false">Sens!$D$3859+Sens!$D$3860+Sens!$D$3861</f>
        <v>41.86</v>
      </c>
      <c r="E3862" s="38" t="n">
        <f aca="false">Sens!$E$3859+Sens!$E$3860+Sens!$E$3861</f>
        <v>26.703</v>
      </c>
      <c r="F3862" s="38" t="n">
        <f aca="false">Sens!$F$3859+Sens!$F$3860+Sens!$F$3861</f>
        <v>30.6103857251209</v>
      </c>
      <c r="G3862" s="38" t="n">
        <f aca="false">Sens!$G$3859+Sens!$G$3860+Sens!$G$3861</f>
        <v>57.3133857251209</v>
      </c>
      <c r="H3862" s="38" t="n">
        <f aca="false">Sens!$H$3859+Sens!$H$3860+Sens!$H$3861</f>
        <v>87.7059088478602</v>
      </c>
      <c r="I3862" s="38" t="n">
        <f aca="false">Sens!$I$3859+Sens!$I$3860+Sens!$I$3861</f>
        <v>122.371402345591</v>
      </c>
      <c r="J3862" s="38" t="n">
        <f aca="false">Sens!$J$3859+Sens!$J$3860+Sens!$J$3861</f>
        <v>157.312446278041</v>
      </c>
      <c r="K3862" s="38" t="n">
        <f aca="false">Sens!$K$3859+Sens!$K$3860+Sens!$K$3861</f>
        <v>191.688183399249</v>
      </c>
      <c r="L3862" s="38" t="n">
        <f aca="false">Sens!$L$3859+Sens!$L$3860+Sens!$L$3861</f>
        <v>224.440119692062</v>
      </c>
      <c r="M3862" s="38" t="n">
        <f aca="false">Sens!$M$3859+Sens!$M$3860+Sens!$M$3861</f>
        <v>258.340610585992</v>
      </c>
      <c r="N3862" s="38" t="n">
        <f aca="false">Sens!$N$3859+Sens!$N$3860+Sens!$N$3861</f>
        <v>18.822</v>
      </c>
      <c r="O3862" s="38" t="n">
        <f aca="false">Sens!$O$3859+Sens!$O$3860+Sens!$O$3861</f>
        <v>23.038</v>
      </c>
    </row>
    <row r="3863" customFormat="false" ht="17.15" hidden="false" customHeight="false" outlineLevel="0" collapsed="false">
      <c r="A3863" s="0" t="s">
        <v>696</v>
      </c>
      <c r="B3863" s="0" t="s">
        <v>73</v>
      </c>
      <c r="C3863" s="38" t="n">
        <f aca="false">Sens!$C$3836+Sens!$C$3841</f>
        <v>28.107</v>
      </c>
      <c r="D3863" s="38" t="n">
        <f aca="false">Sens!$D$3836+Sens!$D$3841</f>
        <v>34.3175</v>
      </c>
      <c r="E3863" s="38" t="n">
        <f aca="false">Sens!$E$3836+Sens!$E$3841</f>
        <v>18.526</v>
      </c>
      <c r="F3863" s="38" t="n">
        <f aca="false">Sens!$F$3836+Sens!$F$3841</f>
        <v>24.0766690913691</v>
      </c>
      <c r="G3863" s="38" t="n">
        <f aca="false">Sens!$G$3836+Sens!$G$3841</f>
        <v>42.6026690913691</v>
      </c>
      <c r="H3863" s="38" t="n">
        <f aca="false">Sens!$H$3836+Sens!$H$3841</f>
        <v>51.4662009476554</v>
      </c>
      <c r="I3863" s="38" t="n">
        <f aca="false">Sens!$I$3836+Sens!$I$3841</f>
        <v>60.8348025514839</v>
      </c>
      <c r="J3863" s="38" t="n">
        <f aca="false">Sens!$J$3836+Sens!$J$3841</f>
        <v>70.326067820902</v>
      </c>
      <c r="K3863" s="38" t="n">
        <f aca="false">Sens!$K$3836+Sens!$K$3841</f>
        <v>79.4684566376193</v>
      </c>
      <c r="L3863" s="38" t="n">
        <f aca="false">Sens!$L$3836+Sens!$L$3841</f>
        <v>89.7993560005098</v>
      </c>
      <c r="M3863" s="38" t="n">
        <f aca="false">Sens!$M$3836+Sens!$M$3841</f>
        <v>101.473272280576</v>
      </c>
      <c r="N3863" s="38" t="n">
        <f aca="false">Sens!$N$3836+Sens!$N$3841</f>
        <v>14.8075</v>
      </c>
      <c r="O3863" s="38" t="n">
        <f aca="false">Sens!$O$3836+Sens!$O$3841</f>
        <v>19.51</v>
      </c>
    </row>
    <row r="3864" customFormat="false" ht="17.15" hidden="false" customHeight="false" outlineLevel="0" collapsed="false">
      <c r="A3864" s="0" t="s">
        <v>697</v>
      </c>
      <c r="B3864" s="0" t="s">
        <v>73</v>
      </c>
      <c r="C3864" s="38" t="n">
        <f aca="false">Sens!$C$3840+Sens!$C$3845+Sens!$C$3859+Sens!$C$3860-Sens!$C$3863</f>
        <v>19.399</v>
      </c>
      <c r="D3864" s="38" t="n">
        <f aca="false">Sens!$D$3840+Sens!$D$3845+Sens!$D$3859+Sens!$D$3860-Sens!$D$3863</f>
        <v>20.4615</v>
      </c>
      <c r="E3864" s="38" t="n">
        <f aca="false">Sens!$E$3840+Sens!$E$3845+Sens!$E$3859+Sens!$E$3860-Sens!$E$3863</f>
        <v>13.355</v>
      </c>
      <c r="F3864" s="38" t="n">
        <f aca="false">Sens!$F$3840+Sens!$F$3845+Sens!$F$3859+Sens!$F$3860-Sens!$F$3863</f>
        <v>13.0895111975985</v>
      </c>
      <c r="G3864" s="38" t="n">
        <f aca="false">Sens!$G$3840+Sens!$G$3845+Sens!$G$3859+Sens!$G$3860-Sens!$G$3863</f>
        <v>26.4445111975985</v>
      </c>
      <c r="H3864" s="38" t="n">
        <f aca="false">Sens!$H$3840+Sens!$H$3845+Sens!$H$3859+Sens!$H$3860-Sens!$H$3863</f>
        <v>28.9190967222732</v>
      </c>
      <c r="I3864" s="38" t="n">
        <f aca="false">Sens!$I$3840+Sens!$I$3845+Sens!$I$3859+Sens!$I$3860-Sens!$I$3863</f>
        <v>31.2828365434327</v>
      </c>
      <c r="J3864" s="38" t="n">
        <f aca="false">Sens!$J$3840+Sens!$J$3845+Sens!$J$3859+Sens!$J$3860-Sens!$J$3863</f>
        <v>33.6849409545116</v>
      </c>
      <c r="K3864" s="38" t="n">
        <f aca="false">Sens!$K$3840+Sens!$K$3845+Sens!$K$3859+Sens!$K$3860-Sens!$K$3863</f>
        <v>35.9966962032399</v>
      </c>
      <c r="L3864" s="38" t="n">
        <f aca="false">Sens!$L$3840+Sens!$L$3845+Sens!$L$3859+Sens!$L$3860-Sens!$L$3863</f>
        <v>36.9449820657682</v>
      </c>
      <c r="M3864" s="38" t="n">
        <f aca="false">Sens!$M$3840+Sens!$M$3845+Sens!$M$3859+Sens!$M$3860-Sens!$M$3863</f>
        <v>38.1242749265546</v>
      </c>
      <c r="N3864" s="38" t="n">
        <f aca="false">Sens!$N$3840+Sens!$N$3845+Sens!$N$3859+Sens!$N$3860-Sens!$N$3863</f>
        <v>10.6495</v>
      </c>
      <c r="O3864" s="38" t="n">
        <f aca="false">Sens!$O$3840+Sens!$O$3845+Sens!$O$3859+Sens!$O$3860-Sens!$O$3863</f>
        <v>9.81200000000001</v>
      </c>
    </row>
    <row r="3865" customFormat="false" ht="17.15" hidden="false" customHeight="false" outlineLevel="0" collapsed="false">
      <c r="A3865" s="0" t="s">
        <v>698</v>
      </c>
      <c r="B3865" s="0" t="s">
        <v>73</v>
      </c>
      <c r="C3865" s="38" t="n">
        <f aca="false">Sens!$C$3847+Sens!$C$3861-ext_sh*Sens!$C$3782</f>
        <v>51.3470500115664</v>
      </c>
      <c r="D3865" s="38" t="n">
        <f aca="false">Sens!$D$3847+Sens!$D$3861-ext_sh*Sens!$D$3782</f>
        <v>60.2799375433739</v>
      </c>
      <c r="E3865" s="38" t="n">
        <f aca="false">Sens!$E$3847+Sens!$E$3861-ext_sh*Sens!$E$3782</f>
        <v>39.5095167090767</v>
      </c>
      <c r="F3865" s="38" t="n">
        <f aca="false">Sens!$F$3847+Sens!$F$3861-ext_sh*Sens!$F$3782</f>
        <v>41.606724953129</v>
      </c>
      <c r="G3865" s="38" t="n">
        <f aca="false">Sens!$G$3847+Sens!$G$3861-ext_sh*Sens!$G$3782</f>
        <v>81.1162416622057</v>
      </c>
      <c r="H3865" s="38" t="n">
        <f aca="false">Sens!$H$3847+Sens!$H$3861-ext_sh*Sens!$H$3782</f>
        <v>95.7616595325849</v>
      </c>
      <c r="I3865" s="38" t="n">
        <f aca="false">Sens!$I$3847+Sens!$I$3861-ext_sh*Sens!$I$3782</f>
        <v>111.513312079935</v>
      </c>
      <c r="J3865" s="38" t="n">
        <f aca="false">Sens!$J$3847+Sens!$J$3861-ext_sh*Sens!$J$3782</f>
        <v>125.145150463955</v>
      </c>
      <c r="K3865" s="38" t="n">
        <f aca="false">Sens!$K$3847+Sens!$K$3861-ext_sh*Sens!$K$3782</f>
        <v>135.156762501071</v>
      </c>
      <c r="L3865" s="38" t="n">
        <f aca="false">Sens!$L$3847+Sens!$L$3861-ext_sh*Sens!$L$3782</f>
        <v>145.969303501157</v>
      </c>
      <c r="M3865" s="38" t="n">
        <f aca="false">Sens!$M$3847+Sens!$M$3861-ext_sh*Sens!$M$3782</f>
        <v>157.646847781249</v>
      </c>
      <c r="N3865" s="38" t="n">
        <f aca="false">Sens!$N$3847+Sens!$N$3861-ext_sh*Sens!$N$3782</f>
        <v>28.5693781401809</v>
      </c>
      <c r="O3865" s="38" t="n">
        <f aca="false">Sens!$O$3847+Sens!$O$3861-ext_sh*Sens!$O$3782</f>
        <v>31.7105594031931</v>
      </c>
    </row>
    <row r="3866" customFormat="false" ht="17.15" hidden="false" customHeight="false" outlineLevel="0" collapsed="false">
      <c r="A3866" s="0" t="s">
        <v>699</v>
      </c>
      <c r="B3866" s="0" t="s">
        <v>73</v>
      </c>
      <c r="C3866" s="38" t="n">
        <f aca="false">Sens!$C$3785</f>
        <v>1.80694998843362</v>
      </c>
      <c r="D3866" s="38" t="n">
        <f aca="false">Sens!$D$3785</f>
        <v>6.77606245662607</v>
      </c>
      <c r="E3866" s="38" t="n">
        <f aca="false">Sens!$E$3785</f>
        <v>6.62548329092326</v>
      </c>
      <c r="F3866" s="38" t="n">
        <f aca="false">Sens!$F$3785</f>
        <v>11.7200577158706</v>
      </c>
      <c r="G3866" s="38" t="n">
        <f aca="false">Sens!$G$3785</f>
        <v>18.3455410067939</v>
      </c>
      <c r="H3866" s="38" t="n">
        <f aca="false">Sens!$H$3785</f>
        <v>47.5171727060453</v>
      </c>
      <c r="I3866" s="38" t="n">
        <f aca="false">Sens!$I$3785</f>
        <v>80.5539692643667</v>
      </c>
      <c r="J3866" s="38" t="n">
        <f aca="false">Sens!$J$3785</f>
        <v>113.759316834883</v>
      </c>
      <c r="K3866" s="38" t="n">
        <f aca="false">Sens!$K$3785</f>
        <v>147.020848076132</v>
      </c>
      <c r="L3866" s="38" t="n">
        <f aca="false">Sens!$L$3785</f>
        <v>180.307917349531</v>
      </c>
      <c r="M3866" s="38" t="n">
        <f aca="false">Sens!$M$3785</f>
        <v>213.608737871012</v>
      </c>
      <c r="N3866" s="38" t="n">
        <f aca="false">Sens!$N$3785</f>
        <v>2.37162185981912</v>
      </c>
      <c r="O3866" s="38" t="n">
        <f aca="false">Sens!$O$3785</f>
        <v>4.40444059680694</v>
      </c>
    </row>
    <row r="3867" customFormat="false" ht="17.15" hidden="false" customHeight="false" outlineLevel="0" collapsed="false">
      <c r="A3867" s="0" t="s">
        <v>700</v>
      </c>
      <c r="B3867" s="0" t="s">
        <v>73</v>
      </c>
      <c r="C3867" s="38" t="n">
        <f aca="false">Sens!$C$3850+Sens!$C$3862</f>
        <v>100.66</v>
      </c>
      <c r="D3867" s="38" t="n">
        <f aca="false">Sens!$D$3850+Sens!$D$3862</f>
        <v>121.835</v>
      </c>
      <c r="E3867" s="38" t="n">
        <f aca="false">Sens!$E$3850+Sens!$E$3862</f>
        <v>78.016</v>
      </c>
      <c r="F3867" s="38" t="n">
        <f aca="false">Sens!$F$3850+Sens!$F$3862</f>
        <v>90.4929629579672</v>
      </c>
      <c r="G3867" s="38" t="n">
        <f aca="false">Sens!$G$3850+Sens!$G$3862</f>
        <v>168.508962957967</v>
      </c>
      <c r="H3867" s="38" t="n">
        <f aca="false">Sens!$H$3850+Sens!$H$3862</f>
        <v>223.664129908559</v>
      </c>
      <c r="I3867" s="38" t="n">
        <f aca="false">Sens!$I$3850+Sens!$I$3862</f>
        <v>284.184920439219</v>
      </c>
      <c r="J3867" s="38" t="n">
        <f aca="false">Sens!$J$3850+Sens!$J$3862</f>
        <v>342.915476074252</v>
      </c>
      <c r="K3867" s="38" t="n">
        <f aca="false">Sens!$K$3850+Sens!$K$3862</f>
        <v>397.642763418062</v>
      </c>
      <c r="L3867" s="38" t="n">
        <f aca="false">Sens!$L$3850+Sens!$L$3862</f>
        <v>453.021558916966</v>
      </c>
      <c r="M3867" s="38" t="n">
        <f aca="false">Sens!$M$3850+Sens!$M$3862</f>
        <v>510.853132859392</v>
      </c>
      <c r="N3867" s="38" t="n">
        <f aca="false">Sens!$N$3850+Sens!$N$3862</f>
        <v>56.398</v>
      </c>
      <c r="O3867" s="38" t="n">
        <f aca="false">Sens!$O$3850+Sens!$O$3862</f>
        <v>65.437</v>
      </c>
    </row>
    <row r="3868" customFormat="false" ht="17.15" hidden="false" customHeight="false" outlineLevel="0" collapsed="false">
      <c r="A3868" s="1" t="s">
        <v>701</v>
      </c>
    </row>
    <row r="3869" customFormat="false" ht="15" hidden="false" customHeight="false" outlineLevel="0" collapsed="false">
      <c r="A3869" s="5" t="s">
        <v>504</v>
      </c>
      <c r="B3869" s="0" t="s">
        <v>73</v>
      </c>
      <c r="C3869" s="38" t="n">
        <f aca="false">Q!$D$34</f>
        <v>2.406</v>
      </c>
      <c r="D3869" s="38" t="n">
        <f aca="false">Q!$E$34</f>
        <v>2.274</v>
      </c>
      <c r="E3869" s="38" t="n">
        <f aca="false">Q!$P$34</f>
        <v>2.114</v>
      </c>
      <c r="F3869" s="38" t="n">
        <f aca="false">Sens!$F$3905</f>
        <v>3.24888964316061</v>
      </c>
      <c r="G3869" s="38" t="n">
        <f aca="false">Sens!$E$3869+Sens!$F$3869</f>
        <v>5.36288964316061</v>
      </c>
      <c r="H3869" s="38" t="n">
        <f aca="false">Sens!$H$3905</f>
        <v>7.42354178632123</v>
      </c>
      <c r="I3869" s="38" t="n">
        <f aca="false">Sens!$I$3905</f>
        <v>7.50110501639385</v>
      </c>
      <c r="J3869" s="38" t="n">
        <f aca="false">Sens!$J$3905</f>
        <v>7.69034552270242</v>
      </c>
      <c r="K3869" s="38" t="n">
        <f aca="false">Sens!$K$3905</f>
        <v>7.69034552270242</v>
      </c>
      <c r="L3869" s="38" t="n">
        <f aca="false">Sens!$L$3905</f>
        <v>7.69034552270242</v>
      </c>
      <c r="M3869" s="38" t="n">
        <f aca="false">Sens!$M$3905</f>
        <v>7.69034552270242</v>
      </c>
      <c r="N3869" s="38" t="n">
        <f aca="false">Q!$N$34</f>
        <v>1.057</v>
      </c>
      <c r="O3869" s="38" t="n">
        <f aca="false">Q!$O$34</f>
        <v>1.217</v>
      </c>
    </row>
    <row r="3870" customFormat="false" ht="15" hidden="false" customHeight="false" outlineLevel="0" collapsed="false">
      <c r="A3870" s="5" t="s">
        <v>702</v>
      </c>
      <c r="B3870" s="0" t="s">
        <v>73</v>
      </c>
      <c r="F3870" s="38" t="n">
        <f aca="false">Sens!$F$3906</f>
        <v>2.59</v>
      </c>
      <c r="H3870" s="38" t="n">
        <f aca="false">Sens!$H$3906</f>
        <v>4.00971603121774</v>
      </c>
      <c r="I3870" s="38" t="n">
        <f aca="false">Sens!$I$3906</f>
        <v>2.10589651022864</v>
      </c>
      <c r="J3870" s="38" t="n">
        <f aca="false">Sens!$J$3906</f>
        <v>2.10589651022864</v>
      </c>
      <c r="K3870" s="38" t="n">
        <f aca="false">Sens!$K$3906</f>
        <v>3.87797546186194</v>
      </c>
      <c r="L3870" s="38" t="n">
        <f aca="false">Sens!$L$3906</f>
        <v>7.52544292735915</v>
      </c>
      <c r="M3870" s="38" t="n">
        <f aca="false">Sens!$M$3906</f>
        <v>11.7860506236502</v>
      </c>
    </row>
    <row r="3871" customFormat="false" ht="17.15" hidden="false" customHeight="false" outlineLevel="0" collapsed="false">
      <c r="A3871" s="5" t="s">
        <v>703</v>
      </c>
      <c r="B3871" s="0" t="s">
        <v>73</v>
      </c>
      <c r="C3871" s="38" t="n">
        <f aca="false">Q!$D$39</f>
        <v>2.427</v>
      </c>
      <c r="D3871" s="38" t="n">
        <f aca="false">Q!$E$39</f>
        <v>19.61</v>
      </c>
      <c r="E3871" s="38" t="n">
        <f aca="false">Q!$P$39</f>
        <v>71.492</v>
      </c>
      <c r="F3871" s="41" t="n">
        <v>0</v>
      </c>
      <c r="G3871" s="38" t="n">
        <f aca="false">Sens!$E$3871+Sens!$F$3871</f>
        <v>71.492</v>
      </c>
      <c r="H3871" s="41" t="n">
        <v>0</v>
      </c>
      <c r="I3871" s="41" t="n">
        <v>0</v>
      </c>
      <c r="J3871" s="41" t="n">
        <v>0</v>
      </c>
      <c r="K3871" s="41" t="n">
        <v>0</v>
      </c>
      <c r="L3871" s="41" t="n">
        <v>0</v>
      </c>
      <c r="M3871" s="41" t="n">
        <v>0</v>
      </c>
      <c r="N3871" s="38" t="n">
        <f aca="false">Q!$N$39</f>
        <v>6.017</v>
      </c>
      <c r="O3871" s="38" t="n">
        <f aca="false">Q!$O$39</f>
        <v>13.593</v>
      </c>
      <c r="P3871" s="5" t="s">
        <v>704</v>
      </c>
    </row>
    <row r="3872" customFormat="false" ht="15" hidden="false" customHeight="false" outlineLevel="0" collapsed="false">
      <c r="A3872" s="5" t="s">
        <v>507</v>
      </c>
      <c r="B3872" s="0" t="s">
        <v>73</v>
      </c>
      <c r="C3872" s="38" t="n">
        <f aca="false">Q!$D$36</f>
        <v>68.614</v>
      </c>
      <c r="D3872" s="38" t="n">
        <f aca="false">Q!$E$36</f>
        <v>97.311</v>
      </c>
      <c r="E3872" s="38" t="n">
        <f aca="false">Q!$P$36</f>
        <v>120.691</v>
      </c>
      <c r="F3872" s="38" t="n">
        <f aca="false">Sens!$F$3850-Sens!$F$3869+Sens!$F$3870+Sens!$F$3871</f>
        <v>59.2236875896856</v>
      </c>
      <c r="G3872" s="38" t="n">
        <f aca="false">Sens!$E$3872+Sens!$F$3872</f>
        <v>179.914687589686</v>
      </c>
      <c r="H3872" s="38" t="n">
        <f aca="false">Sens!$H$3850-Sens!$H$3869+Sens!$H$3870+Sens!$H$3871</f>
        <v>132.544395305595</v>
      </c>
      <c r="I3872" s="38" t="n">
        <f aca="false">Sens!$I$3850-Sens!$I$3869+Sens!$I$3870+Sens!$I$3871</f>
        <v>156.418309587462</v>
      </c>
      <c r="J3872" s="38" t="n">
        <f aca="false">Sens!$J$3850-Sens!$J$3869+Sens!$J$3870+Sens!$J$3871</f>
        <v>180.018580783737</v>
      </c>
      <c r="K3872" s="38" t="n">
        <f aca="false">Sens!$K$3850-Sens!$K$3869+Sens!$K$3870+Sens!$K$3871</f>
        <v>202.142209957972</v>
      </c>
      <c r="L3872" s="38" t="n">
        <f aca="false">Sens!$L$3850-Sens!$L$3869+Sens!$L$3870+Sens!$L$3871</f>
        <v>228.41653662956</v>
      </c>
      <c r="M3872" s="38" t="n">
        <f aca="false">Sens!$M$3850-Sens!$M$3869+Sens!$M$3870+Sens!$M$3871</f>
        <v>256.608227374348</v>
      </c>
      <c r="N3872" s="38" t="n">
        <f aca="false">Q!$N$36</f>
        <v>42.536</v>
      </c>
      <c r="O3872" s="38" t="n">
        <f aca="false">Q!$O$36</f>
        <v>54.775</v>
      </c>
    </row>
    <row r="3873" customFormat="false" ht="15" hidden="false" customHeight="false" outlineLevel="0" collapsed="false">
      <c r="A3873" s="5" t="s">
        <v>508</v>
      </c>
      <c r="B3873" s="0" t="s">
        <v>73</v>
      </c>
      <c r="C3873" s="38" t="n">
        <f aca="false">Q!$D$37</f>
        <v>9.265</v>
      </c>
      <c r="D3873" s="38" t="n">
        <f aca="false">Q!$E$37</f>
        <v>19.087</v>
      </c>
      <c r="E3873" s="38" t="n">
        <f aca="false">Q!$P$37</f>
        <v>27.759</v>
      </c>
      <c r="F3873" s="38" t="n">
        <f aca="false">Sens!$F$3872*tax</f>
        <v>10.2803157750071</v>
      </c>
      <c r="G3873" s="38" t="n">
        <f aca="false">Sens!$E$3873+Sens!$F$3873</f>
        <v>38.0393157750071</v>
      </c>
      <c r="H3873" s="38" t="n">
        <f aca="false">Sens!$H$3872*tax</f>
        <v>23.0076561153919</v>
      </c>
      <c r="I3873" s="38" t="n">
        <f aca="false">Sens!$I$3872*tax</f>
        <v>27.1517982246007</v>
      </c>
      <c r="J3873" s="38" t="n">
        <f aca="false">Sens!$J$3872*tax</f>
        <v>31.2484401283338</v>
      </c>
      <c r="K3873" s="38" t="n">
        <f aca="false">Sens!$K$3872*tax</f>
        <v>35.0887598256826</v>
      </c>
      <c r="L3873" s="38" t="n">
        <f aca="false">Sens!$L$3872*tax</f>
        <v>39.6495763832564</v>
      </c>
      <c r="M3873" s="38" t="n">
        <f aca="false">Sens!$M$3872*tax</f>
        <v>44.5432176758367</v>
      </c>
      <c r="N3873" s="38" t="n">
        <f aca="false">Q!$N$37</f>
        <v>7.231</v>
      </c>
      <c r="O3873" s="38" t="n">
        <f aca="false">Q!$O$37</f>
        <v>11.856</v>
      </c>
    </row>
    <row r="3874" customFormat="false" ht="15" hidden="false" customHeight="false" outlineLevel="0" collapsed="false">
      <c r="A3874" s="3" t="s">
        <v>509</v>
      </c>
      <c r="B3874" s="8" t="s">
        <v>73</v>
      </c>
      <c r="C3874" s="38" t="n">
        <f aca="false">Q!$D$38</f>
        <v>59.248</v>
      </c>
      <c r="D3874" s="38" t="n">
        <f aca="false">Q!$E$38</f>
        <v>77.67</v>
      </c>
      <c r="E3874" s="38" t="n">
        <f aca="false">Q!$P$38</f>
        <v>92.902</v>
      </c>
      <c r="F3874" s="38" t="n">
        <f aca="false">Sens!$F$3872-Sens!$F$3873</f>
        <v>48.9433718146785</v>
      </c>
      <c r="G3874" s="38" t="n">
        <f aca="false">Sens!$E$3874+Sens!$F$3874</f>
        <v>141.845371814679</v>
      </c>
      <c r="H3874" s="38" t="n">
        <f aca="false">Sens!$H$3872-Sens!$H$3873</f>
        <v>109.536739190203</v>
      </c>
      <c r="I3874" s="38" t="n">
        <f aca="false">Sens!$I$3872-Sens!$I$3873</f>
        <v>129.266511362861</v>
      </c>
      <c r="J3874" s="38" t="n">
        <f aca="false">Sens!$J$3872-Sens!$J$3873</f>
        <v>148.770140655403</v>
      </c>
      <c r="K3874" s="38" t="n">
        <f aca="false">Sens!$K$3872-Sens!$K$3873</f>
        <v>167.05345013229</v>
      </c>
      <c r="L3874" s="38" t="n">
        <f aca="false">Sens!$L$3872-Sens!$L$3873</f>
        <v>188.766960246304</v>
      </c>
      <c r="M3874" s="38" t="n">
        <f aca="false">Sens!$M$3872-Sens!$M$3873</f>
        <v>212.065009698511</v>
      </c>
      <c r="N3874" s="38" t="n">
        <f aca="false">Q!$N$38</f>
        <v>35.291</v>
      </c>
      <c r="O3874" s="38" t="n">
        <f aca="false">Q!$O$38</f>
        <v>42.379</v>
      </c>
    </row>
    <row r="3875" customFormat="false" ht="17.15" hidden="false" customHeight="false" outlineLevel="0" collapsed="false">
      <c r="A3875" s="5" t="s">
        <v>512</v>
      </c>
      <c r="B3875" s="5" t="s">
        <v>33</v>
      </c>
      <c r="C3875" s="22" t="n">
        <f aca="false">Q!$D$41</f>
        <v>10.721</v>
      </c>
      <c r="D3875" s="22" t="n">
        <f aca="false">Q!$E$41</f>
        <v>10.827</v>
      </c>
      <c r="E3875" s="22" t="n">
        <f aca="false">(Q!$L$41+Q!$M$41)/2</f>
        <v>10.8885</v>
      </c>
      <c r="F3875" s="22" t="n">
        <f aca="false">Sens!$G$3875</f>
        <v>10.924806</v>
      </c>
      <c r="G3875" s="22" t="n">
        <f aca="false">Q!$M$41*(1+sh_g*0.25)</f>
        <v>10.924806</v>
      </c>
      <c r="H3875" s="22" t="n">
        <f aca="false">Sens!$G$3875*(1+sh_g)</f>
        <v>11.012204448</v>
      </c>
      <c r="I3875" s="22" t="n">
        <f aca="false">Sens!$H$3875*(1+sh_g)</f>
        <v>11.100302083584</v>
      </c>
      <c r="J3875" s="22" t="n">
        <f aca="false">Sens!$I$3875*(1+sh_g)</f>
        <v>11.1891045002527</v>
      </c>
      <c r="K3875" s="22" t="n">
        <f aca="false">Sens!$J$3875*(1+sh_g)</f>
        <v>11.2786173362547</v>
      </c>
      <c r="L3875" s="22" t="n">
        <f aca="false">Sens!$K$3875*(1+sh_g)</f>
        <v>11.3688462749447</v>
      </c>
      <c r="M3875" s="22" t="n">
        <f aca="false">Sens!$L$3875*(1+sh_g)</f>
        <v>11.4597970451443</v>
      </c>
      <c r="P3875" s="5" t="s">
        <v>705</v>
      </c>
    </row>
    <row r="3876" customFormat="false" ht="17.15" hidden="false" customHeight="false" outlineLevel="0" collapsed="false">
      <c r="A3876" s="42" t="s">
        <v>706</v>
      </c>
      <c r="B3876" s="13" t="s">
        <v>27</v>
      </c>
      <c r="C3876" s="43" t="n">
        <f aca="false">Sens!$C$3874/Sens!$C$3875</f>
        <v>5.52635015390355</v>
      </c>
      <c r="D3876" s="43" t="n">
        <f aca="false">Sens!$D$3874/Sens!$D$3875</f>
        <v>7.1737323358271</v>
      </c>
      <c r="E3876" s="43" t="n">
        <f aca="false">Sens!$E$3874/Sens!$E$3875</f>
        <v>8.53212104513937</v>
      </c>
      <c r="F3876" s="13"/>
      <c r="G3876" s="43" t="n">
        <f aca="false">Sens!$G$3874/Sens!$G$3875</f>
        <v>12.9837886196495</v>
      </c>
      <c r="H3876" s="43" t="n">
        <f aca="false">Sens!$H$3874/Sens!$H$3875</f>
        <v>9.94684939854136</v>
      </c>
      <c r="I3876" s="43" t="n">
        <f aca="false">Sens!$I$3874/Sens!$I$3875</f>
        <v>11.6453147301307</v>
      </c>
      <c r="J3876" s="43" t="n">
        <f aca="false">Sens!$J$3874/Sens!$J$3875</f>
        <v>13.295982770743</v>
      </c>
      <c r="K3876" s="43" t="n">
        <f aca="false">Sens!$K$3874/Sens!$K$3875</f>
        <v>14.811518571102</v>
      </c>
      <c r="L3876" s="43" t="n">
        <f aca="false">Sens!$L$3874/Sens!$L$3875</f>
        <v>16.6038800843247</v>
      </c>
      <c r="M3876" s="43" t="n">
        <f aca="false">Sens!$M$3874/Sens!$M$3875</f>
        <v>18.5051278712101</v>
      </c>
      <c r="N3876" s="13"/>
      <c r="O3876" s="13"/>
    </row>
    <row r="3877" customFormat="false" ht="17.15" hidden="false" customHeight="false" outlineLevel="0" collapsed="false">
      <c r="A3877" s="0" t="s">
        <v>707</v>
      </c>
      <c r="B3877" s="0" t="s">
        <v>27</v>
      </c>
      <c r="C3877" s="30" t="n">
        <f aca="false">(Sens!$C$3874-Sens!$C$3871*(1-tax))/Sens!$C$3875</f>
        <v>5.33926775917445</v>
      </c>
      <c r="D3877" s="30" t="n">
        <f aca="false">(Sens!$D$3874-Sens!$D$3871*(1-tax))/Sens!$D$3875</f>
        <v>5.67691812755503</v>
      </c>
      <c r="E3877" s="30" t="n">
        <f aca="false">(Sens!$E$3874-Sens!$E$3871*(1-tax))/Sens!$E$3875</f>
        <v>3.10602057006846</v>
      </c>
      <c r="G3877" s="30" t="n">
        <f aca="false">(Sens!$G$3874-Sens!$G$3871*(1-tax))/Sens!$G$3875</f>
        <v>7.57572050175252</v>
      </c>
      <c r="H3877" s="30" t="n">
        <f aca="false">(Sens!$H$3874-Sens!$H$3871*(1-tax))/Sens!$H$3875</f>
        <v>9.94684939854136</v>
      </c>
      <c r="I3877" s="30" t="n">
        <f aca="false">(Sens!$I$3874-Sens!$I$3871*(1-tax))/Sens!$I$3875</f>
        <v>11.6453147301307</v>
      </c>
      <c r="J3877" s="30" t="n">
        <f aca="false">(Sens!$J$3874-Sens!$J$3871*(1-tax))/Sens!$J$3875</f>
        <v>13.295982770743</v>
      </c>
      <c r="K3877" s="30" t="n">
        <f aca="false">(Sens!$K$3874-Sens!$K$3871*(1-tax))/Sens!$K$3875</f>
        <v>14.811518571102</v>
      </c>
      <c r="L3877" s="30" t="n">
        <f aca="false">(Sens!$L$3874-Sens!$L$3871*(1-tax))/Sens!$L$3875</f>
        <v>16.6038800843247</v>
      </c>
      <c r="M3877" s="30" t="n">
        <f aca="false">(Sens!$M$3874-Sens!$M$3871*(1-tax))/Sens!$M$3875</f>
        <v>18.5051278712101</v>
      </c>
      <c r="P3877" s="5" t="s">
        <v>708</v>
      </c>
    </row>
    <row r="3878" customFormat="false" ht="17.15" hidden="false" customHeight="false" outlineLevel="0" collapsed="false">
      <c r="A3878" s="0" t="s">
        <v>709</v>
      </c>
      <c r="B3878" s="0" t="s">
        <v>52</v>
      </c>
      <c r="H3878" s="12" t="n">
        <f aca="false">Sens!$H$3876/Sens!$G$3876-1</f>
        <v>-0.23390239244284</v>
      </c>
      <c r="I3878" s="12" t="n">
        <f aca="false">Sens!$I$3876/Sens!$H$3876-1</f>
        <v>0.170754101478446</v>
      </c>
      <c r="J3878" s="12" t="n">
        <f aca="false">Sens!$J$3876/Sens!$I$3876-1</f>
        <v>0.141745249386987</v>
      </c>
      <c r="K3878" s="12" t="n">
        <f aca="false">Sens!$K$3876/Sens!$J$3876-1</f>
        <v>0.113984488885908</v>
      </c>
      <c r="L3878" s="12" t="n">
        <f aca="false">Sens!$L$3876/Sens!$K$3876-1</f>
        <v>0.121011326733213</v>
      </c>
      <c r="M3878" s="12" t="n">
        <f aca="false">Sens!$M$3876/Sens!$L$3876-1</f>
        <v>0.114506234520468</v>
      </c>
    </row>
    <row r="3881" customFormat="false" ht="19.4" hidden="false" customHeight="false" outlineLevel="0" collapsed="false">
      <c r="A3881" s="31" t="s">
        <v>1128</v>
      </c>
    </row>
    <row r="3882" customFormat="false" ht="17.15" hidden="false" customHeight="false" outlineLevel="0" collapsed="false">
      <c r="A3882" s="6" t="s">
        <v>16</v>
      </c>
      <c r="B3882" s="6" t="s">
        <v>17</v>
      </c>
      <c r="C3882" s="20" t="s">
        <v>457</v>
      </c>
      <c r="D3882" s="20" t="s">
        <v>458</v>
      </c>
      <c r="E3882" s="20" t="s">
        <v>540</v>
      </c>
      <c r="F3882" s="20" t="s">
        <v>541</v>
      </c>
      <c r="G3882" s="20" t="s">
        <v>542</v>
      </c>
      <c r="H3882" s="20" t="s">
        <v>543</v>
      </c>
      <c r="I3882" s="20" t="s">
        <v>544</v>
      </c>
      <c r="J3882" s="20" t="s">
        <v>545</v>
      </c>
      <c r="K3882" s="20" t="s">
        <v>546</v>
      </c>
      <c r="L3882" s="20" t="s">
        <v>547</v>
      </c>
      <c r="M3882" s="20" t="s">
        <v>548</v>
      </c>
      <c r="N3882" s="20" t="s">
        <v>549</v>
      </c>
      <c r="O3882" s="20" t="s">
        <v>550</v>
      </c>
      <c r="P3882" s="6" t="s">
        <v>23</v>
      </c>
      <c r="R3882" s="20" t="n">
        <v>2023</v>
      </c>
      <c r="S3882" s="20" t="n">
        <v>2024</v>
      </c>
      <c r="T3882" s="20" t="n">
        <v>2025</v>
      </c>
      <c r="U3882" s="20" t="n">
        <v>2026</v>
      </c>
      <c r="V3882" s="20" t="n">
        <v>2027</v>
      </c>
      <c r="W3882" s="20" t="n">
        <v>2028</v>
      </c>
      <c r="X3882" s="20" t="n">
        <v>2029</v>
      </c>
      <c r="Y3882" s="20" t="n">
        <v>2030</v>
      </c>
      <c r="Z3882" s="20" t="n">
        <v>2031</v>
      </c>
      <c r="AA3882" s="20" t="n">
        <v>2032</v>
      </c>
    </row>
    <row r="3883" customFormat="false" ht="15" hidden="false" customHeight="false" outlineLevel="0" collapsed="false">
      <c r="A3883" s="5" t="s">
        <v>509</v>
      </c>
      <c r="B3883" s="0" t="s">
        <v>73</v>
      </c>
      <c r="C3883" s="38" t="n">
        <f aca="false">Sens!$C$3874</f>
        <v>59.248</v>
      </c>
      <c r="D3883" s="38" t="n">
        <f aca="false">Sens!$D$3874</f>
        <v>77.67</v>
      </c>
      <c r="E3883" s="38" t="n">
        <f aca="false">Sens!$E$3874</f>
        <v>92.902</v>
      </c>
      <c r="F3883" s="38" t="n">
        <f aca="false">Sens!$F$3874</f>
        <v>48.9433718146785</v>
      </c>
      <c r="G3883" s="38" t="n">
        <f aca="false">Sens!$G$3874</f>
        <v>141.845371814679</v>
      </c>
      <c r="H3883" s="38" t="n">
        <f aca="false">Sens!$H$3874</f>
        <v>109.536739190203</v>
      </c>
      <c r="I3883" s="38" t="n">
        <f aca="false">Sens!$I$3874</f>
        <v>129.266511362861</v>
      </c>
      <c r="J3883" s="38" t="n">
        <f aca="false">Sens!$J$3874</f>
        <v>148.770140655403</v>
      </c>
      <c r="K3883" s="38" t="n">
        <f aca="false">Sens!$K$3874</f>
        <v>167.05345013229</v>
      </c>
      <c r="L3883" s="38" t="n">
        <f aca="false">Sens!$L$3874</f>
        <v>188.766960246304</v>
      </c>
      <c r="M3883" s="38" t="n">
        <f aca="false">Sens!$M$3874</f>
        <v>212.065009698511</v>
      </c>
    </row>
    <row r="3884" customFormat="false" ht="17.15" hidden="false" customHeight="false" outlineLevel="0" collapsed="false">
      <c r="A3884" s="5" t="s">
        <v>731</v>
      </c>
      <c r="B3884" s="0" t="s">
        <v>73</v>
      </c>
      <c r="C3884" s="38" t="n">
        <f aca="false">Sens!$C$3862</f>
        <v>32.067</v>
      </c>
      <c r="D3884" s="38" t="n">
        <f aca="false">Sens!$D$3862</f>
        <v>41.86</v>
      </c>
      <c r="E3884" s="38" t="n">
        <f aca="false">Sens!$E$3862</f>
        <v>26.703</v>
      </c>
      <c r="F3884" s="38" t="n">
        <f aca="false">Sens!$F$3862</f>
        <v>30.6103857251209</v>
      </c>
      <c r="G3884" s="38" t="n">
        <f aca="false">Sens!$G$3862</f>
        <v>57.3133857251209</v>
      </c>
      <c r="H3884" s="38" t="n">
        <f aca="false">Sens!$H$3862</f>
        <v>87.7059088478602</v>
      </c>
      <c r="I3884" s="38" t="n">
        <f aca="false">Sens!$I$3862</f>
        <v>122.371402345591</v>
      </c>
      <c r="J3884" s="38" t="n">
        <f aca="false">Sens!$J$3862</f>
        <v>157.312446278041</v>
      </c>
      <c r="K3884" s="38" t="n">
        <f aca="false">Sens!$K$3862</f>
        <v>191.688183399249</v>
      </c>
      <c r="L3884" s="38" t="n">
        <f aca="false">Sens!$L$3862</f>
        <v>224.440119692062</v>
      </c>
      <c r="M3884" s="38" t="n">
        <f aca="false">Sens!$M$3862</f>
        <v>258.340610585992</v>
      </c>
    </row>
    <row r="3885" customFormat="false" ht="15" hidden="false" customHeight="false" outlineLevel="0" collapsed="false">
      <c r="A3885" s="5" t="s">
        <v>732</v>
      </c>
      <c r="B3885" s="0" t="s">
        <v>73</v>
      </c>
      <c r="C3885" s="38" t="n">
        <f aca="false">Q!$D$48</f>
        <v>22.011</v>
      </c>
      <c r="D3885" s="38" t="n">
        <f aca="false">Q!$E$48</f>
        <v>19.467</v>
      </c>
      <c r="E3885" s="38" t="n">
        <f aca="false">Q!$P$48</f>
        <v>10.07</v>
      </c>
      <c r="F3885" s="38" t="n">
        <f aca="false">sbc_r*Sens!$F$3806</f>
        <v>11.2170714500462</v>
      </c>
      <c r="G3885" s="38" t="n">
        <f aca="false">Sens!$E$3885+Sens!$F$3885</f>
        <v>21.2870714500462</v>
      </c>
      <c r="H3885" s="38" t="n">
        <f aca="false">sbc_r*Sens!$H$3806</f>
        <v>24.1931511735574</v>
      </c>
      <c r="I3885" s="38" t="n">
        <f aca="false">sbc_r*Sens!$I$3806</f>
        <v>27.7065423781893</v>
      </c>
      <c r="J3885" s="38" t="n">
        <f aca="false">sbc_r*Sens!$J$3806</f>
        <v>31.0370112574851</v>
      </c>
      <c r="K3885" s="38" t="n">
        <f aca="false">sbc_r*Sens!$K$3806</f>
        <v>34.0515484885115</v>
      </c>
      <c r="L3885" s="38" t="n">
        <f aca="false">sbc_r*Sens!$L$3806</f>
        <v>37.2272243270286</v>
      </c>
      <c r="M3885" s="38" t="n">
        <f aca="false">sbc_r*Sens!$M$3806</f>
        <v>40.5783876519022</v>
      </c>
    </row>
    <row r="3886" customFormat="false" ht="17.15" hidden="false" customHeight="false" outlineLevel="0" collapsed="false">
      <c r="A3886" s="5" t="s">
        <v>733</v>
      </c>
      <c r="B3886" s="0" t="s">
        <v>73</v>
      </c>
      <c r="C3886" s="38" t="n">
        <f aca="false">Q!$D$44-Sens!$C$3883-Sens!$C$3884-Sens!$C$3885</f>
        <v>2.551</v>
      </c>
      <c r="D3886" s="38" t="n">
        <f aca="false">Q!$E$44-Sens!$D$3883-Sens!$D$3884-Sens!$D$3885</f>
        <v>0.51700000000001</v>
      </c>
      <c r="E3886" s="38" t="n">
        <f aca="false">Q!$P$44-Sens!$E$3883-Sens!$E$3884-Sens!$E$3885</f>
        <v>-58.256</v>
      </c>
      <c r="F3886" s="38" t="n">
        <f aca="false">wc_2h26+oth_r*Sens!$F$3806</f>
        <v>7.34599241893378</v>
      </c>
      <c r="G3886" s="38" t="n">
        <f aca="false">Sens!$E$3886+Sens!$F$3886</f>
        <v>-50.9100075810662</v>
      </c>
      <c r="H3886" s="38" t="n">
        <f aca="false">oth_r*Sens!$H$3806</f>
        <v>11.6446293810153</v>
      </c>
      <c r="I3886" s="38" t="n">
        <f aca="false">oth_r*Sens!$I$3806</f>
        <v>13.3356922010241</v>
      </c>
      <c r="J3886" s="38" t="n">
        <f aca="false">oth_r*Sens!$J$3806</f>
        <v>14.9387109845711</v>
      </c>
      <c r="K3886" s="38" t="n">
        <f aca="false">oth_r*Sens!$K$3806</f>
        <v>16.3896657840824</v>
      </c>
      <c r="L3886" s="38" t="n">
        <f aca="false">oth_r*Sens!$L$3806</f>
        <v>17.9181796973173</v>
      </c>
      <c r="M3886" s="38" t="n">
        <f aca="false">oth_r*Sens!$M$3806</f>
        <v>19.5311591158915</v>
      </c>
      <c r="P3886" s="8" t="s">
        <v>734</v>
      </c>
    </row>
    <row r="3887" customFormat="false" ht="15" hidden="false" customHeight="false" outlineLevel="0" collapsed="false">
      <c r="A3887" s="3" t="s">
        <v>515</v>
      </c>
      <c r="B3887" s="8" t="s">
        <v>73</v>
      </c>
      <c r="C3887" s="38" t="n">
        <f aca="false">Q!$D$44</f>
        <v>115.877</v>
      </c>
      <c r="D3887" s="38" t="n">
        <f aca="false">Q!$E$44</f>
        <v>139.514</v>
      </c>
      <c r="E3887" s="38" t="n">
        <f aca="false">Q!$P$44</f>
        <v>71.419</v>
      </c>
      <c r="F3887" s="38" t="n">
        <f aca="false">Sens!$F$3883+Sens!$F$3884+Sens!$F$3885+Sens!$F$3886</f>
        <v>98.1168214087795</v>
      </c>
      <c r="G3887" s="38" t="n">
        <f aca="false">Sens!$E$3887+Sens!$F$3887</f>
        <v>169.535821408779</v>
      </c>
      <c r="H3887" s="38" t="n">
        <f aca="false">Sens!$H$3883+Sens!$H$3884+Sens!$H$3885+Sens!$H$3886</f>
        <v>233.080428592636</v>
      </c>
      <c r="I3887" s="38" t="n">
        <f aca="false">Sens!$I$3883+Sens!$I$3884+Sens!$I$3885+Sens!$I$3886</f>
        <v>292.680148287666</v>
      </c>
      <c r="J3887" s="38" t="n">
        <f aca="false">Sens!$J$3883+Sens!$J$3884+Sens!$J$3885+Sens!$J$3886</f>
        <v>352.0583091755</v>
      </c>
      <c r="K3887" s="38" t="n">
        <f aca="false">Sens!$K$3883+Sens!$K$3884+Sens!$K$3885+Sens!$K$3886</f>
        <v>409.182847804133</v>
      </c>
      <c r="L3887" s="38" t="n">
        <f aca="false">Sens!$L$3883+Sens!$L$3884+Sens!$L$3885+Sens!$L$3886</f>
        <v>468.352483962712</v>
      </c>
      <c r="M3887" s="38" t="n">
        <f aca="false">Sens!$M$3883+Sens!$M$3884+Sens!$M$3885+Sens!$M$3886</f>
        <v>530.515167052296</v>
      </c>
    </row>
    <row r="3888" customFormat="false" ht="17.15" hidden="false" customHeight="false" outlineLevel="0" collapsed="false">
      <c r="A3888" s="5" t="s">
        <v>735</v>
      </c>
      <c r="B3888" s="0" t="s">
        <v>73</v>
      </c>
      <c r="C3888" s="38" t="n">
        <f aca="false">Sens!$C$3775</f>
        <v>25.2781053077374</v>
      </c>
      <c r="D3888" s="38" t="n">
        <f aca="false">Sens!$D$3775</f>
        <v>69.5686316310026</v>
      </c>
      <c r="E3888" s="38" t="n">
        <f aca="false">Sens!$E$3775</f>
        <v>64.1899206485108</v>
      </c>
      <c r="F3888" s="38" t="n">
        <f aca="false">Sens!$F$3775</f>
        <v>96.2481299895</v>
      </c>
      <c r="G3888" s="38" t="n">
        <f aca="false">Sens!$G$3775</f>
        <v>160.438050638011</v>
      </c>
      <c r="H3888" s="38" t="n">
        <f aca="false">Sens!$H$3775</f>
        <v>198.57136494475</v>
      </c>
      <c r="I3888" s="38" t="n">
        <f aca="false">Sens!$I$3775</f>
        <v>204.6464699105</v>
      </c>
      <c r="J3888" s="38" t="n">
        <f aca="false">Sens!$J$3775</f>
        <v>209.8832381105</v>
      </c>
      <c r="K3888" s="38" t="n">
        <f aca="false">Sens!$K$3775</f>
        <v>215.1200063105</v>
      </c>
      <c r="L3888" s="38" t="n">
        <f aca="false">Sens!$L$3775</f>
        <v>251.7773837105</v>
      </c>
      <c r="M3888" s="38" t="n">
        <f aca="false">Sens!$M$3775</f>
        <v>311.87584476575</v>
      </c>
    </row>
    <row r="3889" customFormat="false" ht="17.15" hidden="false" customHeight="false" outlineLevel="0" collapsed="false">
      <c r="A3889" s="5" t="s">
        <v>736</v>
      </c>
      <c r="B3889" s="0" t="s">
        <v>73</v>
      </c>
      <c r="C3889" s="38" t="n">
        <f aca="false">cx_awso*Sens!$C$3804</f>
        <v>21.0469989286053</v>
      </c>
      <c r="D3889" s="38" t="n">
        <f aca="false">cx_awso*Sens!$D$3804</f>
        <v>24.0042459822698</v>
      </c>
      <c r="E3889" s="38" t="n">
        <f aca="false">cx_awso*Sens!$E$3804</f>
        <v>14.261729404886</v>
      </c>
      <c r="F3889" s="38" t="n">
        <f aca="false">cx_awso*Sens!$F$3804</f>
        <v>15.7190020837331</v>
      </c>
      <c r="G3889" s="38" t="n">
        <f aca="false">Sens!$E$3889+Sens!$F$3889</f>
        <v>29.9807314886191</v>
      </c>
      <c r="H3889" s="38" t="n">
        <f aca="false">cx_awso*Sens!$H$3804</f>
        <v>36.1787121536283</v>
      </c>
      <c r="I3889" s="38" t="n">
        <f aca="false">cx_awso*Sens!$I$3804</f>
        <v>42.1296794430021</v>
      </c>
      <c r="J3889" s="38" t="n">
        <f aca="false">cx_awso*Sens!$J$3804</f>
        <v>47.279781889299</v>
      </c>
      <c r="K3889" s="38" t="n">
        <f aca="false">cx_awso*Sens!$K$3804</f>
        <v>51.0621644404429</v>
      </c>
      <c r="L3889" s="38" t="n">
        <f aca="false">cx_awso*Sens!$L$3804</f>
        <v>55.1471375956783</v>
      </c>
      <c r="M3889" s="38" t="n">
        <f aca="false">cx_awso*Sens!$M$3804</f>
        <v>59.5589086033326</v>
      </c>
    </row>
    <row r="3890" customFormat="false" ht="17.15" hidden="false" customHeight="false" outlineLevel="0" collapsed="false">
      <c r="A3890" s="5" t="s">
        <v>737</v>
      </c>
      <c r="B3890" s="0" t="s">
        <v>73</v>
      </c>
      <c r="C3890" s="38" t="n">
        <f aca="false">Q!$D$46-Sens!$C$3888-Sens!$C$3889</f>
        <v>31.3328957636573</v>
      </c>
      <c r="D3890" s="38" t="n">
        <f aca="false">Q!$E$46-Sens!$D$3888-Sens!$D$3889</f>
        <v>34.7471223867276</v>
      </c>
      <c r="E3890" s="38" t="n">
        <f aca="false">Q!$P$46-Sens!$E$3888-Sens!$E$3889</f>
        <v>17.8583499466032</v>
      </c>
      <c r="F3890" s="38" t="n">
        <f aca="false">cx_rt*Sens!$F$3739</f>
        <v>21.0855744229195</v>
      </c>
      <c r="G3890" s="38" t="n">
        <f aca="false">Sens!$E$3890+Sens!$F$3890</f>
        <v>38.9439243695228</v>
      </c>
      <c r="H3890" s="38" t="n">
        <f aca="false">cx_rt*Sens!$H$3739</f>
        <v>43.1577938961836</v>
      </c>
      <c r="I3890" s="38" t="n">
        <f aca="false">cx_rt*Sens!$I$3739</f>
        <v>47.2935803924352</v>
      </c>
      <c r="J3890" s="38" t="n">
        <f aca="false">cx_rt*Sens!$J$3739</f>
        <v>51.2210717812079</v>
      </c>
      <c r="K3890" s="38" t="n">
        <f aca="false">cx_rt*Sens!$K$3739</f>
        <v>54.7993780866704</v>
      </c>
      <c r="L3890" s="38" t="n">
        <f aca="false">cx_rt*Sens!$L$3739</f>
        <v>58.6689627817369</v>
      </c>
      <c r="M3890" s="38" t="n">
        <f aca="false">cx_rt*Sens!$M$3739</f>
        <v>62.8574781103793</v>
      </c>
    </row>
    <row r="3891" customFormat="false" ht="15" hidden="false" customHeight="false" outlineLevel="0" collapsed="false">
      <c r="A3891" s="3" t="s">
        <v>738</v>
      </c>
      <c r="B3891" s="8" t="s">
        <v>73</v>
      </c>
      <c r="C3891" s="38" t="n">
        <f aca="false">Q!$D$46</f>
        <v>77.658</v>
      </c>
      <c r="D3891" s="38" t="n">
        <f aca="false">Q!$E$46</f>
        <v>128.32</v>
      </c>
      <c r="E3891" s="38" t="n">
        <f aca="false">Q!$P$46</f>
        <v>96.31</v>
      </c>
      <c r="F3891" s="38" t="n">
        <f aca="false">Sens!$F$3888+Sens!$F$3889+Sens!$F$3890</f>
        <v>133.052706496153</v>
      </c>
      <c r="G3891" s="38" t="n">
        <f aca="false">Sens!$E$3891+Sens!$F$3891</f>
        <v>229.362706496153</v>
      </c>
      <c r="H3891" s="38" t="n">
        <f aca="false">Sens!$H$3888+Sens!$H$3889+Sens!$H$3890</f>
        <v>277.907870994562</v>
      </c>
      <c r="I3891" s="38" t="n">
        <f aca="false">Sens!$I$3888+Sens!$I$3889+Sens!$I$3890</f>
        <v>294.069729745937</v>
      </c>
      <c r="J3891" s="38" t="n">
        <f aca="false">Sens!$J$3888+Sens!$J$3889+Sens!$J$3890</f>
        <v>308.384091781007</v>
      </c>
      <c r="K3891" s="38" t="n">
        <f aca="false">Sens!$K$3888+Sens!$K$3889+Sens!$K$3890</f>
        <v>320.981548837613</v>
      </c>
      <c r="L3891" s="38" t="n">
        <f aca="false">Sens!$L$3888+Sens!$L$3889+Sens!$L$3890</f>
        <v>365.593484087915</v>
      </c>
      <c r="M3891" s="38" t="n">
        <f aca="false">Sens!$M$3888+Sens!$M$3889+Sens!$M$3890</f>
        <v>434.292231479462</v>
      </c>
    </row>
    <row r="3892" customFormat="false" ht="17.15" hidden="false" customHeight="false" outlineLevel="0" collapsed="false">
      <c r="A3892" s="5" t="s">
        <v>523</v>
      </c>
      <c r="B3892" s="0" t="s">
        <v>73</v>
      </c>
      <c r="C3892" s="38" t="n">
        <f aca="false">Q!$D$50</f>
        <v>2.043</v>
      </c>
      <c r="D3892" s="38" t="n">
        <f aca="false">Q!$E$50</f>
        <v>1.557</v>
      </c>
      <c r="E3892" s="38" t="n">
        <f aca="false">lease_pr/2</f>
        <v>0.8</v>
      </c>
      <c r="F3892" s="38" t="n">
        <f aca="false">lease_pr/2</f>
        <v>0.8</v>
      </c>
      <c r="G3892" s="38" t="n">
        <f aca="false">Sens!$E$3892+Sens!$F$3892</f>
        <v>1.6</v>
      </c>
      <c r="H3892" s="38" t="n">
        <f aca="false">lease_pr</f>
        <v>1.6</v>
      </c>
      <c r="I3892" s="38" t="n">
        <f aca="false">lease_pr</f>
        <v>1.6</v>
      </c>
      <c r="J3892" s="38" t="n">
        <f aca="false">lease_pr</f>
        <v>1.6</v>
      </c>
      <c r="K3892" s="38" t="n">
        <f aca="false">lease_pr</f>
        <v>1.6</v>
      </c>
      <c r="L3892" s="38" t="n">
        <f aca="false">lease_pr</f>
        <v>1.6</v>
      </c>
      <c r="M3892" s="38" t="n">
        <f aca="false">lease_pr</f>
        <v>1.6</v>
      </c>
      <c r="P3892" s="8" t="s">
        <v>739</v>
      </c>
    </row>
    <row r="3893" customFormat="false" ht="15" hidden="false" customHeight="false" outlineLevel="0" collapsed="false">
      <c r="A3893" s="46" t="s">
        <v>740</v>
      </c>
      <c r="B3893" s="13" t="s">
        <v>73</v>
      </c>
      <c r="C3893" s="47" t="n">
        <f aca="false">Sens!$C$3887-Sens!$C$3891-Sens!$C$3892</f>
        <v>36.176</v>
      </c>
      <c r="D3893" s="47" t="n">
        <f aca="false">Sens!$D$3887-Sens!$D$3891-Sens!$D$3892</f>
        <v>9.63700000000002</v>
      </c>
      <c r="E3893" s="47" t="n">
        <f aca="false">Sens!$E$3887-Sens!$E$3891-Sens!$E$3892</f>
        <v>-25.691</v>
      </c>
      <c r="F3893" s="47" t="n">
        <f aca="false">Sens!$F$3887-Sens!$F$3891-Sens!$F$3892</f>
        <v>-35.7358850873731</v>
      </c>
      <c r="G3893" s="47" t="n">
        <f aca="false">Sens!$G$3887-Sens!$G$3891-Sens!$G$3892</f>
        <v>-61.4268850873731</v>
      </c>
      <c r="H3893" s="47" t="n">
        <f aca="false">Sens!$H$3887-Sens!$H$3891-Sens!$H$3892</f>
        <v>-46.4274424019258</v>
      </c>
      <c r="I3893" s="47" t="n">
        <f aca="false">Sens!$I$3887-Sens!$I$3891-Sens!$I$3892</f>
        <v>-2.98958145827121</v>
      </c>
      <c r="J3893" s="47" t="n">
        <f aca="false">Sens!$J$3887-Sens!$J$3891-Sens!$J$3892</f>
        <v>42.0742173944934</v>
      </c>
      <c r="K3893" s="47" t="n">
        <f aca="false">Sens!$K$3887-Sens!$K$3891-Sens!$K$3892</f>
        <v>86.6012989665195</v>
      </c>
      <c r="L3893" s="47" t="n">
        <f aca="false">Sens!$L$3887-Sens!$L$3891-Sens!$L$3892</f>
        <v>101.158999874797</v>
      </c>
      <c r="M3893" s="47" t="n">
        <f aca="false">Sens!$M$3887-Sens!$M$3891-Sens!$M$3892</f>
        <v>94.6229355728343</v>
      </c>
      <c r="N3893" s="13"/>
      <c r="O3893" s="13"/>
    </row>
    <row r="3894" customFormat="false" ht="17.15" hidden="false" customHeight="false" outlineLevel="0" collapsed="false">
      <c r="A3894" s="5" t="s">
        <v>741</v>
      </c>
      <c r="B3894" s="0" t="s">
        <v>73</v>
      </c>
      <c r="C3894" s="38" t="n">
        <f aca="false">dps*Sens!$C$3875</f>
        <v>0</v>
      </c>
      <c r="D3894" s="38" t="n">
        <f aca="false">dps*Sens!$D$3875</f>
        <v>0</v>
      </c>
      <c r="E3894" s="38" t="n">
        <f aca="false">dps*Sens!$E$3875</f>
        <v>0</v>
      </c>
      <c r="F3894" s="38" t="n">
        <f aca="false">0</f>
        <v>0</v>
      </c>
      <c r="G3894" s="38" t="n">
        <f aca="false">dps*Sens!$G$3875</f>
        <v>0</v>
      </c>
      <c r="H3894" s="38" t="n">
        <f aca="false">dps*Sens!$H$3875</f>
        <v>0</v>
      </c>
      <c r="I3894" s="38" t="n">
        <f aca="false">dps*Sens!$I$3875</f>
        <v>0</v>
      </c>
      <c r="J3894" s="38" t="n">
        <f aca="false">dps*Sens!$J$3875</f>
        <v>0</v>
      </c>
      <c r="K3894" s="38" t="n">
        <f aca="false">dps*Sens!$K$3875</f>
        <v>0</v>
      </c>
      <c r="L3894" s="38" t="n">
        <f aca="false">dps*Sens!$L$3875</f>
        <v>0</v>
      </c>
      <c r="M3894" s="38" t="n">
        <f aca="false">dps*Sens!$M$3875</f>
        <v>0</v>
      </c>
      <c r="P3894" s="8" t="s">
        <v>742</v>
      </c>
    </row>
    <row r="3895" customFormat="false" ht="17.15" hidden="false" customHeight="false" outlineLevel="0" collapsed="false">
      <c r="A3895" s="5" t="s">
        <v>743</v>
      </c>
      <c r="B3895" s="0" t="s">
        <v>73</v>
      </c>
      <c r="C3895" s="38" t="n">
        <f aca="false">0</f>
        <v>0</v>
      </c>
      <c r="D3895" s="38" t="n">
        <f aca="false">0</f>
        <v>0</v>
      </c>
      <c r="E3895" s="38" t="n">
        <f aca="false">0</f>
        <v>0</v>
      </c>
      <c r="F3895" s="38" t="n">
        <f aca="false">0</f>
        <v>0</v>
      </c>
      <c r="G3895" s="38" t="n">
        <f aca="false">0</f>
        <v>0</v>
      </c>
      <c r="H3895" s="38" t="n">
        <f aca="false">0</f>
        <v>0</v>
      </c>
      <c r="I3895" s="38" t="n">
        <f aca="false">0</f>
        <v>0</v>
      </c>
      <c r="J3895" s="38" t="n">
        <f aca="false">0</f>
        <v>0</v>
      </c>
      <c r="K3895" s="38" t="n">
        <f aca="false">0</f>
        <v>0</v>
      </c>
      <c r="L3895" s="38" t="n">
        <f aca="false">0</f>
        <v>0</v>
      </c>
      <c r="M3895" s="38" t="n">
        <f aca="false">0</f>
        <v>0</v>
      </c>
      <c r="P3895" s="8" t="s">
        <v>744</v>
      </c>
    </row>
    <row r="3896" customFormat="false" ht="15" hidden="false" customHeight="false" outlineLevel="0" collapsed="false">
      <c r="A3896" s="3" t="s">
        <v>745</v>
      </c>
      <c r="B3896" s="8" t="s">
        <v>73</v>
      </c>
      <c r="C3896" s="38" t="n">
        <f aca="false">Sens!$C$3893-Sens!$C$3894</f>
        <v>36.176</v>
      </c>
      <c r="D3896" s="38" t="n">
        <f aca="false">Sens!$D$3893-Sens!$D$3894</f>
        <v>9.63700000000002</v>
      </c>
      <c r="E3896" s="38" t="n">
        <f aca="false">Sens!$E$3893-Sens!$E$3894</f>
        <v>-25.691</v>
      </c>
      <c r="F3896" s="38" t="n">
        <f aca="false">Sens!$F$3893-Sens!$F$3894</f>
        <v>-35.7358850873731</v>
      </c>
      <c r="G3896" s="38" t="n">
        <f aca="false">Sens!$G$3893-Sens!$G$3894</f>
        <v>-61.4268850873731</v>
      </c>
      <c r="H3896" s="38" t="n">
        <f aca="false">Sens!$H$3893-Sens!$H$3894</f>
        <v>-46.4274424019258</v>
      </c>
      <c r="I3896" s="38" t="n">
        <f aca="false">Sens!$I$3893-Sens!$I$3894</f>
        <v>-2.98958145827121</v>
      </c>
      <c r="J3896" s="38" t="n">
        <f aca="false">Sens!$J$3893-Sens!$J$3894</f>
        <v>42.0742173944934</v>
      </c>
      <c r="K3896" s="38" t="n">
        <f aca="false">Sens!$K$3893-Sens!$K$3894</f>
        <v>86.6012989665195</v>
      </c>
      <c r="L3896" s="38" t="n">
        <f aca="false">Sens!$L$3893-Sens!$L$3894</f>
        <v>101.158999874797</v>
      </c>
      <c r="M3896" s="38" t="n">
        <f aca="false">Sens!$M$3893-Sens!$M$3894</f>
        <v>94.6229355728343</v>
      </c>
    </row>
    <row r="3897" customFormat="false" ht="17.15" hidden="false" customHeight="false" outlineLevel="0" collapsed="false">
      <c r="A3897" s="5" t="s">
        <v>746</v>
      </c>
      <c r="B3897" s="0" t="s">
        <v>73</v>
      </c>
      <c r="E3897" s="38" t="n">
        <f aca="false">Q!$P$53</f>
        <v>39.767</v>
      </c>
      <c r="F3897" s="38" t="n">
        <f aca="false">inv_2h26</f>
        <v>21.3</v>
      </c>
      <c r="G3897" s="38" t="n">
        <f aca="false">Sens!$E$3897+Sens!$F$3897</f>
        <v>61.067</v>
      </c>
      <c r="H3897" s="41" t="n">
        <v>0</v>
      </c>
      <c r="I3897" s="41" t="n">
        <v>0</v>
      </c>
      <c r="J3897" s="41" t="n">
        <v>0</v>
      </c>
      <c r="K3897" s="41" t="n">
        <v>0</v>
      </c>
      <c r="L3897" s="41" t="n">
        <v>0</v>
      </c>
      <c r="M3897" s="41" t="n">
        <v>0</v>
      </c>
    </row>
    <row r="3898" customFormat="false" ht="17.15" hidden="false" customHeight="false" outlineLevel="0" collapsed="false">
      <c r="A3898" s="5" t="s">
        <v>747</v>
      </c>
      <c r="B3898" s="0" t="s">
        <v>73</v>
      </c>
      <c r="F3898" s="38" t="n">
        <f aca="false">iss_2h26</f>
        <v>29.25</v>
      </c>
      <c r="G3898" s="38" t="n">
        <f aca="false">Sens!$F$3898</f>
        <v>29.25</v>
      </c>
      <c r="H3898" s="41" t="n">
        <v>0</v>
      </c>
      <c r="I3898" s="41" t="n">
        <v>0</v>
      </c>
      <c r="J3898" s="41" t="n">
        <v>0</v>
      </c>
      <c r="K3898" s="41" t="n">
        <v>0</v>
      </c>
      <c r="L3898" s="41" t="n">
        <v>0</v>
      </c>
      <c r="M3898" s="41" t="n">
        <v>0</v>
      </c>
    </row>
    <row r="3899" customFormat="false" ht="17.15" hidden="false" customHeight="false" outlineLevel="0" collapsed="false">
      <c r="A3899" s="5" t="s">
        <v>748</v>
      </c>
      <c r="B3899" s="0" t="s">
        <v>73</v>
      </c>
      <c r="F3899" s="38" t="n">
        <f aca="false">cash_q2</f>
        <v>122.988</v>
      </c>
      <c r="G3899" s="38" t="n">
        <f aca="false">cash_q2</f>
        <v>122.988</v>
      </c>
      <c r="H3899" s="38" t="n">
        <f aca="false">Sens!$G$3902</f>
        <v>95.2021149126269</v>
      </c>
      <c r="I3899" s="38" t="n">
        <f aca="false">Sens!$H$3902</f>
        <v>50</v>
      </c>
      <c r="J3899" s="38" t="n">
        <f aca="false">Sens!$I$3902</f>
        <v>50</v>
      </c>
      <c r="K3899" s="38" t="n">
        <f aca="false">Sens!$J$3902</f>
        <v>92.0742173944934</v>
      </c>
      <c r="L3899" s="38" t="n">
        <f aca="false">Sens!$K$3902</f>
        <v>178.675516361013</v>
      </c>
      <c r="M3899" s="38" t="n">
        <f aca="false">Sens!$L$3902</f>
        <v>279.83451623581</v>
      </c>
    </row>
    <row r="3900" customFormat="false" ht="15" hidden="false" customHeight="false" outlineLevel="0" collapsed="false">
      <c r="A3900" s="5" t="s">
        <v>749</v>
      </c>
      <c r="B3900" s="0" t="s">
        <v>73</v>
      </c>
      <c r="F3900" s="38" t="n">
        <f aca="false">Sens!$F$3899+Sens!$F$3896-Sens!$F$3895-Sens!$F$3897+Sens!$F$3898</f>
        <v>95.2021149126269</v>
      </c>
      <c r="H3900" s="38" t="n">
        <f aca="false">Sens!$H$3899+Sens!$H$3896-Sens!$H$3895-Sens!$H$3897+Sens!$H$3898</f>
        <v>48.7746725107011</v>
      </c>
      <c r="I3900" s="38" t="n">
        <f aca="false">Sens!$I$3899+Sens!$I$3896-Sens!$I$3895-Sens!$I$3897+Sens!$I$3898</f>
        <v>47.0104185417288</v>
      </c>
      <c r="J3900" s="38" t="n">
        <f aca="false">Sens!$J$3899+Sens!$J$3896-Sens!$J$3895-Sens!$J$3897+Sens!$J$3898</f>
        <v>92.0742173944934</v>
      </c>
      <c r="K3900" s="38" t="n">
        <f aca="false">Sens!$K$3899+Sens!$K$3896-Sens!$K$3895-Sens!$K$3897+Sens!$K$3898</f>
        <v>178.675516361013</v>
      </c>
      <c r="L3900" s="38" t="n">
        <f aca="false">Sens!$L$3899+Sens!$L$3896-Sens!$L$3895-Sens!$L$3897+Sens!$L$3898</f>
        <v>279.83451623581</v>
      </c>
      <c r="M3900" s="38" t="n">
        <f aca="false">Sens!$M$3899+Sens!$M$3896-Sens!$M$3895-Sens!$M$3897+Sens!$M$3898</f>
        <v>374.457451808644</v>
      </c>
    </row>
    <row r="3901" customFormat="false" ht="17.15" hidden="false" customHeight="false" outlineLevel="0" collapsed="false">
      <c r="A3901" s="5" t="s">
        <v>750</v>
      </c>
      <c r="B3901" s="0" t="s">
        <v>73</v>
      </c>
      <c r="F3901" s="38" t="n">
        <f aca="false">MAX(0,min_cash-Sens!$F$3900)</f>
        <v>0</v>
      </c>
      <c r="G3901" s="38" t="n">
        <f aca="false">Sens!$F$3901</f>
        <v>0</v>
      </c>
      <c r="H3901" s="38" t="n">
        <f aca="false">MAX(0,min_cash-Sens!$H$3900)</f>
        <v>1.22532748929894</v>
      </c>
      <c r="I3901" s="38" t="n">
        <f aca="false">MAX(0,min_cash-Sens!$I$3900)</f>
        <v>2.98958145827121</v>
      </c>
      <c r="J3901" s="38" t="n">
        <f aca="false">MAX(0,min_cash-Sens!$J$3900)</f>
        <v>0</v>
      </c>
      <c r="K3901" s="38" t="n">
        <f aca="false">MAX(0,min_cash-Sens!$K$3900)</f>
        <v>0</v>
      </c>
      <c r="L3901" s="38" t="n">
        <f aca="false">MAX(0,min_cash-Sens!$L$3900)</f>
        <v>0</v>
      </c>
      <c r="M3901" s="38" t="n">
        <f aca="false">MAX(0,min_cash-Sens!$M$3900)</f>
        <v>0</v>
      </c>
      <c r="P3901" s="5" t="s">
        <v>751</v>
      </c>
    </row>
    <row r="3902" customFormat="false" ht="15" hidden="false" customHeight="false" outlineLevel="0" collapsed="false">
      <c r="A3902" s="5" t="s">
        <v>752</v>
      </c>
      <c r="B3902" s="0" t="s">
        <v>73</v>
      </c>
      <c r="D3902" s="38" t="n">
        <f aca="false">Q!$E$61</f>
        <v>123.029</v>
      </c>
      <c r="E3902" s="38" t="n">
        <f aca="false">Q!$M$61</f>
        <v>122.988</v>
      </c>
      <c r="F3902" s="38" t="n">
        <f aca="false">Sens!$F$3900+Sens!$F$3901</f>
        <v>95.2021149126269</v>
      </c>
      <c r="G3902" s="38" t="n">
        <f aca="false">Sens!$F$3902</f>
        <v>95.2021149126269</v>
      </c>
      <c r="H3902" s="38" t="n">
        <f aca="false">Sens!$H$3900+Sens!$H$3901</f>
        <v>50</v>
      </c>
      <c r="I3902" s="38" t="n">
        <f aca="false">Sens!$I$3900+Sens!$I$3901</f>
        <v>50</v>
      </c>
      <c r="J3902" s="38" t="n">
        <f aca="false">Sens!$J$3900+Sens!$J$3901</f>
        <v>92.0742173944934</v>
      </c>
      <c r="K3902" s="38" t="n">
        <f aca="false">Sens!$K$3900+Sens!$K$3901</f>
        <v>178.675516361013</v>
      </c>
      <c r="L3902" s="38" t="n">
        <f aca="false">Sens!$L$3900+Sens!$L$3901</f>
        <v>279.83451623581</v>
      </c>
      <c r="M3902" s="38" t="n">
        <f aca="false">Sens!$M$3900+Sens!$M$3901</f>
        <v>374.457451808644</v>
      </c>
    </row>
    <row r="3903" customFormat="false" ht="15" hidden="false" customHeight="false" outlineLevel="0" collapsed="false">
      <c r="A3903" s="5" t="s">
        <v>753</v>
      </c>
      <c r="B3903" s="0" t="s">
        <v>73</v>
      </c>
      <c r="D3903" s="38" t="n">
        <f aca="false">Q!$E$62</f>
        <v>68.836</v>
      </c>
      <c r="E3903" s="38" t="n">
        <f aca="false">Q!$M$62</f>
        <v>132.995</v>
      </c>
      <c r="F3903" s="38" t="n">
        <f aca="false">debt_q2+Sens!$F$3898+Sens!$F$3901</f>
        <v>162.245</v>
      </c>
      <c r="G3903" s="38" t="n">
        <f aca="false">Sens!$F$3903</f>
        <v>162.245</v>
      </c>
      <c r="H3903" s="38" t="n">
        <f aca="false">Sens!$G$3903+Sens!$H$3901</f>
        <v>163.470327489299</v>
      </c>
      <c r="I3903" s="38" t="n">
        <f aca="false">Sens!$H$3903+Sens!$I$3901</f>
        <v>166.45990894757</v>
      </c>
      <c r="J3903" s="38" t="n">
        <f aca="false">Sens!$I$3903+Sens!$J$3901</f>
        <v>166.45990894757</v>
      </c>
      <c r="K3903" s="38" t="n">
        <f aca="false">Sens!$J$3903+Sens!$K$3901</f>
        <v>166.45990894757</v>
      </c>
      <c r="L3903" s="38" t="n">
        <f aca="false">Sens!$K$3903+Sens!$L$3901</f>
        <v>166.45990894757</v>
      </c>
      <c r="M3903" s="38" t="n">
        <f aca="false">Sens!$L$3903+Sens!$M$3901</f>
        <v>166.45990894757</v>
      </c>
    </row>
    <row r="3904" customFormat="false" ht="15" hidden="false" customHeight="false" outlineLevel="0" collapsed="false">
      <c r="A3904" s="5" t="s">
        <v>754</v>
      </c>
      <c r="B3904" s="0" t="s">
        <v>73</v>
      </c>
      <c r="D3904" s="38" t="n">
        <f aca="false">Sens!$D$3903-Sens!$D$3902</f>
        <v>-54.193</v>
      </c>
      <c r="E3904" s="38" t="n">
        <f aca="false">Sens!$E$3903-Sens!$E$3902</f>
        <v>10.007</v>
      </c>
      <c r="F3904" s="38" t="n">
        <f aca="false">Sens!$F$3903-Sens!$F$3902</f>
        <v>67.0428850873731</v>
      </c>
      <c r="G3904" s="38" t="n">
        <f aca="false">Sens!$G$3903-Sens!$G$3902</f>
        <v>67.0428850873731</v>
      </c>
      <c r="H3904" s="38" t="n">
        <f aca="false">Sens!$H$3903-Sens!$H$3902</f>
        <v>113.470327489299</v>
      </c>
      <c r="I3904" s="38" t="n">
        <f aca="false">Sens!$I$3903-Sens!$I$3902</f>
        <v>116.45990894757</v>
      </c>
      <c r="J3904" s="38" t="n">
        <f aca="false">Sens!$J$3903-Sens!$J$3902</f>
        <v>74.3856915530768</v>
      </c>
      <c r="K3904" s="38" t="n">
        <f aca="false">Sens!$K$3903-Sens!$K$3902</f>
        <v>-12.2156074134428</v>
      </c>
      <c r="L3904" s="38" t="n">
        <f aca="false">Sens!$L$3903-Sens!$L$3902</f>
        <v>-113.37460728824</v>
      </c>
      <c r="M3904" s="38" t="n">
        <f aca="false">Sens!$M$3903-Sens!$M$3902</f>
        <v>-207.997542861074</v>
      </c>
    </row>
    <row r="3905" customFormat="false" ht="17.15" hidden="false" customHeight="false" outlineLevel="0" collapsed="false">
      <c r="A3905" s="5" t="s">
        <v>755</v>
      </c>
      <c r="B3905" s="0" t="s">
        <v>73</v>
      </c>
      <c r="F3905" s="38" t="n">
        <f aca="false">debt_q2*kd_book*0.5+iss_2h26*kd_new*0.25</f>
        <v>3.24888964316061</v>
      </c>
      <c r="H3905" s="38" t="n">
        <f aca="false">debt_q2*kd_book+(Sens!$G$3903-debt_q2)*kd_new</f>
        <v>7.42354178632123</v>
      </c>
      <c r="I3905" s="38" t="n">
        <f aca="false">debt_q2*kd_book+(Sens!$H$3903-debt_q2)*kd_new</f>
        <v>7.50110501639385</v>
      </c>
      <c r="J3905" s="38" t="n">
        <f aca="false">debt_q2*kd_book+(Sens!$I$3903-debt_q2)*kd_new</f>
        <v>7.69034552270242</v>
      </c>
      <c r="K3905" s="38" t="n">
        <f aca="false">debt_q2*kd_book+(Sens!$J$3903-debt_q2)*kd_new</f>
        <v>7.69034552270242</v>
      </c>
      <c r="L3905" s="38" t="n">
        <f aca="false">debt_q2*kd_book+(Sens!$K$3903-debt_q2)*kd_new</f>
        <v>7.69034552270242</v>
      </c>
      <c r="M3905" s="38" t="n">
        <f aca="false">debt_q2*kd_book+(Sens!$L$3903-debt_q2)*kd_new</f>
        <v>7.69034552270242</v>
      </c>
    </row>
    <row r="3906" customFormat="false" ht="17.15" hidden="false" customHeight="false" outlineLevel="0" collapsed="false">
      <c r="A3906" s="5" t="s">
        <v>756</v>
      </c>
      <c r="B3906" s="0" t="s">
        <v>73</v>
      </c>
      <c r="F3906" s="38" t="n">
        <f aca="false">cash_q2*y_cash*0.5</f>
        <v>2.59</v>
      </c>
      <c r="H3906" s="38" t="n">
        <f aca="false">Sens!$G$3902*y_cash</f>
        <v>4.00971603121774</v>
      </c>
      <c r="I3906" s="38" t="n">
        <f aca="false">Sens!$H$3902*y_cash</f>
        <v>2.10589651022864</v>
      </c>
      <c r="J3906" s="38" t="n">
        <f aca="false">Sens!$I$3902*y_cash</f>
        <v>2.10589651022864</v>
      </c>
      <c r="K3906" s="38" t="n">
        <f aca="false">Sens!$J$3902*y_cash</f>
        <v>3.87797546186194</v>
      </c>
      <c r="L3906" s="38" t="n">
        <f aca="false">Sens!$K$3902*y_cash</f>
        <v>7.52544292735915</v>
      </c>
      <c r="M3906" s="38" t="n">
        <f aca="false">Sens!$L$3902*y_cash</f>
        <v>11.7860506236502</v>
      </c>
    </row>
    <row r="3907" customFormat="false" ht="17.15" hidden="false" customHeight="false" outlineLevel="0" collapsed="false">
      <c r="A3907" s="46" t="s">
        <v>757</v>
      </c>
      <c r="B3907" s="13" t="s">
        <v>73</v>
      </c>
      <c r="C3907" s="13"/>
      <c r="D3907" s="13"/>
      <c r="E3907" s="13"/>
      <c r="F3907" s="13"/>
      <c r="G3907" s="47" t="n">
        <f aca="false">SUM(Sens!$G$3896:$K$3896)</f>
        <v>17.8316074134427</v>
      </c>
      <c r="H3907" s="13"/>
      <c r="I3907" s="13"/>
      <c r="J3907" s="13"/>
      <c r="K3907" s="13"/>
      <c r="L3907" s="13"/>
      <c r="M3907" s="13"/>
      <c r="N3907" s="13"/>
      <c r="O3907" s="13"/>
    </row>
    <row r="3908" customFormat="false" ht="17.15" hidden="false" customHeight="false" outlineLevel="0" collapsed="false">
      <c r="A3908" s="0" t="s">
        <v>724</v>
      </c>
      <c r="B3908" s="0" t="s">
        <v>73</v>
      </c>
      <c r="G3908" s="38" t="n">
        <f aca="false">SUM(Sens!$G$3901:$K$3901)</f>
        <v>4.21490894757015</v>
      </c>
    </row>
    <row r="3911" customFormat="false" ht="19.4" hidden="false" customHeight="false" outlineLevel="0" collapsed="false">
      <c r="A3911" s="31" t="s">
        <v>1129</v>
      </c>
    </row>
    <row r="3912" customFormat="false" ht="17.15" hidden="false" customHeight="false" outlineLevel="0" collapsed="false">
      <c r="A3912" s="6" t="s">
        <v>16</v>
      </c>
      <c r="B3912" s="6" t="s">
        <v>17</v>
      </c>
      <c r="C3912" s="20" t="s">
        <v>457</v>
      </c>
      <c r="D3912" s="20" t="s">
        <v>458</v>
      </c>
      <c r="E3912" s="20" t="s">
        <v>540</v>
      </c>
      <c r="F3912" s="20" t="s">
        <v>541</v>
      </c>
      <c r="G3912" s="20" t="s">
        <v>542</v>
      </c>
      <c r="H3912" s="20" t="s">
        <v>543</v>
      </c>
      <c r="I3912" s="20" t="s">
        <v>544</v>
      </c>
      <c r="J3912" s="20" t="s">
        <v>545</v>
      </c>
      <c r="K3912" s="20" t="s">
        <v>546</v>
      </c>
      <c r="L3912" s="20" t="s">
        <v>547</v>
      </c>
      <c r="M3912" s="20" t="s">
        <v>548</v>
      </c>
      <c r="N3912" s="20" t="s">
        <v>549</v>
      </c>
      <c r="O3912" s="20" t="s">
        <v>550</v>
      </c>
      <c r="P3912" s="6" t="s">
        <v>23</v>
      </c>
      <c r="R3912" s="20" t="n">
        <v>2023</v>
      </c>
      <c r="S3912" s="20" t="n">
        <v>2024</v>
      </c>
      <c r="T3912" s="20" t="n">
        <v>2025</v>
      </c>
      <c r="U3912" s="20" t="n">
        <v>2026</v>
      </c>
      <c r="V3912" s="20" t="n">
        <v>2027</v>
      </c>
      <c r="W3912" s="20" t="n">
        <v>2028</v>
      </c>
      <c r="X3912" s="20" t="n">
        <v>2029</v>
      </c>
      <c r="Y3912" s="20" t="n">
        <v>2030</v>
      </c>
      <c r="Z3912" s="20" t="n">
        <v>2031</v>
      </c>
      <c r="AA3912" s="20" t="n">
        <v>2032</v>
      </c>
    </row>
    <row r="3913" customFormat="false" ht="17.15" hidden="false" customHeight="false" outlineLevel="0" collapsed="false">
      <c r="A3913" s="1" t="s">
        <v>852</v>
      </c>
    </row>
    <row r="3914" customFormat="false" ht="17.15" hidden="false" customHeight="false" outlineLevel="0" collapsed="false">
      <c r="A3914" s="0" t="s">
        <v>853</v>
      </c>
      <c r="B3914" s="0" t="s">
        <v>73</v>
      </c>
      <c r="H3914" s="38" t="n">
        <f aca="false">Sens!$H$3850*(1-tax)</f>
        <v>112.35797761764</v>
      </c>
      <c r="I3914" s="38" t="n">
        <f aca="false">Sens!$I$3850*(1-tax)</f>
        <v>133.725195154462</v>
      </c>
      <c r="J3914" s="38" t="n">
        <f aca="false">Sens!$J$3850*(1-tax)</f>
        <v>153.385215729607</v>
      </c>
      <c r="K3914" s="38" t="n">
        <f aca="false">Sens!$K$3850*(1-tax)</f>
        <v>170.204051740815</v>
      </c>
      <c r="L3914" s="38" t="n">
        <f aca="false">Sens!$L$3850*(1-tax)</f>
        <v>188.903238302696</v>
      </c>
      <c r="M3914" s="38" t="n">
        <f aca="false">Sens!$M$3850*(1-tax)</f>
        <v>208.68025562869</v>
      </c>
    </row>
    <row r="3915" customFormat="false" ht="15" hidden="false" customHeight="false" outlineLevel="0" collapsed="false">
      <c r="A3915" s="5" t="s">
        <v>854</v>
      </c>
      <c r="B3915" s="0" t="s">
        <v>73</v>
      </c>
      <c r="H3915" s="38" t="n">
        <f aca="false">Sens!$H$3862</f>
        <v>87.7059088478602</v>
      </c>
      <c r="I3915" s="38" t="n">
        <f aca="false">Sens!$I$3862</f>
        <v>122.371402345591</v>
      </c>
      <c r="J3915" s="38" t="n">
        <f aca="false">Sens!$J$3862</f>
        <v>157.312446278041</v>
      </c>
      <c r="K3915" s="38" t="n">
        <f aca="false">Sens!$K$3862</f>
        <v>191.688183399249</v>
      </c>
      <c r="L3915" s="38" t="n">
        <f aca="false">Sens!$L$3862</f>
        <v>224.440119692062</v>
      </c>
      <c r="M3915" s="38" t="n">
        <f aca="false">Sens!$M$3862</f>
        <v>258.340610585992</v>
      </c>
    </row>
    <row r="3916" customFormat="false" ht="15" hidden="false" customHeight="false" outlineLevel="0" collapsed="false">
      <c r="A3916" s="5" t="s">
        <v>855</v>
      </c>
      <c r="B3916" s="0" t="s">
        <v>73</v>
      </c>
      <c r="H3916" s="38" t="n">
        <f aca="false">Sens!$H$3891</f>
        <v>277.907870994562</v>
      </c>
      <c r="I3916" s="38" t="n">
        <f aca="false">Sens!$I$3891</f>
        <v>294.069729745937</v>
      </c>
      <c r="J3916" s="38" t="n">
        <f aca="false">Sens!$J$3891</f>
        <v>308.384091781007</v>
      </c>
      <c r="K3916" s="38" t="n">
        <f aca="false">Sens!$K$3891</f>
        <v>320.981548837613</v>
      </c>
      <c r="L3916" s="38" t="n">
        <f aca="false">Sens!$L$3891</f>
        <v>365.593484087915</v>
      </c>
      <c r="M3916" s="38" t="n">
        <f aca="false">Sens!$M$3891</f>
        <v>434.292231479462</v>
      </c>
    </row>
    <row r="3917" customFormat="false" ht="15" hidden="false" customHeight="false" outlineLevel="0" collapsed="false">
      <c r="A3917" s="5" t="s">
        <v>856</v>
      </c>
      <c r="B3917" s="0" t="s">
        <v>73</v>
      </c>
      <c r="H3917" s="38" t="n">
        <f aca="false">Sens!$H$3892</f>
        <v>1.6</v>
      </c>
      <c r="I3917" s="38" t="n">
        <f aca="false">Sens!$I$3892</f>
        <v>1.6</v>
      </c>
      <c r="J3917" s="38" t="n">
        <f aca="false">Sens!$J$3892</f>
        <v>1.6</v>
      </c>
      <c r="K3917" s="38" t="n">
        <f aca="false">Sens!$K$3892</f>
        <v>1.6</v>
      </c>
      <c r="L3917" s="38" t="n">
        <f aca="false">Sens!$L$3892</f>
        <v>1.6</v>
      </c>
      <c r="M3917" s="38" t="n">
        <f aca="false">Sens!$M$3892</f>
        <v>1.6</v>
      </c>
    </row>
    <row r="3918" customFormat="false" ht="15" hidden="false" customHeight="false" outlineLevel="0" collapsed="false">
      <c r="A3918" s="5" t="s">
        <v>857</v>
      </c>
      <c r="B3918" s="0" t="s">
        <v>73</v>
      </c>
      <c r="H3918" s="38" t="n">
        <f aca="false">Sens!$H$3886</f>
        <v>11.6446293810153</v>
      </c>
      <c r="I3918" s="38" t="n">
        <f aca="false">Sens!$I$3886</f>
        <v>13.3356922010241</v>
      </c>
      <c r="J3918" s="38" t="n">
        <f aca="false">Sens!$J$3886</f>
        <v>14.9387109845711</v>
      </c>
      <c r="K3918" s="38" t="n">
        <f aca="false">Sens!$K$3886</f>
        <v>16.3896657840824</v>
      </c>
      <c r="L3918" s="38" t="n">
        <f aca="false">Sens!$L$3886</f>
        <v>17.9181796973173</v>
      </c>
      <c r="M3918" s="38" t="n">
        <f aca="false">Sens!$M$3886</f>
        <v>19.5311591158915</v>
      </c>
    </row>
    <row r="3919" customFormat="false" ht="17.15" hidden="false" customHeight="false" outlineLevel="0" collapsed="false">
      <c r="A3919" s="1" t="s">
        <v>858</v>
      </c>
      <c r="B3919" s="8" t="s">
        <v>73</v>
      </c>
      <c r="H3919" s="38" t="n">
        <f aca="false">Sens!$H$3914+Sens!$H$3915-Sens!$H$3916-Sens!$H$3917+Sens!$H$3918</f>
        <v>-67.7993551480461</v>
      </c>
      <c r="I3919" s="38" t="n">
        <f aca="false">Sens!$I$3914+Sens!$I$3915-Sens!$I$3916-Sens!$I$3917+Sens!$I$3918</f>
        <v>-26.2374400448597</v>
      </c>
      <c r="J3919" s="38" t="n">
        <f aca="false">Sens!$J$3914+Sens!$J$3915-Sens!$J$3916-Sens!$J$3917+Sens!$J$3918</f>
        <v>15.6522812112126</v>
      </c>
      <c r="K3919" s="38" t="n">
        <f aca="false">Sens!$K$3914+Sens!$K$3915-Sens!$K$3916-Sens!$K$3917+Sens!$K$3918</f>
        <v>55.7003520865333</v>
      </c>
      <c r="L3919" s="38" t="n">
        <f aca="false">Sens!$L$3914+Sens!$L$3915-Sens!$L$3916-Sens!$L$3917+Sens!$L$3918</f>
        <v>64.0680536041602</v>
      </c>
      <c r="M3919" s="38" t="n">
        <f aca="false">Sens!$M$3914+Sens!$M$3915-Sens!$M$3916-Sens!$M$3917+Sens!$M$3918</f>
        <v>50.6597938511117</v>
      </c>
    </row>
    <row r="3920" customFormat="false" ht="15" hidden="false" customHeight="false" outlineLevel="0" collapsed="false">
      <c r="A3920" s="5" t="s">
        <v>859</v>
      </c>
      <c r="B3920" s="0" t="s">
        <v>57</v>
      </c>
      <c r="H3920" s="51" t="n">
        <f aca="false">1/(1+wacc)^(2027-2026-0.5)</f>
        <v>0.942858177653364</v>
      </c>
      <c r="I3920" s="51" t="n">
        <f aca="false">1/(1+wacc)^(2028-2026-0.5)</f>
        <v>0.838183517758688</v>
      </c>
      <c r="J3920" s="51" t="n">
        <f aca="false">1/(1+wacc)^(2029-2026-0.5)</f>
        <v>0.745129677074952</v>
      </c>
      <c r="K3920" s="51" t="n">
        <f aca="false">1/(1+wacc)^(2030-2026-0.5)</f>
        <v>0.662406530186232</v>
      </c>
      <c r="L3920" s="51" t="n">
        <f aca="false">1/(1+wacc)^(2031-2026-0.5)</f>
        <v>0.588867179409399</v>
      </c>
      <c r="M3920" s="51" t="n">
        <f aca="false">1/(1+wacc)^(2032-2026-0.5)</f>
        <v>0.52349205387225</v>
      </c>
    </row>
    <row r="3921" customFormat="false" ht="15" hidden="false" customHeight="false" outlineLevel="0" collapsed="false">
      <c r="A3921" s="5" t="s">
        <v>860</v>
      </c>
      <c r="B3921" s="0" t="s">
        <v>73</v>
      </c>
      <c r="H3921" s="38" t="n">
        <f aca="false">Sens!$H$3919*Sens!$H$3920</f>
        <v>-63.9251764409599</v>
      </c>
      <c r="I3921" s="38" t="n">
        <f aca="false">Sens!$I$3919*Sens!$I$3920</f>
        <v>-21.9917897937832</v>
      </c>
      <c r="J3921" s="38" t="n">
        <f aca="false">Sens!$J$3919*Sens!$J$3920</f>
        <v>11.6629792443972</v>
      </c>
      <c r="K3921" s="38" t="n">
        <f aca="false">Sens!$K$3919*Sens!$K$3920</f>
        <v>36.896276955792</v>
      </c>
      <c r="L3921" s="38" t="n">
        <f aca="false">Sens!$L$3919*Sens!$L$3920</f>
        <v>37.727574016132</v>
      </c>
      <c r="M3921" s="38" t="n">
        <f aca="false">Sens!$M$3919*Sens!$M$3920</f>
        <v>26.5199995318633</v>
      </c>
    </row>
    <row r="3922" customFormat="false" ht="15" hidden="false" customHeight="false" outlineLevel="0" collapsed="false">
      <c r="A3922" s="5" t="s">
        <v>861</v>
      </c>
      <c r="B3922" s="0" t="s">
        <v>73</v>
      </c>
      <c r="C3922" s="38" t="n">
        <f aca="false">SUM(Sens!$H$3921:$M$3921)</f>
        <v>26.8898635134414</v>
      </c>
    </row>
    <row r="3923" customFormat="false" ht="17.15" hidden="false" customHeight="false" outlineLevel="0" collapsed="false">
      <c r="A3923" s="5" t="s">
        <v>862</v>
      </c>
      <c r="B3923" s="0" t="s">
        <v>73</v>
      </c>
      <c r="C3923" s="38" t="n">
        <f aca="false">Sens!$M$3914*(1+tg)*(1-tg/ronic)/(wacc-tg)</f>
        <v>1721.13978161863</v>
      </c>
    </row>
    <row r="3924" customFormat="false" ht="15" hidden="false" customHeight="false" outlineLevel="0" collapsed="false">
      <c r="A3924" s="5" t="s">
        <v>863</v>
      </c>
      <c r="B3924" s="0" t="s">
        <v>73</v>
      </c>
      <c r="C3924" s="38" t="n">
        <f aca="false">Sens!$C$3923/(1+wacc)^6</f>
        <v>849.518045962087</v>
      </c>
    </row>
    <row r="3925" customFormat="false" ht="17.15" hidden="false" customHeight="false" outlineLevel="0" collapsed="false">
      <c r="A3925" s="5" t="s">
        <v>864</v>
      </c>
      <c r="B3925" s="0" t="s">
        <v>73</v>
      </c>
      <c r="C3925" s="38" t="n">
        <f aca="false">Sens!$C$3922+Sens!$C$3924</f>
        <v>876.407909475529</v>
      </c>
    </row>
    <row r="3926" customFormat="false" ht="17.15" hidden="false" customHeight="false" outlineLevel="0" collapsed="false">
      <c r="A3926" s="5" t="s">
        <v>865</v>
      </c>
      <c r="B3926" s="0" t="s">
        <v>52</v>
      </c>
      <c r="C3926" s="12" t="n">
        <f aca="false">Sens!$C$3924/Sens!$C$3925</f>
        <v>0.969318095805944</v>
      </c>
    </row>
    <row r="3927" customFormat="false" ht="17.15" hidden="false" customHeight="false" outlineLevel="0" collapsed="false">
      <c r="A3927" s="5" t="s">
        <v>866</v>
      </c>
      <c r="B3927" s="0" t="s">
        <v>73</v>
      </c>
      <c r="C3927" s="38" t="n">
        <f aca="false">Sens!$G$3904</f>
        <v>67.0428850873731</v>
      </c>
    </row>
    <row r="3928" customFormat="false" ht="17.15" hidden="false" customHeight="false" outlineLevel="0" collapsed="false">
      <c r="A3928" s="5" t="s">
        <v>867</v>
      </c>
      <c r="B3928" s="0" t="s">
        <v>73</v>
      </c>
      <c r="C3928" s="38" t="n">
        <f aca="false">(ant_val*ant_sh+oai_val*oai_sh)*(1-liq_disc)</f>
        <v>178.944</v>
      </c>
    </row>
    <row r="3929" customFormat="false" ht="15" hidden="false" customHeight="false" outlineLevel="0" collapsed="false">
      <c r="A3929" s="5" t="s">
        <v>868</v>
      </c>
      <c r="B3929" s="0" t="s">
        <v>73</v>
      </c>
      <c r="C3929" s="38" t="n">
        <f aca="false">Sens!$C$3925-Sens!$C$3927+Sens!$C$3928</f>
        <v>988.309024388156</v>
      </c>
    </row>
    <row r="3930" customFormat="false" ht="17.15" hidden="false" customHeight="false" outlineLevel="0" collapsed="false">
      <c r="A3930" s="5" t="s">
        <v>869</v>
      </c>
      <c r="B3930" s="0" t="s">
        <v>27</v>
      </c>
      <c r="C3930" s="30" t="n">
        <f aca="false">Sens!$C$3929/sh_val</f>
        <v>89.5993554116552</v>
      </c>
    </row>
    <row r="3931" customFormat="false" ht="17.15" hidden="false" customHeight="false" outlineLevel="0" collapsed="false">
      <c r="A3931" s="1" t="s">
        <v>870</v>
      </c>
      <c r="B3931" s="8" t="s">
        <v>27</v>
      </c>
      <c r="C3931" s="30" t="n">
        <f aca="false">Sens!$C$3930*(1+ke)^tp_yf</f>
        <v>98.9575529575105</v>
      </c>
    </row>
    <row r="3932" customFormat="false" ht="17.15" hidden="false" customHeight="false" outlineLevel="0" collapsed="false">
      <c r="A3932" s="3" t="s">
        <v>871</v>
      </c>
    </row>
    <row r="3933" customFormat="false" ht="17.15" hidden="false" customHeight="false" outlineLevel="0" collapsed="false">
      <c r="A3933" s="5" t="s">
        <v>872</v>
      </c>
      <c r="B3933" s="0" t="s">
        <v>73</v>
      </c>
      <c r="C3933" s="38" t="n">
        <f aca="false">0.25*Sens!$H$3863+0.75*Sens!$I$3863</f>
        <v>58.4926521505268</v>
      </c>
    </row>
    <row r="3934" customFormat="false" ht="15" hidden="false" customHeight="false" outlineLevel="0" collapsed="false">
      <c r="A3934" s="5" t="s">
        <v>873</v>
      </c>
      <c r="B3934" s="0" t="s">
        <v>57</v>
      </c>
      <c r="C3934" s="30" t="n">
        <f aca="false">m_ads*m_x</f>
        <v>9.11</v>
      </c>
    </row>
    <row r="3935" customFormat="false" ht="17.15" hidden="false" customHeight="false" outlineLevel="0" collapsed="false">
      <c r="A3935" s="5" t="s">
        <v>874</v>
      </c>
      <c r="B3935" s="0" t="s">
        <v>73</v>
      </c>
      <c r="C3935" s="38" t="n">
        <f aca="false">Sens!$C$3933*Sens!$C$3934</f>
        <v>532.868061091299</v>
      </c>
    </row>
    <row r="3936" customFormat="false" ht="17.15" hidden="false" customHeight="false" outlineLevel="0" collapsed="false">
      <c r="A3936" s="5" t="s">
        <v>875</v>
      </c>
      <c r="B3936" s="0" t="s">
        <v>73</v>
      </c>
      <c r="C3936" s="38" t="n">
        <f aca="false">0.25*Sens!$H$3864+0.75*Sens!$I$3864</f>
        <v>30.6919015881428</v>
      </c>
    </row>
    <row r="3937" customFormat="false" ht="15" hidden="false" customHeight="false" outlineLevel="0" collapsed="false">
      <c r="A3937" s="5" t="s">
        <v>876</v>
      </c>
      <c r="B3937" s="0" t="s">
        <v>57</v>
      </c>
      <c r="C3937" s="30" t="n">
        <f aca="false">m_retail*m_x</f>
        <v>17.72</v>
      </c>
    </row>
    <row r="3938" customFormat="false" ht="17.15" hidden="false" customHeight="false" outlineLevel="0" collapsed="false">
      <c r="A3938" s="5" t="s">
        <v>877</v>
      </c>
      <c r="B3938" s="0" t="s">
        <v>73</v>
      </c>
      <c r="C3938" s="38" t="n">
        <f aca="false">Sens!$C$3936*Sens!$C$3937</f>
        <v>543.86049614189</v>
      </c>
    </row>
    <row r="3939" customFormat="false" ht="17.15" hidden="false" customHeight="false" outlineLevel="0" collapsed="false">
      <c r="A3939" s="0" t="s">
        <v>878</v>
      </c>
      <c r="B3939" s="0" t="s">
        <v>73</v>
      </c>
      <c r="C3939" s="38" t="n">
        <f aca="false">0.25*Sens!$H$3865+0.75*Sens!$I$3865</f>
        <v>107.575398943098</v>
      </c>
    </row>
    <row r="3940" customFormat="false" ht="17.15" hidden="false" customHeight="false" outlineLevel="0" collapsed="false">
      <c r="A3940" s="0" t="s">
        <v>879</v>
      </c>
      <c r="B3940" s="0" t="s">
        <v>57</v>
      </c>
      <c r="C3940" s="30" t="n">
        <f aca="false">m_cloud*m_x</f>
        <v>13.82</v>
      </c>
    </row>
    <row r="3941" customFormat="false" ht="17.15" hidden="false" customHeight="false" outlineLevel="0" collapsed="false">
      <c r="A3941" s="0" t="s">
        <v>880</v>
      </c>
      <c r="B3941" s="0" t="s">
        <v>73</v>
      </c>
      <c r="C3941" s="38" t="n">
        <f aca="false">Sens!$C$3939*Sens!$C$3940</f>
        <v>1486.69201339361</v>
      </c>
    </row>
    <row r="3942" customFormat="false" ht="17.15" hidden="false" customHeight="false" outlineLevel="0" collapsed="false">
      <c r="A3942" s="0" t="s">
        <v>881</v>
      </c>
      <c r="B3942" s="0" t="s">
        <v>73</v>
      </c>
      <c r="C3942" s="38" t="n">
        <f aca="false">0.25*Sens!$H$3866+0.75*Sens!$I$3866</f>
        <v>72.2947701247864</v>
      </c>
    </row>
    <row r="3943" customFormat="false" ht="17.15" hidden="false" customHeight="false" outlineLevel="0" collapsed="false">
      <c r="A3943" s="0" t="s">
        <v>882</v>
      </c>
      <c r="B3943" s="0" t="s">
        <v>57</v>
      </c>
      <c r="C3943" s="30" t="n">
        <f aca="false">m_ai</f>
        <v>6</v>
      </c>
    </row>
    <row r="3944" customFormat="false" ht="17.15" hidden="false" customHeight="false" outlineLevel="0" collapsed="false">
      <c r="A3944" s="0" t="s">
        <v>883</v>
      </c>
      <c r="B3944" s="0" t="s">
        <v>73</v>
      </c>
      <c r="C3944" s="38" t="n">
        <f aca="false">Sens!$C$3942*Sens!$C$3943</f>
        <v>433.768620748718</v>
      </c>
    </row>
    <row r="3945" customFormat="false" ht="17.15" hidden="false" customHeight="false" outlineLevel="0" collapsed="false">
      <c r="A3945" s="5" t="s">
        <v>884</v>
      </c>
      <c r="B3945" s="0" t="s">
        <v>73</v>
      </c>
      <c r="C3945" s="38" t="n">
        <f aca="false">Sens!$C$3935+Sens!$C$3938+Sens!$C$3941+Sens!$C$3944</f>
        <v>2997.18919137552</v>
      </c>
    </row>
    <row r="3946" customFormat="false" ht="17.15" hidden="false" customHeight="false" outlineLevel="0" collapsed="false">
      <c r="A3946" s="5" t="s">
        <v>885</v>
      </c>
      <c r="B3946" s="0" t="s">
        <v>73</v>
      </c>
      <c r="C3946" s="38" t="n">
        <f aca="false">Sens!$H$3904</f>
        <v>113.470327489299</v>
      </c>
    </row>
    <row r="3947" customFormat="false" ht="15" hidden="false" customHeight="false" outlineLevel="0" collapsed="false">
      <c r="A3947" s="5" t="s">
        <v>886</v>
      </c>
      <c r="B3947" s="0" t="s">
        <v>73</v>
      </c>
      <c r="C3947" s="38" t="n">
        <f aca="false">Sens!$C$3945-Sens!$C$3946+Sens!$C$3928</f>
        <v>3062.66286388622</v>
      </c>
    </row>
    <row r="3948" customFormat="false" ht="15" hidden="false" customHeight="false" outlineLevel="0" collapsed="false">
      <c r="A3948" s="3" t="s">
        <v>887</v>
      </c>
      <c r="B3948" s="8" t="s">
        <v>27</v>
      </c>
      <c r="C3948" s="30" t="n">
        <f aca="false">Sens!$C$3947/sh_val</f>
        <v>277.65871976865</v>
      </c>
    </row>
    <row r="3949" customFormat="false" ht="17.15" hidden="false" customHeight="false" outlineLevel="0" collapsed="false">
      <c r="A3949" s="46" t="s">
        <v>888</v>
      </c>
      <c r="B3949" s="13" t="s">
        <v>27</v>
      </c>
      <c r="C3949" s="43" t="n">
        <f aca="false">w_dcf*Sens!$C$3931+(1-w_dcf)*Sens!$C$3948</f>
        <v>188.30813636308</v>
      </c>
      <c r="D3949" s="13"/>
      <c r="E3949" s="13"/>
      <c r="F3949" s="13"/>
      <c r="G3949" s="13"/>
      <c r="H3949" s="13"/>
      <c r="I3949" s="13"/>
      <c r="J3949" s="13"/>
      <c r="K3949" s="13"/>
      <c r="L3949" s="13"/>
      <c r="M3949" s="13"/>
      <c r="N3949" s="13"/>
      <c r="O3949" s="13"/>
    </row>
    <row r="3950" customFormat="false" ht="17.15" hidden="false" customHeight="false" outlineLevel="0" collapsed="false">
      <c r="A3950" s="5" t="s">
        <v>889</v>
      </c>
      <c r="B3950" s="0" t="s">
        <v>27</v>
      </c>
      <c r="C3950" s="30" t="n">
        <f aca="false">0.45*Sens!$C$3931+0.55*Sens!$C$3948</f>
        <v>197.243194703637</v>
      </c>
    </row>
    <row r="3953" customFormat="false" ht="19.4" hidden="false" customHeight="false" outlineLevel="0" collapsed="false">
      <c r="A3953" s="31" t="s">
        <v>1130</v>
      </c>
    </row>
    <row r="3954" customFormat="false" ht="17.15" hidden="false" customHeight="false" outlineLevel="0" collapsed="false">
      <c r="A3954" s="6" t="s">
        <v>16</v>
      </c>
      <c r="B3954" s="6" t="s">
        <v>17</v>
      </c>
      <c r="C3954" s="20" t="s">
        <v>457</v>
      </c>
      <c r="D3954" s="20" t="s">
        <v>458</v>
      </c>
      <c r="E3954" s="20" t="s">
        <v>540</v>
      </c>
      <c r="F3954" s="20" t="s">
        <v>541</v>
      </c>
      <c r="G3954" s="20" t="s">
        <v>542</v>
      </c>
      <c r="H3954" s="20" t="s">
        <v>543</v>
      </c>
      <c r="I3954" s="20" t="s">
        <v>544</v>
      </c>
      <c r="J3954" s="20" t="s">
        <v>545</v>
      </c>
      <c r="K3954" s="20" t="s">
        <v>546</v>
      </c>
      <c r="L3954" s="20" t="s">
        <v>547</v>
      </c>
      <c r="M3954" s="20" t="s">
        <v>548</v>
      </c>
      <c r="N3954" s="20" t="s">
        <v>549</v>
      </c>
      <c r="O3954" s="20" t="s">
        <v>550</v>
      </c>
      <c r="P3954" s="6" t="s">
        <v>23</v>
      </c>
      <c r="R3954" s="20" t="n">
        <v>2023</v>
      </c>
      <c r="S3954" s="20" t="n">
        <v>2024</v>
      </c>
      <c r="T3954" s="20" t="n">
        <v>2025</v>
      </c>
      <c r="U3954" s="20" t="n">
        <v>2026</v>
      </c>
      <c r="V3954" s="20" t="n">
        <v>2027</v>
      </c>
      <c r="W3954" s="20" t="n">
        <v>2028</v>
      </c>
      <c r="X3954" s="20" t="n">
        <v>2029</v>
      </c>
      <c r="Y3954" s="20" t="n">
        <v>2030</v>
      </c>
      <c r="Z3954" s="20" t="n">
        <v>2031</v>
      </c>
      <c r="AA3954" s="20" t="n">
        <v>2032</v>
      </c>
    </row>
    <row r="3955" customFormat="false" ht="17.15" hidden="false" customHeight="false" outlineLevel="0" collapsed="false">
      <c r="A3955" s="1" t="s">
        <v>621</v>
      </c>
    </row>
    <row r="3956" customFormat="false" ht="17.15" hidden="false" customHeight="false" outlineLevel="0" collapsed="false">
      <c r="A3956" s="0" t="s">
        <v>479</v>
      </c>
      <c r="B3956" s="0" t="s">
        <v>73</v>
      </c>
      <c r="C3956" s="38" t="n">
        <f aca="false">Q!$D$10</f>
        <v>247.029</v>
      </c>
      <c r="D3956" s="38" t="n">
        <f aca="false">Q!$E$10</f>
        <v>269.287</v>
      </c>
      <c r="E3956" s="38" t="n">
        <f aca="false">Q!$P$10</f>
        <v>134.686</v>
      </c>
      <c r="F3956" s="38" t="n">
        <f aca="false">Sens!$O$3956*(1+Sens!$F$3957)-pd_amt*Q!$O$10/(Q!$O$10+Q!$O$12)</f>
        <v>160.728085930082</v>
      </c>
      <c r="G3956" s="38" t="n">
        <f aca="false">Sens!$E$3956+Sens!$F$3956</f>
        <v>295.414085930082</v>
      </c>
      <c r="H3956" s="38" t="n">
        <f aca="false">Sens!$G$3956*(1+Sens!$H$3957)</f>
        <v>320.828163943375</v>
      </c>
      <c r="I3956" s="38" t="n">
        <f aca="false">Sens!$H$3956*(1+Sens!$I$3957)</f>
        <v>344.575578072228</v>
      </c>
      <c r="J3956" s="38" t="n">
        <f aca="false">Sens!$I$3956*(1+Sens!$J$3957)</f>
        <v>365.942555779681</v>
      </c>
      <c r="K3956" s="38" t="n">
        <f aca="false">Sens!$J$3956*(1+Sens!$K$3957)</f>
        <v>384.239683568665</v>
      </c>
      <c r="L3956" s="38" t="n">
        <f aca="false">Sens!$K$3956*(1+Sens!$L$3957)</f>
        <v>403.451667747098</v>
      </c>
      <c r="M3956" s="38" t="n">
        <f aca="false">Sens!$L$3956*(1+Sens!$M$3957)</f>
        <v>423.624251134453</v>
      </c>
      <c r="N3956" s="38" t="n">
        <f aca="false">Q!$N$10</f>
        <v>118.892</v>
      </c>
      <c r="O3956" s="38" t="n">
        <f aca="false">Q!$O$10</f>
        <v>150.395</v>
      </c>
      <c r="P3956" s="8" t="s">
        <v>622</v>
      </c>
    </row>
    <row r="3957" customFormat="false" ht="17.15" hidden="false" customHeight="false" outlineLevel="0" collapsed="false">
      <c r="A3957" s="0" t="s">
        <v>623</v>
      </c>
      <c r="B3957" s="0" t="s">
        <v>52</v>
      </c>
      <c r="E3957" s="12" t="n">
        <f aca="false">Sens!$E$3956/Sens!$N$3956-1</f>
        <v>0.132843252699929</v>
      </c>
      <c r="F3957" s="12" t="n">
        <f aca="false">Sens!$O$3956/(Q!$F$10+Q!$G$10)-1</f>
        <v>0.0980382135842941</v>
      </c>
      <c r="G3957" s="12" t="n">
        <f aca="false">Sens!$G$3956/Sens!$D$3956-1</f>
        <v>0.0970231980380869</v>
      </c>
      <c r="H3957" s="12" t="n">
        <f aca="false">Sens!$F$3957+(g_os-Sens!$F$3957)*1/4</f>
        <v>0.0860286601882206</v>
      </c>
      <c r="I3957" s="12" t="n">
        <f aca="false">Sens!$F$3957+(g_os-Sens!$F$3957)*2/4</f>
        <v>0.074019106792147</v>
      </c>
      <c r="J3957" s="12" t="n">
        <f aca="false">Sens!$F$3957+(g_os-Sens!$F$3957)*3/4</f>
        <v>0.0620095533960735</v>
      </c>
      <c r="K3957" s="12" t="n">
        <f aca="false">Sens!$F$3957+(g_os-Sens!$F$3957)*4/4</f>
        <v>0.05</v>
      </c>
      <c r="L3957" s="12" t="n">
        <f aca="false">g_os</f>
        <v>0.05</v>
      </c>
      <c r="M3957" s="12" t="n">
        <f aca="false">g_os</f>
        <v>0.05</v>
      </c>
      <c r="P3957" s="8" t="s">
        <v>624</v>
      </c>
    </row>
    <row r="3958" customFormat="false" ht="17.15" hidden="false" customHeight="false" outlineLevel="0" collapsed="false">
      <c r="A3958" s="0" t="s">
        <v>480</v>
      </c>
      <c r="B3958" s="0" t="s">
        <v>73</v>
      </c>
      <c r="C3958" s="38" t="n">
        <f aca="false">Q!$D$11</f>
        <v>21.215</v>
      </c>
      <c r="D3958" s="38" t="n">
        <f aca="false">Q!$E$11</f>
        <v>22.561</v>
      </c>
      <c r="E3958" s="38" t="n">
        <f aca="false">Q!$P$11</f>
        <v>11.579</v>
      </c>
      <c r="F3958" s="38" t="n">
        <f aca="false">Sens!$O$3958*(1+Sens!$F$3959)</f>
        <v>12.0952613121125</v>
      </c>
      <c r="G3958" s="38" t="n">
        <f aca="false">Sens!$E$3958+Sens!$F$3958</f>
        <v>23.6742613121125</v>
      </c>
      <c r="H3958" s="38" t="n">
        <f aca="false">Sens!$G$3958*(1+Sens!$H$3959)</f>
        <v>24.8803243963206</v>
      </c>
      <c r="I3958" s="38" t="n">
        <f aca="false">Sens!$H$3958*(1+Sens!$I$3959)</f>
        <v>25.9741308664154</v>
      </c>
      <c r="J3958" s="38" t="n">
        <f aca="false">Sens!$I$3958*(1+Sens!$J$3959)</f>
        <v>26.9346894124267</v>
      </c>
      <c r="K3958" s="38" t="n">
        <f aca="false">Sens!$J$3958*(1+Sens!$K$3959)</f>
        <v>27.7427300947995</v>
      </c>
      <c r="L3958" s="38" t="n">
        <f aca="false">Sens!$K$3958*(1+Sens!$L$3959)</f>
        <v>28.5750119976435</v>
      </c>
      <c r="M3958" s="38" t="n">
        <f aca="false">Sens!$L$3958*(1+Sens!$M$3959)</f>
        <v>29.4322623575728</v>
      </c>
      <c r="N3958" s="38" t="n">
        <f aca="false">Q!$N$11</f>
        <v>11.128</v>
      </c>
      <c r="O3958" s="38" t="n">
        <f aca="false">Q!$O$11</f>
        <v>11.433</v>
      </c>
      <c r="P3958" s="8" t="s">
        <v>622</v>
      </c>
    </row>
    <row r="3959" customFormat="false" ht="17.15" hidden="false" customHeight="false" outlineLevel="0" collapsed="false">
      <c r="A3959" s="0" t="s">
        <v>625</v>
      </c>
      <c r="B3959" s="0" t="s">
        <v>52</v>
      </c>
      <c r="E3959" s="12" t="n">
        <f aca="false">Sens!$E$3958/Sens!$N$3958-1</f>
        <v>0.0405283968368082</v>
      </c>
      <c r="F3959" s="12" t="n">
        <f aca="false">Sens!$O$3958/(Q!$F$11+Q!$G$11)-1</f>
        <v>0.0579254187100955</v>
      </c>
      <c r="G3959" s="12" t="n">
        <f aca="false">Sens!$G$3958/Sens!$D$3958-1</f>
        <v>0.0493445021103904</v>
      </c>
      <c r="H3959" s="12" t="n">
        <f aca="false">Sens!$F$3959+(g_ps-Sens!$F$3959)*1/4</f>
        <v>0.0509440640325716</v>
      </c>
      <c r="I3959" s="12" t="n">
        <f aca="false">Sens!$F$3959+(g_ps-Sens!$F$3959)*2/4</f>
        <v>0.0439627093550477</v>
      </c>
      <c r="J3959" s="12" t="n">
        <f aca="false">Sens!$F$3959+(g_ps-Sens!$F$3959)*3/4</f>
        <v>0.0369813546775239</v>
      </c>
      <c r="K3959" s="12" t="n">
        <f aca="false">Sens!$F$3959+(g_ps-Sens!$F$3959)*4/4</f>
        <v>0.03</v>
      </c>
      <c r="L3959" s="12" t="n">
        <f aca="false">g_ps</f>
        <v>0.03</v>
      </c>
      <c r="M3959" s="12" t="n">
        <f aca="false">g_ps</f>
        <v>0.03</v>
      </c>
      <c r="P3959" s="8" t="s">
        <v>626</v>
      </c>
    </row>
    <row r="3960" customFormat="false" ht="17.15" hidden="false" customHeight="false" outlineLevel="0" collapsed="false">
      <c r="A3960" s="0" t="s">
        <v>481</v>
      </c>
      <c r="B3960" s="0" t="s">
        <v>73</v>
      </c>
      <c r="C3960" s="38" t="n">
        <f aca="false">Q!$D$12</f>
        <v>156.146</v>
      </c>
      <c r="D3960" s="38" t="n">
        <f aca="false">Q!$E$12</f>
        <v>172.162</v>
      </c>
      <c r="E3960" s="38" t="n">
        <f aca="false">Q!$P$12</f>
        <v>88.358</v>
      </c>
      <c r="F3960" s="38" t="n">
        <f aca="false">Sens!$O$3960*(1+Sens!$F$3961)-pd_amt*Q!$O$12/(Q!$O$10+Q!$O$12)</f>
        <v>103.62028337149</v>
      </c>
      <c r="G3960" s="38" t="n">
        <f aca="false">Sens!$E$3960+Sens!$F$3960</f>
        <v>191.97828337149</v>
      </c>
      <c r="H3960" s="38" t="n">
        <f aca="false">Sens!$G$3960*(1+Sens!$H$3961)</f>
        <v>212.128608444755</v>
      </c>
      <c r="I3960" s="38" t="n">
        <f aca="false">Sens!$H$3960*(1+Sens!$I$3961)</f>
        <v>231.92183134134</v>
      </c>
      <c r="J3960" s="38" t="n">
        <f aca="false">Sens!$I$3960*(1+Sens!$J$3961)</f>
        <v>250.859136487863</v>
      </c>
      <c r="K3960" s="38" t="n">
        <f aca="false">Sens!$J$3960*(1+Sens!$K$3961)</f>
        <v>268.419276042014</v>
      </c>
      <c r="L3960" s="38" t="n">
        <f aca="false">Sens!$K$3960*(1+Sens!$L$3961)</f>
        <v>287.208625364954</v>
      </c>
      <c r="M3960" s="38" t="n">
        <f aca="false">Sens!$L$3960*(1+Sens!$M$3961)</f>
        <v>307.313229140501</v>
      </c>
      <c r="N3960" s="38" t="n">
        <f aca="false">Q!$N$12</f>
        <v>76.86</v>
      </c>
      <c r="O3960" s="38" t="n">
        <f aca="false">Q!$O$12</f>
        <v>95.302</v>
      </c>
      <c r="P3960" s="8" t="s">
        <v>622</v>
      </c>
    </row>
    <row r="3961" customFormat="false" ht="17.15" hidden="false" customHeight="false" outlineLevel="0" collapsed="false">
      <c r="A3961" s="0" t="s">
        <v>627</v>
      </c>
      <c r="B3961" s="0" t="s">
        <v>52</v>
      </c>
      <c r="E3961" s="12" t="n">
        <f aca="false">Sens!$E$3960/Sens!$N$3960-1</f>
        <v>0.1495966692688</v>
      </c>
      <c r="F3961" s="12" t="n">
        <f aca="false">Sens!$O$3960/(Q!$F$12+Q!$G$12)-1</f>
        <v>0.11661530890813</v>
      </c>
      <c r="G3961" s="12" t="n">
        <f aca="false">Sens!$G$3960/Sens!$D$3960-1</f>
        <v>0.115102539303041</v>
      </c>
      <c r="H3961" s="12" t="n">
        <f aca="false">Sens!$F$3961+(g_sp-Sens!$F$3961)*1/4</f>
        <v>0.104961481681098</v>
      </c>
      <c r="I3961" s="12" t="n">
        <f aca="false">Sens!$F$3961+(g_sp-Sens!$F$3961)*2/4</f>
        <v>0.0933076544540651</v>
      </c>
      <c r="J3961" s="12" t="n">
        <f aca="false">Sens!$F$3961+(g_sp-Sens!$F$3961)*3/4</f>
        <v>0.0816538272270325</v>
      </c>
      <c r="K3961" s="12" t="n">
        <f aca="false">Sens!$F$3961+(g_sp-Sens!$F$3961)*4/4</f>
        <v>0.07</v>
      </c>
      <c r="L3961" s="12" t="n">
        <f aca="false">g_sp</f>
        <v>0.07</v>
      </c>
      <c r="M3961" s="12" t="n">
        <f aca="false">g_sp</f>
        <v>0.07</v>
      </c>
      <c r="P3961" s="8" t="s">
        <v>628</v>
      </c>
    </row>
    <row r="3962" customFormat="false" ht="17.15" hidden="false" customHeight="false" outlineLevel="0" collapsed="false">
      <c r="A3962" s="0" t="s">
        <v>482</v>
      </c>
      <c r="B3962" s="0" t="s">
        <v>73</v>
      </c>
      <c r="C3962" s="38" t="n">
        <f aca="false">Q!$D$13</f>
        <v>56.214</v>
      </c>
      <c r="D3962" s="38" t="n">
        <f aca="false">Q!$E$13</f>
        <v>68.635</v>
      </c>
      <c r="E3962" s="38" t="n">
        <f aca="false">Q!$P$13</f>
        <v>37.052</v>
      </c>
      <c r="F3962" s="38" t="n">
        <f aca="false">Sens!$O$3962*(1+Sens!$F$3963)</f>
        <v>48.1533381827382</v>
      </c>
      <c r="G3962" s="38" t="n">
        <f aca="false">Sens!$E$3962+Sens!$F$3962</f>
        <v>85.2053381827382</v>
      </c>
      <c r="H3962" s="38" t="n">
        <f aca="false">Sens!$G$3962*(1+Sens!$H$3963)</f>
        <v>102.29336185894</v>
      </c>
      <c r="I3962" s="38" t="n">
        <f aca="false">Sens!$H$3962*(1+Sens!$I$3963)</f>
        <v>119.379837585241</v>
      </c>
      <c r="J3962" s="38" t="n">
        <f aca="false">Sens!$I$3962*(1+Sens!$J$3963)</f>
        <v>135.319079048844</v>
      </c>
      <c r="K3962" s="38" t="n">
        <f aca="false">Sens!$J$3962*(1+Sens!$K$3963)</f>
        <v>148.850986953729</v>
      </c>
      <c r="L3962" s="38" t="n">
        <f aca="false">Sens!$K$3962*(1+Sens!$L$3963)</f>
        <v>163.736085649102</v>
      </c>
      <c r="M3962" s="38" t="n">
        <f aca="false">Sens!$L$3962*(1+Sens!$M$3963)</f>
        <v>180.109694214012</v>
      </c>
      <c r="N3962" s="38" t="n">
        <f aca="false">Q!$N$13</f>
        <v>29.615</v>
      </c>
      <c r="O3962" s="38" t="n">
        <f aca="false">Q!$O$13</f>
        <v>39.02</v>
      </c>
      <c r="P3962" s="8" t="s">
        <v>622</v>
      </c>
    </row>
    <row r="3963" customFormat="false" ht="17.15" hidden="false" customHeight="false" outlineLevel="0" collapsed="false">
      <c r="A3963" s="0" t="s">
        <v>629</v>
      </c>
      <c r="B3963" s="0" t="s">
        <v>52</v>
      </c>
      <c r="E3963" s="12" t="n">
        <f aca="false">Sens!$E$3962/Sens!$N$3962-1</f>
        <v>0.25112274185379</v>
      </c>
      <c r="F3963" s="12" t="n">
        <f aca="false">Sens!$O$3962/(Q!$F$13+Q!$G$13)-1</f>
        <v>0.234068123596572</v>
      </c>
      <c r="G3963" s="12" t="n">
        <f aca="false">Sens!$G$3962/Sens!$D$3962-1</f>
        <v>0.241426942270536</v>
      </c>
      <c r="H3963" s="12" t="n">
        <f aca="false">Sens!$F$3963+(g_ad-Sens!$F$3963)*1/4</f>
        <v>0.200551092697429</v>
      </c>
      <c r="I3963" s="12" t="n">
        <f aca="false">Sens!$F$3963+(g_ad-Sens!$F$3963)*2/4</f>
        <v>0.167034061798286</v>
      </c>
      <c r="J3963" s="12" t="n">
        <f aca="false">Sens!$F$3963+(g_ad-Sens!$F$3963)*3/4</f>
        <v>0.133517030899143</v>
      </c>
      <c r="K3963" s="12" t="n">
        <f aca="false">Sens!$F$3963+(g_ad-Sens!$F$3963)*4/4</f>
        <v>0.1</v>
      </c>
      <c r="L3963" s="12" t="n">
        <f aca="false">g_ad</f>
        <v>0.1</v>
      </c>
      <c r="M3963" s="12" t="n">
        <f aca="false">g_ad</f>
        <v>0.1</v>
      </c>
      <c r="P3963" s="8" t="s">
        <v>630</v>
      </c>
    </row>
    <row r="3964" customFormat="false" ht="17.15" hidden="false" customHeight="false" outlineLevel="0" collapsed="false">
      <c r="A3964" s="0" t="s">
        <v>483</v>
      </c>
      <c r="B3964" s="0" t="s">
        <v>73</v>
      </c>
      <c r="C3964" s="38" t="n">
        <f aca="false">Q!$D$14</f>
        <v>44.374</v>
      </c>
      <c r="D3964" s="38" t="n">
        <f aca="false">Q!$E$14</f>
        <v>49.619</v>
      </c>
      <c r="E3964" s="38" t="n">
        <f aca="false">Q!$P$14</f>
        <v>27.157</v>
      </c>
      <c r="F3964" s="38" t="n">
        <f aca="false">Sens!$O$3964*(1+Sens!$F$3965)</f>
        <v>28.9776360923374</v>
      </c>
      <c r="G3964" s="38" t="n">
        <f aca="false">Sens!$E$3964+Sens!$F$3964</f>
        <v>56.1346360923374</v>
      </c>
      <c r="H3964" s="38" t="n">
        <f aca="false">Sens!$G$3964*(1+Sens!$H$3965)</f>
        <v>62.4937078946075</v>
      </c>
      <c r="I3964" s="38" t="n">
        <f aca="false">Sens!$H$3964*(1+Sens!$I$3965)</f>
        <v>68.6715233062498</v>
      </c>
      <c r="J3964" s="38" t="n">
        <f aca="false">Sens!$I$3964*(1+Sens!$J$3965)</f>
        <v>74.4692882949818</v>
      </c>
      <c r="K3964" s="38" t="n">
        <f aca="false">Sens!$J$3964*(1+Sens!$K$3965)</f>
        <v>79.6821384756306</v>
      </c>
      <c r="L3964" s="38" t="n">
        <f aca="false">Sens!$K$3964*(1+Sens!$L$3965)</f>
        <v>85.2598881689247</v>
      </c>
      <c r="M3964" s="38" t="n">
        <f aca="false">Sens!$L$3964*(1+Sens!$M$3965)</f>
        <v>91.2280803407494</v>
      </c>
      <c r="N3964" s="38" t="n">
        <f aca="false">Q!$N$14</f>
        <v>23.923</v>
      </c>
      <c r="O3964" s="38" t="n">
        <f aca="false">Q!$O$14</f>
        <v>25.696</v>
      </c>
      <c r="P3964" s="8" t="s">
        <v>622</v>
      </c>
    </row>
    <row r="3965" customFormat="false" ht="17.15" hidden="false" customHeight="false" outlineLevel="0" collapsed="false">
      <c r="A3965" s="0" t="s">
        <v>631</v>
      </c>
      <c r="B3965" s="0" t="s">
        <v>52</v>
      </c>
      <c r="E3965" s="12" t="n">
        <f aca="false">Sens!$E$3964/Sens!$N$3964-1</f>
        <v>0.135183714417088</v>
      </c>
      <c r="F3965" s="12" t="n">
        <f aca="false">Sens!$O$3964/(Q!$F$14+Q!$G$14)-1</f>
        <v>0.127709997366804</v>
      </c>
      <c r="G3965" s="12" t="n">
        <f aca="false">Sens!$G$3964/Sens!$D$3964-1</f>
        <v>0.131313329416905</v>
      </c>
      <c r="H3965" s="12" t="n">
        <f aca="false">Sens!$F$3965+(g_sub-Sens!$F$3965)*1/4</f>
        <v>0.113282498025103</v>
      </c>
      <c r="I3965" s="12" t="n">
        <f aca="false">Sens!$F$3965+(g_sub-Sens!$F$3965)*2/4</f>
        <v>0.0988549986834021</v>
      </c>
      <c r="J3965" s="12" t="n">
        <f aca="false">Sens!$F$3965+(g_sub-Sens!$F$3965)*3/4</f>
        <v>0.084427499341701</v>
      </c>
      <c r="K3965" s="12" t="n">
        <f aca="false">Sens!$F$3965+(g_sub-Sens!$F$3965)*4/4</f>
        <v>0.07</v>
      </c>
      <c r="L3965" s="12" t="n">
        <f aca="false">g_sub</f>
        <v>0.07</v>
      </c>
      <c r="M3965" s="12" t="n">
        <f aca="false">g_sub</f>
        <v>0.07</v>
      </c>
      <c r="P3965" s="8" t="s">
        <v>632</v>
      </c>
    </row>
    <row r="3966" customFormat="false" ht="17.15" hidden="false" customHeight="false" outlineLevel="0" collapsed="false">
      <c r="A3966" s="0" t="s">
        <v>484</v>
      </c>
      <c r="B3966" s="0" t="s">
        <v>73</v>
      </c>
      <c r="C3966" s="38" t="n">
        <f aca="false">Q!$D$15</f>
        <v>5.425</v>
      </c>
      <c r="D3966" s="38" t="n">
        <f aca="false">Q!$E$15</f>
        <v>5.935</v>
      </c>
      <c r="E3966" s="38" t="n">
        <f aca="false">Q!$P$15</f>
        <v>3.474</v>
      </c>
      <c r="F3966" s="38" t="n">
        <f aca="false">Sens!$O$3966*(1+Sens!$F$3967)</f>
        <v>3.36182431966931</v>
      </c>
      <c r="G3966" s="38" t="n">
        <f aca="false">Sens!$E$3966+Sens!$F$3966</f>
        <v>6.83582431966931</v>
      </c>
      <c r="H3966" s="38" t="n">
        <f aca="false">Sens!$G$3966*(1+Sens!$H$3967)</f>
        <v>7.31157108370141</v>
      </c>
      <c r="I3966" s="38" t="n">
        <f aca="false">Sens!$H$3966*(1+Sens!$I$3967)</f>
        <v>7.77266852639815</v>
      </c>
      <c r="J3966" s="38" t="n">
        <f aca="false">Sens!$I$3966*(1+Sens!$J$3967)</f>
        <v>8.2120733019884</v>
      </c>
      <c r="K3966" s="38" t="n">
        <f aca="false">Sens!$J$3966*(1+Sens!$K$3967)</f>
        <v>8.62267696708783</v>
      </c>
      <c r="L3966" s="38" t="n">
        <f aca="false">Sens!$K$3966*(1+Sens!$L$3967)</f>
        <v>9.05381081544222</v>
      </c>
      <c r="M3966" s="38" t="n">
        <f aca="false">Sens!$L$3966*(1+Sens!$M$3967)</f>
        <v>9.50650135621433</v>
      </c>
      <c r="N3966" s="38" t="n">
        <f aca="false">Q!$N$15</f>
        <v>2.811</v>
      </c>
      <c r="O3966" s="38" t="n">
        <f aca="false">Q!$O$15</f>
        <v>3.124</v>
      </c>
      <c r="P3966" s="8" t="s">
        <v>622</v>
      </c>
    </row>
    <row r="3967" customFormat="false" ht="17.15" hidden="false" customHeight="false" outlineLevel="0" collapsed="false">
      <c r="A3967" s="0" t="s">
        <v>633</v>
      </c>
      <c r="B3967" s="0" t="s">
        <v>52</v>
      </c>
      <c r="E3967" s="12" t="n">
        <f aca="false">Sens!$E$3966/Sens!$N$3966-1</f>
        <v>0.235859124866596</v>
      </c>
      <c r="F3967" s="12" t="n">
        <f aca="false">Sens!$O$3966/(Q!$F$15+Q!$G$15)-1</f>
        <v>0.0761281433000345</v>
      </c>
      <c r="G3967" s="12" t="n">
        <f aca="false">Sens!$G$3966/Sens!$D$3966-1</f>
        <v>0.151781688234087</v>
      </c>
      <c r="H3967" s="12" t="n">
        <f aca="false">Sens!$F$3967+(g_ot-Sens!$F$3967)*1/4</f>
        <v>0.0695961074750259</v>
      </c>
      <c r="I3967" s="12" t="n">
        <f aca="false">Sens!$F$3967+(g_ot-Sens!$F$3967)*2/4</f>
        <v>0.0630640716500172</v>
      </c>
      <c r="J3967" s="12" t="n">
        <f aca="false">Sens!$F$3967+(g_ot-Sens!$F$3967)*3/4</f>
        <v>0.0565320358250086</v>
      </c>
      <c r="K3967" s="12" t="n">
        <f aca="false">Sens!$F$3967+(g_ot-Sens!$F$3967)*4/4</f>
        <v>0.05</v>
      </c>
      <c r="L3967" s="12" t="n">
        <f aca="false">g_ot</f>
        <v>0.05</v>
      </c>
      <c r="M3967" s="12" t="n">
        <f aca="false">g_ot</f>
        <v>0.05</v>
      </c>
      <c r="P3967" s="8" t="s">
        <v>634</v>
      </c>
    </row>
    <row r="3968" customFormat="false" ht="17.15" hidden="false" customHeight="false" outlineLevel="0" collapsed="false">
      <c r="A3968" s="3" t="s">
        <v>635</v>
      </c>
      <c r="B3968" s="8" t="s">
        <v>73</v>
      </c>
      <c r="C3968" s="38" t="n">
        <f aca="false">Sens!$C$3956+Sens!$C$3958+Sens!$C$3960+Sens!$C$3962+Sens!$C$3964+Sens!$C$3966</f>
        <v>530.403</v>
      </c>
      <c r="D3968" s="38" t="n">
        <f aca="false">Sens!$D$3956+Sens!$D$3958+Sens!$D$3960+Sens!$D$3962+Sens!$D$3964+Sens!$D$3966</f>
        <v>588.199</v>
      </c>
      <c r="E3968" s="38" t="n">
        <f aca="false">Sens!$E$3956+Sens!$E$3958+Sens!$E$3960+Sens!$E$3962+Sens!$E$3964+Sens!$E$3966</f>
        <v>302.306</v>
      </c>
      <c r="F3968" s="38" t="n">
        <f aca="false">Sens!$F$3956+Sens!$F$3958+Sens!$F$3960+Sens!$F$3962+Sens!$F$3964+Sens!$F$3966</f>
        <v>356.93642920843</v>
      </c>
      <c r="G3968" s="38" t="n">
        <f aca="false">Sens!$G$3956+Sens!$G$3958+Sens!$G$3960+Sens!$G$3962+Sens!$G$3964+Sens!$G$3966</f>
        <v>659.24242920843</v>
      </c>
      <c r="H3968" s="38" t="n">
        <f aca="false">Sens!$H$3956+Sens!$H$3958+Sens!$H$3960+Sens!$H$3962+Sens!$H$3964+Sens!$H$3966</f>
        <v>729.935737621701</v>
      </c>
      <c r="I3968" s="38" t="n">
        <f aca="false">Sens!$I$3956+Sens!$I$3958+Sens!$I$3960+Sens!$I$3962+Sens!$I$3964+Sens!$I$3966</f>
        <v>798.295569697873</v>
      </c>
      <c r="J3968" s="38" t="n">
        <f aca="false">Sens!$J$3956+Sens!$J$3958+Sens!$J$3960+Sens!$J$3962+Sens!$J$3964+Sens!$J$3966</f>
        <v>861.736822325785</v>
      </c>
      <c r="K3968" s="38" t="n">
        <f aca="false">Sens!$K$3956+Sens!$K$3958+Sens!$K$3960+Sens!$K$3962+Sens!$K$3964+Sens!$K$3966</f>
        <v>917.557492101925</v>
      </c>
      <c r="L3968" s="38" t="n">
        <f aca="false">Sens!$L$3956+Sens!$L$3958+Sens!$L$3960+Sens!$L$3962+Sens!$L$3964+Sens!$L$3966</f>
        <v>977.285089743165</v>
      </c>
      <c r="M3968" s="38" t="n">
        <f aca="false">Sens!$M$3956+Sens!$M$3958+Sens!$M$3960+Sens!$M$3962+Sens!$M$3964+Sens!$M$3966</f>
        <v>1041.2140185435</v>
      </c>
      <c r="N3968" s="38" t="n">
        <f aca="false">Sens!$N$3956+Sens!$N$3958+Sens!$N$3960+Sens!$N$3962+Sens!$N$3964+Sens!$N$3966</f>
        <v>263.229</v>
      </c>
      <c r="O3968" s="38" t="n">
        <f aca="false">Sens!$O$3956+Sens!$O$3958+Sens!$O$3960+Sens!$O$3962+Sens!$O$3964+Sens!$O$3966</f>
        <v>324.97</v>
      </c>
    </row>
    <row r="3969" customFormat="false" ht="17.15" hidden="false" customHeight="false" outlineLevel="0" collapsed="false">
      <c r="A3969" s="5" t="s">
        <v>636</v>
      </c>
      <c r="B3969" s="0" t="s">
        <v>52</v>
      </c>
      <c r="C3969" s="12" t="n">
        <f aca="false">Q!$D$5/(Q!$D$5+Q!$D$6)</f>
        <v>0.730570905519011</v>
      </c>
      <c r="D3969" s="12" t="n">
        <f aca="false">Q!$E$5/(Q!$E$5+Q!$E$6)</f>
        <v>0.724763217890544</v>
      </c>
      <c r="E3969" s="12" t="n">
        <f aca="false">Q!$P$5/(Q!$P$5+Q!$P$6)</f>
        <v>0.728797972914861</v>
      </c>
      <c r="F3969" s="12" t="n">
        <f aca="false">Sens!$O$3969</f>
        <v>0.718066283041511</v>
      </c>
      <c r="G3969" s="12" t="n">
        <f aca="false">Sens!$G$3970/Sens!$G$3968</f>
        <v>0.722987468473627</v>
      </c>
      <c r="H3969" s="12" t="n">
        <f aca="false">Sens!$G$3969</f>
        <v>0.722987468473627</v>
      </c>
      <c r="I3969" s="12" t="n">
        <f aca="false">Sens!$G$3969</f>
        <v>0.722987468473627</v>
      </c>
      <c r="J3969" s="12" t="n">
        <f aca="false">Sens!$G$3969</f>
        <v>0.722987468473627</v>
      </c>
      <c r="K3969" s="12" t="n">
        <f aca="false">Sens!$G$3969</f>
        <v>0.722987468473627</v>
      </c>
      <c r="L3969" s="12" t="n">
        <f aca="false">Sens!$G$3969</f>
        <v>0.722987468473627</v>
      </c>
      <c r="M3969" s="12" t="n">
        <f aca="false">Sens!$G$3969</f>
        <v>0.722987468473627</v>
      </c>
      <c r="N3969" s="12" t="n">
        <f aca="false">Q!$N$5/(Q!$N$5+Q!$N$6)</f>
        <v>0.733030935041352</v>
      </c>
      <c r="O3969" s="12" t="n">
        <f aca="false">Q!$O$5/(Q!$O$5+Q!$O$6)</f>
        <v>0.718066283041511</v>
      </c>
      <c r="P3969" s="8" t="s">
        <v>637</v>
      </c>
    </row>
    <row r="3970" customFormat="false" ht="17.15" hidden="false" customHeight="false" outlineLevel="0" collapsed="false">
      <c r="A3970" s="1" t="s">
        <v>472</v>
      </c>
      <c r="B3970" s="8" t="s">
        <v>73</v>
      </c>
      <c r="C3970" s="38" t="n">
        <f aca="false">Q!$D$5</f>
        <v>387.497</v>
      </c>
      <c r="D3970" s="38" t="n">
        <f aca="false">Q!$E$5</f>
        <v>426.305</v>
      </c>
      <c r="E3970" s="38" t="n">
        <f aca="false">Q!$P$5</f>
        <v>220.32</v>
      </c>
      <c r="F3970" s="38" t="n">
        <f aca="false">Sens!$F$3968*Sens!$F$3969</f>
        <v>256.304015003807</v>
      </c>
      <c r="G3970" s="38" t="n">
        <f aca="false">Sens!$E$3970+Sens!$F$3970</f>
        <v>476.624015003807</v>
      </c>
      <c r="H3970" s="38" t="n">
        <f aca="false">Sens!$H$3968*Sens!$H$3969</f>
        <v>527.734391091543</v>
      </c>
      <c r="I3970" s="38" t="n">
        <f aca="false">Sens!$I$3968*Sens!$I$3969</f>
        <v>577.157693029577</v>
      </c>
      <c r="J3970" s="38" t="n">
        <f aca="false">Sens!$J$3968*Sens!$J$3969</f>
        <v>623.024923663827</v>
      </c>
      <c r="K3970" s="38" t="n">
        <f aca="false">Sens!$K$3968*Sens!$K$3969</f>
        <v>663.382568393781</v>
      </c>
      <c r="L3970" s="38" t="n">
        <f aca="false">Sens!$L$3968*Sens!$L$3969</f>
        <v>706.564873010432</v>
      </c>
      <c r="M3970" s="38" t="n">
        <f aca="false">Sens!$M$3968*Sens!$M$3969</f>
        <v>752.784687406019</v>
      </c>
      <c r="N3970" s="38" t="n">
        <f aca="false">Q!$N$5</f>
        <v>192.955</v>
      </c>
      <c r="O3970" s="38" t="n">
        <f aca="false">Q!$O$5</f>
        <v>233.35</v>
      </c>
      <c r="P3970" s="5" t="s">
        <v>638</v>
      </c>
    </row>
    <row r="3971" customFormat="false" ht="17.15" hidden="false" customHeight="false" outlineLevel="0" collapsed="false">
      <c r="A3971" s="1" t="s">
        <v>475</v>
      </c>
      <c r="B3971" s="8" t="s">
        <v>73</v>
      </c>
      <c r="C3971" s="38" t="n">
        <f aca="false">Q!$D$6</f>
        <v>142.906</v>
      </c>
      <c r="D3971" s="38" t="n">
        <f aca="false">Q!$E$6</f>
        <v>161.894</v>
      </c>
      <c r="E3971" s="38" t="n">
        <f aca="false">Q!$P$6</f>
        <v>81.986</v>
      </c>
      <c r="F3971" s="38" t="n">
        <f aca="false">Sens!$F$3968*(1-Sens!$F$3969)</f>
        <v>100.632414204623</v>
      </c>
      <c r="G3971" s="38" t="n">
        <f aca="false">Sens!$E$3971+Sens!$F$3971</f>
        <v>182.618414204623</v>
      </c>
      <c r="H3971" s="38" t="n">
        <f aca="false">Sens!$H$3968*(1-Sens!$H$3969)</f>
        <v>202.201346530158</v>
      </c>
      <c r="I3971" s="38" t="n">
        <f aca="false">Sens!$I$3968*(1-Sens!$I$3969)</f>
        <v>221.137876668296</v>
      </c>
      <c r="J3971" s="38" t="n">
        <f aca="false">Sens!$J$3968*(1-Sens!$J$3969)</f>
        <v>238.711898661958</v>
      </c>
      <c r="K3971" s="38" t="n">
        <f aca="false">Sens!$K$3968*(1-Sens!$K$3969)</f>
        <v>254.174923708144</v>
      </c>
      <c r="L3971" s="38" t="n">
        <f aca="false">Sens!$L$3968*(1-Sens!$L$3969)</f>
        <v>270.720216732733</v>
      </c>
      <c r="M3971" s="38" t="n">
        <f aca="false">Sens!$M$3968*(1-Sens!$M$3969)</f>
        <v>288.429331137484</v>
      </c>
      <c r="N3971" s="38" t="n">
        <f aca="false">Q!$N$6</f>
        <v>70.274</v>
      </c>
      <c r="O3971" s="38" t="n">
        <f aca="false">Q!$O$6</f>
        <v>91.62</v>
      </c>
      <c r="P3971" s="5" t="s">
        <v>639</v>
      </c>
    </row>
    <row r="3972" customFormat="false" ht="17.15" hidden="false" customHeight="false" outlineLevel="0" collapsed="false">
      <c r="A3972" s="5" t="s">
        <v>640</v>
      </c>
      <c r="B3972" s="0" t="s">
        <v>73</v>
      </c>
      <c r="C3972" s="38" t="n">
        <f aca="false">Sens!$C$3962*Sens!$C$3969</f>
        <v>41.0683128828457</v>
      </c>
      <c r="D3972" s="38" t="n">
        <f aca="false">Sens!$D$3962*Sens!$D$3969</f>
        <v>49.7441234599175</v>
      </c>
      <c r="E3972" s="38" t="n">
        <f aca="false">Sens!$E$3962*Sens!$E$3969</f>
        <v>27.0034224924414</v>
      </c>
      <c r="F3972" s="38" t="n">
        <f aca="false">Sens!$F$3962*Sens!$F$3969</f>
        <v>34.5772885649197</v>
      </c>
      <c r="G3972" s="38" t="n">
        <f aca="false">Sens!$G$3962*Sens!$G$3969</f>
        <v>61.6023917531772</v>
      </c>
      <c r="H3972" s="38" t="n">
        <f aca="false">Sens!$H$3962*Sens!$H$3969</f>
        <v>73.9568187320519</v>
      </c>
      <c r="I3972" s="38" t="n">
        <f aca="false">Sens!$I$3962*Sens!$I$3969</f>
        <v>86.3101265625461</v>
      </c>
      <c r="J3972" s="38" t="n">
        <f aca="false">Sens!$J$3962*Sens!$J$3969</f>
        <v>97.8339983977065</v>
      </c>
      <c r="K3972" s="38" t="n">
        <f aca="false">Sens!$K$3962*Sens!$K$3969</f>
        <v>107.617398237477</v>
      </c>
      <c r="L3972" s="38" t="n">
        <f aca="false">Sens!$L$3962*Sens!$L$3969</f>
        <v>118.379138061225</v>
      </c>
      <c r="M3972" s="38" t="n">
        <f aca="false">Sens!$M$3962*Sens!$M$3969</f>
        <v>130.217051867347</v>
      </c>
      <c r="N3972" s="38" t="n">
        <f aca="false">Sens!$N$3962*Sens!$N$3969</f>
        <v>21.7087111412496</v>
      </c>
      <c r="O3972" s="38" t="n">
        <f aca="false">Sens!$O$3962*Sens!$O$3969</f>
        <v>28.0189463642798</v>
      </c>
      <c r="P3972" s="5" t="s">
        <v>641</v>
      </c>
    </row>
    <row r="3973" customFormat="false" ht="15" hidden="false" customHeight="false" outlineLevel="0" collapsed="false">
      <c r="A3973" s="5" t="s">
        <v>642</v>
      </c>
      <c r="B3973" s="0" t="s">
        <v>73</v>
      </c>
      <c r="C3973" s="38" t="n">
        <f aca="false">Sens!$C$3962-Sens!$C$3972</f>
        <v>15.1456871171543</v>
      </c>
      <c r="D3973" s="38" t="n">
        <f aca="false">Sens!$D$3962-Sens!$D$3972</f>
        <v>18.8908765400825</v>
      </c>
      <c r="E3973" s="38" t="n">
        <f aca="false">Sens!$E$3962-Sens!$E$3972</f>
        <v>10.0485775075586</v>
      </c>
      <c r="F3973" s="38" t="n">
        <f aca="false">Sens!$F$3962-Sens!$F$3972</f>
        <v>13.5760496178185</v>
      </c>
      <c r="G3973" s="38" t="n">
        <f aca="false">Sens!$G$3962-Sens!$G$3972</f>
        <v>23.6029464295611</v>
      </c>
      <c r="H3973" s="38" t="n">
        <f aca="false">Sens!$H$3962-Sens!$H$3972</f>
        <v>28.3365431268884</v>
      </c>
      <c r="I3973" s="38" t="n">
        <f aca="false">Sens!$I$3962-Sens!$I$3972</f>
        <v>33.0697110226949</v>
      </c>
      <c r="J3973" s="38" t="n">
        <f aca="false">Sens!$J$3962-Sens!$J$3972</f>
        <v>37.4850806511378</v>
      </c>
      <c r="K3973" s="38" t="n">
        <f aca="false">Sens!$K$3962-Sens!$K$3972</f>
        <v>41.2335887162515</v>
      </c>
      <c r="L3973" s="38" t="n">
        <f aca="false">Sens!$L$3962-Sens!$L$3972</f>
        <v>45.3569475878767</v>
      </c>
      <c r="M3973" s="38" t="n">
        <f aca="false">Sens!$M$3962-Sens!$M$3972</f>
        <v>49.8926423466644</v>
      </c>
      <c r="N3973" s="38" t="n">
        <f aca="false">Sens!$N$3962-Sens!$N$3972</f>
        <v>7.90628885875037</v>
      </c>
      <c r="O3973" s="38" t="n">
        <f aca="false">Sens!$O$3962-Sens!$O$3972</f>
        <v>11.0010536357202</v>
      </c>
    </row>
    <row r="3974" customFormat="false" ht="19.4" hidden="false" customHeight="false" outlineLevel="0" collapsed="false">
      <c r="A3974" s="31" t="s">
        <v>1131</v>
      </c>
    </row>
    <row r="3975" customFormat="false" ht="17.15" hidden="false" customHeight="false" outlineLevel="0" collapsed="false">
      <c r="A3975" s="6" t="s">
        <v>16</v>
      </c>
      <c r="B3975" s="6" t="s">
        <v>17</v>
      </c>
      <c r="C3975" s="20" t="s">
        <v>457</v>
      </c>
      <c r="D3975" s="20" t="s">
        <v>458</v>
      </c>
      <c r="E3975" s="20" t="s">
        <v>540</v>
      </c>
      <c r="F3975" s="20" t="s">
        <v>541</v>
      </c>
      <c r="G3975" s="20" t="s">
        <v>542</v>
      </c>
      <c r="H3975" s="20" t="s">
        <v>543</v>
      </c>
      <c r="I3975" s="20" t="s">
        <v>544</v>
      </c>
      <c r="J3975" s="20" t="s">
        <v>545</v>
      </c>
      <c r="K3975" s="20" t="s">
        <v>546</v>
      </c>
      <c r="L3975" s="20" t="s">
        <v>547</v>
      </c>
      <c r="M3975" s="20" t="s">
        <v>548</v>
      </c>
      <c r="N3975" s="20" t="s">
        <v>549</v>
      </c>
      <c r="O3975" s="20" t="s">
        <v>550</v>
      </c>
      <c r="P3975" s="6" t="s">
        <v>23</v>
      </c>
      <c r="R3975" s="20" t="n">
        <v>2023</v>
      </c>
      <c r="S3975" s="20" t="n">
        <v>2024</v>
      </c>
      <c r="T3975" s="20" t="n">
        <v>2025</v>
      </c>
      <c r="U3975" s="20" t="n">
        <v>2026</v>
      </c>
      <c r="V3975" s="20" t="n">
        <v>2027</v>
      </c>
      <c r="W3975" s="20" t="n">
        <v>2028</v>
      </c>
      <c r="X3975" s="20" t="n">
        <v>2029</v>
      </c>
      <c r="Y3975" s="20" t="n">
        <v>2030</v>
      </c>
      <c r="Z3975" s="20" t="n">
        <v>2031</v>
      </c>
      <c r="AA3975" s="20" t="n">
        <v>2032</v>
      </c>
    </row>
    <row r="3976" customFormat="false" ht="17.15" hidden="false" customHeight="false" outlineLevel="0" collapsed="false">
      <c r="A3976" s="1" t="s">
        <v>551</v>
      </c>
    </row>
    <row r="3977" customFormat="false" ht="17.15" hidden="false" customHeight="false" outlineLevel="0" collapsed="false">
      <c r="A3977" s="14" t="s">
        <v>552</v>
      </c>
      <c r="B3977" s="13" t="s">
        <v>108</v>
      </c>
      <c r="C3977" s="32" t="n">
        <f aca="false">mw_ye24</f>
        <v>360</v>
      </c>
      <c r="D3977" s="32" t="n">
        <f aca="false">mw_ye25</f>
        <v>1440</v>
      </c>
      <c r="E3977" s="32" t="n">
        <f aca="false">mw_open</f>
        <v>2080</v>
      </c>
      <c r="F3977" s="32" t="n">
        <f aca="false">Sens!$E$3977+pace_B*0.5</f>
        <v>3897.15</v>
      </c>
      <c r="G3977" s="32" t="n">
        <f aca="false">Sens!$F$3977</f>
        <v>3897.15</v>
      </c>
      <c r="H3977" s="32" t="n">
        <f aca="false">Sens!$G$3977+pace_B</f>
        <v>7531.45</v>
      </c>
      <c r="I3977" s="32" t="n">
        <f aca="false">Sens!$H$3977+pace_B</f>
        <v>11165.75</v>
      </c>
      <c r="J3977" s="32" t="n">
        <f aca="false">Sens!$I$3977+pace_B</f>
        <v>14800.05</v>
      </c>
      <c r="K3977" s="32" t="n">
        <f aca="false">Sens!$J$3977+pace_B</f>
        <v>18434.35</v>
      </c>
      <c r="L3977" s="32" t="n">
        <f aca="false">Sens!$K$3977+pace_B</f>
        <v>22068.65</v>
      </c>
      <c r="M3977" s="32" t="n">
        <f aca="false">Sens!$L$3977+pace_B</f>
        <v>25702.95</v>
      </c>
      <c r="N3977" s="32" t="n">
        <f aca="false">(mw_ye24+mw_ye25)/2</f>
        <v>900</v>
      </c>
      <c r="O3977" s="32" t="n">
        <f aca="false">mw_ye25</f>
        <v>1440</v>
      </c>
      <c r="P3977" s="5" t="s">
        <v>553</v>
      </c>
    </row>
    <row r="3978" customFormat="false" ht="17.15" hidden="false" customHeight="false" outlineLevel="0" collapsed="false">
      <c r="A3978" s="5" t="s">
        <v>554</v>
      </c>
      <c r="B3978" s="0" t="s">
        <v>108</v>
      </c>
      <c r="C3978" s="33" t="n">
        <f aca="false">(mw_ye23+mw_ye24)/2</f>
        <v>240</v>
      </c>
      <c r="D3978" s="33" t="n">
        <f aca="false">(Sens!$C$3977+Sens!$D$3977)/2</f>
        <v>900</v>
      </c>
      <c r="E3978" s="33" t="n">
        <f aca="false">(Sens!$D$3977+Sens!$E$3977)/2</f>
        <v>1760</v>
      </c>
      <c r="F3978" s="33" t="n">
        <f aca="false">(Sens!$E$3977+Sens!$F$3977)/2</f>
        <v>2988.575</v>
      </c>
      <c r="G3978" s="33" t="n">
        <f aca="false">(Sens!$E$3978+Sens!$F$3978)/2</f>
        <v>2374.2875</v>
      </c>
      <c r="H3978" s="33" t="n">
        <f aca="false">(Sens!$G$3977+Sens!$H$3977)/2</f>
        <v>5714.3</v>
      </c>
      <c r="I3978" s="33" t="n">
        <f aca="false">(Sens!$H$3977+Sens!$I$3977)/2</f>
        <v>9348.6</v>
      </c>
      <c r="J3978" s="33" t="n">
        <f aca="false">(Sens!$I$3977+Sens!$J$3977)/2</f>
        <v>12982.9</v>
      </c>
      <c r="K3978" s="33" t="n">
        <f aca="false">(Sens!$J$3977+Sens!$K$3977)/2</f>
        <v>16617.2</v>
      </c>
      <c r="L3978" s="33" t="n">
        <f aca="false">(Sens!$K$3977+Sens!$L$3977)/2</f>
        <v>20251.5</v>
      </c>
      <c r="M3978" s="33" t="n">
        <f aca="false">(Sens!$L$3977+Sens!$M$3977)/2</f>
        <v>23885.8</v>
      </c>
      <c r="N3978" s="33" t="n">
        <f aca="false">(Sens!$C$3977+Sens!$N$3977)/2</f>
        <v>630</v>
      </c>
      <c r="O3978" s="33" t="n">
        <f aca="false">(Sens!$N$3977+Sens!$O$3977)/2</f>
        <v>1170</v>
      </c>
    </row>
    <row r="3979" customFormat="false" ht="15" hidden="false" customHeight="false" outlineLevel="0" collapsed="false">
      <c r="A3979" s="5" t="s">
        <v>555</v>
      </c>
      <c r="B3979" s="5" t="s">
        <v>102</v>
      </c>
      <c r="C3979" s="34" t="n">
        <v>1</v>
      </c>
      <c r="D3979" s="34" t="n">
        <v>1</v>
      </c>
      <c r="E3979" s="34" t="n">
        <v>0.5</v>
      </c>
      <c r="F3979" s="34" t="n">
        <v>0.5</v>
      </c>
      <c r="G3979" s="34" t="n">
        <v>1</v>
      </c>
      <c r="H3979" s="34" t="n">
        <v>1</v>
      </c>
      <c r="I3979" s="34" t="n">
        <v>1</v>
      </c>
      <c r="J3979" s="34" t="n">
        <v>1</v>
      </c>
      <c r="K3979" s="34" t="n">
        <v>1</v>
      </c>
      <c r="L3979" s="34" t="n">
        <v>1</v>
      </c>
      <c r="M3979" s="34" t="n">
        <v>1</v>
      </c>
      <c r="N3979" s="34" t="n">
        <v>0.5</v>
      </c>
      <c r="O3979" s="34" t="n">
        <v>0.5</v>
      </c>
    </row>
    <row r="3980" customFormat="false" ht="17.15" hidden="false" customHeight="false" outlineLevel="0" collapsed="false">
      <c r="A3980" s="5" t="s">
        <v>556</v>
      </c>
      <c r="B3980" s="0" t="s">
        <v>108</v>
      </c>
      <c r="C3980" s="33" t="n">
        <f aca="false">Sens!$C$3977-mw_ye23</f>
        <v>240</v>
      </c>
      <c r="D3980" s="33" t="n">
        <f aca="false">Sens!$D$3977-Sens!$C$3977</f>
        <v>1080</v>
      </c>
      <c r="E3980" s="33" t="n">
        <f aca="false">Sens!$E$3977-Sens!$D$3977</f>
        <v>640</v>
      </c>
      <c r="F3980" s="33" t="n">
        <f aca="false">Sens!$F$3977-Sens!$E$3977</f>
        <v>1817.15</v>
      </c>
      <c r="G3980" s="33" t="n">
        <f aca="false">Sens!$E$3980+Sens!$F$3980</f>
        <v>2457.15</v>
      </c>
      <c r="H3980" s="33" t="n">
        <f aca="false">Sens!$H$3977-Sens!$G$3977</f>
        <v>3634.3</v>
      </c>
      <c r="I3980" s="33" t="n">
        <f aca="false">Sens!$I$3977-Sens!$H$3977</f>
        <v>3634.3</v>
      </c>
      <c r="J3980" s="33" t="n">
        <f aca="false">Sens!$J$3977-Sens!$I$3977</f>
        <v>3634.3</v>
      </c>
      <c r="K3980" s="33" t="n">
        <f aca="false">Sens!$K$3977-Sens!$J$3977</f>
        <v>3634.3</v>
      </c>
      <c r="L3980" s="33" t="n">
        <f aca="false">Sens!$L$3977-Sens!$K$3977</f>
        <v>3634.3</v>
      </c>
      <c r="M3980" s="33" t="n">
        <f aca="false">Sens!$M$3977-Sens!$L$3977</f>
        <v>3634.3</v>
      </c>
      <c r="N3980" s="33" t="n">
        <f aca="false">Sens!$N$3977-Sens!$C$3977</f>
        <v>540</v>
      </c>
      <c r="O3980" s="33" t="n">
        <f aca="false">Sens!$O$3977-Sens!$N$3977</f>
        <v>540</v>
      </c>
    </row>
    <row r="3981" customFormat="false" ht="17.15" hidden="false" customHeight="false" outlineLevel="0" collapsed="false">
      <c r="A3981" s="5" t="s">
        <v>557</v>
      </c>
      <c r="B3981" s="0" t="s">
        <v>108</v>
      </c>
      <c r="C3981" s="33" t="n">
        <f aca="false">Sens!$C$3980/ext_sh</f>
        <v>300</v>
      </c>
      <c r="D3981" s="33" t="n">
        <f aca="false">Sens!$D$3980/ext_sh</f>
        <v>1350</v>
      </c>
      <c r="E3981" s="33" t="n">
        <f aca="false">Sens!$E$3980/ext_sh</f>
        <v>800</v>
      </c>
      <c r="F3981" s="33" t="n">
        <f aca="false">Sens!$F$3980/ext_sh</f>
        <v>2271.4375</v>
      </c>
      <c r="G3981" s="33" t="n">
        <f aca="false">Sens!$G$3980/ext_sh</f>
        <v>3071.4375</v>
      </c>
      <c r="H3981" s="33" t="n">
        <f aca="false">Sens!$H$3980/ext_sh</f>
        <v>4542.875</v>
      </c>
      <c r="I3981" s="33" t="n">
        <f aca="false">Sens!$I$3980/ext_sh</f>
        <v>4542.875</v>
      </c>
      <c r="J3981" s="33" t="n">
        <f aca="false">Sens!$J$3980/ext_sh</f>
        <v>4542.875</v>
      </c>
      <c r="K3981" s="33" t="n">
        <f aca="false">Sens!$K$3980/ext_sh</f>
        <v>4542.875</v>
      </c>
      <c r="L3981" s="33" t="n">
        <f aca="false">Sens!$L$3980/ext_sh</f>
        <v>4542.875</v>
      </c>
      <c r="M3981" s="33" t="n">
        <f aca="false">Sens!$M$3980/ext_sh</f>
        <v>4542.875</v>
      </c>
      <c r="N3981" s="33" t="n">
        <f aca="false">Sens!$N$3980/ext_sh</f>
        <v>675</v>
      </c>
      <c r="O3981" s="33" t="n">
        <f aca="false">Sens!$O$3980/ext_sh</f>
        <v>675</v>
      </c>
      <c r="P3981" s="8" t="s">
        <v>558</v>
      </c>
      <c r="R3981" s="33" t="n">
        <f aca="false">mw_ye23/ext_sh</f>
        <v>150</v>
      </c>
      <c r="S3981" s="33" t="n">
        <f aca="false">Sens!$C$3981</f>
        <v>300</v>
      </c>
      <c r="T3981" s="33" t="n">
        <f aca="false">Sens!$D$3981</f>
        <v>1350</v>
      </c>
      <c r="U3981" s="33" t="n">
        <f aca="false">Sens!$G$3981</f>
        <v>3071.4375</v>
      </c>
      <c r="V3981" s="33" t="n">
        <f aca="false">Sens!$H$3981</f>
        <v>4542.875</v>
      </c>
      <c r="W3981" s="33" t="n">
        <f aca="false">Sens!$I$3981</f>
        <v>4542.875</v>
      </c>
      <c r="X3981" s="33" t="n">
        <f aca="false">Sens!$J$3981</f>
        <v>4542.875</v>
      </c>
      <c r="Y3981" s="33" t="n">
        <f aca="false">Sens!$K$3981</f>
        <v>4542.875</v>
      </c>
      <c r="Z3981" s="33" t="n">
        <f aca="false">Sens!$L$3981</f>
        <v>4542.875</v>
      </c>
      <c r="AA3981" s="33" t="n">
        <f aca="false">Sens!$M$3981</f>
        <v>4542.875</v>
      </c>
    </row>
    <row r="3982" customFormat="false" ht="17.15" hidden="false" customHeight="false" outlineLevel="0" collapsed="false">
      <c r="A3982" s="1" t="s">
        <v>559</v>
      </c>
    </row>
    <row r="3983" customFormat="false" ht="17.15" hidden="false" customHeight="false" outlineLevel="0" collapsed="false">
      <c r="A3983" s="0" t="s">
        <v>560</v>
      </c>
      <c r="B3983" s="0" t="s">
        <v>52</v>
      </c>
      <c r="F3983" s="35" t="n">
        <f aca="false">na_vr26</f>
        <v>0</v>
      </c>
      <c r="G3983" s="35" t="n">
        <f aca="false">na_vr26</f>
        <v>0</v>
      </c>
      <c r="H3983" s="35" t="n">
        <f aca="false">na_vr27</f>
        <v>0.5</v>
      </c>
      <c r="I3983" s="35" t="n">
        <f aca="false">na_vr28</f>
        <v>1</v>
      </c>
      <c r="J3983" s="35" t="n">
        <f aca="false">na_vr28</f>
        <v>1</v>
      </c>
      <c r="K3983" s="35" t="n">
        <f aca="false">na_vr28</f>
        <v>1</v>
      </c>
      <c r="L3983" s="35" t="n">
        <f aca="false">na_vr28</f>
        <v>1</v>
      </c>
      <c r="M3983" s="35" t="n">
        <f aca="false">na_vr28</f>
        <v>1</v>
      </c>
    </row>
    <row r="3984" customFormat="false" ht="17.15" hidden="false" customHeight="false" outlineLevel="0" collapsed="false">
      <c r="A3984" s="5" t="s">
        <v>561</v>
      </c>
      <c r="B3984" s="0" t="s">
        <v>151</v>
      </c>
      <c r="F3984" s="36" t="n">
        <f aca="false">cust_sh*tk_he_gb300*cf_chip+(1-cust_sh)*((1-Sens!$F$3983)*tk_he_gb300+Sens!$F$3983*tk_he_vr200)</f>
        <v>10.8864110021101</v>
      </c>
      <c r="G3984" s="36" t="n">
        <f aca="false">cust_sh*tk_he_gb300*cf_chip+(1-cust_sh)*((1-Sens!$G$3983)*tk_he_gb300+Sens!$G$3983*tk_he_vr200)</f>
        <v>10.8864110021101</v>
      </c>
      <c r="H3984" s="36" t="n">
        <f aca="false">cust_sh*tk_he_gb300*cf_chip+(1-cust_sh)*((1-Sens!$H$3983)*tk_he_gb300+Sens!$H$3983*tk_he_vr200)</f>
        <v>11.2211760027286</v>
      </c>
      <c r="I3984" s="36" t="n">
        <f aca="false">cust_sh*tk_he_gb300*cf_chip+(1-cust_sh)*((1-Sens!$I$3983)*tk_he_gb300+Sens!$I$3983*tk_he_vr200)</f>
        <v>11.5559410033471</v>
      </c>
      <c r="J3984" s="36" t="n">
        <f aca="false">cust_sh*tk_he_gb300*cf_chip+(1-cust_sh)*((1-Sens!$J$3983)*tk_he_gb300+Sens!$J$3983*tk_he_vr200)</f>
        <v>11.5559410033471</v>
      </c>
      <c r="K3984" s="36" t="n">
        <f aca="false">cust_sh*tk_he_gb300*cf_chip+(1-cust_sh)*((1-Sens!$K$3983)*tk_he_gb300+Sens!$K$3983*tk_he_vr200)</f>
        <v>11.5559410033471</v>
      </c>
      <c r="L3984" s="36" t="n">
        <f aca="false">cust_sh*tk_he_gb300*cf_chip+(1-cust_sh)*((1-Sens!$L$3983)*tk_he_gb300+Sens!$L$3983*tk_he_vr200)</f>
        <v>11.5559410033471</v>
      </c>
      <c r="M3984" s="36" t="n">
        <f aca="false">cust_sh*tk_he_gb300*cf_chip+(1-cust_sh)*((1-Sens!$M$3983)*tk_he_gb300+Sens!$M$3983*tk_he_vr200)</f>
        <v>11.5559410033471</v>
      </c>
    </row>
    <row r="3985" customFormat="false" ht="17.15" hidden="false" customHeight="false" outlineLevel="0" collapsed="false">
      <c r="A3985" s="5" t="s">
        <v>562</v>
      </c>
      <c r="B3985" s="0" t="s">
        <v>151</v>
      </c>
      <c r="F3985" s="36" t="n">
        <f aca="false">cust_sh*tk_ox_gb300+(1-cust_sh)*((1-Sens!$F$3983)*tk_ox_gb300+Sens!$F$3983*tk_ox_vr200)</f>
        <v>1.98263481314457</v>
      </c>
      <c r="G3985" s="36" t="n">
        <f aca="false">cust_sh*tk_ox_gb300+(1-cust_sh)*((1-Sens!$G$3983)*tk_ox_gb300+Sens!$G$3983*tk_ox_vr200)</f>
        <v>1.98263481314457</v>
      </c>
      <c r="H3985" s="36" t="n">
        <f aca="false">cust_sh*tk_ox_gb300+(1-cust_sh)*((1-Sens!$H$3983)*tk_ox_gb300+Sens!$H$3983*tk_ox_vr200)</f>
        <v>2.01034999693694</v>
      </c>
      <c r="I3985" s="36" t="n">
        <f aca="false">cust_sh*tk_ox_gb300+(1-cust_sh)*((1-Sens!$I$3983)*tk_ox_gb300+Sens!$I$3983*tk_ox_vr200)</f>
        <v>2.0380651807293</v>
      </c>
      <c r="J3985" s="36" t="n">
        <f aca="false">cust_sh*tk_ox_gb300+(1-cust_sh)*((1-Sens!$J$3983)*tk_ox_gb300+Sens!$J$3983*tk_ox_vr200)</f>
        <v>2.0380651807293</v>
      </c>
      <c r="K3985" s="36" t="n">
        <f aca="false">cust_sh*tk_ox_gb300+(1-cust_sh)*((1-Sens!$K$3983)*tk_ox_gb300+Sens!$K$3983*tk_ox_vr200)</f>
        <v>2.0380651807293</v>
      </c>
      <c r="L3985" s="36" t="n">
        <f aca="false">cust_sh*tk_ox_gb300+(1-cust_sh)*((1-Sens!$L$3983)*tk_ox_gb300+Sens!$L$3983*tk_ox_vr200)</f>
        <v>2.0380651807293</v>
      </c>
      <c r="M3985" s="36" t="n">
        <f aca="false">cust_sh*tk_ox_gb300+(1-cust_sh)*((1-Sens!$M$3983)*tk_ox_gb300+Sens!$M$3983*tk_ox_vr200)</f>
        <v>2.0380651807293</v>
      </c>
    </row>
    <row r="3986" customFormat="false" ht="17.15" hidden="false" customHeight="false" outlineLevel="0" collapsed="false">
      <c r="A3986" s="5" t="s">
        <v>563</v>
      </c>
      <c r="B3986" s="0" t="s">
        <v>170</v>
      </c>
      <c r="F3986" s="36" t="n">
        <f aca="false">cust_sh*tk_cx_gb300*cf_cx+(1-cust_sh)*((1-Sens!$F$3983)*tk_cx_gb300+Sens!$F$3983*tk_cx_vr200)</f>
        <v>32.237224</v>
      </c>
      <c r="G3986" s="36" t="n">
        <f aca="false">cust_sh*tk_cx_gb300*cf_cx+(1-cust_sh)*((1-Sens!$G$3983)*tk_cx_gb300+Sens!$G$3983*tk_cx_vr200)</f>
        <v>32.237224</v>
      </c>
      <c r="H3986" s="36" t="n">
        <f aca="false">cust_sh*tk_cx_gb300*cf_cx+(1-cust_sh)*((1-Sens!$H$3983)*tk_cx_gb300+Sens!$H$3983*tk_cx_vr200)</f>
        <v>33.574506</v>
      </c>
      <c r="I3986" s="36" t="n">
        <f aca="false">cust_sh*tk_cx_gb300*cf_cx+(1-cust_sh)*((1-Sens!$I$3983)*tk_cx_gb300+Sens!$I$3983*tk_cx_vr200)</f>
        <v>34.911788</v>
      </c>
      <c r="J3986" s="36" t="n">
        <f aca="false">cust_sh*tk_cx_gb300*cf_cx+(1-cust_sh)*((1-Sens!$J$3983)*tk_cx_gb300+Sens!$J$3983*tk_cx_vr200)</f>
        <v>34.911788</v>
      </c>
      <c r="K3986" s="36" t="n">
        <f aca="false">cust_sh*tk_cx_gb300*cf_cx+(1-cust_sh)*((1-Sens!$K$3983)*tk_cx_gb300+Sens!$K$3983*tk_cx_vr200)</f>
        <v>34.911788</v>
      </c>
      <c r="L3986" s="36" t="n">
        <f aca="false">cust_sh*tk_cx_gb300*cf_cx+(1-cust_sh)*((1-Sens!$L$3983)*tk_cx_gb300+Sens!$L$3983*tk_cx_vr200)</f>
        <v>34.911788</v>
      </c>
      <c r="M3986" s="36" t="n">
        <f aca="false">cust_sh*tk_cx_gb300*cf_cx+(1-cust_sh)*((1-Sens!$M$3983)*tk_cx_gb300+Sens!$M$3983*tk_cx_vr200)</f>
        <v>34.911788</v>
      </c>
    </row>
    <row r="3987" customFormat="false" ht="17.15" hidden="false" customHeight="false" outlineLevel="0" collapsed="false">
      <c r="A3987" s="5" t="s">
        <v>564</v>
      </c>
      <c r="B3987" s="0" t="s">
        <v>108</v>
      </c>
      <c r="F3987" s="33" t="n">
        <f aca="false">Sens!$F$3977-mw_open</f>
        <v>1817.15</v>
      </c>
      <c r="G3987" s="33" t="n">
        <f aca="false">Sens!$F$3987</f>
        <v>1817.15</v>
      </c>
      <c r="H3987" s="33" t="n">
        <f aca="false">Sens!$H$3977-mw_open</f>
        <v>5451.45</v>
      </c>
      <c r="I3987" s="33" t="n">
        <f aca="false">Sens!$I$3977-mw_open</f>
        <v>9085.75</v>
      </c>
      <c r="J3987" s="33" t="n">
        <f aca="false">Sens!$J$3977-mw_open</f>
        <v>12720.05</v>
      </c>
      <c r="K3987" s="33" t="n">
        <f aca="false">Sens!$K$3977-mw_open</f>
        <v>16354.35</v>
      </c>
      <c r="L3987" s="33" t="n">
        <f aca="false">Sens!$L$3977-mw_open</f>
        <v>19988.65</v>
      </c>
      <c r="M3987" s="33" t="n">
        <f aca="false">Sens!$M$3977-mw_open</f>
        <v>23622.95</v>
      </c>
    </row>
    <row r="3988" customFormat="false" ht="17.15" hidden="false" customHeight="false" outlineLevel="0" collapsed="false">
      <c r="A3988" s="0" t="s">
        <v>565</v>
      </c>
      <c r="B3988" s="0" t="s">
        <v>566</v>
      </c>
      <c r="F3988" s="33" t="n">
        <f aca="false">Sens!$F$3980*Sens!$F$3984</f>
        <v>19782.2417524844</v>
      </c>
      <c r="G3988" s="33" t="n">
        <f aca="false">Sens!$F$3988</f>
        <v>19782.2417524844</v>
      </c>
      <c r="H3988" s="33" t="n">
        <f aca="false">Sens!$G$3988+Sens!$H$3980*Sens!$H$3984</f>
        <v>60563.3616992009</v>
      </c>
      <c r="I3988" s="33" t="n">
        <f aca="false">Sens!$H$3988+Sens!$I$3980*Sens!$I$3984</f>
        <v>102561.118087665</v>
      </c>
      <c r="J3988" s="33" t="n">
        <f aca="false">Sens!$I$3988+Sens!$J$3980*Sens!$J$3984</f>
        <v>144558.87447613</v>
      </c>
      <c r="K3988" s="33" t="n">
        <f aca="false">Sens!$J$3988+Sens!$K$3980*Sens!$K$3984</f>
        <v>186556.630864594</v>
      </c>
      <c r="L3988" s="33" t="n">
        <f aca="false">Sens!$K$3988+Sens!$L$3980*Sens!$L$3984</f>
        <v>228554.387253058</v>
      </c>
      <c r="M3988" s="33" t="n">
        <f aca="false">Sens!$L$3988+Sens!$M$3980*Sens!$M$3984</f>
        <v>270552.143641523</v>
      </c>
    </row>
    <row r="3989" customFormat="false" ht="17.15" hidden="false" customHeight="false" outlineLevel="0" collapsed="false">
      <c r="A3989" s="0" t="s">
        <v>567</v>
      </c>
      <c r="B3989" s="0" t="s">
        <v>566</v>
      </c>
      <c r="F3989" s="33" t="n">
        <f aca="false">Sens!$F$3980*Sens!$F$3985</f>
        <v>3602.74485070566</v>
      </c>
      <c r="G3989" s="33" t="n">
        <f aca="false">Sens!$F$3989</f>
        <v>3602.74485070566</v>
      </c>
      <c r="H3989" s="33" t="n">
        <f aca="false">Sens!$G$3989+Sens!$H$3980*Sens!$H$3985</f>
        <v>10908.9598445736</v>
      </c>
      <c r="I3989" s="33" t="n">
        <f aca="false">Sens!$H$3989+Sens!$I$3980*Sens!$I$3985</f>
        <v>18315.9001308981</v>
      </c>
      <c r="J3989" s="33" t="n">
        <f aca="false">Sens!$I$3989+Sens!$J$3980*Sens!$J$3985</f>
        <v>25722.8404172225</v>
      </c>
      <c r="K3989" s="33" t="n">
        <f aca="false">Sens!$J$3989+Sens!$K$3980*Sens!$K$3985</f>
        <v>33129.780703547</v>
      </c>
      <c r="L3989" s="33" t="n">
        <f aca="false">Sens!$K$3989+Sens!$L$3980*Sens!$L$3985</f>
        <v>40536.7209898715</v>
      </c>
      <c r="M3989" s="33" t="n">
        <f aca="false">Sens!$L$3989+Sens!$M$3980*Sens!$M$3985</f>
        <v>47943.661276196</v>
      </c>
    </row>
    <row r="3990" customFormat="false" ht="17.15" hidden="false" customHeight="false" outlineLevel="0" collapsed="false">
      <c r="A3990" s="5" t="s">
        <v>568</v>
      </c>
      <c r="B3990" s="0" t="s">
        <v>151</v>
      </c>
      <c r="F3990" s="36" t="n">
        <f aca="false">IF(Sens!$F$3987&gt;0,Sens!$F$3988/Sens!$F$3987,Sens!$F$3984)</f>
        <v>10.8864110021101</v>
      </c>
      <c r="G3990" s="36" t="n">
        <f aca="false">IF(Sens!$G$3987&gt;0,Sens!$G$3988/Sens!$G$3987,Sens!$G$3984)</f>
        <v>10.8864110021101</v>
      </c>
      <c r="H3990" s="36" t="n">
        <f aca="false">IF(Sens!$H$3987&gt;0,Sens!$H$3988/Sens!$H$3987,Sens!$H$3984)</f>
        <v>11.1095876691891</v>
      </c>
      <c r="I3990" s="36" t="n">
        <f aca="false">IF(Sens!$I$3987&gt;0,Sens!$I$3988/Sens!$I$3987,Sens!$I$3984)</f>
        <v>11.2881290028523</v>
      </c>
      <c r="J3990" s="36" t="n">
        <f aca="false">IF(Sens!$J$3987&gt;0,Sens!$J$3988/Sens!$J$3987,Sens!$J$3984)</f>
        <v>11.3646467172794</v>
      </c>
      <c r="K3990" s="36" t="n">
        <f aca="false">IF(Sens!$K$3987&gt;0,Sens!$K$3988/Sens!$K$3987,Sens!$K$3984)</f>
        <v>11.4071565586278</v>
      </c>
      <c r="L3990" s="36" t="n">
        <f aca="false">IF(Sens!$L$3987&gt;0,Sens!$L$3988/Sens!$L$3987,Sens!$L$3984)</f>
        <v>11.4342082758495</v>
      </c>
      <c r="M3990" s="36" t="n">
        <f aca="false">IF(Sens!$M$3987&gt;0,Sens!$M$3988/Sens!$M$3987,Sens!$M$3984)</f>
        <v>11.4529363877722</v>
      </c>
    </row>
    <row r="3991" customFormat="false" ht="17.15" hidden="false" customHeight="false" outlineLevel="0" collapsed="false">
      <c r="A3991" s="5" t="s">
        <v>569</v>
      </c>
      <c r="B3991" s="0" t="s">
        <v>151</v>
      </c>
      <c r="F3991" s="36" t="n">
        <f aca="false">IF(Sens!$F$3987&gt;0,Sens!$F$3989/Sens!$F$3987,Sens!$F$3985)</f>
        <v>1.98263481314457</v>
      </c>
      <c r="G3991" s="36" t="n">
        <f aca="false">IF(Sens!$G$3987&gt;0,Sens!$G$3989/Sens!$G$3987,Sens!$G$3985)</f>
        <v>1.98263481314457</v>
      </c>
      <c r="H3991" s="36" t="n">
        <f aca="false">IF(Sens!$H$3987&gt;0,Sens!$H$3989/Sens!$H$3987,Sens!$H$3985)</f>
        <v>2.00111160233948</v>
      </c>
      <c r="I3991" s="36" t="n">
        <f aca="false">IF(Sens!$I$3987&gt;0,Sens!$I$3989/Sens!$I$3987,Sens!$I$3985)</f>
        <v>2.01589303369541</v>
      </c>
      <c r="J3991" s="36" t="n">
        <f aca="false">IF(Sens!$J$3987&gt;0,Sens!$J$3989/Sens!$J$3987,Sens!$J$3985)</f>
        <v>2.02222793284795</v>
      </c>
      <c r="K3991" s="36" t="n">
        <f aca="false">IF(Sens!$K$3987&gt;0,Sens!$K$3989/Sens!$K$3987,Sens!$K$3985)</f>
        <v>2.02574732126603</v>
      </c>
      <c r="L3991" s="36" t="n">
        <f aca="false">IF(Sens!$L$3987&gt;0,Sens!$L$3989/Sens!$L$3987,Sens!$L$3985)</f>
        <v>2.02798693207753</v>
      </c>
      <c r="M3991" s="36" t="n">
        <f aca="false">IF(Sens!$M$3987&gt;0,Sens!$M$3989/Sens!$M$3987,Sens!$M$3985)</f>
        <v>2.02953743187011</v>
      </c>
    </row>
    <row r="3992" customFormat="false" ht="17.15" hidden="false" customHeight="false" outlineLevel="0" collapsed="false">
      <c r="A3992" s="14" t="s">
        <v>570</v>
      </c>
      <c r="B3992" s="13" t="s">
        <v>151</v>
      </c>
      <c r="C3992" s="13"/>
      <c r="D3992" s="13"/>
      <c r="E3992" s="13"/>
      <c r="F3992" s="37" t="n">
        <f aca="false">Sens!$F$3990*k_B</f>
        <v>10.7987645808025</v>
      </c>
      <c r="G3992" s="37" t="n">
        <f aca="false">Sens!$G$3990*k_B</f>
        <v>10.7987645808025</v>
      </c>
      <c r="H3992" s="37" t="n">
        <f aca="false">Sens!$H$3990*k_B</f>
        <v>11.0201444540452</v>
      </c>
      <c r="I3992" s="37" t="n">
        <f aca="false">Sens!$I$3990*k_B</f>
        <v>11.1972483526393</v>
      </c>
      <c r="J3992" s="37" t="n">
        <f aca="false">Sens!$J$3990*k_B</f>
        <v>11.2731500234653</v>
      </c>
      <c r="K3992" s="37" t="n">
        <f aca="false">Sens!$K$3990*k_B</f>
        <v>11.3153176183687</v>
      </c>
      <c r="L3992" s="37" t="n">
        <f aca="false">Sens!$L$3990*k_B</f>
        <v>11.3421515423981</v>
      </c>
      <c r="M3992" s="37" t="n">
        <f aca="false">Sens!$M$3990*k_B</f>
        <v>11.3607288744184</v>
      </c>
      <c r="N3992" s="13"/>
      <c r="O3992" s="13"/>
      <c r="P3992" s="5" t="s">
        <v>571</v>
      </c>
    </row>
    <row r="3993" customFormat="false" ht="17.15" hidden="false" customHeight="false" outlineLevel="0" collapsed="false">
      <c r="A3993" s="5" t="s">
        <v>572</v>
      </c>
      <c r="B3993" s="0" t="s">
        <v>108</v>
      </c>
      <c r="F3993" s="33" t="n">
        <f aca="false">Sens!$F$3987/2</f>
        <v>908.575</v>
      </c>
      <c r="H3993" s="33" t="n">
        <f aca="false">(Sens!$G$3987+Sens!$H$3987)/2</f>
        <v>3634.3</v>
      </c>
      <c r="I3993" s="33" t="n">
        <f aca="false">(Sens!$H$3987+Sens!$I$3987)/2</f>
        <v>7268.6</v>
      </c>
      <c r="J3993" s="33" t="n">
        <f aca="false">(Sens!$I$3987+Sens!$J$3987)/2</f>
        <v>10902.9</v>
      </c>
      <c r="K3993" s="33" t="n">
        <f aca="false">(Sens!$J$3987+Sens!$K$3987)/2</f>
        <v>14537.2</v>
      </c>
      <c r="L3993" s="33" t="n">
        <f aca="false">(Sens!$K$3987+Sens!$L$3987)/2</f>
        <v>18171.5</v>
      </c>
      <c r="M3993" s="33" t="n">
        <f aca="false">(Sens!$L$3987+Sens!$M$3987)/2</f>
        <v>21805.8</v>
      </c>
    </row>
    <row r="3994" customFormat="false" ht="17.15" hidden="false" customHeight="false" outlineLevel="0" collapsed="false">
      <c r="A3994" s="1" t="s">
        <v>573</v>
      </c>
    </row>
    <row r="3995" customFormat="false" ht="17.15" hidden="false" customHeight="false" outlineLevel="0" collapsed="false">
      <c r="A3995" s="1" t="s">
        <v>574</v>
      </c>
      <c r="B3995" s="8" t="s">
        <v>73</v>
      </c>
      <c r="C3995" s="38" t="n">
        <f aca="false">Sens!$C$3978*rpm_open*Sens!$C$3979/1000</f>
        <v>2.32100535697364</v>
      </c>
      <c r="D3995" s="38" t="n">
        <f aca="false">Sens!$D$3978*rpm_open*Sens!$D$3979/1000</f>
        <v>8.70377008865116</v>
      </c>
      <c r="E3995" s="38" t="n">
        <f aca="false">Sens!$E$3978*rpm_open*Sens!$E$3979/1000</f>
        <v>8.51035297557002</v>
      </c>
      <c r="F3995" s="38" t="n">
        <f aca="false">(mw_open*rpm_open+Sens!$F$3993*Sens!$F$3992)*Sens!$F$3979/1000</f>
        <v>14.9634336447205</v>
      </c>
      <c r="G3995" s="38" t="n">
        <f aca="false">Sens!$E$3995+Sens!$F$3995</f>
        <v>23.4737866202905</v>
      </c>
      <c r="H3995" s="38" t="n">
        <f aca="false">(mw_open*rpm_open+Sens!$H$3993*Sens!$H$3992)/1000</f>
        <v>60.1658907497746</v>
      </c>
      <c r="I3995" s="38" t="n">
        <f aca="false">(mw_open*rpm_open+Sens!$I$3993*Sens!$I$3992)/1000</f>
        <v>101.503699136432</v>
      </c>
      <c r="J3995" s="38" t="n">
        <f aca="false">(mw_open*rpm_open+Sens!$J$3993*Sens!$J$3992)/1000</f>
        <v>143.025407151278</v>
      </c>
      <c r="K3995" s="38" t="n">
        <f aca="false">(mw_open*rpm_open+Sens!$K$3993*Sens!$K$3992)/1000</f>
        <v>184.608415042187</v>
      </c>
      <c r="L3995" s="38" t="n">
        <f aca="false">(mw_open*rpm_open+Sens!$L$3993*Sens!$L$3992)/1000</f>
        <v>226.219286513125</v>
      </c>
      <c r="M3995" s="38" t="n">
        <f aca="false">(mw_open*rpm_open+Sens!$M$3993*Sens!$M$3992)/1000</f>
        <v>267.845161450232</v>
      </c>
      <c r="N3995" s="38" t="n">
        <f aca="false">Sens!$N$3978*rpm_open*Sens!$N$3979/1000</f>
        <v>3.04631953102791</v>
      </c>
      <c r="O3995" s="38" t="n">
        <f aca="false">Sens!$O$3978*rpm_open*Sens!$O$3979/1000</f>
        <v>5.65745055762326</v>
      </c>
      <c r="P3995" s="5" t="s">
        <v>575</v>
      </c>
    </row>
    <row r="3996" customFormat="false" ht="17.15" hidden="false" customHeight="false" outlineLevel="0" collapsed="false">
      <c r="A3996" s="5" t="s">
        <v>576</v>
      </c>
      <c r="B3996" s="0" t="s">
        <v>151</v>
      </c>
      <c r="C3996" s="36" t="n">
        <f aca="false">Sens!$C$3995*1000/(Sens!$C$3978*Sens!$C$3979)</f>
        <v>9.67085565405685</v>
      </c>
      <c r="D3996" s="36" t="n">
        <f aca="false">Sens!$D$3995*1000/(Sens!$D$3978*Sens!$D$3979)</f>
        <v>9.67085565405685</v>
      </c>
      <c r="E3996" s="36" t="n">
        <f aca="false">Sens!$E$3995*1000/(Sens!$E$3978*Sens!$E$3979)</f>
        <v>9.67085565405685</v>
      </c>
      <c r="F3996" s="36" t="n">
        <f aca="false">Sens!$F$3995*1000/(Sens!$F$3978*Sens!$F$3979)</f>
        <v>10.0137581588017</v>
      </c>
      <c r="G3996" s="36" t="n">
        <f aca="false">Sens!$G$3995*1000/(Sens!$G$3978*Sens!$G$3979)</f>
        <v>9.88666562928478</v>
      </c>
      <c r="H3996" s="36" t="n">
        <f aca="false">Sens!$H$3995*1000/(Sens!$H$3978*Sens!$H$3979)</f>
        <v>10.5290045586992</v>
      </c>
      <c r="I3996" s="36" t="n">
        <f aca="false">Sens!$I$3995*1000/(Sens!$I$3978*Sens!$I$3979)</f>
        <v>10.8576363451674</v>
      </c>
      <c r="J3996" s="36" t="n">
        <f aca="false">Sens!$J$3995*1000/(Sens!$J$3978*Sens!$J$3979)</f>
        <v>11.0164452588619</v>
      </c>
      <c r="K3996" s="36" t="n">
        <f aca="false">Sens!$K$3995*1000/(Sens!$K$3978*Sens!$K$3979)</f>
        <v>11.1094778327388</v>
      </c>
      <c r="L3996" s="36" t="n">
        <f aca="false">Sens!$L$3995*1000/(Sens!$L$3978*Sens!$L$3979)</f>
        <v>11.1704953466718</v>
      </c>
      <c r="M3996" s="36" t="n">
        <f aca="false">Sens!$M$3995*1000/(Sens!$M$3978*Sens!$M$3979)</f>
        <v>11.2135729785158</v>
      </c>
      <c r="N3996" s="36" t="n">
        <f aca="false">Sens!$N$3995*1000/(Sens!$N$3978*Sens!$N$3979)</f>
        <v>9.67085565405685</v>
      </c>
      <c r="O3996" s="36" t="n">
        <f aca="false">Sens!$O$3995*1000/(Sens!$O$3978*Sens!$O$3979)</f>
        <v>9.67085565405685</v>
      </c>
    </row>
    <row r="3997" customFormat="false" ht="17.15" hidden="false" customHeight="false" outlineLevel="0" collapsed="false">
      <c r="A3997" s="0" t="s">
        <v>577</v>
      </c>
      <c r="B3997" s="0" t="s">
        <v>73</v>
      </c>
      <c r="C3997" s="38" t="n">
        <f aca="false">Sens!$C$3978/ext_sh*(ox_open+rent_mw)*Sens!$C$3979/1000</f>
        <v>0.642569210675032</v>
      </c>
      <c r="D3997" s="38" t="n">
        <f aca="false">Sens!$D$3978/ext_sh*(ox_open+rent_mw)*Sens!$D$3979/1000</f>
        <v>2.40963454003137</v>
      </c>
      <c r="E3997" s="38" t="n">
        <f aca="false">Sens!$E$3978/ext_sh*(ox_open+rent_mw)*Sens!$E$3979/1000</f>
        <v>2.35608710580845</v>
      </c>
      <c r="F3997" s="38" t="n">
        <f aca="false">((mw_open*ox_open+Sens!$F$3993*Sens!$F$3991)/ext_sh+Sens!$F$3978/ext_sh*rent_mw)*Sens!$F$3979/1000</f>
        <v>4.05421991106232</v>
      </c>
      <c r="G3997" s="38" t="n">
        <f aca="false">Sens!$E$3997+Sens!$F$3997</f>
        <v>6.41030701687077</v>
      </c>
      <c r="H3997" s="38" t="n">
        <f aca="false">((mw_open*ox_open+Sens!$H$3993*Sens!$H$3991)/ext_sh+Sens!$H$3978/ext_sh*rent_mw)*Sens!$H$3979/1000</f>
        <v>15.8108975546616</v>
      </c>
      <c r="I3997" s="38" t="n">
        <f aca="false">((mw_open*ox_open+Sens!$I$3993*Sens!$I$3991)/ext_sh+Sens!$I$3978/ext_sh*rent_mw)*Sens!$I$3979/1000</f>
        <v>26.1871623400817</v>
      </c>
      <c r="J3997" s="38" t="n">
        <f aca="false">((mw_open*ox_open+Sens!$J$3993*Sens!$J$3991)/ext_sh+Sens!$J$3978/ext_sh*rent_mw)*Sens!$J$3979/1000</f>
        <v>36.5826128954935</v>
      </c>
      <c r="K3997" s="38" t="n">
        <f aca="false">((mw_open*ox_open+Sens!$K$3993*Sens!$K$3991)/ext_sh+Sens!$K$3978/ext_sh*rent_mw)*Sens!$K$3979/1000</f>
        <v>46.9844587075692</v>
      </c>
      <c r="L3997" s="38" t="n">
        <f aca="false">((mw_open*ox_open+Sens!$L$3993*Sens!$L$3991)/ext_sh+Sens!$L$3978/ext_sh*rent_mw)*Sens!$L$3979/1000</f>
        <v>57.3892114544922</v>
      </c>
      <c r="M3997" s="38" t="n">
        <f aca="false">((mw_open*ox_open+Sens!$M$3993*Sens!$M$3991)/ext_sh+Sens!$M$3978/ext_sh*rent_mw)*Sens!$M$3979/1000</f>
        <v>67.7955294740252</v>
      </c>
      <c r="N3997" s="38" t="n">
        <f aca="false">Sens!$N$3978/ext_sh*(ox_open+rent_mw)*Sens!$N$3979/1000</f>
        <v>0.84337208901098</v>
      </c>
      <c r="O3997" s="38" t="n">
        <f aca="false">Sens!$O$3978/ext_sh*(ox_open+rent_mw)*Sens!$O$3979/1000</f>
        <v>1.56626245102039</v>
      </c>
    </row>
    <row r="3998" customFormat="false" ht="17.15" hidden="false" customHeight="false" outlineLevel="0" collapsed="false">
      <c r="A3998" s="0" t="s">
        <v>578</v>
      </c>
      <c r="B3998" s="0" t="s">
        <v>73</v>
      </c>
      <c r="C3998" s="38" t="n">
        <f aca="false">Q!$D$7</f>
        <v>107.556</v>
      </c>
      <c r="D3998" s="38" t="n">
        <f aca="false">Q!$E$7</f>
        <v>128.725</v>
      </c>
      <c r="E3998" s="38" t="n">
        <f aca="false">Q!$P$7</f>
        <v>79.819</v>
      </c>
      <c r="N3998" s="38" t="n">
        <f aca="false">Q!$N$7</f>
        <v>60.14</v>
      </c>
      <c r="O3998" s="38" t="n">
        <f aca="false">Q!$O$7</f>
        <v>68.585</v>
      </c>
    </row>
    <row r="3999" customFormat="false" ht="17.15" hidden="false" customHeight="false" outlineLevel="0" collapsed="false">
      <c r="A3999" s="1" t="s">
        <v>579</v>
      </c>
      <c r="B3999" s="8" t="s">
        <v>73</v>
      </c>
      <c r="C3999" s="38" t="n">
        <f aca="false">Sens!$C$3998-Sens!$C$3995</f>
        <v>105.234994643026</v>
      </c>
      <c r="D3999" s="38" t="n">
        <f aca="false">Sens!$D$3998-Sens!$D$3995</f>
        <v>120.021229911349</v>
      </c>
      <c r="E3999" s="38" t="n">
        <f aca="false">Sens!$E$3998-Sens!$E$3995</f>
        <v>71.30864702443</v>
      </c>
      <c r="F3999" s="38" t="n">
        <f aca="false">Sens!$O$3999*(1+Sens!$F$4000)</f>
        <v>78.5950104186653</v>
      </c>
      <c r="G3999" s="38" t="n">
        <f aca="false">Sens!$E$3999+Sens!$F$3999</f>
        <v>149.903657443095</v>
      </c>
      <c r="H3999" s="38" t="n">
        <f aca="false">Sens!$G$3999*(1+Sens!$H$4000)</f>
        <v>180.893560768142</v>
      </c>
      <c r="I3999" s="38" t="n">
        <f aca="false">Sens!$H$3999*(1+Sens!$I$4000)</f>
        <v>210.64839721501</v>
      </c>
      <c r="J3999" s="38" t="n">
        <f aca="false">Sens!$I$3999*(1+Sens!$J$4000)</f>
        <v>236.398909446495</v>
      </c>
      <c r="K3999" s="38" t="n">
        <f aca="false">Sens!$J$3999*(1+Sens!$K$4000)</f>
        <v>255.310822202215</v>
      </c>
      <c r="L3999" s="38" t="n">
        <f aca="false">Sens!$K$3999*(1+Sens!$L$4000)</f>
        <v>275.735687978392</v>
      </c>
      <c r="M3999" s="38" t="n">
        <f aca="false">Sens!$L$3999*(1+Sens!$M$4000)</f>
        <v>297.794543016663</v>
      </c>
      <c r="N3999" s="38" t="n">
        <f aca="false">Sens!$N$3998-Sens!$N$3995</f>
        <v>57.0936804689721</v>
      </c>
      <c r="O3999" s="38" t="n">
        <f aca="false">Sens!$O$3998-Sens!$O$3995</f>
        <v>62.9275494423768</v>
      </c>
      <c r="P3999" s="5" t="s">
        <v>580</v>
      </c>
    </row>
    <row r="4000" customFormat="false" ht="17.15" hidden="false" customHeight="false" outlineLevel="0" collapsed="false">
      <c r="A4000" s="0" t="s">
        <v>581</v>
      </c>
      <c r="B4000" s="0" t="s">
        <v>52</v>
      </c>
      <c r="E4000" s="12" t="n">
        <f aca="false">Sens!$E$3999/Sens!$N$3999-1</f>
        <v>0.248976181579029</v>
      </c>
      <c r="F4000" s="12" t="n">
        <f aca="false">Sens!$E$4000</f>
        <v>0.248976181579029</v>
      </c>
      <c r="G4000" s="12" t="n">
        <f aca="false">Sens!$G$3999/Sens!$D$3999-1</f>
        <v>0.248976181579029</v>
      </c>
      <c r="H4000" s="12" t="n">
        <f aca="false">Sens!$E$4000+(g_awso_lt-Sens!$E$4000)*1/4</f>
        <v>0.206732136184272</v>
      </c>
      <c r="I4000" s="12" t="n">
        <f aca="false">Sens!$E$4000+(g_awso_lt-Sens!$E$4000)*2/4</f>
        <v>0.164488090789515</v>
      </c>
      <c r="J4000" s="12" t="n">
        <f aca="false">Sens!$E$4000+(g_awso_lt-Sens!$E$4000)*3/4</f>
        <v>0.122244045394757</v>
      </c>
      <c r="K4000" s="12" t="n">
        <f aca="false">Sens!$E$4000+(g_awso_lt-Sens!$E$4000)*4/4</f>
        <v>0.08</v>
      </c>
      <c r="L4000" s="12" t="n">
        <f aca="false">g_awso_lt</f>
        <v>0.08</v>
      </c>
      <c r="M4000" s="12" t="n">
        <f aca="false">g_awso_lt</f>
        <v>0.08</v>
      </c>
      <c r="P4000" s="8" t="s">
        <v>582</v>
      </c>
    </row>
    <row r="4001" customFormat="false" ht="17.15" hidden="false" customHeight="false" outlineLevel="0" collapsed="false">
      <c r="A4001" s="1" t="s">
        <v>583</v>
      </c>
    </row>
    <row r="4002" customFormat="false" ht="17.15" hidden="false" customHeight="false" outlineLevel="0" collapsed="false">
      <c r="A4002" s="0" t="s">
        <v>584</v>
      </c>
      <c r="B4002" s="0" t="s">
        <v>73</v>
      </c>
      <c r="F4002" s="38" t="n">
        <f aca="false">cx_rt*Sens!$F$3968+cx_awso*Sens!$F$3999</f>
        <v>36.8045765066526</v>
      </c>
    </row>
    <row r="4003" customFormat="false" ht="17.15" hidden="false" customHeight="false" outlineLevel="0" collapsed="false">
      <c r="A4003" s="0" t="s">
        <v>585</v>
      </c>
      <c r="B4003" s="0" t="s">
        <v>52</v>
      </c>
      <c r="C4003" s="12" t="n">
        <f aca="false">tk_cx_h100/(tk_cx_h100+tk_fac*(1-colo_sh))</f>
        <v>0.730756458006641</v>
      </c>
      <c r="D4003" s="12" t="n">
        <f aca="false">tk_cx_h100/(tk_cx_h100+tk_fac*(1-colo_sh))</f>
        <v>0.730756458006641</v>
      </c>
      <c r="E4003" s="12" t="n">
        <f aca="false">Sens!$F$4003</f>
        <v>0.760792334328868</v>
      </c>
      <c r="F4003" s="12" t="n">
        <f aca="false">Sens!$F$3986/(Sens!$F$3986+tk_fac*(1-colo_sh))</f>
        <v>0.760792334328868</v>
      </c>
      <c r="G4003" s="12" t="n">
        <f aca="false">Sens!$G$3986/(Sens!$G$3986+tk_fac*(1-colo_sh))</f>
        <v>0.760792334328868</v>
      </c>
      <c r="H4003" s="12" t="n">
        <f aca="false">Sens!$H$3986/(Sens!$H$3986+tk_fac*(1-colo_sh))</f>
        <v>0.768110668862996</v>
      </c>
      <c r="I4003" s="12" t="n">
        <f aca="false">Sens!$I$3986/(Sens!$I$3986+tk_fac*(1-colo_sh))</f>
        <v>0.77499450139483</v>
      </c>
      <c r="J4003" s="12" t="n">
        <f aca="false">Sens!$J$3986/(Sens!$J$3986+tk_fac*(1-colo_sh))</f>
        <v>0.77499450139483</v>
      </c>
      <c r="K4003" s="12" t="n">
        <f aca="false">Sens!$K$3986/(Sens!$K$3986+tk_fac*(1-colo_sh))</f>
        <v>0.77499450139483</v>
      </c>
      <c r="L4003" s="12" t="n">
        <f aca="false">Sens!$L$3986/(Sens!$L$3986+tk_fac*(1-colo_sh))</f>
        <v>0.77499450139483</v>
      </c>
      <c r="M4003" s="12" t="n">
        <f aca="false">Sens!$M$3986/(Sens!$M$3986+tk_fac*(1-colo_sh))</f>
        <v>0.77499450139483</v>
      </c>
    </row>
    <row r="4004" customFormat="false" ht="17.15" hidden="false" customHeight="false" outlineLevel="0" collapsed="false">
      <c r="A4004" s="1" t="s">
        <v>586</v>
      </c>
      <c r="B4004" s="8" t="s">
        <v>73</v>
      </c>
      <c r="C4004" s="38" t="n">
        <f aca="false">Q!$D$46-cx_rt*Q!$D$16-cx_awso*Sens!$C$3999</f>
        <v>25.2781053077374</v>
      </c>
      <c r="D4004" s="38" t="n">
        <f aca="false">Q!$E$46-cx_rt*Q!$E$16-cx_awso*Sens!$D$3999</f>
        <v>69.5686316310026</v>
      </c>
      <c r="E4004" s="38" t="n">
        <f aca="false">Q!$P$46-cx_rt*Q!$P$16-cx_awso*Sens!$E$3999</f>
        <v>64.1899206485108</v>
      </c>
      <c r="F4004" s="38" t="n">
        <f aca="false">MAX(Sens!$F$3981*(Sens!$F$3986+tk_fac*(1-colo_sh))/1000,capex_g26-Q!$P$46-Sens!$F$4002)</f>
        <v>96.2481299895</v>
      </c>
      <c r="G4004" s="38" t="n">
        <f aca="false">Sens!$E$4004+Sens!$F$4004</f>
        <v>160.438050638011</v>
      </c>
      <c r="H4004" s="38" t="n">
        <f aca="false">Sens!$H$3981*(Sens!$H$3986+tk_fac*(1-colo_sh))/1000+Sens!$H$4005</f>
        <v>198.57136494475</v>
      </c>
      <c r="I4004" s="38" t="n">
        <f aca="false">Sens!$I$3981*(Sens!$I$3986+tk_fac*(1-colo_sh))/1000+Sens!$I$4005</f>
        <v>204.6464699105</v>
      </c>
      <c r="J4004" s="38" t="n">
        <f aca="false">Sens!$J$3981*(Sens!$J$3986+tk_fac*(1-colo_sh))/1000+Sens!$J$4005</f>
        <v>209.8832381105</v>
      </c>
      <c r="K4004" s="38" t="n">
        <f aca="false">Sens!$K$3981*(Sens!$K$3986+tk_fac*(1-colo_sh))/1000+Sens!$K$4005</f>
        <v>215.1200063105</v>
      </c>
      <c r="L4004" s="38" t="n">
        <f aca="false">Sens!$L$3981*(Sens!$L$3986+tk_fac*(1-colo_sh))/1000+Sens!$L$4005</f>
        <v>251.7773837105</v>
      </c>
      <c r="M4004" s="38" t="n">
        <f aca="false">Sens!$M$3981*(Sens!$M$3986+tk_fac*(1-colo_sh))/1000+Sens!$M$4005</f>
        <v>311.87584476575</v>
      </c>
      <c r="P4004" s="5" t="s">
        <v>587</v>
      </c>
      <c r="R4004" s="38" t="n">
        <f aca="false">Q!$C$46-cx_rt*Q!$C$16-cx_awso*(Q!$C$7-mw_ye23/2*rpm_open/1000)</f>
        <v>1.50429979529945</v>
      </c>
      <c r="S4004" s="38" t="n">
        <f aca="false">Sens!$C$4004</f>
        <v>25.2781053077374</v>
      </c>
      <c r="T4004" s="38" t="n">
        <f aca="false">Sens!$D$4004</f>
        <v>69.5686316310026</v>
      </c>
      <c r="U4004" s="38" t="n">
        <f aca="false">Sens!$G$4004</f>
        <v>160.438050638011</v>
      </c>
      <c r="V4004" s="38" t="n">
        <f aca="false">Sens!$H$4004</f>
        <v>198.57136494475</v>
      </c>
      <c r="W4004" s="38" t="n">
        <f aca="false">Sens!$I$4004</f>
        <v>204.6464699105</v>
      </c>
      <c r="X4004" s="38" t="n">
        <f aca="false">Sens!$J$4004</f>
        <v>209.8832381105</v>
      </c>
      <c r="Y4004" s="38" t="n">
        <f aca="false">Sens!$K$4004</f>
        <v>215.1200063105</v>
      </c>
      <c r="Z4004" s="38" t="n">
        <f aca="false">Sens!$L$4004</f>
        <v>251.7773837105</v>
      </c>
      <c r="AA4004" s="38" t="n">
        <f aca="false">Sens!$M$4004</f>
        <v>311.87584476575</v>
      </c>
    </row>
    <row r="4005" customFormat="false" ht="17.15" hidden="false" customHeight="false" outlineLevel="0" collapsed="false">
      <c r="A4005" s="0" t="s">
        <v>588</v>
      </c>
      <c r="B4005" s="0" t="s">
        <v>73</v>
      </c>
      <c r="H4005" s="38" t="n">
        <f aca="false">SUMPRODUCT(--(Sens!$R$3975:$AA$3975=2027-tk_life),Sens!$R$3981:$AA$3981)*Sens!$H$3986/1000</f>
        <v>0</v>
      </c>
      <c r="I4005" s="38" t="n">
        <f aca="false">SUMPRODUCT(--(Sens!$R$3975:$AA$3975=2028-tk_life),Sens!$R$3981:$AA$3981)*Sens!$I$3986/1000</f>
        <v>0</v>
      </c>
      <c r="J4005" s="38" t="n">
        <f aca="false">SUMPRODUCT(--(Sens!$R$3975:$AA$3975=2029-tk_life),Sens!$R$3981:$AA$3981)*Sens!$J$3986/1000</f>
        <v>5.2367682</v>
      </c>
      <c r="K4005" s="38" t="n">
        <f aca="false">SUMPRODUCT(--(Sens!$R$3975:$AA$3975=2030-tk_life),Sens!$R$3981:$AA$3981)*Sens!$K$3986/1000</f>
        <v>10.4735364</v>
      </c>
      <c r="L4005" s="38" t="n">
        <f aca="false">SUMPRODUCT(--(Sens!$R$3975:$AA$3975=2031-tk_life),Sens!$R$3981:$AA$3981)*Sens!$L$3986/1000</f>
        <v>47.1309138</v>
      </c>
      <c r="M4005" s="38" t="n">
        <f aca="false">SUMPRODUCT(--(Sens!$R$3975:$AA$3975=2032-tk_life),Sens!$R$3981:$AA$3981)*Sens!$M$3986/1000</f>
        <v>107.22937485525</v>
      </c>
    </row>
    <row r="4006" customFormat="false" ht="17.15" hidden="false" customHeight="false" outlineLevel="0" collapsed="false">
      <c r="A4006" s="5" t="s">
        <v>589</v>
      </c>
      <c r="B4006" s="0" t="s">
        <v>73</v>
      </c>
      <c r="C4006" s="38" t="n">
        <f aca="false">Sens!$C$4004*Sens!$C$4003</f>
        <v>18.472138699801</v>
      </c>
      <c r="D4006" s="38" t="n">
        <f aca="false">Sens!$D$4004*Sens!$D$4003</f>
        <v>50.8377268390402</v>
      </c>
      <c r="E4006" s="38" t="n">
        <f aca="false">Sens!$E$4004*Sens!$E$4003</f>
        <v>48.8351995705653</v>
      </c>
      <c r="F4006" s="38" t="n">
        <f aca="false">Sens!$F$4004*Sens!$F$4003</f>
        <v>73.2248394895</v>
      </c>
      <c r="G4006" s="38" t="n">
        <f aca="false">Sens!$E$4006+Sens!$F$4006</f>
        <v>122.060039060065</v>
      </c>
      <c r="H4006" s="38" t="n">
        <f aca="false">(Sens!$H$4004-Sens!$H$4005)*Sens!$H$4003+Sens!$H$4005</f>
        <v>152.52478394475</v>
      </c>
      <c r="I4006" s="38" t="n">
        <f aca="false">(Sens!$I$4004-Sens!$I$4005)*Sens!$I$4003+Sens!$I$4005</f>
        <v>158.5998889105</v>
      </c>
      <c r="J4006" s="38" t="n">
        <f aca="false">(Sens!$J$4004-Sens!$J$4005)*Sens!$J$4003+Sens!$J$4005</f>
        <v>163.8366571105</v>
      </c>
      <c r="K4006" s="38" t="n">
        <f aca="false">(Sens!$K$4004-Sens!$K$4005)*Sens!$K$4003+Sens!$K$4005</f>
        <v>169.0734253105</v>
      </c>
      <c r="L4006" s="38" t="n">
        <f aca="false">(Sens!$L$4004-Sens!$L$4005)*Sens!$L$4003+Sens!$L$4005</f>
        <v>205.7308027105</v>
      </c>
      <c r="M4006" s="38" t="n">
        <f aca="false">(Sens!$M$4004-Sens!$M$4005)*Sens!$M$4003+Sens!$M$4005</f>
        <v>265.82926376575</v>
      </c>
      <c r="R4006" s="38" t="n">
        <f aca="false">Sens!$R$4004*Sens!$C$4003</f>
        <v>1.09927679019314</v>
      </c>
      <c r="S4006" s="38" t="n">
        <f aca="false">Sens!$C$4006</f>
        <v>18.472138699801</v>
      </c>
      <c r="T4006" s="38" t="n">
        <f aca="false">Sens!$D$4006</f>
        <v>50.8377268390402</v>
      </c>
      <c r="U4006" s="38" t="n">
        <f aca="false">Sens!$G$4006</f>
        <v>122.060039060065</v>
      </c>
      <c r="V4006" s="38" t="n">
        <f aca="false">Sens!$H$4006</f>
        <v>152.52478394475</v>
      </c>
      <c r="W4006" s="38" t="n">
        <f aca="false">Sens!$I$4006</f>
        <v>158.5998889105</v>
      </c>
      <c r="X4006" s="38" t="n">
        <f aca="false">Sens!$J$4006</f>
        <v>163.8366571105</v>
      </c>
      <c r="Y4006" s="38" t="n">
        <f aca="false">Sens!$K$4006</f>
        <v>169.0734253105</v>
      </c>
      <c r="Z4006" s="38" t="n">
        <f aca="false">Sens!$L$4006</f>
        <v>205.7308027105</v>
      </c>
      <c r="AA4006" s="38" t="n">
        <f aca="false">Sens!$M$4006</f>
        <v>265.82926376575</v>
      </c>
    </row>
    <row r="4007" customFormat="false" ht="15" hidden="false" customHeight="false" outlineLevel="0" collapsed="false">
      <c r="A4007" s="5" t="s">
        <v>590</v>
      </c>
      <c r="B4007" s="0" t="s">
        <v>73</v>
      </c>
      <c r="C4007" s="38" t="n">
        <f aca="false">Sens!$C$4004-Sens!$C$4006</f>
        <v>6.80596660793636</v>
      </c>
      <c r="D4007" s="38" t="n">
        <f aca="false">Sens!$D$4004-Sens!$D$4006</f>
        <v>18.7309047919624</v>
      </c>
      <c r="E4007" s="38" t="n">
        <f aca="false">Sens!$E$4004-Sens!$E$4006</f>
        <v>15.3547210779455</v>
      </c>
      <c r="F4007" s="38" t="n">
        <f aca="false">Sens!$F$4004-Sens!$F$4006</f>
        <v>23.0232905</v>
      </c>
      <c r="G4007" s="38" t="n">
        <f aca="false">Sens!$G$4004-Sens!$G$4006</f>
        <v>38.3780115779455</v>
      </c>
      <c r="H4007" s="38" t="n">
        <f aca="false">Sens!$H$4004-Sens!$H$4006</f>
        <v>46.046581</v>
      </c>
      <c r="I4007" s="38" t="n">
        <f aca="false">Sens!$I$4004-Sens!$I$4006</f>
        <v>46.046581</v>
      </c>
      <c r="J4007" s="38" t="n">
        <f aca="false">Sens!$J$4004-Sens!$J$4006</f>
        <v>46.046581</v>
      </c>
      <c r="K4007" s="38" t="n">
        <f aca="false">Sens!$K$4004-Sens!$K$4006</f>
        <v>46.046581</v>
      </c>
      <c r="L4007" s="38" t="n">
        <f aca="false">Sens!$L$4004-Sens!$L$4006</f>
        <v>46.046581</v>
      </c>
      <c r="M4007" s="38" t="n">
        <f aca="false">Sens!$M$4004-Sens!$M$4006</f>
        <v>46.046581</v>
      </c>
      <c r="R4007" s="38" t="n">
        <f aca="false">Sens!$R$4004-Sens!$R$4006</f>
        <v>0.405023005106309</v>
      </c>
      <c r="S4007" s="38" t="n">
        <f aca="false">Sens!$S$4004-Sens!$S$4006</f>
        <v>6.80596660793636</v>
      </c>
      <c r="T4007" s="38" t="n">
        <f aca="false">Sens!$T$4004-Sens!$T$4006</f>
        <v>18.7309047919624</v>
      </c>
      <c r="U4007" s="38" t="n">
        <f aca="false">Sens!$U$4004-Sens!$U$4006</f>
        <v>38.3780115779455</v>
      </c>
      <c r="V4007" s="38" t="n">
        <f aca="false">Sens!$V$4004-Sens!$V$4006</f>
        <v>46.046581</v>
      </c>
      <c r="W4007" s="38" t="n">
        <f aca="false">Sens!$W$4004-Sens!$W$4006</f>
        <v>46.046581</v>
      </c>
      <c r="X4007" s="38" t="n">
        <f aca="false">Sens!$X$4004-Sens!$X$4006</f>
        <v>46.046581</v>
      </c>
      <c r="Y4007" s="38" t="n">
        <f aca="false">Sens!$Y$4004-Sens!$Y$4006</f>
        <v>46.046581</v>
      </c>
      <c r="Z4007" s="38" t="n">
        <f aca="false">Sens!$Z$4004-Sens!$Z$4006</f>
        <v>46.046581</v>
      </c>
      <c r="AA4007" s="38" t="n">
        <f aca="false">Sens!$AA$4004-Sens!$AA$4006</f>
        <v>46.046581</v>
      </c>
    </row>
    <row r="4008" customFormat="false" ht="17.15" hidden="false" customHeight="false" outlineLevel="0" collapsed="false">
      <c r="A4008" s="0" t="s">
        <v>591</v>
      </c>
      <c r="B4008" s="0" t="s">
        <v>52</v>
      </c>
      <c r="C4008" s="12" t="n">
        <f aca="false">Sens!$C$4004/Sens!$C$4120</f>
        <v>0.325505489553393</v>
      </c>
      <c r="D4008" s="12" t="n">
        <f aca="false">Sens!$D$4004/Sens!$D$4120</f>
        <v>0.54214956071542</v>
      </c>
      <c r="E4008" s="12" t="n">
        <f aca="false">Sens!$E$4004/Sens!$E$4120</f>
        <v>0.666492790452817</v>
      </c>
      <c r="F4008" s="12" t="n">
        <f aca="false">Sens!$F$4004/Sens!$F$4120</f>
        <v>0.723383481058938</v>
      </c>
      <c r="G4008" s="12" t="n">
        <f aca="false">Sens!$G$4004/Sens!$G$4120</f>
        <v>0.699494931364102</v>
      </c>
      <c r="H4008" s="12" t="n">
        <f aca="false">Sens!$H$4004/Sens!$H$4120</f>
        <v>0.714619350171483</v>
      </c>
      <c r="I4008" s="12" t="n">
        <f aca="false">Sens!$I$4004/Sens!$I$4120</f>
        <v>0.696231624961614</v>
      </c>
      <c r="J4008" s="12" t="n">
        <f aca="false">Sens!$J$4004/Sens!$J$4120</f>
        <v>0.681286352509885</v>
      </c>
      <c r="K4008" s="12" t="n">
        <f aca="false">Sens!$K$4004/Sens!$K$4120</f>
        <v>0.671440649805508</v>
      </c>
      <c r="L4008" s="12" t="n">
        <f aca="false">Sens!$L$4004/Sens!$L$4120</f>
        <v>0.6904509846562</v>
      </c>
      <c r="M4008" s="12" t="n">
        <f aca="false">Sens!$M$4004/Sens!$M$4120</f>
        <v>0.720362080285865</v>
      </c>
    </row>
    <row r="4009" customFormat="false" ht="17.15" hidden="false" customHeight="false" outlineLevel="0" collapsed="false">
      <c r="A4009" s="0" t="s">
        <v>592</v>
      </c>
      <c r="B4009" s="0" t="s">
        <v>73</v>
      </c>
      <c r="C4009" s="38" t="n">
        <f aca="false">Sens!$S$4009</f>
        <v>0.183212798365523</v>
      </c>
      <c r="D4009" s="38" t="n">
        <f aca="false">Sens!$T$4009</f>
        <v>3.2619025816657</v>
      </c>
      <c r="E4009" s="38" t="n">
        <f aca="false">Sens!$G$4009/2</f>
        <v>5.86742852741953</v>
      </c>
      <c r="F4009" s="38" t="n">
        <f aca="false">Sens!$G$4009/2</f>
        <v>5.86742852741953</v>
      </c>
      <c r="G4009" s="38" t="n">
        <f aca="false">Sens!$U$4009</f>
        <v>11.7348570548391</v>
      </c>
      <c r="H4009" s="38" t="n">
        <f aca="false">Sens!$V$4009</f>
        <v>32.0781968981833</v>
      </c>
      <c r="I4009" s="38" t="n">
        <f aca="false">Sens!$W$4009</f>
        <v>57.4989942223083</v>
      </c>
      <c r="J4009" s="38" t="n">
        <f aca="false">Sens!$X$4009</f>
        <v>83.932309040725</v>
      </c>
      <c r="K4009" s="38" t="n">
        <f aca="false">Sens!$Y$4009</f>
        <v>111.055205760776</v>
      </c>
      <c r="L4009" s="38" t="n">
        <f aca="false">Sens!$Z$4009</f>
        <v>136.155420195893</v>
      </c>
      <c r="M4009" s="38" t="n">
        <f aca="false">Sens!$AA$4009</f>
        <v>161.970932841136</v>
      </c>
      <c r="N4009" s="38" t="n">
        <f aca="false">Sens!$D$4009/2</f>
        <v>1.63095129083285</v>
      </c>
      <c r="O4009" s="38" t="n">
        <f aca="false">Sens!$D$4009/2</f>
        <v>1.63095129083285</v>
      </c>
      <c r="R4009" s="38" t="n">
        <f aca="false">SUMPRODUCT(--(Sens!$R$3975:$AA$3975&lt;Sens!R$3975),--(Sens!$R$3975:$AA$3975&gt;=Sens!R$3975-tk_life),Sens!$R$4006:$AA$4006)/tk_life</f>
        <v>0</v>
      </c>
      <c r="S4009" s="38" t="n">
        <f aca="false">SUMPRODUCT(--(Sens!$R$3975:$AA$3975&lt;Sens!S$3975),--(Sens!$R$3975:$AA$3975&gt;=Sens!S$3975-tk_life),Sens!$R$4006:$AA$4006)/tk_life</f>
        <v>0.183212798365523</v>
      </c>
      <c r="T4009" s="38" t="n">
        <f aca="false">SUMPRODUCT(--(Sens!$R$3975:$AA$3975&lt;Sens!T$3975),--(Sens!$R$3975:$AA$3975&gt;=Sens!T$3975-tk_life),Sens!$R$4006:$AA$4006)/tk_life</f>
        <v>3.2619025816657</v>
      </c>
      <c r="U4009" s="38" t="n">
        <f aca="false">SUMPRODUCT(--(Sens!$R$3975:$AA$3975&lt;Sens!U$3975),--(Sens!$R$3975:$AA$3975&gt;=Sens!U$3975-tk_life),Sens!$R$4006:$AA$4006)/tk_life</f>
        <v>11.7348570548391</v>
      </c>
      <c r="V4009" s="38" t="n">
        <f aca="false">SUMPRODUCT(--(Sens!$R$3975:$AA$3975&lt;Sens!V$3975),--(Sens!$R$3975:$AA$3975&gt;=Sens!V$3975-tk_life),Sens!$R$4006:$AA$4006)/tk_life</f>
        <v>32.0781968981833</v>
      </c>
      <c r="W4009" s="38" t="n">
        <f aca="false">SUMPRODUCT(--(Sens!$R$3975:$AA$3975&lt;Sens!W$3975),--(Sens!$R$3975:$AA$3975&gt;=Sens!W$3975-tk_life),Sens!$R$4006:$AA$4006)/tk_life</f>
        <v>57.4989942223083</v>
      </c>
      <c r="X4009" s="38" t="n">
        <f aca="false">SUMPRODUCT(--(Sens!$R$3975:$AA$3975&lt;Sens!X$3975),--(Sens!$R$3975:$AA$3975&gt;=Sens!X$3975-tk_life),Sens!$R$4006:$AA$4006)/tk_life</f>
        <v>83.932309040725</v>
      </c>
      <c r="Y4009" s="38" t="n">
        <f aca="false">SUMPRODUCT(--(Sens!$R$3975:$AA$3975&lt;Sens!Y$3975),--(Sens!$R$3975:$AA$3975&gt;=Sens!Y$3975-tk_life),Sens!$R$4006:$AA$4006)/tk_life</f>
        <v>111.055205760776</v>
      </c>
      <c r="Z4009" s="38" t="n">
        <f aca="false">SUMPRODUCT(--(Sens!$R$3975:$AA$3975&lt;Sens!Z$3975),--(Sens!$R$3975:$AA$3975&gt;=Sens!Z$3975-tk_life),Sens!$R$4006:$AA$4006)/tk_life</f>
        <v>136.155420195893</v>
      </c>
      <c r="AA4009" s="38" t="n">
        <f aca="false">SUMPRODUCT(--(Sens!$R$3975:$AA$3975&lt;Sens!AA$3975),--(Sens!$R$3975:$AA$3975&gt;=Sens!AA$3975-tk_life),Sens!$R$4006:$AA$4006)/tk_life</f>
        <v>161.970932841136</v>
      </c>
    </row>
    <row r="4010" customFormat="false" ht="17.15" hidden="false" customHeight="false" outlineLevel="0" collapsed="false">
      <c r="A4010" s="0" t="s">
        <v>593</v>
      </c>
      <c r="B4010" s="0" t="s">
        <v>73</v>
      </c>
      <c r="C4010" s="38" t="n">
        <f aca="false">Sens!$S$4010</f>
        <v>0.0202511502553155</v>
      </c>
      <c r="D4010" s="38" t="n">
        <f aca="false">Sens!$T$4010</f>
        <v>0.360549480652134</v>
      </c>
      <c r="E4010" s="38" t="n">
        <f aca="false">Sens!$G$4010/2</f>
        <v>0.648547360125127</v>
      </c>
      <c r="F4010" s="38" t="n">
        <f aca="false">Sens!$G$4010/2</f>
        <v>0.648547360125127</v>
      </c>
      <c r="G4010" s="38" t="n">
        <f aca="false">Sens!$U$4010</f>
        <v>1.29709472025025</v>
      </c>
      <c r="H4010" s="38" t="n">
        <f aca="false">Sens!$V$4010</f>
        <v>3.21599529914753</v>
      </c>
      <c r="I4010" s="38" t="n">
        <f aca="false">Sens!$W$4010</f>
        <v>5.51832434914753</v>
      </c>
      <c r="J4010" s="38" t="n">
        <f aca="false">Sens!$X$4010</f>
        <v>7.82065339914753</v>
      </c>
      <c r="K4010" s="38" t="n">
        <f aca="false">Sens!$Y$4010</f>
        <v>10.1229824491475</v>
      </c>
      <c r="L4010" s="38" t="n">
        <f aca="false">Sens!$Z$4010</f>
        <v>12.4253114991475</v>
      </c>
      <c r="M4010" s="38" t="n">
        <f aca="false">Sens!$AA$4010</f>
        <v>14.7276405491475</v>
      </c>
      <c r="N4010" s="38" t="n">
        <f aca="false">Sens!$D$4010/2</f>
        <v>0.180274740326067</v>
      </c>
      <c r="O4010" s="38" t="n">
        <f aca="false">Sens!$D$4010/2</f>
        <v>0.180274740326067</v>
      </c>
      <c r="R4010" s="38" t="n">
        <f aca="false">SUMPRODUCT(--(Sens!$R$3975:$AA$3975&lt;Sens!R$3975),Sens!$R$4007:$AA$4007)/fac_life</f>
        <v>0</v>
      </c>
      <c r="S4010" s="38" t="n">
        <f aca="false">SUMPRODUCT(--(Sens!$R$3975:$AA$3975&lt;Sens!S$3975),Sens!$R$4007:$AA$4007)/fac_life</f>
        <v>0.0202511502553155</v>
      </c>
      <c r="T4010" s="38" t="n">
        <f aca="false">SUMPRODUCT(--(Sens!$R$3975:$AA$3975&lt;Sens!T$3975),Sens!$R$4007:$AA$4007)/fac_life</f>
        <v>0.360549480652134</v>
      </c>
      <c r="U4010" s="38" t="n">
        <f aca="false">SUMPRODUCT(--(Sens!$R$3975:$AA$3975&lt;Sens!U$3975),Sens!$R$4007:$AA$4007)/fac_life</f>
        <v>1.29709472025025</v>
      </c>
      <c r="V4010" s="38" t="n">
        <f aca="false">SUMPRODUCT(--(Sens!$R$3975:$AA$3975&lt;Sens!V$3975),Sens!$R$4007:$AA$4007)/fac_life</f>
        <v>3.21599529914753</v>
      </c>
      <c r="W4010" s="38" t="n">
        <f aca="false">SUMPRODUCT(--(Sens!$R$3975:$AA$3975&lt;Sens!W$3975),Sens!$R$4007:$AA$4007)/fac_life</f>
        <v>5.51832434914753</v>
      </c>
      <c r="X4010" s="38" t="n">
        <f aca="false">SUMPRODUCT(--(Sens!$R$3975:$AA$3975&lt;Sens!X$3975),Sens!$R$4007:$AA$4007)/fac_life</f>
        <v>7.82065339914753</v>
      </c>
      <c r="Y4010" s="38" t="n">
        <f aca="false">SUMPRODUCT(--(Sens!$R$3975:$AA$3975&lt;Sens!Y$3975),Sens!$R$4007:$AA$4007)/fac_life</f>
        <v>10.1229824491475</v>
      </c>
      <c r="Z4010" s="38" t="n">
        <f aca="false">SUMPRODUCT(--(Sens!$R$3975:$AA$3975&lt;Sens!Z$3975),Sens!$R$4007:$AA$4007)/fac_life</f>
        <v>12.4253114991475</v>
      </c>
      <c r="AA4010" s="38" t="n">
        <f aca="false">SUMPRODUCT(--(Sens!$R$3975:$AA$3975&lt;Sens!AA$3975),Sens!$R$4007:$AA$4007)/fac_life</f>
        <v>14.7276405491475</v>
      </c>
    </row>
    <row r="4011" customFormat="false" ht="17.15" hidden="false" customHeight="false" outlineLevel="0" collapsed="false">
      <c r="A4011" s="1" t="s">
        <v>594</v>
      </c>
      <c r="B4011" s="8" t="s">
        <v>73</v>
      </c>
      <c r="C4011" s="38" t="n">
        <f aca="false">Sens!$C$4009+Sens!$C$4010</f>
        <v>0.203463948620839</v>
      </c>
      <c r="D4011" s="38" t="n">
        <f aca="false">Sens!$D$4009+Sens!$D$4010</f>
        <v>3.62245206231783</v>
      </c>
      <c r="E4011" s="38" t="n">
        <f aca="false">Sens!$E$4009+Sens!$E$4010</f>
        <v>6.51597588754466</v>
      </c>
      <c r="F4011" s="38" t="n">
        <f aca="false">Sens!$F$4009+Sens!$F$4010</f>
        <v>6.51597588754466</v>
      </c>
      <c r="G4011" s="38" t="n">
        <f aca="false">Sens!$G$4009+Sens!$G$4010</f>
        <v>13.0319517750893</v>
      </c>
      <c r="H4011" s="38" t="n">
        <f aca="false">Sens!$H$4009+Sens!$H$4010</f>
        <v>35.2941921973308</v>
      </c>
      <c r="I4011" s="38" t="n">
        <f aca="false">Sens!$I$4009+Sens!$I$4010</f>
        <v>63.0173185714558</v>
      </c>
      <c r="J4011" s="38" t="n">
        <f aca="false">Sens!$J$4009+Sens!$J$4010</f>
        <v>91.7529624398725</v>
      </c>
      <c r="K4011" s="38" t="n">
        <f aca="false">Sens!$K$4009+Sens!$K$4010</f>
        <v>121.178188209924</v>
      </c>
      <c r="L4011" s="38" t="n">
        <f aca="false">Sens!$L$4009+Sens!$L$4010</f>
        <v>148.58073169504</v>
      </c>
      <c r="M4011" s="38" t="n">
        <f aca="false">Sens!$M$4009+Sens!$M$4010</f>
        <v>176.698573390283</v>
      </c>
      <c r="N4011" s="38" t="n">
        <f aca="false">Sens!$N$4009+Sens!$N$4010</f>
        <v>1.81122603115892</v>
      </c>
      <c r="O4011" s="38" t="n">
        <f aca="false">Sens!$O$4009+Sens!$O$4010</f>
        <v>1.81122603115892</v>
      </c>
      <c r="R4011" s="38" t="n">
        <f aca="false">Sens!$R$4009+Sens!$R$4010</f>
        <v>0</v>
      </c>
      <c r="S4011" s="38" t="n">
        <f aca="false">Sens!$S$4009+Sens!$S$4010</f>
        <v>0.203463948620839</v>
      </c>
      <c r="T4011" s="38" t="n">
        <f aca="false">Sens!$T$4009+Sens!$T$4010</f>
        <v>3.62245206231783</v>
      </c>
      <c r="U4011" s="38" t="n">
        <f aca="false">Sens!$U$4009+Sens!$U$4010</f>
        <v>13.0319517750893</v>
      </c>
      <c r="V4011" s="38" t="n">
        <f aca="false">Sens!$V$4009+Sens!$V$4010</f>
        <v>35.2941921973308</v>
      </c>
      <c r="W4011" s="38" t="n">
        <f aca="false">Sens!$W$4009+Sens!$W$4010</f>
        <v>63.0173185714558</v>
      </c>
      <c r="X4011" s="38" t="n">
        <f aca="false">Sens!$X$4009+Sens!$X$4010</f>
        <v>91.7529624398725</v>
      </c>
      <c r="Y4011" s="38" t="n">
        <f aca="false">Sens!$Y$4009+Sens!$Y$4010</f>
        <v>121.178188209924</v>
      </c>
      <c r="Z4011" s="38" t="n">
        <f aca="false">Sens!$Z$4009+Sens!$Z$4010</f>
        <v>148.58073169504</v>
      </c>
      <c r="AA4011" s="38" t="n">
        <f aca="false">Sens!$AA$4009+Sens!$AA$4010</f>
        <v>176.698573390283</v>
      </c>
    </row>
    <row r="4012" customFormat="false" ht="17.15" hidden="false" customHeight="false" outlineLevel="0" collapsed="false">
      <c r="A4012" s="0" t="s">
        <v>595</v>
      </c>
      <c r="B4012" s="0" t="s">
        <v>73</v>
      </c>
      <c r="C4012" s="38" t="n">
        <f aca="false">Sens!$S$4012</f>
        <v>26.578941154416</v>
      </c>
      <c r="D4012" s="38" t="n">
        <f aca="false">Sens!$T$4012</f>
        <v>92.5251207231008</v>
      </c>
      <c r="G4012" s="38" t="n">
        <f aca="false">Sens!$U$4012</f>
        <v>239.931219586022</v>
      </c>
      <c r="H4012" s="38" t="n">
        <f aca="false">Sens!$V$4012</f>
        <v>403.208392333442</v>
      </c>
      <c r="I4012" s="38" t="n">
        <f aca="false">Sens!$W$4012</f>
        <v>544.837543672486</v>
      </c>
      <c r="J4012" s="38" t="n">
        <f aca="false">Sens!$X$4012</f>
        <v>662.967819343113</v>
      </c>
      <c r="K4012" s="38" t="n">
        <f aca="false">Sens!$Y$4012</f>
        <v>756.90963744369</v>
      </c>
      <c r="L4012" s="38" t="n">
        <f aca="false">Sens!$Z$4012</f>
        <v>860.10628945915</v>
      </c>
      <c r="M4012" s="38" t="n">
        <f aca="false">Sens!$AA$4012</f>
        <v>995.283560834616</v>
      </c>
      <c r="R4012" s="38" t="n">
        <f aca="false">SUM(Sens!$R$4004:$R$4004)-SUM(Sens!$R$4011:$R$4011)</f>
        <v>1.50429979529945</v>
      </c>
      <c r="S4012" s="38" t="n">
        <f aca="false">SUM(Sens!$R$4004:$S$4004)-SUM(Sens!$R$4011:$S$4011)</f>
        <v>26.578941154416</v>
      </c>
      <c r="T4012" s="38" t="n">
        <f aca="false">SUM(Sens!$R$4004:$T$4004)-SUM(Sens!$R$4011:$T$4011)</f>
        <v>92.5251207231008</v>
      </c>
      <c r="U4012" s="38" t="n">
        <f aca="false">SUM(Sens!$R$4004:$U$4004)-SUM(Sens!$R$4011:$U$4011)</f>
        <v>239.931219586022</v>
      </c>
      <c r="V4012" s="38" t="n">
        <f aca="false">SUM(Sens!$R$4004:$V$4004)-SUM(Sens!$R$4011:$V$4011)</f>
        <v>403.208392333442</v>
      </c>
      <c r="W4012" s="38" t="n">
        <f aca="false">SUM(Sens!$R$4004:$W$4004)-SUM(Sens!$R$4011:$W$4011)</f>
        <v>544.837543672486</v>
      </c>
      <c r="X4012" s="38" t="n">
        <f aca="false">SUM(Sens!$R$4004:$X$4004)-SUM(Sens!$R$4011:$X$4011)</f>
        <v>662.967819343113</v>
      </c>
      <c r="Y4012" s="38" t="n">
        <f aca="false">SUM(Sens!$R$4004:$Y$4004)-SUM(Sens!$R$4011:$Y$4011)</f>
        <v>756.90963744369</v>
      </c>
      <c r="Z4012" s="38" t="n">
        <f aca="false">SUM(Sens!$R$4004:$Z$4004)-SUM(Sens!$R$4011:$Z$4011)</f>
        <v>860.10628945915</v>
      </c>
      <c r="AA4012" s="38" t="n">
        <f aca="false">SUM(Sens!$R$4004:$AA$4004)-SUM(Sens!$R$4011:$AA$4011)</f>
        <v>995.283560834616</v>
      </c>
    </row>
    <row r="4013" customFormat="false" ht="17.15" hidden="false" customHeight="false" outlineLevel="0" collapsed="false">
      <c r="A4013" s="1" t="s">
        <v>596</v>
      </c>
    </row>
    <row r="4014" customFormat="false" ht="17.15" hidden="false" customHeight="false" outlineLevel="0" collapsed="false">
      <c r="A4014" s="0" t="s">
        <v>597</v>
      </c>
      <c r="B4014" s="0" t="s">
        <v>73</v>
      </c>
      <c r="C4014" s="38" t="n">
        <f aca="false">Sens!$C$3995-ext_sh*Sens!$C$3997</f>
        <v>1.80694998843362</v>
      </c>
      <c r="D4014" s="38" t="n">
        <f aca="false">Sens!$D$3995-ext_sh*Sens!$D$3997</f>
        <v>6.77606245662607</v>
      </c>
      <c r="E4014" s="38" t="n">
        <f aca="false">Sens!$E$3995-ext_sh*Sens!$E$3997</f>
        <v>6.62548329092326</v>
      </c>
      <c r="F4014" s="38" t="n">
        <f aca="false">Sens!$F$3995-ext_sh*Sens!$F$3997</f>
        <v>11.7200577158706</v>
      </c>
      <c r="G4014" s="38" t="n">
        <f aca="false">Sens!$G$3995-ext_sh*Sens!$G$3997</f>
        <v>18.3455410067939</v>
      </c>
      <c r="H4014" s="38" t="n">
        <f aca="false">Sens!$H$3995-ext_sh*Sens!$H$3997</f>
        <v>47.5171727060453</v>
      </c>
      <c r="I4014" s="38" t="n">
        <f aca="false">Sens!$I$3995-ext_sh*Sens!$I$3997</f>
        <v>80.5539692643667</v>
      </c>
      <c r="J4014" s="38" t="n">
        <f aca="false">Sens!$J$3995-ext_sh*Sens!$J$3997</f>
        <v>113.759316834883</v>
      </c>
      <c r="K4014" s="38" t="n">
        <f aca="false">Sens!$K$3995-ext_sh*Sens!$K$3997</f>
        <v>147.020848076132</v>
      </c>
      <c r="L4014" s="38" t="n">
        <f aca="false">Sens!$L$3995-ext_sh*Sens!$L$3997</f>
        <v>180.307917349531</v>
      </c>
      <c r="M4014" s="38" t="n">
        <f aca="false">Sens!$M$3995-ext_sh*Sens!$M$3997</f>
        <v>213.608737871012</v>
      </c>
      <c r="N4014" s="38" t="n">
        <f aca="false">Sens!$N$3995-ext_sh*Sens!$N$3997</f>
        <v>2.37162185981912</v>
      </c>
      <c r="O4014" s="38" t="n">
        <f aca="false">Sens!$O$3995-ext_sh*Sens!$O$3997</f>
        <v>4.40444059680694</v>
      </c>
    </row>
    <row r="4015" customFormat="false" ht="17.15" hidden="false" customHeight="false" outlineLevel="0" collapsed="false">
      <c r="A4015" s="1" t="s">
        <v>598</v>
      </c>
      <c r="B4015" s="8" t="s">
        <v>73</v>
      </c>
      <c r="C4015" s="38" t="n">
        <f aca="false">Sens!$C$4014-ext_sh*Sens!$C$4011</f>
        <v>1.64417882953695</v>
      </c>
      <c r="D4015" s="38" t="n">
        <f aca="false">Sens!$D$4014-ext_sh*Sens!$D$4011</f>
        <v>3.8781008067718</v>
      </c>
      <c r="E4015" s="38" t="n">
        <f aca="false">Sens!$E$4014-ext_sh*Sens!$E$4011</f>
        <v>1.41270258088753</v>
      </c>
      <c r="F4015" s="38" t="n">
        <f aca="false">Sens!$F$4014-ext_sh*Sens!$F$4011</f>
        <v>6.50727700583486</v>
      </c>
      <c r="G4015" s="38" t="n">
        <f aca="false">Sens!$G$4014-ext_sh*Sens!$G$4011</f>
        <v>7.9199795867224</v>
      </c>
      <c r="H4015" s="38" t="n">
        <f aca="false">Sens!$H$4014-ext_sh*Sens!$H$4011</f>
        <v>19.2818189481807</v>
      </c>
      <c r="I4015" s="38" t="n">
        <f aca="false">Sens!$I$4014-ext_sh*Sens!$I$4011</f>
        <v>30.140114407202</v>
      </c>
      <c r="J4015" s="38" t="n">
        <f aca="false">Sens!$J$4014-ext_sh*Sens!$J$4011</f>
        <v>40.3569468829854</v>
      </c>
      <c r="K4015" s="38" t="n">
        <f aca="false">Sens!$K$4014-ext_sh*Sens!$K$4011</f>
        <v>50.0782975081929</v>
      </c>
      <c r="L4015" s="38" t="n">
        <f aca="false">Sens!$L$4014-ext_sh*Sens!$L$4011</f>
        <v>61.443331993499</v>
      </c>
      <c r="M4015" s="38" t="n">
        <f aca="false">Sens!$M$4014-ext_sh*Sens!$M$4011</f>
        <v>72.2498791587849</v>
      </c>
      <c r="N4015" s="38" t="n">
        <f aca="false">Sens!$N$4014-ext_sh*Sens!$N$4011</f>
        <v>0.92264103489199</v>
      </c>
      <c r="O4015" s="38" t="n">
        <f aca="false">Sens!$O$4014-ext_sh*Sens!$O$4011</f>
        <v>2.95545977187981</v>
      </c>
    </row>
    <row r="4016" customFormat="false" ht="17.15" hidden="false" customHeight="false" outlineLevel="0" collapsed="false">
      <c r="A4016" s="0" t="s">
        <v>599</v>
      </c>
      <c r="B4016" s="0" t="s">
        <v>52</v>
      </c>
      <c r="C4016" s="12" t="n">
        <f aca="false">Sens!$C$4015/Sens!$C$3995</f>
        <v>0.708390794789371</v>
      </c>
      <c r="D4016" s="12" t="n">
        <f aca="false">Sens!$D$4015/Sens!$D$3995</f>
        <v>0.445565630441968</v>
      </c>
      <c r="E4016" s="12" t="n">
        <f aca="false">Sens!$E$4015/Sens!$E$3995</f>
        <v>0.165998118402711</v>
      </c>
      <c r="F4016" s="12" t="n">
        <f aca="false">Sens!$F$4015/Sens!$F$3995</f>
        <v>0.434878595403858</v>
      </c>
      <c r="G4016" s="12" t="n">
        <f aca="false">Sens!$G$4015/Sens!$G$3995</f>
        <v>0.3373967615381</v>
      </c>
      <c r="H4016" s="12" t="n">
        <f aca="false">Sens!$H$4015/Sens!$H$3995</f>
        <v>0.320477578041224</v>
      </c>
      <c r="I4016" s="12" t="n">
        <f aca="false">Sens!$I$4015/Sens!$I$3995</f>
        <v>0.296936118226494</v>
      </c>
      <c r="J4016" s="12" t="n">
        <f aca="false">Sens!$J$4015/Sens!$J$3995</f>
        <v>0.282166278613001</v>
      </c>
      <c r="K4016" s="12" t="n">
        <f aca="false">Sens!$K$4015/Sens!$K$3995</f>
        <v>0.271267685694333</v>
      </c>
      <c r="L4016" s="12" t="n">
        <f aca="false">Sens!$L$4015/Sens!$L$3995</f>
        <v>0.27160960915653</v>
      </c>
      <c r="M4016" s="12" t="n">
        <f aca="false">Sens!$M$4015/Sens!$M$3995</f>
        <v>0.26974494804234</v>
      </c>
      <c r="N4016" s="12" t="n">
        <f aca="false">Sens!$N$4015/Sens!$N$3995</f>
        <v>0.302870734830849</v>
      </c>
      <c r="O4016" s="12" t="n">
        <f aca="false">Sens!$O$4015/Sens!$O$3995</f>
        <v>0.52240134346334</v>
      </c>
    </row>
    <row r="4017" customFormat="false" ht="17.15" hidden="false" customHeight="false" outlineLevel="0" collapsed="false">
      <c r="A4017" s="5" t="s">
        <v>600</v>
      </c>
      <c r="B4017" s="0" t="s">
        <v>73</v>
      </c>
      <c r="C4017" s="38" t="n">
        <f aca="false">rd2*(1-ext_sh)/ext_sh*Sens!$C$3978*he_open*Sens!$C$3979/1000</f>
        <v>0</v>
      </c>
      <c r="D4017" s="38" t="n">
        <f aca="false">rd2*(1-ext_sh)/ext_sh*Sens!$D$3978*he_open*Sens!$D$3979/1000</f>
        <v>0</v>
      </c>
      <c r="E4017" s="38" t="n">
        <f aca="false">rd2*(1-ext_sh)/ext_sh*Sens!$E$3978*he_open*Sens!$E$3979/1000</f>
        <v>0</v>
      </c>
      <c r="F4017" s="38" t="n">
        <f aca="false">rd2*(1-ext_sh)/ext_sh*(mw_open*he_open+Sens!$F$3993*Sens!$F$3990)*Sens!$F$3979/1000</f>
        <v>0</v>
      </c>
      <c r="G4017" s="38" t="n">
        <f aca="false">Sens!$E$4017+Sens!$F$4017</f>
        <v>0</v>
      </c>
      <c r="H4017" s="38" t="n">
        <f aca="false">rd2*(1-ext_sh)/ext_sh*(mw_open*he_open+Sens!$H$3993*Sens!$H$3990)*Sens!$H$3979/1000</f>
        <v>0</v>
      </c>
      <c r="I4017" s="38" t="n">
        <f aca="false">rd2*(1-ext_sh)/ext_sh*(mw_open*he_open+Sens!$I$3993*Sens!$I$3990)*Sens!$I$3979/1000</f>
        <v>0</v>
      </c>
      <c r="J4017" s="38" t="n">
        <f aca="false">rd2*(1-ext_sh)/ext_sh*(mw_open*he_open+Sens!$J$3993*Sens!$J$3990)*Sens!$J$3979/1000</f>
        <v>0</v>
      </c>
      <c r="K4017" s="38" t="n">
        <f aca="false">rd2*(1-ext_sh)/ext_sh*(mw_open*he_open+Sens!$K$3993*Sens!$K$3990)*Sens!$K$3979/1000</f>
        <v>0</v>
      </c>
      <c r="L4017" s="38" t="n">
        <f aca="false">rd2*(1-ext_sh)/ext_sh*(mw_open*he_open+Sens!$L$3993*Sens!$L$3990)*Sens!$L$3979/1000</f>
        <v>0</v>
      </c>
      <c r="M4017" s="38" t="n">
        <f aca="false">rd2*(1-ext_sh)/ext_sh*(mw_open*he_open+Sens!$M$3993*Sens!$M$3990)*Sens!$M$3979/1000</f>
        <v>0</v>
      </c>
      <c r="N4017" s="38" t="n">
        <f aca="false">rd2*(1-ext_sh)/ext_sh*Sens!$N$3978*he_open*Sens!$N$3979/1000</f>
        <v>0</v>
      </c>
      <c r="O4017" s="38" t="n">
        <f aca="false">rd2*(1-ext_sh)/ext_sh*Sens!$O$3978*he_open*Sens!$O$3979/1000</f>
        <v>0</v>
      </c>
      <c r="P4017" s="8" t="s">
        <v>601</v>
      </c>
    </row>
    <row r="4018" customFormat="false" ht="17.15" hidden="false" customHeight="false" outlineLevel="0" collapsed="false">
      <c r="A4018" s="5" t="s">
        <v>602</v>
      </c>
      <c r="B4018" s="0" t="s">
        <v>73</v>
      </c>
      <c r="C4018" s="38" t="n">
        <f aca="false">(1-ext_sh)*(Sens!$C$3997+Sens!$C$4011)-Sens!$C$4017</f>
        <v>0.169206631859174</v>
      </c>
      <c r="D4018" s="38" t="n">
        <f aca="false">(1-ext_sh)*(Sens!$D$3997+Sens!$D$4011)-Sens!$D$4017</f>
        <v>1.20641732046984</v>
      </c>
      <c r="E4018" s="38" t="n">
        <f aca="false">(1-ext_sh)*(Sens!$E$3997+Sens!$E$4011)-Sens!$E$4017</f>
        <v>1.77441259867062</v>
      </c>
      <c r="F4018" s="38" t="n">
        <f aca="false">(1-ext_sh)*(Sens!$F$3997+Sens!$F$4011)-Sens!$F$4017</f>
        <v>2.1140391597214</v>
      </c>
      <c r="G4018" s="38" t="n">
        <f aca="false">(1-ext_sh)*(Sens!$G$3997+Sens!$G$4011)-Sens!$G$4017</f>
        <v>3.88845175839202</v>
      </c>
      <c r="H4018" s="38" t="n">
        <f aca="false">(1-ext_sh)*(Sens!$H$3997+Sens!$H$4011)-Sens!$H$4017</f>
        <v>10.2210179503985</v>
      </c>
      <c r="I4018" s="38" t="n">
        <f aca="false">(1-ext_sh)*(Sens!$I$3997+Sens!$I$4011)-Sens!$I$4017</f>
        <v>17.8408961823075</v>
      </c>
      <c r="J4018" s="38" t="n">
        <f aca="false">(1-ext_sh)*(Sens!$J$3997+Sens!$J$4011)-Sens!$J$4017</f>
        <v>25.6671150670732</v>
      </c>
      <c r="K4018" s="38" t="n">
        <f aca="false">(1-ext_sh)*(Sens!$K$3997+Sens!$K$4011)-Sens!$K$4017</f>
        <v>33.6325293834986</v>
      </c>
      <c r="L4018" s="38" t="n">
        <f aca="false">(1-ext_sh)*(Sens!$L$3997+Sens!$L$4011)-Sens!$L$4017</f>
        <v>41.1939886299065</v>
      </c>
      <c r="M4018" s="38" t="n">
        <f aca="false">(1-ext_sh)*(Sens!$M$3997+Sens!$M$4011)-Sens!$M$4017</f>
        <v>48.8988205728617</v>
      </c>
      <c r="N4018" s="38" t="n">
        <f aca="false">(1-ext_sh)*(Sens!$N$3997+Sens!$N$4011)-Sens!$N$4017</f>
        <v>0.530919624033979</v>
      </c>
      <c r="O4018" s="38" t="n">
        <f aca="false">(1-ext_sh)*(Sens!$O$3997+Sens!$O$4011)-Sens!$O$4017</f>
        <v>0.675497696435861</v>
      </c>
    </row>
    <row r="4019" customFormat="false" ht="17.15" hidden="false" customHeight="false" outlineLevel="0" collapsed="false">
      <c r="A4019" s="0" t="s">
        <v>603</v>
      </c>
      <c r="B4019" s="0" t="s">
        <v>73</v>
      </c>
      <c r="C4019" s="38" t="n">
        <f aca="false">Q!$D$24</f>
        <v>39.834</v>
      </c>
      <c r="D4019" s="38" t="n">
        <f aca="false">Q!$E$24</f>
        <v>45.606</v>
      </c>
      <c r="E4019" s="38" t="n">
        <f aca="false">Q!$P$24</f>
        <v>30.782</v>
      </c>
      <c r="N4019" s="38" t="n">
        <f aca="false">Q!$N$24</f>
        <v>21.707</v>
      </c>
      <c r="O4019" s="38" t="n">
        <f aca="false">Q!$O$24</f>
        <v>23.899</v>
      </c>
    </row>
    <row r="4020" customFormat="false" ht="17.15" hidden="false" customHeight="false" outlineLevel="0" collapsed="false">
      <c r="A4020" s="0" t="s">
        <v>604</v>
      </c>
      <c r="B4020" s="0" t="s">
        <v>73</v>
      </c>
      <c r="C4020" s="38" t="n">
        <f aca="false">Sens!$C$4019-Sens!$C$4015</f>
        <v>38.1898211704631</v>
      </c>
      <c r="D4020" s="38" t="n">
        <f aca="false">Sens!$D$4019-Sens!$D$4015</f>
        <v>41.7278991932282</v>
      </c>
      <c r="E4020" s="38" t="n">
        <f aca="false">Sens!$E$4019-Sens!$E$4015</f>
        <v>29.3692974191125</v>
      </c>
      <c r="F4020" s="38" t="n">
        <f aca="false">Sens!$F$3999*Sens!$F$4021</f>
        <v>29.458060516894</v>
      </c>
      <c r="G4020" s="38" t="n">
        <f aca="false">Sens!$E$4020+Sens!$F$4020</f>
        <v>58.8273579360065</v>
      </c>
      <c r="H4020" s="38" t="n">
        <f aca="false">Sens!$H$3999*Sens!$H$4021</f>
        <v>67.8004040185081</v>
      </c>
      <c r="I4020" s="38" t="n">
        <f aca="false">Sens!$I$3999*Sens!$I$4021</f>
        <v>78.9527630302702</v>
      </c>
      <c r="J4020" s="38" t="n">
        <f aca="false">Sens!$J$3999*Sens!$J$4021</f>
        <v>88.6042681781841</v>
      </c>
      <c r="K4020" s="38" t="n">
        <f aca="false">Sens!$K$3999*Sens!$K$4021</f>
        <v>95.6926096324389</v>
      </c>
      <c r="L4020" s="38" t="n">
        <f aca="false">Sens!$L$3999*Sens!$L$4021</f>
        <v>103.348018403034</v>
      </c>
      <c r="M4020" s="38" t="n">
        <f aca="false">Sens!$M$3999*Sens!$M$4021</f>
        <v>111.615859875277</v>
      </c>
      <c r="N4020" s="38" t="n">
        <f aca="false">Sens!$N$4019-Sens!$N$4015</f>
        <v>20.784358965108</v>
      </c>
      <c r="O4020" s="38" t="n">
        <f aca="false">Sens!$O$4019-Sens!$O$4015</f>
        <v>20.9435402281202</v>
      </c>
      <c r="P4020" s="5" t="s">
        <v>605</v>
      </c>
    </row>
    <row r="4021" customFormat="false" ht="17.15" hidden="false" customHeight="false" outlineLevel="0" collapsed="false">
      <c r="A4021" s="0" t="s">
        <v>606</v>
      </c>
      <c r="B4021" s="0" t="s">
        <v>52</v>
      </c>
      <c r="C4021" s="12" t="n">
        <f aca="false">Sens!$C$4020/Sens!$C$3999</f>
        <v>0.362900395443635</v>
      </c>
      <c r="D4021" s="12" t="n">
        <f aca="false">Sens!$D$4020/Sens!$D$3999</f>
        <v>0.34767098474203</v>
      </c>
      <c r="E4021" s="12" t="n">
        <f aca="false">Sens!$E$4020/Sens!$E$3999</f>
        <v>0.411861655558416</v>
      </c>
      <c r="F4021" s="12" t="n">
        <f aca="false">(Sens!$O$4020+Sens!$E$4020)/(Sens!$O$3999+Sens!$E$3999)</f>
        <v>0.37480827803158</v>
      </c>
      <c r="G4021" s="12" t="n">
        <f aca="false">Sens!$G$4020/Sens!$G$3999</f>
        <v>0.392434440489471</v>
      </c>
      <c r="H4021" s="12" t="n">
        <f aca="false">Sens!$F$4021</f>
        <v>0.37480827803158</v>
      </c>
      <c r="I4021" s="12" t="n">
        <f aca="false">Sens!$F$4021</f>
        <v>0.37480827803158</v>
      </c>
      <c r="J4021" s="12" t="n">
        <f aca="false">Sens!$F$4021</f>
        <v>0.37480827803158</v>
      </c>
      <c r="K4021" s="12" t="n">
        <f aca="false">Sens!$F$4021</f>
        <v>0.37480827803158</v>
      </c>
      <c r="L4021" s="12" t="n">
        <f aca="false">Sens!$F$4021</f>
        <v>0.37480827803158</v>
      </c>
      <c r="M4021" s="12" t="n">
        <f aca="false">Sens!$F$4021</f>
        <v>0.37480827803158</v>
      </c>
      <c r="N4021" s="12" t="n">
        <f aca="false">Sens!$N$4020/Sens!$N$3999</f>
        <v>0.364039571356823</v>
      </c>
      <c r="O4021" s="12" t="n">
        <f aca="false">Sens!$O$4020/Sens!$O$3999</f>
        <v>0.332819892300086</v>
      </c>
      <c r="P4021" s="8" t="s">
        <v>607</v>
      </c>
    </row>
    <row r="4022" customFormat="false" ht="17.15" hidden="false" customHeight="false" outlineLevel="0" collapsed="false">
      <c r="A4022" s="0" t="s">
        <v>608</v>
      </c>
      <c r="B4022" s="0" t="s">
        <v>52</v>
      </c>
      <c r="D4022" s="12" t="n">
        <f aca="false">(Q!$E$31-ext_sh*Sens!$D$4011)/Sens!$D$3999</f>
        <v>0.154572973163571</v>
      </c>
    </row>
    <row r="4023" customFormat="false" ht="17.15" hidden="false" customHeight="false" outlineLevel="0" collapsed="false">
      <c r="A4023" s="0" t="s">
        <v>609</v>
      </c>
      <c r="B4023" s="0" t="s">
        <v>73</v>
      </c>
      <c r="C4023" s="38" t="n">
        <f aca="false">Q!$D$31</f>
        <v>13.32</v>
      </c>
      <c r="D4023" s="38" t="n">
        <f aca="false">Q!$E$31</f>
        <v>21.45</v>
      </c>
      <c r="E4023" s="38" t="n">
        <f aca="false">Q!$P$31</f>
        <v>15.353</v>
      </c>
      <c r="F4023" s="38" t="n">
        <f aca="false">ext_sh*Sens!$F$4011+Sens!$D$4022*Sens!$F$3999</f>
        <v>17.3614451462707</v>
      </c>
      <c r="G4023" s="38" t="n">
        <f aca="false">Sens!$E$4023+Sens!$F$4023</f>
        <v>32.7144451462707</v>
      </c>
      <c r="H4023" s="38" t="n">
        <f aca="false">ext_sh*Sens!$H$4011+Sens!$D$4022*Sens!$H$3999</f>
        <v>56.1966092719415</v>
      </c>
      <c r="I4023" s="38" t="n">
        <f aca="false">ext_sh*Sens!$I$4011+Sens!$D$4022*Sens!$I$3999</f>
        <v>82.9744039068297</v>
      </c>
      <c r="J4023" s="38" t="n">
        <f aca="false">ext_sh*Sens!$J$4011+Sens!$D$4022*Sens!$J$3999</f>
        <v>109.943252237669</v>
      </c>
      <c r="K4023" s="38" t="n">
        <f aca="false">ext_sh*Sens!$K$4011+Sens!$D$4022*Sens!$K$3999</f>
        <v>136.406703436571</v>
      </c>
      <c r="L4023" s="38" t="n">
        <f aca="false">ext_sh*Sens!$L$4011+Sens!$D$4022*Sens!$L$3999</f>
        <v>161.485870454155</v>
      </c>
      <c r="M4023" s="38" t="n">
        <f aca="false">ext_sh*Sens!$M$4011+Sens!$D$4022*Sens!$M$3999</f>
        <v>187.389846618199</v>
      </c>
      <c r="N4023" s="38" t="n">
        <f aca="false">Q!$N$31</f>
        <v>9.234</v>
      </c>
      <c r="O4023" s="38" t="n">
        <f aca="false">Q!$O$31</f>
        <v>12.216</v>
      </c>
    </row>
    <row r="4024" customFormat="false" ht="17.15" hidden="false" customHeight="false" outlineLevel="0" collapsed="false">
      <c r="A4024" s="1" t="s">
        <v>610</v>
      </c>
    </row>
    <row r="4025" customFormat="false" ht="17.15" hidden="false" customHeight="false" outlineLevel="0" collapsed="false">
      <c r="A4025" s="14" t="s">
        <v>611</v>
      </c>
      <c r="B4025" s="13" t="s">
        <v>52</v>
      </c>
      <c r="C4025" s="13"/>
      <c r="D4025" s="13"/>
      <c r="E4025" s="13"/>
      <c r="F4025" s="13"/>
      <c r="G4025" s="16" t="n">
        <f aca="false">Sens!$G$4015*(1-tax)/(ext_sh*(Sens!$D$4012+Sens!$G$4012)/2)</f>
        <v>0.0492184452944045</v>
      </c>
      <c r="H4025" s="16" t="n">
        <f aca="false">Sens!$H$4015*(1-tax)/(ext_sh*(Sens!$G$4012+Sens!$H$4012)/2)</f>
        <v>0.0619414246858107</v>
      </c>
      <c r="I4025" s="16" t="n">
        <f aca="false">Sens!$I$4015*(1-tax)/(ext_sh*(Sens!$H$4012+Sens!$I$4012)/2)</f>
        <v>0.0656831488051666</v>
      </c>
      <c r="J4025" s="16" t="n">
        <f aca="false">Sens!$J$4015*(1-tax)/(ext_sh*(Sens!$I$4012+Sens!$J$4012)/2)</f>
        <v>0.0690334849962116</v>
      </c>
      <c r="K4025" s="16" t="n">
        <f aca="false">Sens!$K$4015*(1-tax)/(ext_sh*(Sens!$J$4012+Sens!$K$4012)/2)</f>
        <v>0.0728680488295485</v>
      </c>
      <c r="L4025" s="16" t="n">
        <f aca="false">Sens!$L$4015*(1-tax)/(ext_sh*(Sens!$K$4012+Sens!$L$4012)/2)</f>
        <v>0.0785052878122331</v>
      </c>
      <c r="M4025" s="16" t="n">
        <f aca="false">Sens!$M$4015*(1-tax)/(ext_sh*(Sens!$L$4012+Sens!$M$4012)/2)</f>
        <v>0.0804526580722741</v>
      </c>
      <c r="N4025" s="13"/>
      <c r="O4025" s="13"/>
      <c r="P4025" s="8" t="s">
        <v>612</v>
      </c>
    </row>
    <row r="4026" customFormat="false" ht="17.15" hidden="false" customHeight="false" outlineLevel="0" collapsed="false">
      <c r="A4026" s="5" t="s">
        <v>613</v>
      </c>
      <c r="B4026" s="0" t="s">
        <v>57</v>
      </c>
      <c r="H4026" s="36" t="n">
        <f aca="false">Sens!$H$3995*1000/(mw_open*he_open+Sens!$H$3993*Sens!$H$3990)</f>
        <v>0.991949006767191</v>
      </c>
      <c r="I4026" s="36" t="n">
        <f aca="false">Sens!$I$3995*1000/(mw_open*he_open+Sens!$I$3993*Sens!$I$3990)</f>
        <v>0.991949006767191</v>
      </c>
      <c r="J4026" s="36" t="n">
        <f aca="false">Sens!$J$3995*1000/(mw_open*he_open+Sens!$J$3993*Sens!$J$3990)</f>
        <v>0.991949006767191</v>
      </c>
      <c r="K4026" s="36" t="n">
        <f aca="false">Sens!$K$3995*1000/(mw_open*he_open+Sens!$K$3993*Sens!$K$3990)</f>
        <v>0.991949006767191</v>
      </c>
      <c r="L4026" s="36" t="n">
        <f aca="false">Sens!$L$3995*1000/(mw_open*he_open+Sens!$L$3993*Sens!$L$3990)</f>
        <v>0.991949006767191</v>
      </c>
      <c r="M4026" s="36" t="n">
        <f aca="false">Sens!$M$3995*1000/(mw_open*he_open+Sens!$M$3993*Sens!$M$3990)</f>
        <v>0.991949006767192</v>
      </c>
    </row>
    <row r="4027" customFormat="false" ht="17.15" hidden="false" customHeight="false" outlineLevel="0" collapsed="false">
      <c r="A4027" s="5" t="s">
        <v>614</v>
      </c>
      <c r="B4027" s="0" t="s">
        <v>57</v>
      </c>
      <c r="H4027" s="36" t="n">
        <f aca="false">Sens!$H$4026*(Sens!$H$3995+wacc*ext_sh*(Sens!$G$4012+Sens!$H$4012)/2/(1-tax)-Sens!$H$4015)/Sens!$H$3995</f>
        <v>1.3149781212103</v>
      </c>
      <c r="I4027" s="36" t="n">
        <f aca="false">Sens!$I$4026*(Sens!$I$3995+wacc*ext_sh*(Sens!$H$4012+Sens!$I$4012)/2/(1-tax)-Sens!$I$4015)/Sens!$I$3995</f>
        <v>1.25742005569107</v>
      </c>
      <c r="J4027" s="36" t="n">
        <f aca="false">Sens!$J$4026*(Sens!$J$3995+wacc*ext_sh*(Sens!$I$4012+Sens!$J$4012)/2/(1-tax)-Sens!$J$4015)/Sens!$J$3995</f>
        <v>1.21838845868559</v>
      </c>
      <c r="K4027" s="36" t="n">
        <f aca="false">Sens!$K$4026*(Sens!$K$3995+wacc*ext_sh*(Sens!$J$4012+Sens!$K$4012)/2/(1-tax)-Sens!$K$4015)/Sens!$K$3995</f>
        <v>1.18402644209548</v>
      </c>
      <c r="L4027" s="36" t="n">
        <f aca="false">Sens!$L$4026*(Sens!$L$3995+wacc*ext_sh*(Sens!$K$4012+Sens!$L$4012)/2/(1-tax)-Sens!$L$4015)/Sens!$L$3995</f>
        <v>1.15111215322059</v>
      </c>
      <c r="M4027" s="36" t="n">
        <f aca="false">Sens!$M$4026*(Sens!$M$3995+wacc*ext_sh*(Sens!$L$4012+Sens!$M$4012)/2/(1-tax)-Sens!$M$4015)/Sens!$M$3995</f>
        <v>1.1397166845677</v>
      </c>
    </row>
    <row r="4028" customFormat="false" ht="17.15" hidden="false" customHeight="false" outlineLevel="0" collapsed="false">
      <c r="A4028" s="5" t="s">
        <v>615</v>
      </c>
      <c r="B4028" s="0" t="s">
        <v>52</v>
      </c>
      <c r="C4028" s="12" t="n">
        <f aca="false">Sens!$C$3996/tk_pq</f>
        <v>0.195316432429398</v>
      </c>
      <c r="D4028" s="12" t="n">
        <f aca="false">Sens!$D$3996/tk_pq</f>
        <v>0.195316432429398</v>
      </c>
      <c r="E4028" s="12" t="n">
        <f aca="false">Sens!$E$3996/tk_pq</f>
        <v>0.195316432429398</v>
      </c>
      <c r="F4028" s="12" t="n">
        <f aca="false">Sens!$F$3996/tk_pq</f>
        <v>0.202241827274866</v>
      </c>
      <c r="G4028" s="12" t="n">
        <f aca="false">Sens!$G$3996/tk_pq</f>
        <v>0.199675016194063</v>
      </c>
      <c r="H4028" s="12" t="n">
        <f aca="false">Sens!$H$3996/tk_pq</f>
        <v>0.212647947710325</v>
      </c>
      <c r="I4028" s="12" t="n">
        <f aca="false">Sens!$I$3996/tk_pq</f>
        <v>0.219285125475351</v>
      </c>
      <c r="J4028" s="12" t="n">
        <f aca="false">Sens!$J$3996/tk_pq</f>
        <v>0.222492493217189</v>
      </c>
      <c r="K4028" s="12" t="n">
        <f aca="false">Sens!$K$3996/tk_pq</f>
        <v>0.224371415939166</v>
      </c>
      <c r="L4028" s="12" t="n">
        <f aca="false">Sens!$L$3996/tk_pq</f>
        <v>0.225603749825993</v>
      </c>
      <c r="M4028" s="12" t="n">
        <f aca="false">Sens!$M$3996/tk_pq</f>
        <v>0.22647376274628</v>
      </c>
      <c r="N4028" s="12" t="n">
        <f aca="false">Sens!$N$3996/tk_pq</f>
        <v>0.195316432429398</v>
      </c>
      <c r="O4028" s="12" t="n">
        <f aca="false">Sens!$O$3996/tk_pq</f>
        <v>0.195316432429398</v>
      </c>
      <c r="P4028" s="5" t="s">
        <v>616</v>
      </c>
    </row>
    <row r="4031" customFormat="false" ht="17.15" hidden="false" customHeight="false" outlineLevel="0" collapsed="false">
      <c r="A4031" s="1" t="s">
        <v>643</v>
      </c>
    </row>
    <row r="4032" customFormat="false" ht="17.15" hidden="false" customHeight="false" outlineLevel="0" collapsed="false">
      <c r="A4032" s="0" t="s">
        <v>644</v>
      </c>
      <c r="B4032" s="0" t="s">
        <v>73</v>
      </c>
      <c r="C4032" s="38" t="n">
        <f aca="false">Sens!$C$3995</f>
        <v>2.32100535697364</v>
      </c>
      <c r="D4032" s="38" t="n">
        <f aca="false">Sens!$D$3995</f>
        <v>8.70377008865116</v>
      </c>
      <c r="E4032" s="38" t="n">
        <f aca="false">Sens!$E$3995</f>
        <v>8.51035297557002</v>
      </c>
      <c r="F4032" s="38" t="n">
        <f aca="false">Sens!$F$3995</f>
        <v>14.9634336447205</v>
      </c>
      <c r="G4032" s="38" t="n">
        <f aca="false">Sens!$G$3995</f>
        <v>23.4737866202905</v>
      </c>
      <c r="H4032" s="38" t="n">
        <f aca="false">Sens!$H$3995</f>
        <v>60.1658907497746</v>
      </c>
      <c r="I4032" s="38" t="n">
        <f aca="false">Sens!$I$3995</f>
        <v>101.503699136432</v>
      </c>
      <c r="J4032" s="38" t="n">
        <f aca="false">Sens!$J$3995</f>
        <v>143.025407151278</v>
      </c>
      <c r="K4032" s="38" t="n">
        <f aca="false">Sens!$K$3995</f>
        <v>184.608415042187</v>
      </c>
      <c r="L4032" s="38" t="n">
        <f aca="false">Sens!$L$3995</f>
        <v>226.219286513125</v>
      </c>
      <c r="M4032" s="38" t="n">
        <f aca="false">Sens!$M$3995</f>
        <v>267.845161450232</v>
      </c>
      <c r="N4032" s="38" t="n">
        <f aca="false">Sens!$N$3995</f>
        <v>3.04631953102791</v>
      </c>
      <c r="O4032" s="38" t="n">
        <f aca="false">Sens!$O$3995</f>
        <v>5.65745055762326</v>
      </c>
      <c r="P4032" s="8" t="s">
        <v>645</v>
      </c>
    </row>
    <row r="4033" customFormat="false" ht="17.15" hidden="false" customHeight="false" outlineLevel="0" collapsed="false">
      <c r="A4033" s="0" t="s">
        <v>646</v>
      </c>
      <c r="B4033" s="0" t="s">
        <v>73</v>
      </c>
      <c r="C4033" s="38" t="n">
        <f aca="false">Sens!$C$3999</f>
        <v>105.234994643026</v>
      </c>
      <c r="D4033" s="38" t="n">
        <f aca="false">Sens!$D$3999</f>
        <v>120.021229911349</v>
      </c>
      <c r="E4033" s="38" t="n">
        <f aca="false">Sens!$E$3999</f>
        <v>71.30864702443</v>
      </c>
      <c r="F4033" s="38" t="n">
        <f aca="false">Sens!$F$3999</f>
        <v>78.5950104186653</v>
      </c>
      <c r="G4033" s="38" t="n">
        <f aca="false">Sens!$G$3999</f>
        <v>149.903657443095</v>
      </c>
      <c r="H4033" s="38" t="n">
        <f aca="false">Sens!$H$3999</f>
        <v>180.893560768142</v>
      </c>
      <c r="I4033" s="38" t="n">
        <f aca="false">Sens!$I$3999</f>
        <v>210.64839721501</v>
      </c>
      <c r="J4033" s="38" t="n">
        <f aca="false">Sens!$J$3999</f>
        <v>236.398909446495</v>
      </c>
      <c r="K4033" s="38" t="n">
        <f aca="false">Sens!$K$3999</f>
        <v>255.310822202215</v>
      </c>
      <c r="L4033" s="38" t="n">
        <f aca="false">Sens!$L$3999</f>
        <v>275.735687978392</v>
      </c>
      <c r="M4033" s="38" t="n">
        <f aca="false">Sens!$M$3999</f>
        <v>297.794543016663</v>
      </c>
      <c r="N4033" s="38" t="n">
        <f aca="false">Sens!$N$3999</f>
        <v>57.0936804689721</v>
      </c>
      <c r="O4033" s="38" t="n">
        <f aca="false">Sens!$O$3999</f>
        <v>62.9275494423768</v>
      </c>
      <c r="P4033" s="8" t="s">
        <v>645</v>
      </c>
    </row>
    <row r="4034" customFormat="false" ht="17.15" hidden="false" customHeight="false" outlineLevel="0" collapsed="false">
      <c r="A4034" s="1" t="s">
        <v>476</v>
      </c>
      <c r="B4034" s="8" t="s">
        <v>73</v>
      </c>
      <c r="C4034" s="38" t="n">
        <f aca="false">Q!$D$7</f>
        <v>107.556</v>
      </c>
      <c r="D4034" s="38" t="n">
        <f aca="false">Q!$E$7</f>
        <v>128.725</v>
      </c>
      <c r="E4034" s="38" t="n">
        <f aca="false">Q!$P$7</f>
        <v>79.819</v>
      </c>
      <c r="F4034" s="38" t="n">
        <f aca="false">Sens!$F$4032+Sens!$F$4033</f>
        <v>93.5584440633857</v>
      </c>
      <c r="G4034" s="38" t="n">
        <f aca="false">Sens!$G$4032+Sens!$G$4033</f>
        <v>173.377444063386</v>
      </c>
      <c r="H4034" s="38" t="n">
        <f aca="false">Sens!$H$4032+Sens!$H$4033</f>
        <v>241.059451517916</v>
      </c>
      <c r="I4034" s="38" t="n">
        <f aca="false">Sens!$I$4032+Sens!$I$4033</f>
        <v>312.152096351442</v>
      </c>
      <c r="J4034" s="38" t="n">
        <f aca="false">Sens!$J$4032+Sens!$J$4033</f>
        <v>379.424316597773</v>
      </c>
      <c r="K4034" s="38" t="n">
        <f aca="false">Sens!$K$4032+Sens!$K$4033</f>
        <v>439.919237244402</v>
      </c>
      <c r="L4034" s="38" t="n">
        <f aca="false">Sens!$L$4032+Sens!$L$4033</f>
        <v>501.954974491517</v>
      </c>
      <c r="M4034" s="38" t="n">
        <f aca="false">Sens!$M$4032+Sens!$M$4033</f>
        <v>565.639704466895</v>
      </c>
      <c r="N4034" s="38" t="n">
        <f aca="false">Q!$N$7</f>
        <v>60.14</v>
      </c>
      <c r="O4034" s="38" t="n">
        <f aca="false">Q!$O$7</f>
        <v>68.585</v>
      </c>
      <c r="P4034" s="5" t="s">
        <v>647</v>
      </c>
    </row>
    <row r="4035" customFormat="false" ht="15" hidden="false" customHeight="false" outlineLevel="0" collapsed="false">
      <c r="A4035" s="3" t="s">
        <v>648</v>
      </c>
      <c r="B4035" s="8" t="s">
        <v>73</v>
      </c>
      <c r="C4035" s="38" t="n">
        <f aca="false">Q!$D$8</f>
        <v>637.959</v>
      </c>
      <c r="D4035" s="38" t="n">
        <f aca="false">Q!$E$8</f>
        <v>716.924</v>
      </c>
      <c r="E4035" s="38" t="n">
        <f aca="false">Q!$P$8</f>
        <v>382.125</v>
      </c>
      <c r="F4035" s="38" t="n">
        <f aca="false">Sens!$F$3968+Sens!$F$4034</f>
        <v>450.494873271816</v>
      </c>
      <c r="G4035" s="38" t="n">
        <f aca="false">Sens!$G$3968+Sens!$G$4034</f>
        <v>832.619873271816</v>
      </c>
      <c r="H4035" s="38" t="n">
        <f aca="false">Sens!$H$3968+Sens!$H$4034</f>
        <v>970.995189139617</v>
      </c>
      <c r="I4035" s="38" t="n">
        <f aca="false">Sens!$I$3968+Sens!$I$4034</f>
        <v>1110.44766604932</v>
      </c>
      <c r="J4035" s="38" t="n">
        <f aca="false">Sens!$J$3968+Sens!$J$4034</f>
        <v>1241.16113892356</v>
      </c>
      <c r="K4035" s="38" t="n">
        <f aca="false">Sens!$K$3968+Sens!$K$4034</f>
        <v>1357.47672934633</v>
      </c>
      <c r="L4035" s="38" t="n">
        <f aca="false">Sens!$L$3968+Sens!$L$4034</f>
        <v>1479.24006423468</v>
      </c>
      <c r="M4035" s="38" t="n">
        <f aca="false">Sens!$M$3968+Sens!$M$4034</f>
        <v>1606.8537230104</v>
      </c>
      <c r="N4035" s="38" t="n">
        <f aca="false">Q!$N$8</f>
        <v>323.369</v>
      </c>
      <c r="O4035" s="38" t="n">
        <f aca="false">Q!$O$8</f>
        <v>393.555</v>
      </c>
    </row>
    <row r="4036" customFormat="false" ht="17.15" hidden="false" customHeight="false" outlineLevel="0" collapsed="false">
      <c r="A4036" s="24" t="s">
        <v>656</v>
      </c>
      <c r="B4036" s="25" t="s">
        <v>73</v>
      </c>
      <c r="C4036" s="39" t="n">
        <f aca="false">Sens!$C$3968-(Sens!$C$3970+Sens!$C$3971)</f>
        <v>0</v>
      </c>
      <c r="D4036" s="39" t="n">
        <f aca="false">Sens!$D$3968-(Sens!$D$3970+Sens!$D$3971)</f>
        <v>0</v>
      </c>
      <c r="E4036" s="39" t="n">
        <f aca="false">Sens!$E$3968-(Sens!$E$3970+Sens!$E$3971)</f>
        <v>0</v>
      </c>
      <c r="F4036" s="39" t="n">
        <f aca="false">Sens!$F$3968-(Sens!$F$3970+Sens!$F$3971)</f>
        <v>0</v>
      </c>
      <c r="G4036" s="39" t="n">
        <f aca="false">Sens!$G$3968-(Sens!$G$3970+Sens!$G$3971)</f>
        <v>0</v>
      </c>
      <c r="H4036" s="39" t="n">
        <f aca="false">Sens!$H$3968-(Sens!$H$3970+Sens!$H$3971)</f>
        <v>0</v>
      </c>
      <c r="I4036" s="39" t="n">
        <f aca="false">Sens!$I$3968-(Sens!$I$3970+Sens!$I$3971)</f>
        <v>0</v>
      </c>
      <c r="J4036" s="39" t="n">
        <f aca="false">Sens!$J$3968-(Sens!$J$3970+Sens!$J$3971)</f>
        <v>0</v>
      </c>
      <c r="K4036" s="39" t="n">
        <f aca="false">Sens!$K$3968-(Sens!$K$3970+Sens!$K$3971)</f>
        <v>0</v>
      </c>
      <c r="L4036" s="39" t="n">
        <f aca="false">Sens!$L$3968-(Sens!$L$3970+Sens!$L$3971)</f>
        <v>0</v>
      </c>
      <c r="M4036" s="39" t="n">
        <f aca="false">Sens!$M$3968-(Sens!$M$3970+Sens!$M$3971)</f>
        <v>0</v>
      </c>
      <c r="N4036" s="39" t="n">
        <f aca="false">Sens!$N$3968-(Sens!$N$3970+Sens!$N$3971)</f>
        <v>0</v>
      </c>
      <c r="O4036" s="39" t="n">
        <f aca="false">Sens!$O$3968-(Sens!$O$3970+Sens!$O$3971)</f>
        <v>0</v>
      </c>
    </row>
    <row r="4037" customFormat="false" ht="17.15" hidden="false" customHeight="false" outlineLevel="0" collapsed="false">
      <c r="A4037" s="24" t="s">
        <v>657</v>
      </c>
      <c r="B4037" s="25" t="s">
        <v>73</v>
      </c>
      <c r="C4037" s="39" t="n">
        <f aca="false">Sens!$C$4032+Sens!$C$4033-Sens!$C$4034</f>
        <v>0</v>
      </c>
      <c r="D4037" s="39" t="n">
        <f aca="false">Sens!$D$4032+Sens!$D$4033-Sens!$D$4034</f>
        <v>0</v>
      </c>
      <c r="E4037" s="39" t="n">
        <f aca="false">Sens!$E$4032+Sens!$E$4033-Sens!$E$4034</f>
        <v>0</v>
      </c>
      <c r="F4037" s="39" t="n">
        <f aca="false">Sens!$F$4032+Sens!$F$4033-Sens!$F$4034</f>
        <v>0</v>
      </c>
      <c r="G4037" s="39" t="n">
        <f aca="false">Sens!$G$4032+Sens!$G$4033-Sens!$G$4034</f>
        <v>0</v>
      </c>
      <c r="H4037" s="39" t="n">
        <f aca="false">Sens!$H$4032+Sens!$H$4033-Sens!$H$4034</f>
        <v>0</v>
      </c>
      <c r="I4037" s="39" t="n">
        <f aca="false">Sens!$I$4032+Sens!$I$4033-Sens!$I$4034</f>
        <v>0</v>
      </c>
      <c r="J4037" s="39" t="n">
        <f aca="false">Sens!$J$4032+Sens!$J$4033-Sens!$J$4034</f>
        <v>0</v>
      </c>
      <c r="K4037" s="39" t="n">
        <f aca="false">Sens!$K$4032+Sens!$K$4033-Sens!$K$4034</f>
        <v>0</v>
      </c>
      <c r="L4037" s="39" t="n">
        <f aca="false">Sens!$L$4032+Sens!$L$4033-Sens!$L$4034</f>
        <v>0</v>
      </c>
      <c r="M4037" s="39" t="n">
        <f aca="false">Sens!$M$4032+Sens!$M$4033-Sens!$M$4034</f>
        <v>0</v>
      </c>
      <c r="N4037" s="39" t="n">
        <f aca="false">Sens!$N$4032+Sens!$N$4033-Sens!$N$4034</f>
        <v>0</v>
      </c>
      <c r="O4037" s="39" t="n">
        <f aca="false">Sens!$O$4032+Sens!$O$4033-Sens!$O$4034</f>
        <v>0</v>
      </c>
    </row>
    <row r="4038" customFormat="false" ht="17.15" hidden="false" customHeight="false" outlineLevel="0" collapsed="false">
      <c r="A4038" s="24" t="s">
        <v>658</v>
      </c>
      <c r="B4038" s="25" t="s">
        <v>73</v>
      </c>
      <c r="C4038" s="39" t="n">
        <f aca="false">Sens!$C$3970+Sens!$C$3971+Sens!$C$4034-Sens!$C$4035</f>
        <v>0</v>
      </c>
      <c r="D4038" s="39" t="n">
        <f aca="false">Sens!$D$3970+Sens!$D$3971+Sens!$D$4034-Sens!$D$4035</f>
        <v>0</v>
      </c>
      <c r="E4038" s="39" t="n">
        <f aca="false">Sens!$E$3970+Sens!$E$3971+Sens!$E$4034-Sens!$E$4035</f>
        <v>0</v>
      </c>
      <c r="F4038" s="39" t="n">
        <f aca="false">Sens!$F$3970+Sens!$F$3971+Sens!$F$4034-Sens!$F$4035</f>
        <v>0</v>
      </c>
      <c r="G4038" s="39" t="n">
        <f aca="false">Sens!$G$3970+Sens!$G$3971+Sens!$G$4034-Sens!$G$4035</f>
        <v>0</v>
      </c>
      <c r="H4038" s="39" t="n">
        <f aca="false">Sens!$H$3970+Sens!$H$3971+Sens!$H$4034-Sens!$H$4035</f>
        <v>0</v>
      </c>
      <c r="I4038" s="39" t="n">
        <f aca="false">Sens!$I$3970+Sens!$I$3971+Sens!$I$4034-Sens!$I$4035</f>
        <v>0</v>
      </c>
      <c r="J4038" s="39" t="n">
        <f aca="false">Sens!$J$3970+Sens!$J$3971+Sens!$J$4034-Sens!$J$4035</f>
        <v>0</v>
      </c>
      <c r="K4038" s="39" t="n">
        <f aca="false">Sens!$K$3970+Sens!$K$3971+Sens!$K$4034-Sens!$K$4035</f>
        <v>0</v>
      </c>
      <c r="L4038" s="39" t="n">
        <f aca="false">Sens!$L$3970+Sens!$L$3971+Sens!$L$4034-Sens!$L$4035</f>
        <v>0</v>
      </c>
      <c r="M4038" s="39" t="n">
        <f aca="false">Sens!$M$3970+Sens!$M$3971+Sens!$M$4034-Sens!$M$4035</f>
        <v>0</v>
      </c>
      <c r="N4038" s="39" t="n">
        <f aca="false">Sens!$N$3970+Sens!$N$3971+Sens!$N$4034-Sens!$N$4035</f>
        <v>0</v>
      </c>
      <c r="O4038" s="39" t="n">
        <f aca="false">Sens!$O$3970+Sens!$O$3971+Sens!$O$4034-Sens!$O$4035</f>
        <v>0</v>
      </c>
    </row>
    <row r="4039" customFormat="false" ht="15" hidden="false" customHeight="false" outlineLevel="0" collapsed="false">
      <c r="A4039" s="5" t="s">
        <v>652</v>
      </c>
      <c r="B4039" s="0" t="s">
        <v>52</v>
      </c>
      <c r="G4039" s="12" t="n">
        <f aca="false">Sens!$G$4035/Sens!$D$4035-1</f>
        <v>0.161378156222718</v>
      </c>
      <c r="H4039" s="12" t="n">
        <f aca="false">Sens!$H$4035/Sens!$G$4035-1</f>
        <v>0.166192665236357</v>
      </c>
      <c r="I4039" s="12" t="n">
        <f aca="false">Sens!$I$4035/Sens!$H$4035-1</f>
        <v>0.143618092519351</v>
      </c>
      <c r="J4039" s="12" t="n">
        <f aca="false">Sens!$J$4035/Sens!$I$4035-1</f>
        <v>0.117712411733268</v>
      </c>
      <c r="K4039" s="12" t="n">
        <f aca="false">Sens!$K$4035/Sens!$J$4035-1</f>
        <v>0.0937151404237868</v>
      </c>
      <c r="L4039" s="12" t="n">
        <f aca="false">Sens!$L$4035/Sens!$K$4035-1</f>
        <v>0.0896982852494186</v>
      </c>
      <c r="M4039" s="12" t="n">
        <f aca="false">Sens!$M$4035/Sens!$L$4035-1</f>
        <v>0.0862697420528154</v>
      </c>
    </row>
    <row r="4040" customFormat="false" ht="17.15" hidden="false" customHeight="false" outlineLevel="0" collapsed="false">
      <c r="A4040" s="0" t="s">
        <v>653</v>
      </c>
      <c r="B4040" s="0" t="s">
        <v>52</v>
      </c>
      <c r="C4040" s="12" t="n">
        <f aca="false">Sens!$C$4034/Sens!$C$4035</f>
        <v>0.168593906504964</v>
      </c>
      <c r="D4040" s="12" t="n">
        <f aca="false">Sens!$D$4034/Sens!$D$4035</f>
        <v>0.179551807444025</v>
      </c>
      <c r="E4040" s="12" t="n">
        <f aca="false">Sens!$E$4034/Sens!$E$4035</f>
        <v>0.208881910369643</v>
      </c>
      <c r="F4040" s="12" t="n">
        <f aca="false">Sens!$F$4034/Sens!$F$4035</f>
        <v>0.207679264769203</v>
      </c>
      <c r="G4040" s="12" t="n">
        <f aca="false">Sens!$G$4034/Sens!$G$4035</f>
        <v>0.208231210458731</v>
      </c>
      <c r="H4040" s="12" t="n">
        <f aca="false">Sens!$H$4034/Sens!$H$4035</f>
        <v>0.248260191414043</v>
      </c>
      <c r="I4040" s="12" t="n">
        <f aca="false">Sens!$I$4034/Sens!$I$4035</f>
        <v>0.28110473450946</v>
      </c>
      <c r="J4040" s="12" t="n">
        <f aca="false">Sens!$J$4034/Sens!$J$4035</f>
        <v>0.30570109287086</v>
      </c>
      <c r="K4040" s="12" t="n">
        <f aca="false">Sens!$K$4034/Sens!$K$4035</f>
        <v>0.324071291782835</v>
      </c>
      <c r="L4040" s="12" t="n">
        <f aca="false">Sens!$L$4034/Sens!$L$4035</f>
        <v>0.339333003903741</v>
      </c>
      <c r="M4040" s="12" t="n">
        <f aca="false">Sens!$M$4034/Sens!$M$4035</f>
        <v>0.3520169237354</v>
      </c>
      <c r="N4040" s="12" t="n">
        <f aca="false">Sens!$N$4034/Sens!$N$4035</f>
        <v>0.185979484737251</v>
      </c>
      <c r="O4040" s="12" t="n">
        <f aca="false">Sens!$O$4034/Sens!$O$4035</f>
        <v>0.174270432341096</v>
      </c>
    </row>
    <row r="4041" customFormat="false" ht="17.15" hidden="false" customHeight="false" outlineLevel="0" collapsed="false">
      <c r="A4041" s="0" t="s">
        <v>654</v>
      </c>
      <c r="B4041" s="0" t="s">
        <v>52</v>
      </c>
      <c r="C4041" s="12" t="n">
        <f aca="false">Sens!$C$4032/Sens!$C$4034</f>
        <v>0.0215795060896058</v>
      </c>
      <c r="D4041" s="12" t="n">
        <f aca="false">Sens!$D$4032/Sens!$D$4034</f>
        <v>0.0676152269462122</v>
      </c>
      <c r="E4041" s="12" t="n">
        <f aca="false">Sens!$E$4032/Sens!$E$4034</f>
        <v>0.106620641395783</v>
      </c>
      <c r="F4041" s="12" t="n">
        <f aca="false">Sens!$F$4032/Sens!$F$4034</f>
        <v>0.159936751776064</v>
      </c>
      <c r="G4041" s="12" t="n">
        <f aca="false">Sens!$G$4032/Sens!$G$4034</f>
        <v>0.135391237003751</v>
      </c>
      <c r="H4041" s="12" t="n">
        <f aca="false">Sens!$H$4032/Sens!$H$4034</f>
        <v>0.249589428545194</v>
      </c>
      <c r="I4041" s="12" t="n">
        <f aca="false">Sens!$I$4032/Sens!$I$4034</f>
        <v>0.325173850577483</v>
      </c>
      <c r="J4041" s="12" t="n">
        <f aca="false">Sens!$J$4032/Sens!$J$4034</f>
        <v>0.376953718817392</v>
      </c>
      <c r="K4041" s="12" t="n">
        <f aca="false">Sens!$K$4032/Sens!$K$4034</f>
        <v>0.419641605578676</v>
      </c>
      <c r="L4041" s="12" t="n">
        <f aca="false">Sens!$L$4032/Sens!$L$4034</f>
        <v>0.450676451094615</v>
      </c>
      <c r="M4041" s="12" t="n">
        <f aca="false">Sens!$M$4032/Sens!$M$4034</f>
        <v>0.473526096798086</v>
      </c>
      <c r="N4041" s="12" t="n">
        <f aca="false">Sens!$N$4032/Sens!$N$4034</f>
        <v>0.0506537999838362</v>
      </c>
      <c r="O4041" s="12" t="n">
        <f aca="false">Sens!$O$4032/Sens!$O$4034</f>
        <v>0.0824881615167056</v>
      </c>
    </row>
    <row r="4044" customFormat="false" ht="19.4" hidden="false" customHeight="false" outlineLevel="0" collapsed="false">
      <c r="A4044" s="31" t="s">
        <v>1132</v>
      </c>
    </row>
    <row r="4045" customFormat="false" ht="17.15" hidden="false" customHeight="false" outlineLevel="0" collapsed="false">
      <c r="A4045" s="6" t="s">
        <v>16</v>
      </c>
      <c r="B4045" s="6" t="s">
        <v>17</v>
      </c>
      <c r="C4045" s="20" t="s">
        <v>457</v>
      </c>
      <c r="D4045" s="20" t="s">
        <v>458</v>
      </c>
      <c r="E4045" s="20" t="s">
        <v>540</v>
      </c>
      <c r="F4045" s="20" t="s">
        <v>541</v>
      </c>
      <c r="G4045" s="20" t="s">
        <v>542</v>
      </c>
      <c r="H4045" s="20" t="s">
        <v>543</v>
      </c>
      <c r="I4045" s="20" t="s">
        <v>544</v>
      </c>
      <c r="J4045" s="20" t="s">
        <v>545</v>
      </c>
      <c r="K4045" s="20" t="s">
        <v>546</v>
      </c>
      <c r="L4045" s="20" t="s">
        <v>547</v>
      </c>
      <c r="M4045" s="20" t="s">
        <v>548</v>
      </c>
      <c r="N4045" s="20" t="s">
        <v>549</v>
      </c>
      <c r="O4045" s="20" t="s">
        <v>550</v>
      </c>
      <c r="P4045" s="6" t="s">
        <v>23</v>
      </c>
      <c r="R4045" s="20" t="n">
        <v>2023</v>
      </c>
      <c r="S4045" s="20" t="n">
        <v>2024</v>
      </c>
      <c r="T4045" s="20" t="n">
        <v>2025</v>
      </c>
      <c r="U4045" s="20" t="n">
        <v>2026</v>
      </c>
      <c r="V4045" s="20" t="n">
        <v>2027</v>
      </c>
      <c r="W4045" s="20" t="n">
        <v>2028</v>
      </c>
      <c r="X4045" s="20" t="n">
        <v>2029</v>
      </c>
      <c r="Y4045" s="20" t="n">
        <v>2030</v>
      </c>
      <c r="Z4045" s="20" t="n">
        <v>2031</v>
      </c>
      <c r="AA4045" s="20" t="n">
        <v>2032</v>
      </c>
    </row>
    <row r="4046" customFormat="false" ht="17.15" hidden="false" customHeight="false" outlineLevel="0" collapsed="false">
      <c r="A4046" s="1" t="s">
        <v>669</v>
      </c>
    </row>
    <row r="4047" customFormat="false" ht="15" hidden="false" customHeight="false" outlineLevel="0" collapsed="false">
      <c r="A4047" s="0" t="s">
        <v>479</v>
      </c>
      <c r="B4047" s="0" t="s">
        <v>73</v>
      </c>
      <c r="C4047" s="38" t="n">
        <f aca="false">Sens!$C$3956</f>
        <v>247.029</v>
      </c>
      <c r="D4047" s="38" t="n">
        <f aca="false">Sens!$D$3956</f>
        <v>269.287</v>
      </c>
      <c r="E4047" s="38" t="n">
        <f aca="false">Sens!$E$3956</f>
        <v>134.686</v>
      </c>
      <c r="F4047" s="38" t="n">
        <f aca="false">Sens!$F$3956</f>
        <v>160.728085930082</v>
      </c>
      <c r="G4047" s="38" t="n">
        <f aca="false">Sens!$G$3956</f>
        <v>295.414085930082</v>
      </c>
      <c r="H4047" s="38" t="n">
        <f aca="false">Sens!$H$3956</f>
        <v>320.828163943375</v>
      </c>
      <c r="I4047" s="38" t="n">
        <f aca="false">Sens!$I$3956</f>
        <v>344.575578072228</v>
      </c>
      <c r="J4047" s="38" t="n">
        <f aca="false">Sens!$J$3956</f>
        <v>365.942555779681</v>
      </c>
      <c r="K4047" s="38" t="n">
        <f aca="false">Sens!$K$3956</f>
        <v>384.239683568665</v>
      </c>
      <c r="L4047" s="38" t="n">
        <f aca="false">Sens!$L$3956</f>
        <v>403.451667747098</v>
      </c>
      <c r="M4047" s="38" t="n">
        <f aca="false">Sens!$M$3956</f>
        <v>423.624251134453</v>
      </c>
      <c r="N4047" s="38" t="n">
        <f aca="false">Sens!$N$3956</f>
        <v>118.892</v>
      </c>
      <c r="O4047" s="38" t="n">
        <f aca="false">Sens!$O$3956</f>
        <v>150.395</v>
      </c>
    </row>
    <row r="4048" customFormat="false" ht="15" hidden="false" customHeight="false" outlineLevel="0" collapsed="false">
      <c r="A4048" s="0" t="s">
        <v>480</v>
      </c>
      <c r="B4048" s="0" t="s">
        <v>73</v>
      </c>
      <c r="C4048" s="38" t="n">
        <f aca="false">Sens!$C$3958</f>
        <v>21.215</v>
      </c>
      <c r="D4048" s="38" t="n">
        <f aca="false">Sens!$D$3958</f>
        <v>22.561</v>
      </c>
      <c r="E4048" s="38" t="n">
        <f aca="false">Sens!$E$3958</f>
        <v>11.579</v>
      </c>
      <c r="F4048" s="38" t="n">
        <f aca="false">Sens!$F$3958</f>
        <v>12.0952613121125</v>
      </c>
      <c r="G4048" s="38" t="n">
        <f aca="false">Sens!$G$3958</f>
        <v>23.6742613121125</v>
      </c>
      <c r="H4048" s="38" t="n">
        <f aca="false">Sens!$H$3958</f>
        <v>24.8803243963206</v>
      </c>
      <c r="I4048" s="38" t="n">
        <f aca="false">Sens!$I$3958</f>
        <v>25.9741308664154</v>
      </c>
      <c r="J4048" s="38" t="n">
        <f aca="false">Sens!$J$3958</f>
        <v>26.9346894124267</v>
      </c>
      <c r="K4048" s="38" t="n">
        <f aca="false">Sens!$K$3958</f>
        <v>27.7427300947995</v>
      </c>
      <c r="L4048" s="38" t="n">
        <f aca="false">Sens!$L$3958</f>
        <v>28.5750119976435</v>
      </c>
      <c r="M4048" s="38" t="n">
        <f aca="false">Sens!$M$3958</f>
        <v>29.4322623575728</v>
      </c>
      <c r="N4048" s="38" t="n">
        <f aca="false">Sens!$N$3958</f>
        <v>11.128</v>
      </c>
      <c r="O4048" s="38" t="n">
        <f aca="false">Sens!$O$3958</f>
        <v>11.433</v>
      </c>
    </row>
    <row r="4049" customFormat="false" ht="15" hidden="false" customHeight="false" outlineLevel="0" collapsed="false">
      <c r="A4049" s="0" t="s">
        <v>481</v>
      </c>
      <c r="B4049" s="0" t="s">
        <v>73</v>
      </c>
      <c r="C4049" s="38" t="n">
        <f aca="false">Sens!$C$3960</f>
        <v>156.146</v>
      </c>
      <c r="D4049" s="38" t="n">
        <f aca="false">Sens!$D$3960</f>
        <v>172.162</v>
      </c>
      <c r="E4049" s="38" t="n">
        <f aca="false">Sens!$E$3960</f>
        <v>88.358</v>
      </c>
      <c r="F4049" s="38" t="n">
        <f aca="false">Sens!$F$3960</f>
        <v>103.62028337149</v>
      </c>
      <c r="G4049" s="38" t="n">
        <f aca="false">Sens!$G$3960</f>
        <v>191.97828337149</v>
      </c>
      <c r="H4049" s="38" t="n">
        <f aca="false">Sens!$H$3960</f>
        <v>212.128608444755</v>
      </c>
      <c r="I4049" s="38" t="n">
        <f aca="false">Sens!$I$3960</f>
        <v>231.92183134134</v>
      </c>
      <c r="J4049" s="38" t="n">
        <f aca="false">Sens!$J$3960</f>
        <v>250.859136487863</v>
      </c>
      <c r="K4049" s="38" t="n">
        <f aca="false">Sens!$K$3960</f>
        <v>268.419276042014</v>
      </c>
      <c r="L4049" s="38" t="n">
        <f aca="false">Sens!$L$3960</f>
        <v>287.208625364954</v>
      </c>
      <c r="M4049" s="38" t="n">
        <f aca="false">Sens!$M$3960</f>
        <v>307.313229140501</v>
      </c>
      <c r="N4049" s="38" t="n">
        <f aca="false">Sens!$N$3960</f>
        <v>76.86</v>
      </c>
      <c r="O4049" s="38" t="n">
        <f aca="false">Sens!$O$3960</f>
        <v>95.302</v>
      </c>
    </row>
    <row r="4050" customFormat="false" ht="15" hidden="false" customHeight="false" outlineLevel="0" collapsed="false">
      <c r="A4050" s="0" t="s">
        <v>482</v>
      </c>
      <c r="B4050" s="0" t="s">
        <v>73</v>
      </c>
      <c r="C4050" s="38" t="n">
        <f aca="false">Sens!$C$3962</f>
        <v>56.214</v>
      </c>
      <c r="D4050" s="38" t="n">
        <f aca="false">Sens!$D$3962</f>
        <v>68.635</v>
      </c>
      <c r="E4050" s="38" t="n">
        <f aca="false">Sens!$E$3962</f>
        <v>37.052</v>
      </c>
      <c r="F4050" s="38" t="n">
        <f aca="false">Sens!$F$3962</f>
        <v>48.1533381827382</v>
      </c>
      <c r="G4050" s="38" t="n">
        <f aca="false">Sens!$G$3962</f>
        <v>85.2053381827382</v>
      </c>
      <c r="H4050" s="38" t="n">
        <f aca="false">Sens!$H$3962</f>
        <v>102.29336185894</v>
      </c>
      <c r="I4050" s="38" t="n">
        <f aca="false">Sens!$I$3962</f>
        <v>119.379837585241</v>
      </c>
      <c r="J4050" s="38" t="n">
        <f aca="false">Sens!$J$3962</f>
        <v>135.319079048844</v>
      </c>
      <c r="K4050" s="38" t="n">
        <f aca="false">Sens!$K$3962</f>
        <v>148.850986953729</v>
      </c>
      <c r="L4050" s="38" t="n">
        <f aca="false">Sens!$L$3962</f>
        <v>163.736085649102</v>
      </c>
      <c r="M4050" s="38" t="n">
        <f aca="false">Sens!$M$3962</f>
        <v>180.109694214012</v>
      </c>
      <c r="N4050" s="38" t="n">
        <f aca="false">Sens!$N$3962</f>
        <v>29.615</v>
      </c>
      <c r="O4050" s="38" t="n">
        <f aca="false">Sens!$O$3962</f>
        <v>39.02</v>
      </c>
    </row>
    <row r="4051" customFormat="false" ht="15" hidden="false" customHeight="false" outlineLevel="0" collapsed="false">
      <c r="A4051" s="0" t="s">
        <v>483</v>
      </c>
      <c r="B4051" s="0" t="s">
        <v>73</v>
      </c>
      <c r="C4051" s="38" t="n">
        <f aca="false">Sens!$C$3964</f>
        <v>44.374</v>
      </c>
      <c r="D4051" s="38" t="n">
        <f aca="false">Sens!$D$3964</f>
        <v>49.619</v>
      </c>
      <c r="E4051" s="38" t="n">
        <f aca="false">Sens!$E$3964</f>
        <v>27.157</v>
      </c>
      <c r="F4051" s="38" t="n">
        <f aca="false">Sens!$F$3964</f>
        <v>28.9776360923374</v>
      </c>
      <c r="G4051" s="38" t="n">
        <f aca="false">Sens!$G$3964</f>
        <v>56.1346360923374</v>
      </c>
      <c r="H4051" s="38" t="n">
        <f aca="false">Sens!$H$3964</f>
        <v>62.4937078946075</v>
      </c>
      <c r="I4051" s="38" t="n">
        <f aca="false">Sens!$I$3964</f>
        <v>68.6715233062498</v>
      </c>
      <c r="J4051" s="38" t="n">
        <f aca="false">Sens!$J$3964</f>
        <v>74.4692882949818</v>
      </c>
      <c r="K4051" s="38" t="n">
        <f aca="false">Sens!$K$3964</f>
        <v>79.6821384756306</v>
      </c>
      <c r="L4051" s="38" t="n">
        <f aca="false">Sens!$L$3964</f>
        <v>85.2598881689247</v>
      </c>
      <c r="M4051" s="38" t="n">
        <f aca="false">Sens!$M$3964</f>
        <v>91.2280803407494</v>
      </c>
      <c r="N4051" s="38" t="n">
        <f aca="false">Sens!$N$3964</f>
        <v>23.923</v>
      </c>
      <c r="O4051" s="38" t="n">
        <f aca="false">Sens!$O$3964</f>
        <v>25.696</v>
      </c>
    </row>
    <row r="4052" customFormat="false" ht="15" hidden="false" customHeight="false" outlineLevel="0" collapsed="false">
      <c r="A4052" s="0" t="s">
        <v>484</v>
      </c>
      <c r="B4052" s="0" t="s">
        <v>73</v>
      </c>
      <c r="C4052" s="38" t="n">
        <f aca="false">Sens!$C$3966</f>
        <v>5.425</v>
      </c>
      <c r="D4052" s="38" t="n">
        <f aca="false">Sens!$D$3966</f>
        <v>5.935</v>
      </c>
      <c r="E4052" s="38" t="n">
        <f aca="false">Sens!$E$3966</f>
        <v>3.474</v>
      </c>
      <c r="F4052" s="38" t="n">
        <f aca="false">Sens!$F$3966</f>
        <v>3.36182431966931</v>
      </c>
      <c r="G4052" s="38" t="n">
        <f aca="false">Sens!$G$3966</f>
        <v>6.83582431966931</v>
      </c>
      <c r="H4052" s="38" t="n">
        <f aca="false">Sens!$H$3966</f>
        <v>7.31157108370141</v>
      </c>
      <c r="I4052" s="38" t="n">
        <f aca="false">Sens!$I$3966</f>
        <v>7.77266852639815</v>
      </c>
      <c r="J4052" s="38" t="n">
        <f aca="false">Sens!$J$3966</f>
        <v>8.2120733019884</v>
      </c>
      <c r="K4052" s="38" t="n">
        <f aca="false">Sens!$K$3966</f>
        <v>8.62267696708783</v>
      </c>
      <c r="L4052" s="38" t="n">
        <f aca="false">Sens!$L$3966</f>
        <v>9.05381081544222</v>
      </c>
      <c r="M4052" s="38" t="n">
        <f aca="false">Sens!$M$3966</f>
        <v>9.50650135621433</v>
      </c>
      <c r="N4052" s="38" t="n">
        <f aca="false">Sens!$N$3966</f>
        <v>2.811</v>
      </c>
      <c r="O4052" s="38" t="n">
        <f aca="false">Sens!$O$3966</f>
        <v>3.124</v>
      </c>
    </row>
    <row r="4053" customFormat="false" ht="17.15" hidden="false" customHeight="false" outlineLevel="0" collapsed="false">
      <c r="A4053" s="0" t="s">
        <v>670</v>
      </c>
      <c r="B4053" s="0" t="s">
        <v>73</v>
      </c>
      <c r="C4053" s="38" t="n">
        <f aca="false">Sens!$C$4034</f>
        <v>107.556</v>
      </c>
      <c r="D4053" s="38" t="n">
        <f aca="false">Sens!$D$4034</f>
        <v>128.725</v>
      </c>
      <c r="E4053" s="38" t="n">
        <f aca="false">Sens!$E$4034</f>
        <v>79.819</v>
      </c>
      <c r="F4053" s="38" t="n">
        <f aca="false">Sens!$F$4034</f>
        <v>93.5584440633857</v>
      </c>
      <c r="G4053" s="38" t="n">
        <f aca="false">Sens!$G$4034</f>
        <v>173.377444063386</v>
      </c>
      <c r="H4053" s="38" t="n">
        <f aca="false">Sens!$H$4034</f>
        <v>241.059451517916</v>
      </c>
      <c r="I4053" s="38" t="n">
        <f aca="false">Sens!$I$4034</f>
        <v>312.152096351442</v>
      </c>
      <c r="J4053" s="38" t="n">
        <f aca="false">Sens!$J$4034</f>
        <v>379.424316597773</v>
      </c>
      <c r="K4053" s="38" t="n">
        <f aca="false">Sens!$K$4034</f>
        <v>439.919237244402</v>
      </c>
      <c r="L4053" s="38" t="n">
        <f aca="false">Sens!$L$4034</f>
        <v>501.954974491517</v>
      </c>
      <c r="M4053" s="38" t="n">
        <f aca="false">Sens!$M$4034</f>
        <v>565.639704466895</v>
      </c>
      <c r="N4053" s="38" t="n">
        <f aca="false">Sens!$N$4034</f>
        <v>60.14</v>
      </c>
      <c r="O4053" s="38" t="n">
        <f aca="false">Sens!$O$4034</f>
        <v>68.585</v>
      </c>
    </row>
    <row r="4054" customFormat="false" ht="15" hidden="false" customHeight="false" outlineLevel="0" collapsed="false">
      <c r="A4054" s="1" t="s">
        <v>472</v>
      </c>
      <c r="B4054" s="8" t="s">
        <v>73</v>
      </c>
      <c r="C4054" s="38" t="n">
        <f aca="false">Sens!$C$3970</f>
        <v>387.497</v>
      </c>
      <c r="D4054" s="38" t="n">
        <f aca="false">Sens!$D$3970</f>
        <v>426.305</v>
      </c>
      <c r="E4054" s="38" t="n">
        <f aca="false">Sens!$E$3970</f>
        <v>220.32</v>
      </c>
      <c r="F4054" s="38" t="n">
        <f aca="false">Sens!$F$3970</f>
        <v>256.304015003807</v>
      </c>
      <c r="G4054" s="38" t="n">
        <f aca="false">Sens!$G$3970</f>
        <v>476.624015003807</v>
      </c>
      <c r="H4054" s="38" t="n">
        <f aca="false">Sens!$H$3970</f>
        <v>527.734391091543</v>
      </c>
      <c r="I4054" s="38" t="n">
        <f aca="false">Sens!$I$3970</f>
        <v>577.157693029577</v>
      </c>
      <c r="J4054" s="38" t="n">
        <f aca="false">Sens!$J$3970</f>
        <v>623.024923663827</v>
      </c>
      <c r="K4054" s="38" t="n">
        <f aca="false">Sens!$K$3970</f>
        <v>663.382568393781</v>
      </c>
      <c r="L4054" s="38" t="n">
        <f aca="false">Sens!$L$3970</f>
        <v>706.564873010432</v>
      </c>
      <c r="M4054" s="38" t="n">
        <f aca="false">Sens!$M$3970</f>
        <v>752.784687406019</v>
      </c>
      <c r="N4054" s="38" t="n">
        <f aca="false">Sens!$N$3970</f>
        <v>192.955</v>
      </c>
      <c r="O4054" s="38" t="n">
        <f aca="false">Sens!$O$3970</f>
        <v>233.35</v>
      </c>
    </row>
    <row r="4055" customFormat="false" ht="15" hidden="false" customHeight="false" outlineLevel="0" collapsed="false">
      <c r="A4055" s="1" t="s">
        <v>475</v>
      </c>
      <c r="B4055" s="8" t="s">
        <v>73</v>
      </c>
      <c r="C4055" s="38" t="n">
        <f aca="false">Sens!$C$3971</f>
        <v>142.906</v>
      </c>
      <c r="D4055" s="38" t="n">
        <f aca="false">Sens!$D$3971</f>
        <v>161.894</v>
      </c>
      <c r="E4055" s="38" t="n">
        <f aca="false">Sens!$E$3971</f>
        <v>81.986</v>
      </c>
      <c r="F4055" s="38" t="n">
        <f aca="false">Sens!$F$3971</f>
        <v>100.632414204623</v>
      </c>
      <c r="G4055" s="38" t="n">
        <f aca="false">Sens!$G$3971</f>
        <v>182.618414204623</v>
      </c>
      <c r="H4055" s="38" t="n">
        <f aca="false">Sens!$H$3971</f>
        <v>202.201346530158</v>
      </c>
      <c r="I4055" s="38" t="n">
        <f aca="false">Sens!$I$3971</f>
        <v>221.137876668296</v>
      </c>
      <c r="J4055" s="38" t="n">
        <f aca="false">Sens!$J$3971</f>
        <v>238.711898661958</v>
      </c>
      <c r="K4055" s="38" t="n">
        <f aca="false">Sens!$K$3971</f>
        <v>254.174923708144</v>
      </c>
      <c r="L4055" s="38" t="n">
        <f aca="false">Sens!$L$3971</f>
        <v>270.720216732733</v>
      </c>
      <c r="M4055" s="38" t="n">
        <f aca="false">Sens!$M$3971</f>
        <v>288.429331137484</v>
      </c>
      <c r="N4055" s="38" t="n">
        <f aca="false">Sens!$N$3971</f>
        <v>70.274</v>
      </c>
      <c r="O4055" s="38" t="n">
        <f aca="false">Sens!$O$3971</f>
        <v>91.62</v>
      </c>
    </row>
    <row r="4056" customFormat="false" ht="15" hidden="false" customHeight="false" outlineLevel="0" collapsed="false">
      <c r="A4056" s="1" t="s">
        <v>476</v>
      </c>
      <c r="B4056" s="8" t="s">
        <v>73</v>
      </c>
      <c r="C4056" s="38" t="n">
        <f aca="false">Sens!$C$4034</f>
        <v>107.556</v>
      </c>
      <c r="D4056" s="38" t="n">
        <f aca="false">Sens!$D$4034</f>
        <v>128.725</v>
      </c>
      <c r="E4056" s="38" t="n">
        <f aca="false">Sens!$E$4034</f>
        <v>79.819</v>
      </c>
      <c r="F4056" s="38" t="n">
        <f aca="false">Sens!$F$4034</f>
        <v>93.5584440633857</v>
      </c>
      <c r="G4056" s="38" t="n">
        <f aca="false">Sens!$G$4034</f>
        <v>173.377444063386</v>
      </c>
      <c r="H4056" s="38" t="n">
        <f aca="false">Sens!$H$4034</f>
        <v>241.059451517916</v>
      </c>
      <c r="I4056" s="38" t="n">
        <f aca="false">Sens!$I$4034</f>
        <v>312.152096351442</v>
      </c>
      <c r="J4056" s="38" t="n">
        <f aca="false">Sens!$J$4034</f>
        <v>379.424316597773</v>
      </c>
      <c r="K4056" s="38" t="n">
        <f aca="false">Sens!$K$4034</f>
        <v>439.919237244402</v>
      </c>
      <c r="L4056" s="38" t="n">
        <f aca="false">Sens!$L$4034</f>
        <v>501.954974491517</v>
      </c>
      <c r="M4056" s="38" t="n">
        <f aca="false">Sens!$M$4034</f>
        <v>565.639704466895</v>
      </c>
      <c r="N4056" s="38" t="n">
        <f aca="false">Sens!$N$4034</f>
        <v>60.14</v>
      </c>
      <c r="O4056" s="38" t="n">
        <f aca="false">Sens!$O$4034</f>
        <v>68.585</v>
      </c>
    </row>
    <row r="4057" customFormat="false" ht="17.15" hidden="false" customHeight="false" outlineLevel="0" collapsed="false">
      <c r="A4057" s="0" t="s">
        <v>644</v>
      </c>
      <c r="B4057" s="0" t="s">
        <v>73</v>
      </c>
      <c r="C4057" s="38" t="n">
        <f aca="false">Sens!$C$4032</f>
        <v>2.32100535697364</v>
      </c>
      <c r="D4057" s="38" t="n">
        <f aca="false">Sens!$D$4032</f>
        <v>8.70377008865116</v>
      </c>
      <c r="E4057" s="38" t="n">
        <f aca="false">Sens!$E$4032</f>
        <v>8.51035297557002</v>
      </c>
      <c r="F4057" s="38" t="n">
        <f aca="false">Sens!$F$4032</f>
        <v>14.9634336447205</v>
      </c>
      <c r="G4057" s="38" t="n">
        <f aca="false">Sens!$G$4032</f>
        <v>23.4737866202905</v>
      </c>
      <c r="H4057" s="38" t="n">
        <f aca="false">Sens!$H$4032</f>
        <v>60.1658907497746</v>
      </c>
      <c r="I4057" s="38" t="n">
        <f aca="false">Sens!$I$4032</f>
        <v>101.503699136432</v>
      </c>
      <c r="J4057" s="38" t="n">
        <f aca="false">Sens!$J$4032</f>
        <v>143.025407151278</v>
      </c>
      <c r="K4057" s="38" t="n">
        <f aca="false">Sens!$K$4032</f>
        <v>184.608415042187</v>
      </c>
      <c r="L4057" s="38" t="n">
        <f aca="false">Sens!$L$4032</f>
        <v>226.219286513125</v>
      </c>
      <c r="M4057" s="38" t="n">
        <f aca="false">Sens!$M$4032</f>
        <v>267.845161450232</v>
      </c>
      <c r="N4057" s="38" t="n">
        <f aca="false">Sens!$N$4032</f>
        <v>3.04631953102791</v>
      </c>
      <c r="O4057" s="38" t="n">
        <f aca="false">Sens!$O$4032</f>
        <v>5.65745055762326</v>
      </c>
    </row>
    <row r="4058" customFormat="false" ht="17.15" hidden="false" customHeight="false" outlineLevel="0" collapsed="false">
      <c r="A4058" s="0" t="s">
        <v>646</v>
      </c>
      <c r="B4058" s="0" t="s">
        <v>73</v>
      </c>
      <c r="C4058" s="38" t="n">
        <f aca="false">Sens!$C$4033</f>
        <v>105.234994643026</v>
      </c>
      <c r="D4058" s="38" t="n">
        <f aca="false">Sens!$D$4033</f>
        <v>120.021229911349</v>
      </c>
      <c r="E4058" s="38" t="n">
        <f aca="false">Sens!$E$4033</f>
        <v>71.30864702443</v>
      </c>
      <c r="F4058" s="38" t="n">
        <f aca="false">Sens!$F$4033</f>
        <v>78.5950104186653</v>
      </c>
      <c r="G4058" s="38" t="n">
        <f aca="false">Sens!$G$4033</f>
        <v>149.903657443095</v>
      </c>
      <c r="H4058" s="38" t="n">
        <f aca="false">Sens!$H$4033</f>
        <v>180.893560768142</v>
      </c>
      <c r="I4058" s="38" t="n">
        <f aca="false">Sens!$I$4033</f>
        <v>210.64839721501</v>
      </c>
      <c r="J4058" s="38" t="n">
        <f aca="false">Sens!$J$4033</f>
        <v>236.398909446495</v>
      </c>
      <c r="K4058" s="38" t="n">
        <f aca="false">Sens!$K$4033</f>
        <v>255.310822202215</v>
      </c>
      <c r="L4058" s="38" t="n">
        <f aca="false">Sens!$L$4033</f>
        <v>275.735687978392</v>
      </c>
      <c r="M4058" s="38" t="n">
        <f aca="false">Sens!$M$4033</f>
        <v>297.794543016663</v>
      </c>
      <c r="N4058" s="38" t="n">
        <f aca="false">Sens!$N$4033</f>
        <v>57.0936804689721</v>
      </c>
      <c r="O4058" s="38" t="n">
        <f aca="false">Sens!$O$4033</f>
        <v>62.9275494423768</v>
      </c>
    </row>
    <row r="4059" customFormat="false" ht="15" hidden="false" customHeight="false" outlineLevel="0" collapsed="false">
      <c r="A4059" s="3" t="s">
        <v>477</v>
      </c>
      <c r="B4059" s="8" t="s">
        <v>73</v>
      </c>
      <c r="C4059" s="38" t="n">
        <f aca="false">Sens!$C$4035</f>
        <v>637.959</v>
      </c>
      <c r="D4059" s="38" t="n">
        <f aca="false">Sens!$D$4035</f>
        <v>716.924</v>
      </c>
      <c r="E4059" s="38" t="n">
        <f aca="false">Sens!$E$4035</f>
        <v>382.125</v>
      </c>
      <c r="F4059" s="38" t="n">
        <f aca="false">Sens!$F$4035</f>
        <v>450.494873271816</v>
      </c>
      <c r="G4059" s="38" t="n">
        <f aca="false">Sens!$G$4035</f>
        <v>832.619873271816</v>
      </c>
      <c r="H4059" s="38" t="n">
        <f aca="false">Sens!$H$4035</f>
        <v>970.995189139617</v>
      </c>
      <c r="I4059" s="38" t="n">
        <f aca="false">Sens!$I$4035</f>
        <v>1110.44766604932</v>
      </c>
      <c r="J4059" s="38" t="n">
        <f aca="false">Sens!$J$4035</f>
        <v>1241.16113892356</v>
      </c>
      <c r="K4059" s="38" t="n">
        <f aca="false">Sens!$K$4035</f>
        <v>1357.47672934633</v>
      </c>
      <c r="L4059" s="38" t="n">
        <f aca="false">Sens!$L$4035</f>
        <v>1479.24006423468</v>
      </c>
      <c r="M4059" s="38" t="n">
        <f aca="false">Sens!$M$4035</f>
        <v>1606.8537230104</v>
      </c>
      <c r="N4059" s="38" t="n">
        <f aca="false">Sens!$N$4035</f>
        <v>323.369</v>
      </c>
      <c r="O4059" s="38" t="n">
        <f aca="false">Sens!$O$4035</f>
        <v>393.555</v>
      </c>
    </row>
    <row r="4060" customFormat="false" ht="17.15" hidden="false" customHeight="false" outlineLevel="0" collapsed="false">
      <c r="A4060" s="24" t="s">
        <v>656</v>
      </c>
      <c r="B4060" s="25" t="s">
        <v>73</v>
      </c>
      <c r="C4060" s="39" t="n">
        <f aca="false">Sens!$C$4047+Sens!$C$4048+Sens!$C$4049+Sens!$C$4050+Sens!$C$4051+Sens!$C$4052-(Sens!$C$4054+Sens!$C$4055)</f>
        <v>0</v>
      </c>
      <c r="D4060" s="39" t="n">
        <f aca="false">Sens!$D$4047+Sens!$D$4048+Sens!$D$4049+Sens!$D$4050+Sens!$D$4051+Sens!$D$4052-(Sens!$D$4054+Sens!$D$4055)</f>
        <v>0</v>
      </c>
      <c r="E4060" s="39" t="n">
        <f aca="false">Sens!$E$4047+Sens!$E$4048+Sens!$E$4049+Sens!$E$4050+Sens!$E$4051+Sens!$E$4052-(Sens!$E$4054+Sens!$E$4055)</f>
        <v>0</v>
      </c>
      <c r="F4060" s="39" t="n">
        <f aca="false">Sens!$F$4047+Sens!$F$4048+Sens!$F$4049+Sens!$F$4050+Sens!$F$4051+Sens!$F$4052-(Sens!$F$4054+Sens!$F$4055)</f>
        <v>0</v>
      </c>
      <c r="G4060" s="39" t="n">
        <f aca="false">Sens!$G$4047+Sens!$G$4048+Sens!$G$4049+Sens!$G$4050+Sens!$G$4051+Sens!$G$4052-(Sens!$G$4054+Sens!$G$4055)</f>
        <v>0</v>
      </c>
      <c r="H4060" s="39" t="n">
        <f aca="false">Sens!$H$4047+Sens!$H$4048+Sens!$H$4049+Sens!$H$4050+Sens!$H$4051+Sens!$H$4052-(Sens!$H$4054+Sens!$H$4055)</f>
        <v>0</v>
      </c>
      <c r="I4060" s="39" t="n">
        <f aca="false">Sens!$I$4047+Sens!$I$4048+Sens!$I$4049+Sens!$I$4050+Sens!$I$4051+Sens!$I$4052-(Sens!$I$4054+Sens!$I$4055)</f>
        <v>0</v>
      </c>
      <c r="J4060" s="39" t="n">
        <f aca="false">Sens!$J$4047+Sens!$J$4048+Sens!$J$4049+Sens!$J$4050+Sens!$J$4051+Sens!$J$4052-(Sens!$J$4054+Sens!$J$4055)</f>
        <v>0</v>
      </c>
      <c r="K4060" s="39" t="n">
        <f aca="false">Sens!$K$4047+Sens!$K$4048+Sens!$K$4049+Sens!$K$4050+Sens!$K$4051+Sens!$K$4052-(Sens!$K$4054+Sens!$K$4055)</f>
        <v>0</v>
      </c>
      <c r="L4060" s="39" t="n">
        <f aca="false">Sens!$L$4047+Sens!$L$4048+Sens!$L$4049+Sens!$L$4050+Sens!$L$4051+Sens!$L$4052-(Sens!$L$4054+Sens!$L$4055)</f>
        <v>0</v>
      </c>
      <c r="M4060" s="39" t="n">
        <f aca="false">Sens!$M$4047+Sens!$M$4048+Sens!$M$4049+Sens!$M$4050+Sens!$M$4051+Sens!$M$4052-(Sens!$M$4054+Sens!$M$4055)</f>
        <v>0</v>
      </c>
      <c r="N4060" s="39" t="n">
        <f aca="false">Sens!$N$4047+Sens!$N$4048+Sens!$N$4049+Sens!$N$4050+Sens!$N$4051+Sens!$N$4052-(Sens!$N$4054+Sens!$N$4055)</f>
        <v>0</v>
      </c>
      <c r="O4060" s="39" t="n">
        <f aca="false">Sens!$O$4047+Sens!$O$4048+Sens!$O$4049+Sens!$O$4050+Sens!$O$4051+Sens!$O$4052-(Sens!$O$4054+Sens!$O$4055)</f>
        <v>0</v>
      </c>
    </row>
    <row r="4061" customFormat="false" ht="17.15" hidden="false" customHeight="false" outlineLevel="0" collapsed="false">
      <c r="A4061" s="24" t="s">
        <v>657</v>
      </c>
      <c r="B4061" s="25" t="s">
        <v>73</v>
      </c>
      <c r="C4061" s="39" t="n">
        <f aca="false">Sens!$C$4057+Sens!$C$4058-Sens!$C$4056</f>
        <v>0</v>
      </c>
      <c r="D4061" s="39" t="n">
        <f aca="false">Sens!$D$4057+Sens!$D$4058-Sens!$D$4056</f>
        <v>0</v>
      </c>
      <c r="E4061" s="39" t="n">
        <f aca="false">Sens!$E$4057+Sens!$E$4058-Sens!$E$4056</f>
        <v>0</v>
      </c>
      <c r="F4061" s="39" t="n">
        <f aca="false">Sens!$F$4057+Sens!$F$4058-Sens!$F$4056</f>
        <v>0</v>
      </c>
      <c r="G4061" s="39" t="n">
        <f aca="false">Sens!$G$4057+Sens!$G$4058-Sens!$G$4056</f>
        <v>0</v>
      </c>
      <c r="H4061" s="39" t="n">
        <f aca="false">Sens!$H$4057+Sens!$H$4058-Sens!$H$4056</f>
        <v>0</v>
      </c>
      <c r="I4061" s="39" t="n">
        <f aca="false">Sens!$I$4057+Sens!$I$4058-Sens!$I$4056</f>
        <v>0</v>
      </c>
      <c r="J4061" s="39" t="n">
        <f aca="false">Sens!$J$4057+Sens!$J$4058-Sens!$J$4056</f>
        <v>0</v>
      </c>
      <c r="K4061" s="39" t="n">
        <f aca="false">Sens!$K$4057+Sens!$K$4058-Sens!$K$4056</f>
        <v>0</v>
      </c>
      <c r="L4061" s="39" t="n">
        <f aca="false">Sens!$L$4057+Sens!$L$4058-Sens!$L$4056</f>
        <v>0</v>
      </c>
      <c r="M4061" s="39" t="n">
        <f aca="false">Sens!$M$4057+Sens!$M$4058-Sens!$M$4056</f>
        <v>0</v>
      </c>
      <c r="N4061" s="39" t="n">
        <f aca="false">Sens!$N$4057+Sens!$N$4058-Sens!$N$4056</f>
        <v>0</v>
      </c>
      <c r="O4061" s="39" t="n">
        <f aca="false">Sens!$O$4057+Sens!$O$4058-Sens!$O$4056</f>
        <v>0</v>
      </c>
    </row>
    <row r="4062" customFormat="false" ht="17.15" hidden="false" customHeight="false" outlineLevel="0" collapsed="false">
      <c r="A4062" s="24" t="s">
        <v>711</v>
      </c>
      <c r="B4062" s="25" t="s">
        <v>73</v>
      </c>
      <c r="C4062" s="39" t="n">
        <f aca="false">Sens!$C$4047+Sens!$C$4048+Sens!$C$4049+Sens!$C$4050+Sens!$C$4051+Sens!$C$4052+Sens!$C$4053-Sens!$C$4059</f>
        <v>0</v>
      </c>
      <c r="D4062" s="39" t="n">
        <f aca="false">Sens!$D$4047+Sens!$D$4048+Sens!$D$4049+Sens!$D$4050+Sens!$D$4051+Sens!$D$4052+Sens!$D$4053-Sens!$D$4059</f>
        <v>0</v>
      </c>
      <c r="E4062" s="39" t="n">
        <f aca="false">Sens!$E$4047+Sens!$E$4048+Sens!$E$4049+Sens!$E$4050+Sens!$E$4051+Sens!$E$4052+Sens!$E$4053-Sens!$E$4059</f>
        <v>0</v>
      </c>
      <c r="F4062" s="39" t="n">
        <f aca="false">Sens!$F$4047+Sens!$F$4048+Sens!$F$4049+Sens!$F$4050+Sens!$F$4051+Sens!$F$4052+Sens!$F$4053-Sens!$F$4059</f>
        <v>0</v>
      </c>
      <c r="G4062" s="39" t="n">
        <f aca="false">Sens!$G$4047+Sens!$G$4048+Sens!$G$4049+Sens!$G$4050+Sens!$G$4051+Sens!$G$4052+Sens!$G$4053-Sens!$G$4059</f>
        <v>0</v>
      </c>
      <c r="H4062" s="39" t="n">
        <f aca="false">Sens!$H$4047+Sens!$H$4048+Sens!$H$4049+Sens!$H$4050+Sens!$H$4051+Sens!$H$4052+Sens!$H$4053-Sens!$H$4059</f>
        <v>0</v>
      </c>
      <c r="I4062" s="39" t="n">
        <f aca="false">Sens!$I$4047+Sens!$I$4048+Sens!$I$4049+Sens!$I$4050+Sens!$I$4051+Sens!$I$4052+Sens!$I$4053-Sens!$I$4059</f>
        <v>0</v>
      </c>
      <c r="J4062" s="39" t="n">
        <f aca="false">Sens!$J$4047+Sens!$J$4048+Sens!$J$4049+Sens!$J$4050+Sens!$J$4051+Sens!$J$4052+Sens!$J$4053-Sens!$J$4059</f>
        <v>0</v>
      </c>
      <c r="K4062" s="39" t="n">
        <f aca="false">Sens!$K$4047+Sens!$K$4048+Sens!$K$4049+Sens!$K$4050+Sens!$K$4051+Sens!$K$4052+Sens!$K$4053-Sens!$K$4059</f>
        <v>0</v>
      </c>
      <c r="L4062" s="39" t="n">
        <f aca="false">Sens!$L$4047+Sens!$L$4048+Sens!$L$4049+Sens!$L$4050+Sens!$L$4051+Sens!$L$4052+Sens!$L$4053-Sens!$L$4059</f>
        <v>0</v>
      </c>
      <c r="M4062" s="39" t="n">
        <f aca="false">Sens!$M$4047+Sens!$M$4048+Sens!$M$4049+Sens!$M$4050+Sens!$M$4051+Sens!$M$4052+Sens!$M$4053-Sens!$M$4059</f>
        <v>0</v>
      </c>
      <c r="N4062" s="39" t="n">
        <f aca="false">Sens!$N$4047+Sens!$N$4048+Sens!$N$4049+Sens!$N$4050+Sens!$N$4051+Sens!$N$4052+Sens!$N$4053-Sens!$N$4059</f>
        <v>0</v>
      </c>
      <c r="O4062" s="39" t="n">
        <f aca="false">Sens!$O$4047+Sens!$O$4048+Sens!$O$4049+Sens!$O$4050+Sens!$O$4051+Sens!$O$4052+Sens!$O$4053-Sens!$O$4059</f>
        <v>0</v>
      </c>
    </row>
    <row r="4063" customFormat="false" ht="17.15" hidden="false" customHeight="false" outlineLevel="0" collapsed="false">
      <c r="A4063" s="24" t="s">
        <v>658</v>
      </c>
      <c r="B4063" s="25" t="s">
        <v>73</v>
      </c>
      <c r="C4063" s="39" t="n">
        <f aca="false">Sens!$C$4054+Sens!$C$4055+Sens!$C$4056-Sens!$C$4059</f>
        <v>0</v>
      </c>
      <c r="D4063" s="39" t="n">
        <f aca="false">Sens!$D$4054+Sens!$D$4055+Sens!$D$4056-Sens!$D$4059</f>
        <v>0</v>
      </c>
      <c r="E4063" s="39" t="n">
        <f aca="false">Sens!$E$4054+Sens!$E$4055+Sens!$E$4056-Sens!$E$4059</f>
        <v>0</v>
      </c>
      <c r="F4063" s="39" t="n">
        <f aca="false">Sens!$F$4054+Sens!$F$4055+Sens!$F$4056-Sens!$F$4059</f>
        <v>0</v>
      </c>
      <c r="G4063" s="39" t="n">
        <f aca="false">Sens!$G$4054+Sens!$G$4055+Sens!$G$4056-Sens!$G$4059</f>
        <v>0</v>
      </c>
      <c r="H4063" s="39" t="n">
        <f aca="false">Sens!$H$4054+Sens!$H$4055+Sens!$H$4056-Sens!$H$4059</f>
        <v>0</v>
      </c>
      <c r="I4063" s="39" t="n">
        <f aca="false">Sens!$I$4054+Sens!$I$4055+Sens!$I$4056-Sens!$I$4059</f>
        <v>0</v>
      </c>
      <c r="J4063" s="39" t="n">
        <f aca="false">Sens!$J$4054+Sens!$J$4055+Sens!$J$4056-Sens!$J$4059</f>
        <v>0</v>
      </c>
      <c r="K4063" s="39" t="n">
        <f aca="false">Sens!$K$4054+Sens!$K$4055+Sens!$K$4056-Sens!$K$4059</f>
        <v>0</v>
      </c>
      <c r="L4063" s="39" t="n">
        <f aca="false">Sens!$L$4054+Sens!$L$4055+Sens!$L$4056-Sens!$L$4059</f>
        <v>0</v>
      </c>
      <c r="M4063" s="39" t="n">
        <f aca="false">Sens!$M$4054+Sens!$M$4055+Sens!$M$4056-Sens!$M$4059</f>
        <v>0</v>
      </c>
      <c r="N4063" s="39" t="n">
        <f aca="false">Sens!$N$4054+Sens!$N$4055+Sens!$N$4056-Sens!$N$4059</f>
        <v>0</v>
      </c>
      <c r="O4063" s="39" t="n">
        <f aca="false">Sens!$O$4054+Sens!$O$4055+Sens!$O$4056-Sens!$O$4059</f>
        <v>0</v>
      </c>
    </row>
    <row r="4064" customFormat="false" ht="17.15" hidden="false" customHeight="false" outlineLevel="0" collapsed="false">
      <c r="A4064" s="1" t="s">
        <v>672</v>
      </c>
    </row>
    <row r="4065" customFormat="false" ht="17.15" hidden="false" customHeight="false" outlineLevel="0" collapsed="false">
      <c r="A4065" s="0" t="s">
        <v>673</v>
      </c>
      <c r="B4065" s="0" t="s">
        <v>73</v>
      </c>
      <c r="C4065" s="38" t="n">
        <f aca="false">Sens!$C$3972*m_ad</f>
        <v>20.5341564414228</v>
      </c>
      <c r="D4065" s="38" t="n">
        <f aca="false">Sens!$D$3972*m_ad</f>
        <v>24.8720617299587</v>
      </c>
      <c r="E4065" s="38" t="n">
        <f aca="false">Sens!$E$3972*m_ad</f>
        <v>13.5017112462207</v>
      </c>
      <c r="F4065" s="38" t="n">
        <f aca="false">Sens!$F$3972*m_ad</f>
        <v>17.2886442824599</v>
      </c>
      <c r="G4065" s="38" t="n">
        <f aca="false">Sens!$G$3972*m_ad</f>
        <v>30.8011958765886</v>
      </c>
      <c r="H4065" s="38" t="n">
        <f aca="false">Sens!$H$3972*m_ad</f>
        <v>36.978409366026</v>
      </c>
      <c r="I4065" s="38" t="n">
        <f aca="false">Sens!$I$3972*m_ad</f>
        <v>43.155063281273</v>
      </c>
      <c r="J4065" s="38" t="n">
        <f aca="false">Sens!$J$3972*m_ad</f>
        <v>48.9169991988532</v>
      </c>
      <c r="K4065" s="38" t="n">
        <f aca="false">Sens!$K$3972*m_ad</f>
        <v>53.8086991187386</v>
      </c>
      <c r="L4065" s="38" t="n">
        <f aca="false">Sens!$L$3972*m_ad</f>
        <v>59.1895690306124</v>
      </c>
      <c r="M4065" s="38" t="n">
        <f aca="false">Sens!$M$3972*m_ad</f>
        <v>65.1085259336737</v>
      </c>
      <c r="N4065" s="38" t="n">
        <f aca="false">Sens!$N$3972*m_ad</f>
        <v>10.8543555706248</v>
      </c>
      <c r="O4065" s="38" t="n">
        <f aca="false">Sens!$O$3972*m_ad</f>
        <v>14.0094731821399</v>
      </c>
    </row>
    <row r="4066" customFormat="false" ht="17.15" hidden="false" customHeight="false" outlineLevel="0" collapsed="false">
      <c r="A4066" s="0" t="s">
        <v>674</v>
      </c>
      <c r="B4066" s="0" t="s">
        <v>73</v>
      </c>
      <c r="C4066" s="38" t="n">
        <f aca="false">Sens!$C$3970-Sens!$C$3972</f>
        <v>346.428687117154</v>
      </c>
      <c r="D4066" s="38" t="n">
        <f aca="false">Sens!$D$3970-Sens!$D$3972</f>
        <v>376.560876540083</v>
      </c>
      <c r="E4066" s="38" t="n">
        <f aca="false">Sens!$E$3970-Sens!$E$3972</f>
        <v>193.316577507559</v>
      </c>
      <c r="F4066" s="38" t="n">
        <f aca="false">Sens!$F$3970-Sens!$F$3972</f>
        <v>221.726726438887</v>
      </c>
      <c r="G4066" s="38" t="n">
        <f aca="false">Sens!$G$3970-Sens!$G$3972</f>
        <v>415.02162325063</v>
      </c>
      <c r="H4066" s="38" t="n">
        <f aca="false">Sens!$H$3970-Sens!$H$3972</f>
        <v>453.777572359491</v>
      </c>
      <c r="I4066" s="38" t="n">
        <f aca="false">Sens!$I$3970-Sens!$I$3972</f>
        <v>490.847566467031</v>
      </c>
      <c r="J4066" s="38" t="n">
        <f aca="false">Sens!$J$3970-Sens!$J$3972</f>
        <v>525.190925266121</v>
      </c>
      <c r="K4066" s="38" t="n">
        <f aca="false">Sens!$K$3970-Sens!$K$3972</f>
        <v>555.765170156304</v>
      </c>
      <c r="L4066" s="38" t="n">
        <f aca="false">Sens!$L$3970-Sens!$L$3972</f>
        <v>588.185734949207</v>
      </c>
      <c r="M4066" s="38" t="n">
        <f aca="false">Sens!$M$3970-Sens!$M$3972</f>
        <v>622.567635538672</v>
      </c>
      <c r="N4066" s="38" t="n">
        <f aca="false">Sens!$N$3970-Sens!$N$3972</f>
        <v>171.24628885875</v>
      </c>
      <c r="O4066" s="38" t="n">
        <f aca="false">Sens!$O$3970-Sens!$O$3972</f>
        <v>205.33105363572</v>
      </c>
    </row>
    <row r="4067" customFormat="false" ht="17.15" hidden="false" customHeight="false" outlineLevel="0" collapsed="false">
      <c r="A4067" s="0" t="s">
        <v>675</v>
      </c>
      <c r="B4067" s="0" t="s">
        <v>73</v>
      </c>
      <c r="C4067" s="38" t="n">
        <f aca="false">Sens!$C$4018*Sens!$C$3969</f>
        <v>0.123617442257179</v>
      </c>
      <c r="D4067" s="38" t="n">
        <f aca="false">Sens!$D$4018*Sens!$D$3969</f>
        <v>0.874366899302609</v>
      </c>
      <c r="E4067" s="38" t="n">
        <f aca="false">Sens!$E$4018*Sens!$E$3969</f>
        <v>1.29318830502574</v>
      </c>
      <c r="F4067" s="38" t="n">
        <f aca="false">Sens!$F$4018*Sens!$F$3969</f>
        <v>1.51802024162534</v>
      </c>
      <c r="G4067" s="38" t="n">
        <f aca="false">Sens!$G$4018*Sens!$G$3969</f>
        <v>2.81130189308167</v>
      </c>
      <c r="H4067" s="38" t="n">
        <f aca="false">Sens!$H$4018*Sens!$H$3969</f>
        <v>7.38966789318209</v>
      </c>
      <c r="I4067" s="38" t="n">
        <f aca="false">Sens!$I$4018*Sens!$I$3969</f>
        <v>12.8987443661473</v>
      </c>
      <c r="J4067" s="38" t="n">
        <f aca="false">Sens!$J$4018*Sens!$J$3969</f>
        <v>18.5570025453645</v>
      </c>
      <c r="K4067" s="38" t="n">
        <f aca="false">Sens!$K$4018*Sens!$K$3969</f>
        <v>24.3158972773405</v>
      </c>
      <c r="L4067" s="38" t="n">
        <f aca="false">Sens!$L$4018*Sens!$L$3969</f>
        <v>29.7827375558674</v>
      </c>
      <c r="M4067" s="38" t="n">
        <f aca="false">Sens!$M$4018*Sens!$M$3969</f>
        <v>35.3532344973194</v>
      </c>
      <c r="N4067" s="38" t="n">
        <f aca="false">Sens!$N$4018*Sens!$N$3969</f>
        <v>0.389180508437431</v>
      </c>
      <c r="O4067" s="38" t="n">
        <f aca="false">Sens!$O$4018*Sens!$O$3969</f>
        <v>0.485052120082802</v>
      </c>
    </row>
    <row r="4068" customFormat="false" ht="17.15" hidden="false" customHeight="false" outlineLevel="0" collapsed="false">
      <c r="A4068" s="0" t="s">
        <v>676</v>
      </c>
      <c r="B4068" s="0" t="s">
        <v>52</v>
      </c>
      <c r="C4068" s="28" t="n">
        <f aca="false">(Sens!$C$4069-Sens!$C$4065+Sens!$C$4067)/Sens!$C$4066</f>
        <v>0.0131526665379575</v>
      </c>
      <c r="D4068" s="28" t="n">
        <f aca="false">(Sens!$D$4069-Sens!$D$4065+Sens!$D$4067)/Sens!$D$4066</f>
        <v>0.0149280116962589</v>
      </c>
      <c r="E4068" s="28" t="n">
        <f aca="false">(Sens!$E$4069-Sens!$E$4065+Sens!$E$4067)/Sens!$E$4066</f>
        <v>0.0268030663774938</v>
      </c>
      <c r="F4068" s="28" t="n">
        <f aca="false">Sens!$O$4068+(Sens!$E$4068-Sens!$N$4068)</f>
        <v>0.0232379346966962</v>
      </c>
      <c r="G4068" s="28" t="n">
        <f aca="false">(Sens!$G$4069-Sens!$G$4065+Sens!$G$4067)/Sens!$G$4066</f>
        <v>0.0248738876928168</v>
      </c>
      <c r="H4068" s="28" t="n">
        <f aca="false">Sens!$G$4068+step_na_lo</f>
        <v>0.0248738876928168</v>
      </c>
      <c r="I4068" s="28" t="n">
        <f aca="false">Sens!$H$4068+step_na_lo</f>
        <v>0.0248738876928168</v>
      </c>
      <c r="J4068" s="28" t="n">
        <f aca="false">Sens!$I$4068+step_na_lo</f>
        <v>0.0248738876928168</v>
      </c>
      <c r="K4068" s="28" t="n">
        <f aca="false">Sens!$J$4068+step_na_lo</f>
        <v>0.0248738876928168</v>
      </c>
      <c r="L4068" s="28" t="n">
        <f aca="false">Sens!$K$4068</f>
        <v>0.0248738876928168</v>
      </c>
      <c r="M4068" s="28" t="n">
        <f aca="false">Sens!$L$4068</f>
        <v>0.0248738876928168</v>
      </c>
      <c r="N4068" s="28" t="n">
        <f aca="false">(Sens!$N$4069-Sens!$N$4065+Sens!$N$4067)/Sens!$N$4066</f>
        <v>0.0168927744775755</v>
      </c>
      <c r="O4068" s="28" t="n">
        <f aca="false">(Sens!$O$4069-Sens!$O$4065+Sens!$O$4067)/Sens!$O$4066</f>
        <v>0.0133276427967779</v>
      </c>
      <c r="P4068" s="8" t="s">
        <v>677</v>
      </c>
    </row>
    <row r="4069" customFormat="false" ht="17.15" hidden="false" customHeight="false" outlineLevel="0" collapsed="false">
      <c r="A4069" s="1" t="s">
        <v>678</v>
      </c>
      <c r="B4069" s="8" t="s">
        <v>73</v>
      </c>
      <c r="C4069" s="38" t="n">
        <f aca="false">Q!$D$22</f>
        <v>24.967</v>
      </c>
      <c r="D4069" s="38" t="n">
        <f aca="false">Q!$E$22</f>
        <v>29.619</v>
      </c>
      <c r="E4069" s="38" t="n">
        <f aca="false">Q!$P$22</f>
        <v>17.39</v>
      </c>
      <c r="F4069" s="38" t="n">
        <f aca="false">Sens!$F$4065+Sens!$F$4066*Sens!$F$4068-Sens!$F$4067</f>
        <v>20.9230952303336</v>
      </c>
      <c r="G4069" s="38" t="n">
        <f aca="false">Sens!$E$4069+Sens!$F$4069</f>
        <v>38.3130952303336</v>
      </c>
      <c r="H4069" s="38" t="n">
        <f aca="false">Sens!$H$4065+Sens!$H$4066*Sens!$H$4068-Sens!$H$4067</f>
        <v>40.8759538452329</v>
      </c>
      <c r="I4069" s="38" t="n">
        <f aca="false">Sens!$I$4065+Sens!$I$4066*Sens!$I$4068-Sens!$I$4067</f>
        <v>42.4656061577191</v>
      </c>
      <c r="J4069" s="38" t="n">
        <f aca="false">Sens!$J$4065+Sens!$J$4066*Sens!$J$4068-Sens!$J$4067</f>
        <v>43.4235367458448</v>
      </c>
      <c r="K4069" s="38" t="n">
        <f aca="false">Sens!$K$4065+Sens!$K$4066*Sens!$K$4068-Sens!$K$4067</f>
        <v>43.3168422674452</v>
      </c>
      <c r="L4069" s="38" t="n">
        <f aca="false">Sens!$L$4065+Sens!$L$4066*Sens!$L$4068-Sens!$L$4067</f>
        <v>44.0372973883885</v>
      </c>
      <c r="M4069" s="38" t="n">
        <f aca="false">Sens!$M$4065+Sens!$M$4066*Sens!$M$4068-Sens!$M$4067</f>
        <v>45.2409688839257</v>
      </c>
      <c r="N4069" s="38" t="n">
        <f aca="false">Q!$N$22</f>
        <v>13.358</v>
      </c>
      <c r="O4069" s="38" t="n">
        <f aca="false">Q!$O$22</f>
        <v>16.261</v>
      </c>
    </row>
    <row r="4070" customFormat="false" ht="17.15" hidden="false" customHeight="false" outlineLevel="0" collapsed="false">
      <c r="A4070" s="0" t="s">
        <v>679</v>
      </c>
      <c r="B4070" s="0" t="s">
        <v>73</v>
      </c>
      <c r="C4070" s="38" t="n">
        <f aca="false">Sens!$C$3973*m_ad</f>
        <v>7.57284355857716</v>
      </c>
      <c r="D4070" s="38" t="n">
        <f aca="false">Sens!$D$3973*m_ad</f>
        <v>9.44543827004127</v>
      </c>
      <c r="E4070" s="38" t="n">
        <f aca="false">Sens!$E$3973*m_ad</f>
        <v>5.02428875377928</v>
      </c>
      <c r="F4070" s="38" t="n">
        <f aca="false">Sens!$F$3973*m_ad</f>
        <v>6.78802480890925</v>
      </c>
      <c r="G4070" s="38" t="n">
        <f aca="false">Sens!$G$3973*m_ad</f>
        <v>11.8014732147805</v>
      </c>
      <c r="H4070" s="38" t="n">
        <f aca="false">Sens!$H$3973*m_ad</f>
        <v>14.1682715634442</v>
      </c>
      <c r="I4070" s="38" t="n">
        <f aca="false">Sens!$I$3973*m_ad</f>
        <v>16.5348555113474</v>
      </c>
      <c r="J4070" s="38" t="n">
        <f aca="false">Sens!$J$3973*m_ad</f>
        <v>18.7425403255689</v>
      </c>
      <c r="K4070" s="38" t="n">
        <f aca="false">Sens!$K$3973*m_ad</f>
        <v>20.6167943581258</v>
      </c>
      <c r="L4070" s="38" t="n">
        <f aca="false">Sens!$L$3973*m_ad</f>
        <v>22.6784737939383</v>
      </c>
      <c r="M4070" s="38" t="n">
        <f aca="false">Sens!$M$3973*m_ad</f>
        <v>24.9463211733322</v>
      </c>
      <c r="N4070" s="38" t="n">
        <f aca="false">Sens!$N$3973*m_ad</f>
        <v>3.95314442937518</v>
      </c>
      <c r="O4070" s="38" t="n">
        <f aca="false">Sens!$O$3973*m_ad</f>
        <v>5.50052681786011</v>
      </c>
    </row>
    <row r="4071" customFormat="false" ht="17.15" hidden="false" customHeight="false" outlineLevel="0" collapsed="false">
      <c r="A4071" s="0" t="s">
        <v>680</v>
      </c>
      <c r="B4071" s="0" t="s">
        <v>73</v>
      </c>
      <c r="C4071" s="38" t="n">
        <f aca="false">Sens!$C$3971-Sens!$C$3973</f>
        <v>127.760312882846</v>
      </c>
      <c r="D4071" s="38" t="n">
        <f aca="false">Sens!$D$3971-Sens!$D$3973</f>
        <v>143.003123459917</v>
      </c>
      <c r="E4071" s="38" t="n">
        <f aca="false">Sens!$E$3971-Sens!$E$3973</f>
        <v>71.9374224924414</v>
      </c>
      <c r="F4071" s="38" t="n">
        <f aca="false">Sens!$F$3971-Sens!$F$3973</f>
        <v>87.0563645868046</v>
      </c>
      <c r="G4071" s="38" t="n">
        <f aca="false">Sens!$G$3971-Sens!$G$3973</f>
        <v>159.015467775062</v>
      </c>
      <c r="H4071" s="38" t="n">
        <f aca="false">Sens!$H$3971-Sens!$H$3973</f>
        <v>173.864803403269</v>
      </c>
      <c r="I4071" s="38" t="n">
        <f aca="false">Sens!$I$3971-Sens!$I$3973</f>
        <v>188.068165645601</v>
      </c>
      <c r="J4071" s="38" t="n">
        <f aca="false">Sens!$J$3971-Sens!$J$3973</f>
        <v>201.22681801082</v>
      </c>
      <c r="K4071" s="38" t="n">
        <f aca="false">Sens!$K$3971-Sens!$K$3973</f>
        <v>212.941334991893</v>
      </c>
      <c r="L4071" s="38" t="n">
        <f aca="false">Sens!$L$3971-Sens!$L$3973</f>
        <v>225.363269144856</v>
      </c>
      <c r="M4071" s="38" t="n">
        <f aca="false">Sens!$M$3971-Sens!$M$3973</f>
        <v>238.536688790819</v>
      </c>
      <c r="N4071" s="38" t="n">
        <f aca="false">Sens!$N$3971-Sens!$N$3973</f>
        <v>62.3677111412496</v>
      </c>
      <c r="O4071" s="38" t="n">
        <f aca="false">Sens!$O$3971-Sens!$O$3973</f>
        <v>80.6189463642798</v>
      </c>
    </row>
    <row r="4072" customFormat="false" ht="17.15" hidden="false" customHeight="false" outlineLevel="0" collapsed="false">
      <c r="A4072" s="0" t="s">
        <v>681</v>
      </c>
      <c r="B4072" s="0" t="s">
        <v>73</v>
      </c>
      <c r="C4072" s="38" t="n">
        <f aca="false">Sens!$C$4018*(1-Sens!$C$3969)</f>
        <v>0.0455891896019953</v>
      </c>
      <c r="D4072" s="38" t="n">
        <f aca="false">Sens!$D$4018*(1-Sens!$D$3969)</f>
        <v>0.332050421167231</v>
      </c>
      <c r="E4072" s="38" t="n">
        <f aca="false">Sens!$E$4018*(1-Sens!$E$3969)</f>
        <v>0.481224293644882</v>
      </c>
      <c r="F4072" s="38" t="n">
        <f aca="false">Sens!$F$4018*(1-Sens!$F$3969)</f>
        <v>0.596018918096053</v>
      </c>
      <c r="G4072" s="38" t="n">
        <f aca="false">Sens!$G$4018*(1-Sens!$G$3969)</f>
        <v>1.07714986531035</v>
      </c>
      <c r="H4072" s="38" t="n">
        <f aca="false">Sens!$H$4018*(1-Sens!$H$3969)</f>
        <v>2.83135005721638</v>
      </c>
      <c r="I4072" s="38" t="n">
        <f aca="false">Sens!$I$4018*(1-Sens!$I$3969)</f>
        <v>4.9421518161602</v>
      </c>
      <c r="J4072" s="38" t="n">
        <f aca="false">Sens!$J$4018*(1-Sens!$J$3969)</f>
        <v>7.11011252170866</v>
      </c>
      <c r="K4072" s="38" t="n">
        <f aca="false">Sens!$K$4018*(1-Sens!$K$3969)</f>
        <v>9.31663210615807</v>
      </c>
      <c r="L4072" s="38" t="n">
        <f aca="false">Sens!$L$4018*(1-Sens!$L$3969)</f>
        <v>11.411251074039</v>
      </c>
      <c r="M4072" s="38" t="n">
        <f aca="false">Sens!$M$4018*(1-Sens!$M$3969)</f>
        <v>13.5455860755423</v>
      </c>
      <c r="N4072" s="38" t="n">
        <f aca="false">Sens!$N$4018*(1-Sens!$N$3969)</f>
        <v>0.141739115596548</v>
      </c>
      <c r="O4072" s="38" t="n">
        <f aca="false">Sens!$O$4018*(1-Sens!$O$3969)</f>
        <v>0.190445576353059</v>
      </c>
    </row>
    <row r="4073" customFormat="false" ht="17.15" hidden="false" customHeight="false" outlineLevel="0" collapsed="false">
      <c r="A4073" s="0" t="s">
        <v>682</v>
      </c>
      <c r="B4073" s="0" t="s">
        <v>52</v>
      </c>
      <c r="C4073" s="28" t="n">
        <f aca="false">(Sens!$C$4074-Sens!$C$4070+Sens!$C$4072)/Sens!$C$4071</f>
        <v>-0.0292364215826579</v>
      </c>
      <c r="D4073" s="28" t="n">
        <f aca="false">(Sens!$D$4074-Sens!$D$4070+Sens!$D$4072)/Sens!$D$4071</f>
        <v>-0.0305125352740778</v>
      </c>
      <c r="E4073" s="28" t="n">
        <f aca="false">(Sens!$E$4074-Sens!$E$4070+Sens!$E$4072)/Sens!$E$4071</f>
        <v>-0.019490056934994</v>
      </c>
      <c r="F4073" s="28" t="n">
        <f aca="false">Sens!$O$4073+(Sens!$E$4073-Sens!$N$4073)</f>
        <v>-0.0367332293992226</v>
      </c>
      <c r="G4073" s="28" t="n">
        <f aca="false">(Sens!$G$4074-Sens!$G$4070+Sens!$G$4072)/Sens!$G$4071</f>
        <v>-0.0288599526442178</v>
      </c>
      <c r="H4073" s="28" t="n">
        <f aca="false">Sens!$G$4073+step_in</f>
        <v>-0.0288599526442178</v>
      </c>
      <c r="I4073" s="28" t="n">
        <f aca="false">Sens!$H$4073+step_in</f>
        <v>-0.0288599526442178</v>
      </c>
      <c r="J4073" s="28" t="n">
        <f aca="false">Sens!$I$4073+step_in</f>
        <v>-0.0288599526442178</v>
      </c>
      <c r="K4073" s="28" t="n">
        <f aca="false">Sens!$J$4073+step_in</f>
        <v>-0.0288599526442178</v>
      </c>
      <c r="L4073" s="28" t="n">
        <f aca="false">Sens!$K$4073</f>
        <v>-0.0288599526442178</v>
      </c>
      <c r="M4073" s="28" t="n">
        <f aca="false">Sens!$L$4073</f>
        <v>-0.0288599526442178</v>
      </c>
      <c r="N4073" s="28" t="n">
        <f aca="false">(Sens!$N$4074-Sens!$N$4070+Sens!$N$4072)/Sens!$N$4071</f>
        <v>-0.02085061789158</v>
      </c>
      <c r="O4073" s="28" t="n">
        <f aca="false">(Sens!$O$4074-Sens!$O$4070+Sens!$O$4072)/Sens!$O$4071</f>
        <v>-0.0380937903558086</v>
      </c>
      <c r="P4073" s="8" t="s">
        <v>677</v>
      </c>
    </row>
    <row r="4074" customFormat="false" ht="17.15" hidden="false" customHeight="false" outlineLevel="0" collapsed="false">
      <c r="A4074" s="1" t="s">
        <v>683</v>
      </c>
      <c r="B4074" s="8" t="s">
        <v>73</v>
      </c>
      <c r="C4074" s="38" t="n">
        <f aca="false">Q!$D$23</f>
        <v>3.792</v>
      </c>
      <c r="D4074" s="38" t="n">
        <f aca="false">Q!$E$23</f>
        <v>4.75</v>
      </c>
      <c r="E4074" s="38" t="n">
        <f aca="false">Q!$P$23</f>
        <v>3.141</v>
      </c>
      <c r="F4074" s="38" t="n">
        <f aca="false">Sens!$F$4070+Sens!$F$4071*Sens!$F$4073-Sens!$F$4072</f>
        <v>2.99414447978375</v>
      </c>
      <c r="G4074" s="38" t="n">
        <f aca="false">Sens!$E$4074+Sens!$F$4074</f>
        <v>6.13514447978375</v>
      </c>
      <c r="H4074" s="38" t="n">
        <f aca="false">Sens!$H$4070+Sens!$H$4071*Sens!$H$4073-Sens!$H$4072</f>
        <v>6.31919151351322</v>
      </c>
      <c r="I4074" s="38" t="n">
        <f aca="false">Sens!$I$4070+Sens!$I$4071*Sens!$I$4073-Sens!$I$4072</f>
        <v>6.16506534077027</v>
      </c>
      <c r="J4074" s="38" t="n">
        <f aca="false">Sens!$J$4070+Sens!$J$4071*Sens!$J$4073-Sens!$J$4072</f>
        <v>5.8250313653213</v>
      </c>
      <c r="K4074" s="38" t="n">
        <f aca="false">Sens!$K$4070+Sens!$K$4071*Sens!$K$4073-Sens!$K$4072</f>
        <v>5.15468540810514</v>
      </c>
      <c r="L4074" s="38" t="n">
        <f aca="false">Sens!$L$4070+Sens!$L$4071*Sens!$L$4073-Sens!$L$4072</f>
        <v>4.76324944463266</v>
      </c>
      <c r="M4074" s="38" t="n">
        <f aca="false">Sens!$M$4070+Sens!$M$4071*Sens!$M$4073-Sens!$M$4072</f>
        <v>4.51657755537829</v>
      </c>
      <c r="N4074" s="38" t="n">
        <f aca="false">Q!$N$23</f>
        <v>2.511</v>
      </c>
      <c r="O4074" s="38" t="n">
        <f aca="false">Q!$O$23</f>
        <v>2.239</v>
      </c>
    </row>
    <row r="4075" customFormat="false" ht="17.15" hidden="false" customHeight="false" outlineLevel="0" collapsed="false">
      <c r="A4075" s="0" t="s">
        <v>684</v>
      </c>
      <c r="B4075" s="0" t="s">
        <v>73</v>
      </c>
      <c r="C4075" s="38" t="n">
        <f aca="false">Sens!$C$4015</f>
        <v>1.64417882953695</v>
      </c>
      <c r="D4075" s="38" t="n">
        <f aca="false">Sens!$D$4015</f>
        <v>3.8781008067718</v>
      </c>
      <c r="E4075" s="38" t="n">
        <f aca="false">Sens!$E$4015</f>
        <v>1.41270258088753</v>
      </c>
      <c r="F4075" s="38" t="n">
        <f aca="false">Sens!$F$4015</f>
        <v>6.50727700583486</v>
      </c>
      <c r="G4075" s="38" t="n">
        <f aca="false">Sens!$G$4015</f>
        <v>7.9199795867224</v>
      </c>
      <c r="H4075" s="38" t="n">
        <f aca="false">Sens!$H$4015</f>
        <v>19.2818189481807</v>
      </c>
      <c r="I4075" s="38" t="n">
        <f aca="false">Sens!$I$4015</f>
        <v>30.140114407202</v>
      </c>
      <c r="J4075" s="38" t="n">
        <f aca="false">Sens!$J$4015</f>
        <v>40.3569468829854</v>
      </c>
      <c r="K4075" s="38" t="n">
        <f aca="false">Sens!$K$4015</f>
        <v>50.0782975081929</v>
      </c>
      <c r="L4075" s="38" t="n">
        <f aca="false">Sens!$L$4015</f>
        <v>61.443331993499</v>
      </c>
      <c r="M4075" s="38" t="n">
        <f aca="false">Sens!$M$4015</f>
        <v>72.2498791587849</v>
      </c>
      <c r="N4075" s="38" t="n">
        <f aca="false">Sens!$N$4015</f>
        <v>0.92264103489199</v>
      </c>
      <c r="O4075" s="38" t="n">
        <f aca="false">Sens!$O$4015</f>
        <v>2.95545977187981</v>
      </c>
    </row>
    <row r="4076" customFormat="false" ht="17.15" hidden="false" customHeight="false" outlineLevel="0" collapsed="false">
      <c r="A4076" s="0" t="s">
        <v>604</v>
      </c>
      <c r="B4076" s="0" t="s">
        <v>73</v>
      </c>
      <c r="C4076" s="38" t="n">
        <f aca="false">Sens!$C$4020</f>
        <v>38.1898211704631</v>
      </c>
      <c r="D4076" s="38" t="n">
        <f aca="false">Sens!$D$4020</f>
        <v>41.7278991932282</v>
      </c>
      <c r="E4076" s="38" t="n">
        <f aca="false">Sens!$E$4020</f>
        <v>29.3692974191125</v>
      </c>
      <c r="F4076" s="38" t="n">
        <f aca="false">Sens!$F$4020</f>
        <v>29.458060516894</v>
      </c>
      <c r="G4076" s="38" t="n">
        <f aca="false">Sens!$G$4020</f>
        <v>58.8273579360065</v>
      </c>
      <c r="H4076" s="38" t="n">
        <f aca="false">Sens!$H$4020</f>
        <v>67.8004040185081</v>
      </c>
      <c r="I4076" s="38" t="n">
        <f aca="false">Sens!$I$4020</f>
        <v>78.9527630302702</v>
      </c>
      <c r="J4076" s="38" t="n">
        <f aca="false">Sens!$J$4020</f>
        <v>88.6042681781841</v>
      </c>
      <c r="K4076" s="38" t="n">
        <f aca="false">Sens!$K$4020</f>
        <v>95.6926096324389</v>
      </c>
      <c r="L4076" s="38" t="n">
        <f aca="false">Sens!$L$4020</f>
        <v>103.348018403034</v>
      </c>
      <c r="M4076" s="38" t="n">
        <f aca="false">Sens!$M$4020</f>
        <v>111.615859875277</v>
      </c>
      <c r="N4076" s="38" t="n">
        <f aca="false">Sens!$N$4020</f>
        <v>20.784358965108</v>
      </c>
      <c r="O4076" s="38" t="n">
        <f aca="false">Sens!$O$4020</f>
        <v>20.9435402281202</v>
      </c>
    </row>
    <row r="4077" customFormat="false" ht="17.15" hidden="false" customHeight="false" outlineLevel="0" collapsed="false">
      <c r="A4077" s="1" t="s">
        <v>685</v>
      </c>
      <c r="B4077" s="8" t="s">
        <v>73</v>
      </c>
      <c r="C4077" s="38" t="n">
        <f aca="false">Q!$D$24</f>
        <v>39.834</v>
      </c>
      <c r="D4077" s="38" t="n">
        <f aca="false">Q!$E$24</f>
        <v>45.606</v>
      </c>
      <c r="E4077" s="38" t="n">
        <f aca="false">Q!$P$24</f>
        <v>30.782</v>
      </c>
      <c r="F4077" s="38" t="n">
        <f aca="false">Sens!$F$4075+Sens!$F$4076</f>
        <v>35.9653375227289</v>
      </c>
      <c r="G4077" s="38" t="n">
        <f aca="false">Sens!$G$4075+Sens!$G$4076</f>
        <v>66.7473375227289</v>
      </c>
      <c r="H4077" s="38" t="n">
        <f aca="false">Sens!$H$4075+Sens!$H$4076</f>
        <v>87.0822229666888</v>
      </c>
      <c r="I4077" s="38" t="n">
        <f aca="false">Sens!$I$4075+Sens!$I$4076</f>
        <v>109.092877437472</v>
      </c>
      <c r="J4077" s="38" t="n">
        <f aca="false">Sens!$J$4075+Sens!$J$4076</f>
        <v>128.96121506117</v>
      </c>
      <c r="K4077" s="38" t="n">
        <f aca="false">Sens!$K$4075+Sens!$K$4076</f>
        <v>145.770907140632</v>
      </c>
      <c r="L4077" s="38" t="n">
        <f aca="false">Sens!$L$4075+Sens!$L$4076</f>
        <v>164.791350396533</v>
      </c>
      <c r="M4077" s="38" t="n">
        <f aca="false">Sens!$M$4075+Sens!$M$4076</f>
        <v>183.865739034062</v>
      </c>
      <c r="N4077" s="38" t="n">
        <f aca="false">Q!$N$24</f>
        <v>21.707</v>
      </c>
      <c r="O4077" s="38" t="n">
        <f aca="false">Q!$O$24</f>
        <v>23.899</v>
      </c>
    </row>
    <row r="4078" customFormat="false" ht="17.15" hidden="false" customHeight="false" outlineLevel="0" collapsed="false">
      <c r="A4078" s="5" t="s">
        <v>686</v>
      </c>
      <c r="B4078" s="0" t="s">
        <v>73</v>
      </c>
      <c r="C4078" s="38" t="n">
        <f aca="false">Q!$D$26</f>
        <v>0</v>
      </c>
      <c r="D4078" s="38" t="n">
        <f aca="false">Q!$E$26</f>
        <v>0</v>
      </c>
      <c r="E4078" s="38" t="n">
        <f aca="false">Q!$P$26</f>
        <v>0</v>
      </c>
      <c r="F4078" s="41" t="n">
        <v>0</v>
      </c>
      <c r="G4078" s="38" t="n">
        <f aca="false">Sens!$E$4078+Sens!$F$4078</f>
        <v>0</v>
      </c>
      <c r="H4078" s="41" t="n">
        <v>0</v>
      </c>
      <c r="I4078" s="41" t="n">
        <v>0</v>
      </c>
      <c r="J4078" s="41" t="n">
        <v>0</v>
      </c>
      <c r="K4078" s="41" t="n">
        <v>0</v>
      </c>
      <c r="L4078" s="41" t="n">
        <v>0</v>
      </c>
      <c r="M4078" s="41" t="n">
        <v>0</v>
      </c>
      <c r="N4078" s="38" t="n">
        <f aca="false">Q!$N$26</f>
        <v>0</v>
      </c>
      <c r="O4078" s="38" t="n">
        <f aca="false">Q!$O$26</f>
        <v>0</v>
      </c>
    </row>
    <row r="4079" customFormat="false" ht="15" hidden="false" customHeight="false" outlineLevel="0" collapsed="false">
      <c r="A4079" s="3" t="s">
        <v>494</v>
      </c>
      <c r="B4079" s="8" t="s">
        <v>73</v>
      </c>
      <c r="C4079" s="38" t="n">
        <f aca="false">Q!$D$25</f>
        <v>68.593</v>
      </c>
      <c r="D4079" s="38" t="n">
        <f aca="false">Q!$E$25</f>
        <v>79.975</v>
      </c>
      <c r="E4079" s="38" t="n">
        <f aca="false">Q!$P$25</f>
        <v>51.313</v>
      </c>
      <c r="F4079" s="38" t="n">
        <f aca="false">Sens!$F$4069+Sens!$F$4074+Sens!$F$4077+Sens!$F$4078</f>
        <v>59.8825772328462</v>
      </c>
      <c r="G4079" s="38" t="n">
        <f aca="false">Sens!$G$4069+Sens!$G$4074+Sens!$G$4077+Sens!$G$4078</f>
        <v>111.195577232846</v>
      </c>
      <c r="H4079" s="38" t="n">
        <f aca="false">Sens!$H$4069+Sens!$H$4074+Sens!$H$4077+Sens!$H$4078</f>
        <v>134.277368325435</v>
      </c>
      <c r="I4079" s="38" t="n">
        <f aca="false">Sens!$I$4069+Sens!$I$4074+Sens!$I$4077+Sens!$I$4078</f>
        <v>157.723548935962</v>
      </c>
      <c r="J4079" s="38" t="n">
        <f aca="false">Sens!$J$4069+Sens!$J$4074+Sens!$J$4077+Sens!$J$4078</f>
        <v>178.209783172336</v>
      </c>
      <c r="K4079" s="38" t="n">
        <f aca="false">Sens!$K$4069+Sens!$K$4074+Sens!$K$4077+Sens!$K$4078</f>
        <v>194.242434816182</v>
      </c>
      <c r="L4079" s="38" t="n">
        <f aca="false">Sens!$L$4069+Sens!$L$4074+Sens!$L$4077+Sens!$L$4078</f>
        <v>213.591897229554</v>
      </c>
      <c r="M4079" s="38" t="n">
        <f aca="false">Sens!$M$4069+Sens!$M$4074+Sens!$M$4077+Sens!$M$4078</f>
        <v>233.623285473366</v>
      </c>
      <c r="N4079" s="38" t="n">
        <f aca="false">Q!$N$25</f>
        <v>37.576</v>
      </c>
      <c r="O4079" s="38" t="n">
        <f aca="false">Q!$O$25</f>
        <v>42.399</v>
      </c>
    </row>
    <row r="4080" customFormat="false" ht="17.15" hidden="false" customHeight="false" outlineLevel="0" collapsed="false">
      <c r="A4080" s="24" t="s">
        <v>712</v>
      </c>
      <c r="B4080" s="25" t="s">
        <v>73</v>
      </c>
      <c r="C4080" s="39" t="n">
        <f aca="false">Sens!$C$4069+Sens!$C$4074+Sens!$C$4077+Sens!$C$4078-Sens!$C$4079</f>
        <v>0</v>
      </c>
      <c r="D4080" s="39" t="n">
        <f aca="false">Sens!$D$4069+Sens!$D$4074+Sens!$D$4077+Sens!$D$4078-Sens!$D$4079</f>
        <v>0</v>
      </c>
      <c r="E4080" s="39" t="n">
        <f aca="false">Sens!$E$4069+Sens!$E$4074+Sens!$E$4077+Sens!$E$4078-Sens!$E$4079</f>
        <v>0</v>
      </c>
      <c r="F4080" s="39" t="n">
        <f aca="false">Sens!$F$4069+Sens!$F$4074+Sens!$F$4077+Sens!$F$4078-Sens!$F$4079</f>
        <v>0</v>
      </c>
      <c r="G4080" s="39" t="n">
        <f aca="false">Sens!$G$4069+Sens!$G$4074+Sens!$G$4077+Sens!$G$4078-Sens!$G$4079</f>
        <v>0</v>
      </c>
      <c r="H4080" s="39" t="n">
        <f aca="false">Sens!$H$4069+Sens!$H$4074+Sens!$H$4077+Sens!$H$4078-Sens!$H$4079</f>
        <v>0</v>
      </c>
      <c r="I4080" s="39" t="n">
        <f aca="false">Sens!$I$4069+Sens!$I$4074+Sens!$I$4077+Sens!$I$4078-Sens!$I$4079</f>
        <v>0</v>
      </c>
      <c r="J4080" s="39" t="n">
        <f aca="false">Sens!$J$4069+Sens!$J$4074+Sens!$J$4077+Sens!$J$4078-Sens!$J$4079</f>
        <v>0</v>
      </c>
      <c r="K4080" s="39" t="n">
        <f aca="false">Sens!$K$4069+Sens!$K$4074+Sens!$K$4077+Sens!$K$4078-Sens!$K$4079</f>
        <v>0</v>
      </c>
      <c r="L4080" s="39" t="n">
        <f aca="false">Sens!$L$4069+Sens!$L$4074+Sens!$L$4077+Sens!$L$4078-Sens!$L$4079</f>
        <v>0</v>
      </c>
      <c r="M4080" s="39" t="n">
        <f aca="false">Sens!$M$4069+Sens!$M$4074+Sens!$M$4077+Sens!$M$4078-Sens!$M$4079</f>
        <v>0</v>
      </c>
      <c r="N4080" s="39" t="n">
        <f aca="false">Sens!$N$4069+Sens!$N$4074+Sens!$N$4077+Sens!$N$4078-Sens!$N$4079</f>
        <v>0</v>
      </c>
      <c r="O4080" s="39" t="n">
        <f aca="false">Sens!$O$4069+Sens!$O$4074+Sens!$O$4077+Sens!$O$4078-Sens!$O$4079</f>
        <v>0</v>
      </c>
    </row>
    <row r="4081" customFormat="false" ht="17.15" hidden="false" customHeight="false" outlineLevel="0" collapsed="false">
      <c r="A4081" s="0" t="s">
        <v>688</v>
      </c>
      <c r="B4081" s="0" t="s">
        <v>52</v>
      </c>
      <c r="C4081" s="12" t="n">
        <f aca="false">Sens!$C$4069/Sens!$C$4054</f>
        <v>0.0644314665661928</v>
      </c>
      <c r="D4081" s="12" t="n">
        <f aca="false">Sens!$D$4069/Sens!$D$4054</f>
        <v>0.0694784250712518</v>
      </c>
      <c r="E4081" s="12" t="n">
        <f aca="false">Sens!$E$4069/Sens!$E$4054</f>
        <v>0.0789306463326071</v>
      </c>
      <c r="F4081" s="12" t="n">
        <f aca="false">Sens!$F$4069/Sens!$F$4054</f>
        <v>0.0816338957078875</v>
      </c>
      <c r="G4081" s="12" t="n">
        <f aca="false">Sens!$G$4069/Sens!$G$4054</f>
        <v>0.080384315570057</v>
      </c>
      <c r="H4081" s="12" t="n">
        <f aca="false">Sens!$H$4069/Sens!$H$4054</f>
        <v>0.07745554304446</v>
      </c>
      <c r="I4081" s="12" t="n">
        <f aca="false">Sens!$I$4069/Sens!$I$4054</f>
        <v>0.0735771292154343</v>
      </c>
      <c r="J4081" s="12" t="n">
        <f aca="false">Sens!$J$4069/Sens!$J$4054</f>
        <v>0.0696979127102711</v>
      </c>
      <c r="K4081" s="12" t="n">
        <f aca="false">Sens!$K$4069/Sens!$K$4054</f>
        <v>0.0652969256824556</v>
      </c>
      <c r="L4081" s="12" t="n">
        <f aca="false">Sens!$L$4069/Sens!$L$4054</f>
        <v>0.0623259081657437</v>
      </c>
      <c r="M4081" s="12" t="n">
        <f aca="false">Sens!$M$4069/Sens!$M$4054</f>
        <v>0.0600981524210052</v>
      </c>
      <c r="N4081" s="12" t="n">
        <f aca="false">Sens!$N$4069/Sens!$N$4054</f>
        <v>0.069228576611127</v>
      </c>
      <c r="O4081" s="12" t="n">
        <f aca="false">Sens!$O$4069/Sens!$O$4054</f>
        <v>0.069685022498393</v>
      </c>
    </row>
    <row r="4082" customFormat="false" ht="17.15" hidden="false" customHeight="false" outlineLevel="0" collapsed="false">
      <c r="A4082" s="0" t="s">
        <v>689</v>
      </c>
      <c r="B4082" s="0" t="s">
        <v>52</v>
      </c>
      <c r="C4082" s="12" t="n">
        <f aca="false">Sens!$C$4074/Sens!$C$4055</f>
        <v>0.026534925055631</v>
      </c>
      <c r="D4082" s="12" t="n">
        <f aca="false">Sens!$D$4074/Sens!$D$4055</f>
        <v>0.0293401855535103</v>
      </c>
      <c r="E4082" s="12" t="n">
        <f aca="false">Sens!$E$4074/Sens!$E$4055</f>
        <v>0.03831141902276</v>
      </c>
      <c r="F4082" s="12" t="n">
        <f aca="false">Sens!$F$4074/Sens!$F$4055</f>
        <v>0.0297532808235678</v>
      </c>
      <c r="G4082" s="12" t="n">
        <f aca="false">Sens!$G$4074/Sens!$G$4055</f>
        <v>0.0335954317997163</v>
      </c>
      <c r="H4082" s="12" t="n">
        <f aca="false">Sens!$H$4074/Sens!$H$4055</f>
        <v>0.0312519754292078</v>
      </c>
      <c r="I4082" s="12" t="n">
        <f aca="false">Sens!$I$4074/Sens!$I$4055</f>
        <v>0.0278788303191397</v>
      </c>
      <c r="J4082" s="12" t="n">
        <f aca="false">Sens!$J$4074/Sens!$J$4055</f>
        <v>0.0244019313573061</v>
      </c>
      <c r="K4082" s="12" t="n">
        <f aca="false">Sens!$K$4074/Sens!$K$4055</f>
        <v>0.020280070641524</v>
      </c>
      <c r="L4082" s="12" t="n">
        <f aca="false">Sens!$L$4074/Sens!$L$4055</f>
        <v>0.0175947312030086</v>
      </c>
      <c r="M4082" s="12" t="n">
        <f aca="false">Sens!$M$4074/Sens!$M$4055</f>
        <v>0.0156592172424565</v>
      </c>
      <c r="N4082" s="12" t="n">
        <f aca="false">Sens!$N$4074/Sens!$N$4055</f>
        <v>0.0357315650169337</v>
      </c>
      <c r="O4082" s="12" t="n">
        <f aca="false">Sens!$O$4074/Sens!$O$4055</f>
        <v>0.0244378956559703</v>
      </c>
    </row>
    <row r="4083" customFormat="false" ht="17.15" hidden="false" customHeight="false" outlineLevel="0" collapsed="false">
      <c r="A4083" s="13" t="s">
        <v>690</v>
      </c>
      <c r="B4083" s="13" t="s">
        <v>52</v>
      </c>
      <c r="C4083" s="16" t="n">
        <f aca="false">Sens!$C$4077/Sens!$C$4056</f>
        <v>0.370355907620217</v>
      </c>
      <c r="D4083" s="16" t="n">
        <f aca="false">Sens!$D$4077/Sens!$D$4056</f>
        <v>0.35429015342785</v>
      </c>
      <c r="E4083" s="16" t="n">
        <f aca="false">Sens!$E$4077/Sens!$E$4056</f>
        <v>0.385647527531039</v>
      </c>
      <c r="F4083" s="16" t="n">
        <f aca="false">Sens!$F$4077/Sens!$F$4056</f>
        <v>0.384415729470259</v>
      </c>
      <c r="G4083" s="16" t="n">
        <f aca="false">Sens!$G$4077/Sens!$G$4056</f>
        <v>0.38498282105443</v>
      </c>
      <c r="H4083" s="16" t="n">
        <f aca="false">Sens!$H$4077/Sens!$H$4056</f>
        <v>0.361247909668527</v>
      </c>
      <c r="I4083" s="16" t="n">
        <f aca="false">Sens!$I$4077/Sens!$I$4056</f>
        <v>0.349486287974975</v>
      </c>
      <c r="J4083" s="16" t="n">
        <f aca="false">Sens!$J$4077/Sens!$J$4056</f>
        <v>0.339886531832068</v>
      </c>
      <c r="K4083" s="16" t="n">
        <f aca="false">Sens!$K$4077/Sens!$K$4056</f>
        <v>0.33135833762061</v>
      </c>
      <c r="L4083" s="16" t="n">
        <f aca="false">Sens!$L$4077/Sens!$L$4056</f>
        <v>0.328299068185284</v>
      </c>
      <c r="M4083" s="16" t="n">
        <f aca="false">Sens!$M$4077/Sens!$M$4056</f>
        <v>0.325058049465166</v>
      </c>
      <c r="N4083" s="16" t="n">
        <f aca="false">Sens!$N$4077/Sens!$N$4056</f>
        <v>0.360941137346192</v>
      </c>
      <c r="O4083" s="16" t="n">
        <f aca="false">Sens!$O$4077/Sens!$O$4056</f>
        <v>0.348458117664212</v>
      </c>
    </row>
    <row r="4084" customFormat="false" ht="17.15" hidden="false" customHeight="false" outlineLevel="0" collapsed="false">
      <c r="A4084" s="0" t="s">
        <v>691</v>
      </c>
      <c r="B4084" s="0" t="s">
        <v>52</v>
      </c>
      <c r="C4084" s="12" t="n">
        <f aca="false">Sens!$C$4075/Sens!$C$4057</f>
        <v>0.708390794789371</v>
      </c>
      <c r="D4084" s="12" t="n">
        <f aca="false">Sens!$D$4075/Sens!$D$4057</f>
        <v>0.445565630441968</v>
      </c>
      <c r="E4084" s="12" t="n">
        <f aca="false">Sens!$E$4075/Sens!$E$4057</f>
        <v>0.165998118402711</v>
      </c>
      <c r="F4084" s="12" t="n">
        <f aca="false">Sens!$F$4075/Sens!$F$4057</f>
        <v>0.434878595403858</v>
      </c>
      <c r="G4084" s="12" t="n">
        <f aca="false">Sens!$G$4075/Sens!$G$4057</f>
        <v>0.3373967615381</v>
      </c>
      <c r="H4084" s="12" t="n">
        <f aca="false">Sens!$H$4075/Sens!$H$4057</f>
        <v>0.320477578041224</v>
      </c>
      <c r="I4084" s="12" t="n">
        <f aca="false">Sens!$I$4075/Sens!$I$4057</f>
        <v>0.296936118226494</v>
      </c>
      <c r="J4084" s="12" t="n">
        <f aca="false">Sens!$J$4075/Sens!$J$4057</f>
        <v>0.282166278613001</v>
      </c>
      <c r="K4084" s="12" t="n">
        <f aca="false">Sens!$K$4075/Sens!$K$4057</f>
        <v>0.271267685694333</v>
      </c>
      <c r="L4084" s="12" t="n">
        <f aca="false">Sens!$L$4075/Sens!$L$4057</f>
        <v>0.27160960915653</v>
      </c>
      <c r="M4084" s="12" t="n">
        <f aca="false">Sens!$M$4075/Sens!$M$4057</f>
        <v>0.26974494804234</v>
      </c>
      <c r="N4084" s="12" t="n">
        <f aca="false">Sens!$N$4075/Sens!$N$4057</f>
        <v>0.302870734830849</v>
      </c>
      <c r="O4084" s="12" t="n">
        <f aca="false">Sens!$O$4075/Sens!$O$4057</f>
        <v>0.52240134346334</v>
      </c>
    </row>
    <row r="4085" customFormat="false" ht="15" hidden="false" customHeight="false" outlineLevel="0" collapsed="false">
      <c r="A4085" s="5" t="s">
        <v>692</v>
      </c>
      <c r="B4085" s="0" t="s">
        <v>52</v>
      </c>
      <c r="C4085" s="12" t="n">
        <f aca="false">Sens!$C$4079/Sens!$C$4059</f>
        <v>0.107519448742004</v>
      </c>
      <c r="D4085" s="12" t="n">
        <f aca="false">Sens!$D$4079/Sens!$D$4059</f>
        <v>0.111552967957552</v>
      </c>
      <c r="E4085" s="12" t="n">
        <f aca="false">Sens!$E$4079/Sens!$E$4059</f>
        <v>0.13428328426562</v>
      </c>
      <c r="F4085" s="12" t="n">
        <f aca="false">Sens!$F$4079/Sens!$F$4059</f>
        <v>0.132926212451512</v>
      </c>
      <c r="G4085" s="12" t="n">
        <f aca="false">Sens!$G$4079/Sens!$G$4059</f>
        <v>0.133549030959228</v>
      </c>
      <c r="H4085" s="12" t="n">
        <f aca="false">Sens!$H$4079/Sens!$H$4059</f>
        <v>0.138288397128328</v>
      </c>
      <c r="I4085" s="12" t="n">
        <f aca="false">Sens!$I$4079/Sens!$I$4059</f>
        <v>0.142036003819163</v>
      </c>
      <c r="J4085" s="12" t="n">
        <f aca="false">Sens!$J$4079/Sens!$J$4059</f>
        <v>0.143583115506577</v>
      </c>
      <c r="K4085" s="12" t="n">
        <f aca="false">Sens!$K$4079/Sens!$K$4059</f>
        <v>0.143090802676018</v>
      </c>
      <c r="L4085" s="12" t="n">
        <f aca="false">Sens!$L$4079/Sens!$L$4059</f>
        <v>0.144392990964628</v>
      </c>
      <c r="M4085" s="12" t="n">
        <f aca="false">Sens!$M$4079/Sens!$M$4059</f>
        <v>0.145391756653293</v>
      </c>
      <c r="N4085" s="12" t="n">
        <f aca="false">Sens!$N$4079/Sens!$N$4059</f>
        <v>0.116201614873411</v>
      </c>
      <c r="O4085" s="12" t="n">
        <f aca="false">Sens!$O$4079/Sens!$O$4059</f>
        <v>0.107733353660861</v>
      </c>
    </row>
    <row r="4086" customFormat="false" ht="17.15" hidden="false" customHeight="false" outlineLevel="0" collapsed="false">
      <c r="A4086" s="1" t="s">
        <v>693</v>
      </c>
    </row>
    <row r="4087" customFormat="false" ht="17.15" hidden="false" customHeight="false" outlineLevel="0" collapsed="false">
      <c r="A4087" s="5" t="s">
        <v>694</v>
      </c>
      <c r="B4087" s="0" t="s">
        <v>52</v>
      </c>
      <c r="D4087" s="28" t="n">
        <f aca="false">(Q!$E$29+Q!$E$30-(1-ext_sh)*Sens!$D$4011)/Sens!$D$3968</f>
        <v>0.0334674312393194</v>
      </c>
    </row>
    <row r="4088" customFormat="false" ht="17.15" hidden="false" customHeight="false" outlineLevel="0" collapsed="false">
      <c r="A4088" s="0" t="s">
        <v>498</v>
      </c>
      <c r="B4088" s="0" t="s">
        <v>73</v>
      </c>
      <c r="C4088" s="38" t="n">
        <f aca="false">Q!$D$29</f>
        <v>14.285</v>
      </c>
      <c r="D4088" s="38" t="n">
        <f aca="false">Q!$E$29</f>
        <v>15.503</v>
      </c>
      <c r="E4088" s="38" t="n">
        <f aca="false">Q!$P$29</f>
        <v>8.78</v>
      </c>
      <c r="F4088" s="38" t="n">
        <f aca="false">(Sens!$D$4087*Sens!$F$3968+(1-ext_sh)*Sens!$F$4011)*Sens!$F$3969</f>
        <v>9.51361751569285</v>
      </c>
      <c r="G4088" s="38" t="n">
        <f aca="false">Sens!$E$4088+Sens!$F$4088</f>
        <v>18.2936175156929</v>
      </c>
      <c r="H4088" s="38" t="n">
        <f aca="false">(Sens!$D$4087*Sens!$H$3968+(1-ext_sh)*Sens!$H$4011)*Sens!$H$3969</f>
        <v>22.7653661801943</v>
      </c>
      <c r="I4088" s="38" t="n">
        <f aca="false">(Sens!$D$4087*Sens!$I$3968+(1-ext_sh)*Sens!$I$4011)*Sens!$I$3969</f>
        <v>28.4281317305062</v>
      </c>
      <c r="J4088" s="38" t="n">
        <f aca="false">(Sens!$D$4087*Sens!$J$3968+(1-ext_sh)*Sens!$J$4011)*Sens!$J$3969</f>
        <v>34.1182922009732</v>
      </c>
      <c r="K4088" s="38" t="n">
        <f aca="false">(Sens!$D$4087*Sens!$K$3968+(1-ext_sh)*Sens!$K$4011)*Sens!$K$3969</f>
        <v>39.7237727987046</v>
      </c>
      <c r="L4088" s="38" t="n">
        <f aca="false">(Sens!$D$4087*Sens!$L$3968+(1-ext_sh)*Sens!$L$4011)*Sens!$L$3969</f>
        <v>45.1313127180263</v>
      </c>
      <c r="M4088" s="38" t="n">
        <f aca="false">(Sens!$D$4087*Sens!$M$3968+(1-ext_sh)*Sens!$M$4011)*Sens!$M$3969</f>
        <v>50.743940615442</v>
      </c>
      <c r="N4088" s="38" t="n">
        <f aca="false">Q!$N$29</f>
        <v>7.272</v>
      </c>
      <c r="O4088" s="38" t="n">
        <f aca="false">Q!$O$29</f>
        <v>8.231</v>
      </c>
    </row>
    <row r="4089" customFormat="false" ht="17.15" hidden="false" customHeight="false" outlineLevel="0" collapsed="false">
      <c r="A4089" s="0" t="s">
        <v>500</v>
      </c>
      <c r="B4089" s="0" t="s">
        <v>73</v>
      </c>
      <c r="C4089" s="38" t="n">
        <f aca="false">Q!$D$30</f>
        <v>4.462</v>
      </c>
      <c r="D4089" s="38" t="n">
        <f aca="false">Q!$E$30</f>
        <v>4.907</v>
      </c>
      <c r="E4089" s="38" t="n">
        <f aca="false">Q!$P$30</f>
        <v>2.57</v>
      </c>
      <c r="F4089" s="38" t="n">
        <f aca="false">(Sens!$D$4087*Sens!$F$3968+(1-ext_sh)*Sens!$F$4011)*(1-Sens!$F$3969)</f>
        <v>3.7353230631574</v>
      </c>
      <c r="G4089" s="38" t="n">
        <f aca="false">Sens!$E$4089+Sens!$F$4089</f>
        <v>6.3053230631574</v>
      </c>
      <c r="H4089" s="38" t="n">
        <f aca="false">(Sens!$D$4087*Sens!$H$3968+(1-ext_sh)*Sens!$H$4011)*(1-Sens!$H$3969)</f>
        <v>8.72254636724805</v>
      </c>
      <c r="I4089" s="38" t="n">
        <f aca="false">(Sens!$D$4087*Sens!$I$3968+(1-ext_sh)*Sens!$I$4011)*(1-Sens!$I$3969)</f>
        <v>10.8922340713019</v>
      </c>
      <c r="J4089" s="38" t="n">
        <f aca="false">(Sens!$D$4087*Sens!$J$3968+(1-ext_sh)*Sens!$J$4011)*(1-Sens!$J$3969)</f>
        <v>13.0724181345791</v>
      </c>
      <c r="K4089" s="38" t="n">
        <f aca="false">(Sens!$D$4087*Sens!$K$3968+(1-ext_sh)*Sens!$K$4011)*(1-Sens!$K$3969)</f>
        <v>15.2201571183236</v>
      </c>
      <c r="L4089" s="38" t="n">
        <f aca="false">(Sens!$D$4087*Sens!$L$3968+(1-ext_sh)*Sens!$L$4011)*(1-Sens!$L$3969)</f>
        <v>17.2920551631732</v>
      </c>
      <c r="M4089" s="38" t="n">
        <f aca="false">(Sens!$D$4087*Sens!$M$3968+(1-ext_sh)*Sens!$M$4011)*(1-Sens!$M$3969)</f>
        <v>19.4425326336348</v>
      </c>
      <c r="N4089" s="38" t="n">
        <f aca="false">Q!$N$30</f>
        <v>2.316</v>
      </c>
      <c r="O4089" s="38" t="n">
        <f aca="false">Q!$O$30</f>
        <v>2.591</v>
      </c>
    </row>
    <row r="4090" customFormat="false" ht="17.15" hidden="false" customHeight="false" outlineLevel="0" collapsed="false">
      <c r="A4090" s="0" t="s">
        <v>501</v>
      </c>
      <c r="B4090" s="0" t="s">
        <v>73</v>
      </c>
      <c r="C4090" s="38" t="n">
        <f aca="false">Sens!$C$4023</f>
        <v>13.32</v>
      </c>
      <c r="D4090" s="38" t="n">
        <f aca="false">Sens!$D$4023</f>
        <v>21.45</v>
      </c>
      <c r="E4090" s="38" t="n">
        <f aca="false">Sens!$E$4023</f>
        <v>15.353</v>
      </c>
      <c r="F4090" s="38" t="n">
        <f aca="false">Sens!$F$4023</f>
        <v>17.3614451462707</v>
      </c>
      <c r="G4090" s="38" t="n">
        <f aca="false">Sens!$G$4023</f>
        <v>32.7144451462707</v>
      </c>
      <c r="H4090" s="38" t="n">
        <f aca="false">Sens!$H$4023</f>
        <v>56.1966092719415</v>
      </c>
      <c r="I4090" s="38" t="n">
        <f aca="false">Sens!$I$4023</f>
        <v>82.9744039068297</v>
      </c>
      <c r="J4090" s="38" t="n">
        <f aca="false">Sens!$J$4023</f>
        <v>109.943252237669</v>
      </c>
      <c r="K4090" s="38" t="n">
        <f aca="false">Sens!$K$4023</f>
        <v>136.406703436571</v>
      </c>
      <c r="L4090" s="38" t="n">
        <f aca="false">Sens!$L$4023</f>
        <v>161.485870454155</v>
      </c>
      <c r="M4090" s="38" t="n">
        <f aca="false">Sens!$M$4023</f>
        <v>187.389846618199</v>
      </c>
      <c r="N4090" s="38" t="n">
        <f aca="false">Sens!$N$4023</f>
        <v>9.234</v>
      </c>
      <c r="O4090" s="38" t="n">
        <f aca="false">Sens!$O$4023</f>
        <v>12.216</v>
      </c>
    </row>
    <row r="4091" customFormat="false" ht="17.15" hidden="false" customHeight="false" outlineLevel="0" collapsed="false">
      <c r="A4091" s="5" t="s">
        <v>695</v>
      </c>
      <c r="B4091" s="0" t="s">
        <v>73</v>
      </c>
      <c r="C4091" s="38" t="n">
        <f aca="false">Sens!$C$4088+Sens!$C$4089+Sens!$C$4090</f>
        <v>32.067</v>
      </c>
      <c r="D4091" s="38" t="n">
        <f aca="false">Sens!$D$4088+Sens!$D$4089+Sens!$D$4090</f>
        <v>41.86</v>
      </c>
      <c r="E4091" s="38" t="n">
        <f aca="false">Sens!$E$4088+Sens!$E$4089+Sens!$E$4090</f>
        <v>26.703</v>
      </c>
      <c r="F4091" s="38" t="n">
        <f aca="false">Sens!$F$4088+Sens!$F$4089+Sens!$F$4090</f>
        <v>30.6103857251209</v>
      </c>
      <c r="G4091" s="38" t="n">
        <f aca="false">Sens!$G$4088+Sens!$G$4089+Sens!$G$4090</f>
        <v>57.3133857251209</v>
      </c>
      <c r="H4091" s="38" t="n">
        <f aca="false">Sens!$H$4088+Sens!$H$4089+Sens!$H$4090</f>
        <v>87.6845218193838</v>
      </c>
      <c r="I4091" s="38" t="n">
        <f aca="false">Sens!$I$4088+Sens!$I$4089+Sens!$I$4090</f>
        <v>122.294769708638</v>
      </c>
      <c r="J4091" s="38" t="n">
        <f aca="false">Sens!$J$4088+Sens!$J$4089+Sens!$J$4090</f>
        <v>157.133962573221</v>
      </c>
      <c r="K4091" s="38" t="n">
        <f aca="false">Sens!$K$4088+Sens!$K$4089+Sens!$K$4090</f>
        <v>191.350633353599</v>
      </c>
      <c r="L4091" s="38" t="n">
        <f aca="false">Sens!$L$4088+Sens!$L$4089+Sens!$L$4090</f>
        <v>223.909238335354</v>
      </c>
      <c r="M4091" s="38" t="n">
        <f aca="false">Sens!$M$4088+Sens!$M$4089+Sens!$M$4090</f>
        <v>257.576319867276</v>
      </c>
      <c r="N4091" s="38" t="n">
        <f aca="false">Sens!$N$4088+Sens!$N$4089+Sens!$N$4090</f>
        <v>18.822</v>
      </c>
      <c r="O4091" s="38" t="n">
        <f aca="false">Sens!$O$4088+Sens!$O$4089+Sens!$O$4090</f>
        <v>23.038</v>
      </c>
    </row>
    <row r="4092" customFormat="false" ht="17.15" hidden="false" customHeight="false" outlineLevel="0" collapsed="false">
      <c r="A4092" s="0" t="s">
        <v>696</v>
      </c>
      <c r="B4092" s="0" t="s">
        <v>73</v>
      </c>
      <c r="C4092" s="38" t="n">
        <f aca="false">Sens!$C$4065+Sens!$C$4070</f>
        <v>28.107</v>
      </c>
      <c r="D4092" s="38" t="n">
        <f aca="false">Sens!$D$4065+Sens!$D$4070</f>
        <v>34.3175</v>
      </c>
      <c r="E4092" s="38" t="n">
        <f aca="false">Sens!$E$4065+Sens!$E$4070</f>
        <v>18.526</v>
      </c>
      <c r="F4092" s="38" t="n">
        <f aca="false">Sens!$F$4065+Sens!$F$4070</f>
        <v>24.0766690913691</v>
      </c>
      <c r="G4092" s="38" t="n">
        <f aca="false">Sens!$G$4065+Sens!$G$4070</f>
        <v>42.6026690913691</v>
      </c>
      <c r="H4092" s="38" t="n">
        <f aca="false">Sens!$H$4065+Sens!$H$4070</f>
        <v>51.1466809294702</v>
      </c>
      <c r="I4092" s="38" t="n">
        <f aca="false">Sens!$I$4065+Sens!$I$4070</f>
        <v>59.6899187926205</v>
      </c>
      <c r="J4092" s="38" t="n">
        <f aca="false">Sens!$J$4065+Sens!$J$4070</f>
        <v>67.6595395244221</v>
      </c>
      <c r="K4092" s="38" t="n">
        <f aca="false">Sens!$K$4065+Sens!$K$4070</f>
        <v>74.4254934768643</v>
      </c>
      <c r="L4092" s="38" t="n">
        <f aca="false">Sens!$L$4065+Sens!$L$4070</f>
        <v>81.8680428245508</v>
      </c>
      <c r="M4092" s="38" t="n">
        <f aca="false">Sens!$M$4065+Sens!$M$4070</f>
        <v>90.0548471070059</v>
      </c>
      <c r="N4092" s="38" t="n">
        <f aca="false">Sens!$N$4065+Sens!$N$4070</f>
        <v>14.8075</v>
      </c>
      <c r="O4092" s="38" t="n">
        <f aca="false">Sens!$O$4065+Sens!$O$4070</f>
        <v>19.51</v>
      </c>
    </row>
    <row r="4093" customFormat="false" ht="17.15" hidden="false" customHeight="false" outlineLevel="0" collapsed="false">
      <c r="A4093" s="0" t="s">
        <v>697</v>
      </c>
      <c r="B4093" s="0" t="s">
        <v>73</v>
      </c>
      <c r="C4093" s="38" t="n">
        <f aca="false">Sens!$C$4069+Sens!$C$4074+Sens!$C$4088+Sens!$C$4089-Sens!$C$4092</f>
        <v>19.399</v>
      </c>
      <c r="D4093" s="38" t="n">
        <f aca="false">Sens!$D$4069+Sens!$D$4074+Sens!$D$4088+Sens!$D$4089-Sens!$D$4092</f>
        <v>20.4615</v>
      </c>
      <c r="E4093" s="38" t="n">
        <f aca="false">Sens!$E$4069+Sens!$E$4074+Sens!$E$4088+Sens!$E$4089-Sens!$E$4092</f>
        <v>13.355</v>
      </c>
      <c r="F4093" s="38" t="n">
        <f aca="false">Sens!$F$4069+Sens!$F$4074+Sens!$F$4088+Sens!$F$4089-Sens!$F$4092</f>
        <v>13.0895111975985</v>
      </c>
      <c r="G4093" s="38" t="n">
        <f aca="false">Sens!$G$4069+Sens!$G$4074+Sens!$G$4088+Sens!$G$4089-Sens!$G$4092</f>
        <v>26.4445111975985</v>
      </c>
      <c r="H4093" s="38" t="n">
        <f aca="false">Sens!$H$4069+Sens!$H$4074+Sens!$H$4088+Sens!$H$4089-Sens!$H$4092</f>
        <v>27.5363769767183</v>
      </c>
      <c r="I4093" s="38" t="n">
        <f aca="false">Sens!$I$4069+Sens!$I$4074+Sens!$I$4088+Sens!$I$4089-Sens!$I$4092</f>
        <v>28.2611185076769</v>
      </c>
      <c r="J4093" s="38" t="n">
        <f aca="false">Sens!$J$4069+Sens!$J$4074+Sens!$J$4088+Sens!$J$4089-Sens!$J$4092</f>
        <v>28.7797389222962</v>
      </c>
      <c r="K4093" s="38" t="n">
        <f aca="false">Sens!$K$4069+Sens!$K$4074+Sens!$K$4088+Sens!$K$4089-Sens!$K$4092</f>
        <v>28.9899641157143</v>
      </c>
      <c r="L4093" s="38" t="n">
        <f aca="false">Sens!$L$4069+Sens!$L$4074+Sens!$L$4088+Sens!$L$4089-Sens!$L$4092</f>
        <v>29.3558718896699</v>
      </c>
      <c r="M4093" s="38" t="n">
        <f aca="false">Sens!$M$4069+Sens!$M$4074+Sens!$M$4088+Sens!$M$4089-Sens!$M$4092</f>
        <v>29.889172581375</v>
      </c>
      <c r="N4093" s="38" t="n">
        <f aca="false">Sens!$N$4069+Sens!$N$4074+Sens!$N$4088+Sens!$N$4089-Sens!$N$4092</f>
        <v>10.6495</v>
      </c>
      <c r="O4093" s="38" t="n">
        <f aca="false">Sens!$O$4069+Sens!$O$4074+Sens!$O$4088+Sens!$O$4089-Sens!$O$4092</f>
        <v>9.81200000000001</v>
      </c>
    </row>
    <row r="4094" customFormat="false" ht="17.15" hidden="false" customHeight="false" outlineLevel="0" collapsed="false">
      <c r="A4094" s="0" t="s">
        <v>698</v>
      </c>
      <c r="B4094" s="0" t="s">
        <v>73</v>
      </c>
      <c r="C4094" s="38" t="n">
        <f aca="false">Sens!$C$4076+Sens!$C$4090-ext_sh*Sens!$C$4011</f>
        <v>51.3470500115664</v>
      </c>
      <c r="D4094" s="38" t="n">
        <f aca="false">Sens!$D$4076+Sens!$D$4090-ext_sh*Sens!$D$4011</f>
        <v>60.2799375433739</v>
      </c>
      <c r="E4094" s="38" t="n">
        <f aca="false">Sens!$E$4076+Sens!$E$4090-ext_sh*Sens!$E$4011</f>
        <v>39.5095167090767</v>
      </c>
      <c r="F4094" s="38" t="n">
        <f aca="false">Sens!$F$4076+Sens!$F$4090-ext_sh*Sens!$F$4011</f>
        <v>41.606724953129</v>
      </c>
      <c r="G4094" s="38" t="n">
        <f aca="false">Sens!$G$4076+Sens!$G$4090-ext_sh*Sens!$G$4011</f>
        <v>81.1162416622057</v>
      </c>
      <c r="H4094" s="38" t="n">
        <f aca="false">Sens!$H$4076+Sens!$H$4090-ext_sh*Sens!$H$4011</f>
        <v>95.7616595325849</v>
      </c>
      <c r="I4094" s="38" t="n">
        <f aca="false">Sens!$I$4076+Sens!$I$4090-ext_sh*Sens!$I$4011</f>
        <v>111.513312079935</v>
      </c>
      <c r="J4094" s="38" t="n">
        <f aca="false">Sens!$J$4076+Sens!$J$4090-ext_sh*Sens!$J$4011</f>
        <v>125.145150463955</v>
      </c>
      <c r="K4094" s="38" t="n">
        <f aca="false">Sens!$K$4076+Sens!$K$4090-ext_sh*Sens!$K$4011</f>
        <v>135.156762501071</v>
      </c>
      <c r="L4094" s="38" t="n">
        <f aca="false">Sens!$L$4076+Sens!$L$4090-ext_sh*Sens!$L$4011</f>
        <v>145.969303501157</v>
      </c>
      <c r="M4094" s="38" t="n">
        <f aca="false">Sens!$M$4076+Sens!$M$4090-ext_sh*Sens!$M$4011</f>
        <v>157.646847781249</v>
      </c>
      <c r="N4094" s="38" t="n">
        <f aca="false">Sens!$N$4076+Sens!$N$4090-ext_sh*Sens!$N$4011</f>
        <v>28.5693781401809</v>
      </c>
      <c r="O4094" s="38" t="n">
        <f aca="false">Sens!$O$4076+Sens!$O$4090-ext_sh*Sens!$O$4011</f>
        <v>31.7105594031931</v>
      </c>
    </row>
    <row r="4095" customFormat="false" ht="17.15" hidden="false" customHeight="false" outlineLevel="0" collapsed="false">
      <c r="A4095" s="0" t="s">
        <v>699</v>
      </c>
      <c r="B4095" s="0" t="s">
        <v>73</v>
      </c>
      <c r="C4095" s="38" t="n">
        <f aca="false">Sens!$C$4014</f>
        <v>1.80694998843362</v>
      </c>
      <c r="D4095" s="38" t="n">
        <f aca="false">Sens!$D$4014</f>
        <v>6.77606245662607</v>
      </c>
      <c r="E4095" s="38" t="n">
        <f aca="false">Sens!$E$4014</f>
        <v>6.62548329092326</v>
      </c>
      <c r="F4095" s="38" t="n">
        <f aca="false">Sens!$F$4014</f>
        <v>11.7200577158706</v>
      </c>
      <c r="G4095" s="38" t="n">
        <f aca="false">Sens!$G$4014</f>
        <v>18.3455410067939</v>
      </c>
      <c r="H4095" s="38" t="n">
        <f aca="false">Sens!$H$4014</f>
        <v>47.5171727060453</v>
      </c>
      <c r="I4095" s="38" t="n">
        <f aca="false">Sens!$I$4014</f>
        <v>80.5539692643667</v>
      </c>
      <c r="J4095" s="38" t="n">
        <f aca="false">Sens!$J$4014</f>
        <v>113.759316834883</v>
      </c>
      <c r="K4095" s="38" t="n">
        <f aca="false">Sens!$K$4014</f>
        <v>147.020848076132</v>
      </c>
      <c r="L4095" s="38" t="n">
        <f aca="false">Sens!$L$4014</f>
        <v>180.307917349531</v>
      </c>
      <c r="M4095" s="38" t="n">
        <f aca="false">Sens!$M$4014</f>
        <v>213.608737871012</v>
      </c>
      <c r="N4095" s="38" t="n">
        <f aca="false">Sens!$N$4014</f>
        <v>2.37162185981912</v>
      </c>
      <c r="O4095" s="38" t="n">
        <f aca="false">Sens!$O$4014</f>
        <v>4.40444059680694</v>
      </c>
    </row>
    <row r="4096" customFormat="false" ht="17.15" hidden="false" customHeight="false" outlineLevel="0" collapsed="false">
      <c r="A4096" s="0" t="s">
        <v>700</v>
      </c>
      <c r="B4096" s="0" t="s">
        <v>73</v>
      </c>
      <c r="C4096" s="38" t="n">
        <f aca="false">Sens!$C$4079+Sens!$C$4091</f>
        <v>100.66</v>
      </c>
      <c r="D4096" s="38" t="n">
        <f aca="false">Sens!$D$4079+Sens!$D$4091</f>
        <v>121.835</v>
      </c>
      <c r="E4096" s="38" t="n">
        <f aca="false">Sens!$E$4079+Sens!$E$4091</f>
        <v>78.016</v>
      </c>
      <c r="F4096" s="38" t="n">
        <f aca="false">Sens!$F$4079+Sens!$F$4091</f>
        <v>90.4929629579672</v>
      </c>
      <c r="G4096" s="38" t="n">
        <f aca="false">Sens!$G$4079+Sens!$G$4091</f>
        <v>168.508962957967</v>
      </c>
      <c r="H4096" s="38" t="n">
        <f aca="false">Sens!$H$4079+Sens!$H$4091</f>
        <v>221.961890144819</v>
      </c>
      <c r="I4096" s="38" t="n">
        <f aca="false">Sens!$I$4079+Sens!$I$4091</f>
        <v>280.018318644599</v>
      </c>
      <c r="J4096" s="38" t="n">
        <f aca="false">Sens!$J$4079+Sens!$J$4091</f>
        <v>335.343745745556</v>
      </c>
      <c r="K4096" s="38" t="n">
        <f aca="false">Sens!$K$4079+Sens!$K$4091</f>
        <v>385.593068169782</v>
      </c>
      <c r="L4096" s="38" t="n">
        <f aca="false">Sens!$L$4079+Sens!$L$4091</f>
        <v>437.501135564909</v>
      </c>
      <c r="M4096" s="38" t="n">
        <f aca="false">Sens!$M$4079+Sens!$M$4091</f>
        <v>491.199605340642</v>
      </c>
      <c r="N4096" s="38" t="n">
        <f aca="false">Sens!$N$4079+Sens!$N$4091</f>
        <v>56.398</v>
      </c>
      <c r="O4096" s="38" t="n">
        <f aca="false">Sens!$O$4079+Sens!$O$4091</f>
        <v>65.437</v>
      </c>
    </row>
    <row r="4097" customFormat="false" ht="17.15" hidden="false" customHeight="false" outlineLevel="0" collapsed="false">
      <c r="A4097" s="1" t="s">
        <v>701</v>
      </c>
    </row>
    <row r="4098" customFormat="false" ht="15" hidden="false" customHeight="false" outlineLevel="0" collapsed="false">
      <c r="A4098" s="5" t="s">
        <v>504</v>
      </c>
      <c r="B4098" s="0" t="s">
        <v>73</v>
      </c>
      <c r="C4098" s="38" t="n">
        <f aca="false">Q!$D$34</f>
        <v>2.406</v>
      </c>
      <c r="D4098" s="38" t="n">
        <f aca="false">Q!$E$34</f>
        <v>2.274</v>
      </c>
      <c r="E4098" s="38" t="n">
        <f aca="false">Q!$P$34</f>
        <v>2.114</v>
      </c>
      <c r="F4098" s="38" t="n">
        <f aca="false">Sens!$F$4134</f>
        <v>3.24888964316061</v>
      </c>
      <c r="G4098" s="38" t="n">
        <f aca="false">Sens!$E$4098+Sens!$F$4098</f>
        <v>5.36288964316061</v>
      </c>
      <c r="H4098" s="38" t="n">
        <f aca="false">Sens!$H$4134</f>
        <v>7.42354178632123</v>
      </c>
      <c r="I4098" s="38" t="n">
        <f aca="false">Sens!$I$4134</f>
        <v>7.58949014885979</v>
      </c>
      <c r="J4098" s="38" t="n">
        <f aca="false">Sens!$J$4134</f>
        <v>7.99894375637469</v>
      </c>
      <c r="K4098" s="38" t="n">
        <f aca="false">Sens!$K$4134</f>
        <v>7.99894375637469</v>
      </c>
      <c r="L4098" s="38" t="n">
        <f aca="false">Sens!$L$4134</f>
        <v>7.99894375637469</v>
      </c>
      <c r="M4098" s="38" t="n">
        <f aca="false">Sens!$M$4134</f>
        <v>7.99894375637469</v>
      </c>
      <c r="N4098" s="38" t="n">
        <f aca="false">Q!$N$34</f>
        <v>1.057</v>
      </c>
      <c r="O4098" s="38" t="n">
        <f aca="false">Q!$O$34</f>
        <v>1.217</v>
      </c>
    </row>
    <row r="4099" customFormat="false" ht="15" hidden="false" customHeight="false" outlineLevel="0" collapsed="false">
      <c r="A4099" s="5" t="s">
        <v>702</v>
      </c>
      <c r="B4099" s="0" t="s">
        <v>73</v>
      </c>
      <c r="F4099" s="38" t="n">
        <f aca="false">Sens!$F$4135</f>
        <v>2.59</v>
      </c>
      <c r="H4099" s="38" t="n">
        <f aca="false">Sens!$H$4135</f>
        <v>4.00971603121774</v>
      </c>
      <c r="I4099" s="38" t="n">
        <f aca="false">Sens!$I$4135</f>
        <v>2.10589651022864</v>
      </c>
      <c r="J4099" s="38" t="n">
        <f aca="false">Sens!$J$4135</f>
        <v>2.10589651022864</v>
      </c>
      <c r="K4099" s="38" t="n">
        <f aca="false">Sens!$K$4135</f>
        <v>3.60736487983527</v>
      </c>
      <c r="L4099" s="38" t="n">
        <f aca="false">Sens!$L$4135</f>
        <v>6.82221755234854</v>
      </c>
      <c r="M4099" s="38" t="n">
        <f aca="false">Sens!$M$4135</f>
        <v>10.5183325242281</v>
      </c>
    </row>
    <row r="4100" customFormat="false" ht="17.15" hidden="false" customHeight="false" outlineLevel="0" collapsed="false">
      <c r="A4100" s="5" t="s">
        <v>703</v>
      </c>
      <c r="B4100" s="0" t="s">
        <v>73</v>
      </c>
      <c r="C4100" s="38" t="n">
        <f aca="false">Q!$D$39</f>
        <v>2.427</v>
      </c>
      <c r="D4100" s="38" t="n">
        <f aca="false">Q!$E$39</f>
        <v>19.61</v>
      </c>
      <c r="E4100" s="38" t="n">
        <f aca="false">Q!$P$39</f>
        <v>71.492</v>
      </c>
      <c r="F4100" s="41" t="n">
        <v>0</v>
      </c>
      <c r="G4100" s="38" t="n">
        <f aca="false">Sens!$E$4100+Sens!$F$4100</f>
        <v>71.492</v>
      </c>
      <c r="H4100" s="41" t="n">
        <v>0</v>
      </c>
      <c r="I4100" s="41" t="n">
        <v>0</v>
      </c>
      <c r="J4100" s="41" t="n">
        <v>0</v>
      </c>
      <c r="K4100" s="41" t="n">
        <v>0</v>
      </c>
      <c r="L4100" s="41" t="n">
        <v>0</v>
      </c>
      <c r="M4100" s="41" t="n">
        <v>0</v>
      </c>
      <c r="N4100" s="38" t="n">
        <f aca="false">Q!$N$39</f>
        <v>6.017</v>
      </c>
      <c r="O4100" s="38" t="n">
        <f aca="false">Q!$O$39</f>
        <v>13.593</v>
      </c>
      <c r="P4100" s="5" t="s">
        <v>704</v>
      </c>
    </row>
    <row r="4101" customFormat="false" ht="15" hidden="false" customHeight="false" outlineLevel="0" collapsed="false">
      <c r="A4101" s="5" t="s">
        <v>507</v>
      </c>
      <c r="B4101" s="0" t="s">
        <v>73</v>
      </c>
      <c r="C4101" s="38" t="n">
        <f aca="false">Q!$D$36</f>
        <v>68.614</v>
      </c>
      <c r="D4101" s="38" t="n">
        <f aca="false">Q!$E$36</f>
        <v>97.311</v>
      </c>
      <c r="E4101" s="38" t="n">
        <f aca="false">Q!$P$36</f>
        <v>120.691</v>
      </c>
      <c r="F4101" s="38" t="n">
        <f aca="false">Sens!$F$4079-Sens!$F$4098+Sens!$F$4099+Sens!$F$4100</f>
        <v>59.2236875896856</v>
      </c>
      <c r="G4101" s="38" t="n">
        <f aca="false">Sens!$E$4101+Sens!$F$4101</f>
        <v>179.914687589686</v>
      </c>
      <c r="H4101" s="38" t="n">
        <f aca="false">Sens!$H$4079-Sens!$H$4098+Sens!$H$4099+Sens!$H$4100</f>
        <v>130.863542570331</v>
      </c>
      <c r="I4101" s="38" t="n">
        <f aca="false">Sens!$I$4079-Sens!$I$4098+Sens!$I$4099+Sens!$I$4100</f>
        <v>152.239955297331</v>
      </c>
      <c r="J4101" s="38" t="n">
        <f aca="false">Sens!$J$4079-Sens!$J$4098+Sens!$J$4099+Sens!$J$4100</f>
        <v>172.31673592619</v>
      </c>
      <c r="K4101" s="38" t="n">
        <f aca="false">Sens!$K$4079-Sens!$K$4098+Sens!$K$4099+Sens!$K$4100</f>
        <v>189.850855939643</v>
      </c>
      <c r="L4101" s="38" t="n">
        <f aca="false">Sens!$L$4079-Sens!$L$4098+Sens!$L$4099+Sens!$L$4100</f>
        <v>212.415171025528</v>
      </c>
      <c r="M4101" s="38" t="n">
        <f aca="false">Sens!$M$4079-Sens!$M$4098+Sens!$M$4099+Sens!$M$4100</f>
        <v>236.142674241219</v>
      </c>
      <c r="N4101" s="38" t="n">
        <f aca="false">Q!$N$36</f>
        <v>42.536</v>
      </c>
      <c r="O4101" s="38" t="n">
        <f aca="false">Q!$O$36</f>
        <v>54.775</v>
      </c>
    </row>
    <row r="4102" customFormat="false" ht="15" hidden="false" customHeight="false" outlineLevel="0" collapsed="false">
      <c r="A4102" s="5" t="s">
        <v>508</v>
      </c>
      <c r="B4102" s="0" t="s">
        <v>73</v>
      </c>
      <c r="C4102" s="38" t="n">
        <f aca="false">Q!$D$37</f>
        <v>9.265</v>
      </c>
      <c r="D4102" s="38" t="n">
        <f aca="false">Q!$E$37</f>
        <v>19.087</v>
      </c>
      <c r="E4102" s="38" t="n">
        <f aca="false">Q!$P$37</f>
        <v>27.759</v>
      </c>
      <c r="F4102" s="38" t="n">
        <f aca="false">Sens!$F$4101*tax</f>
        <v>10.2803157750071</v>
      </c>
      <c r="G4102" s="38" t="n">
        <f aca="false">Sens!$E$4102+Sens!$F$4102</f>
        <v>38.0393157750071</v>
      </c>
      <c r="H4102" s="38" t="n">
        <f aca="false">Sens!$H$4101*tax</f>
        <v>22.7158860890214</v>
      </c>
      <c r="I4102" s="38" t="n">
        <f aca="false">Sens!$I$4101*tax</f>
        <v>26.4265005730933</v>
      </c>
      <c r="J4102" s="38" t="n">
        <f aca="false">Sens!$J$4101*tax</f>
        <v>29.9115190346279</v>
      </c>
      <c r="K4102" s="38" t="n">
        <f aca="false">Sens!$K$4101*tax</f>
        <v>32.9551709568794</v>
      </c>
      <c r="L4102" s="38" t="n">
        <f aca="false">Sens!$L$4101*tax</f>
        <v>36.8719869095905</v>
      </c>
      <c r="M4102" s="38" t="n">
        <f aca="false">Sens!$M$4101*tax</f>
        <v>40.9907143231851</v>
      </c>
      <c r="N4102" s="38" t="n">
        <f aca="false">Q!$N$37</f>
        <v>7.231</v>
      </c>
      <c r="O4102" s="38" t="n">
        <f aca="false">Q!$O$37</f>
        <v>11.856</v>
      </c>
    </row>
    <row r="4103" customFormat="false" ht="15" hidden="false" customHeight="false" outlineLevel="0" collapsed="false">
      <c r="A4103" s="3" t="s">
        <v>509</v>
      </c>
      <c r="B4103" s="8" t="s">
        <v>73</v>
      </c>
      <c r="C4103" s="38" t="n">
        <f aca="false">Q!$D$38</f>
        <v>59.248</v>
      </c>
      <c r="D4103" s="38" t="n">
        <f aca="false">Q!$E$38</f>
        <v>77.67</v>
      </c>
      <c r="E4103" s="38" t="n">
        <f aca="false">Q!$P$38</f>
        <v>92.902</v>
      </c>
      <c r="F4103" s="38" t="n">
        <f aca="false">Sens!$F$4101-Sens!$F$4102</f>
        <v>48.9433718146785</v>
      </c>
      <c r="G4103" s="38" t="n">
        <f aca="false">Sens!$E$4103+Sens!$F$4103</f>
        <v>141.845371814679</v>
      </c>
      <c r="H4103" s="38" t="n">
        <f aca="false">Sens!$H$4101-Sens!$H$4102</f>
        <v>108.14765648131</v>
      </c>
      <c r="I4103" s="38" t="n">
        <f aca="false">Sens!$I$4101-Sens!$I$4102</f>
        <v>125.813454724237</v>
      </c>
      <c r="J4103" s="38" t="n">
        <f aca="false">Sens!$J$4101-Sens!$J$4102</f>
        <v>142.405216891562</v>
      </c>
      <c r="K4103" s="38" t="n">
        <f aca="false">Sens!$K$4101-Sens!$K$4102</f>
        <v>156.895684982763</v>
      </c>
      <c r="L4103" s="38" t="n">
        <f aca="false">Sens!$L$4101-Sens!$L$4102</f>
        <v>175.543184115937</v>
      </c>
      <c r="M4103" s="38" t="n">
        <f aca="false">Sens!$M$4101-Sens!$M$4102</f>
        <v>195.151959918034</v>
      </c>
      <c r="N4103" s="38" t="n">
        <f aca="false">Q!$N$38</f>
        <v>35.291</v>
      </c>
      <c r="O4103" s="38" t="n">
        <f aca="false">Q!$O$38</f>
        <v>42.379</v>
      </c>
    </row>
    <row r="4104" customFormat="false" ht="17.15" hidden="false" customHeight="false" outlineLevel="0" collapsed="false">
      <c r="A4104" s="5" t="s">
        <v>512</v>
      </c>
      <c r="B4104" s="5" t="s">
        <v>33</v>
      </c>
      <c r="C4104" s="22" t="n">
        <f aca="false">Q!$D$41</f>
        <v>10.721</v>
      </c>
      <c r="D4104" s="22" t="n">
        <f aca="false">Q!$E$41</f>
        <v>10.827</v>
      </c>
      <c r="E4104" s="22" t="n">
        <f aca="false">(Q!$L$41+Q!$M$41)/2</f>
        <v>10.8885</v>
      </c>
      <c r="F4104" s="22" t="n">
        <f aca="false">Sens!$G$4104</f>
        <v>10.924806</v>
      </c>
      <c r="G4104" s="22" t="n">
        <f aca="false">Q!$M$41*(1+sh_g*0.25)</f>
        <v>10.924806</v>
      </c>
      <c r="H4104" s="22" t="n">
        <f aca="false">Sens!$G$4104*(1+sh_g)</f>
        <v>11.012204448</v>
      </c>
      <c r="I4104" s="22" t="n">
        <f aca="false">Sens!$H$4104*(1+sh_g)</f>
        <v>11.100302083584</v>
      </c>
      <c r="J4104" s="22" t="n">
        <f aca="false">Sens!$I$4104*(1+sh_g)</f>
        <v>11.1891045002527</v>
      </c>
      <c r="K4104" s="22" t="n">
        <f aca="false">Sens!$J$4104*(1+sh_g)</f>
        <v>11.2786173362547</v>
      </c>
      <c r="L4104" s="22" t="n">
        <f aca="false">Sens!$K$4104*(1+sh_g)</f>
        <v>11.3688462749447</v>
      </c>
      <c r="M4104" s="22" t="n">
        <f aca="false">Sens!$L$4104*(1+sh_g)</f>
        <v>11.4597970451443</v>
      </c>
      <c r="P4104" s="5" t="s">
        <v>705</v>
      </c>
    </row>
    <row r="4105" customFormat="false" ht="17.15" hidden="false" customHeight="false" outlineLevel="0" collapsed="false">
      <c r="A4105" s="42" t="s">
        <v>706</v>
      </c>
      <c r="B4105" s="13" t="s">
        <v>27</v>
      </c>
      <c r="C4105" s="43" t="n">
        <f aca="false">Sens!$C$4103/Sens!$C$4104</f>
        <v>5.52635015390355</v>
      </c>
      <c r="D4105" s="43" t="n">
        <f aca="false">Sens!$D$4103/Sens!$D$4104</f>
        <v>7.1737323358271</v>
      </c>
      <c r="E4105" s="43" t="n">
        <f aca="false">Sens!$E$4103/Sens!$E$4104</f>
        <v>8.53212104513937</v>
      </c>
      <c r="F4105" s="13"/>
      <c r="G4105" s="43" t="n">
        <f aca="false">Sens!$G$4103/Sens!$G$4104</f>
        <v>12.9837886196495</v>
      </c>
      <c r="H4105" s="43" t="n">
        <f aca="false">Sens!$H$4103/Sens!$H$4104</f>
        <v>9.82070910433845</v>
      </c>
      <c r="I4105" s="43" t="n">
        <f aca="false">Sens!$I$4103/Sens!$I$4104</f>
        <v>11.3342370123692</v>
      </c>
      <c r="J4105" s="43" t="n">
        <f aca="false">Sens!$J$4103/Sens!$J$4104</f>
        <v>12.7271326215915</v>
      </c>
      <c r="K4105" s="43" t="n">
        <f aca="false">Sens!$K$4103/Sens!$K$4104</f>
        <v>13.9108970811899</v>
      </c>
      <c r="L4105" s="43" t="n">
        <f aca="false">Sens!$L$4103/Sens!$L$4104</f>
        <v>15.4407210609232</v>
      </c>
      <c r="M4105" s="43" t="n">
        <f aca="false">Sens!$M$4103/Sens!$M$4104</f>
        <v>17.0292684197861</v>
      </c>
      <c r="N4105" s="13"/>
      <c r="O4105" s="13"/>
    </row>
    <row r="4106" customFormat="false" ht="17.15" hidden="false" customHeight="false" outlineLevel="0" collapsed="false">
      <c r="A4106" s="0" t="s">
        <v>707</v>
      </c>
      <c r="B4106" s="0" t="s">
        <v>27</v>
      </c>
      <c r="C4106" s="30" t="n">
        <f aca="false">(Sens!$C$4103-Sens!$C$4100*(1-tax))/Sens!$C$4104</f>
        <v>5.33926775917445</v>
      </c>
      <c r="D4106" s="30" t="n">
        <f aca="false">(Sens!$D$4103-Sens!$D$4100*(1-tax))/Sens!$D$4104</f>
        <v>5.67691812755503</v>
      </c>
      <c r="E4106" s="30" t="n">
        <f aca="false">(Sens!$E$4103-Sens!$E$4100*(1-tax))/Sens!$E$4104</f>
        <v>3.10602057006846</v>
      </c>
      <c r="G4106" s="30" t="n">
        <f aca="false">(Sens!$G$4103-Sens!$G$4100*(1-tax))/Sens!$G$4104</f>
        <v>7.57572050175252</v>
      </c>
      <c r="H4106" s="30" t="n">
        <f aca="false">(Sens!$H$4103-Sens!$H$4100*(1-tax))/Sens!$H$4104</f>
        <v>9.82070910433845</v>
      </c>
      <c r="I4106" s="30" t="n">
        <f aca="false">(Sens!$I$4103-Sens!$I$4100*(1-tax))/Sens!$I$4104</f>
        <v>11.3342370123692</v>
      </c>
      <c r="J4106" s="30" t="n">
        <f aca="false">(Sens!$J$4103-Sens!$J$4100*(1-tax))/Sens!$J$4104</f>
        <v>12.7271326215915</v>
      </c>
      <c r="K4106" s="30" t="n">
        <f aca="false">(Sens!$K$4103-Sens!$K$4100*(1-tax))/Sens!$K$4104</f>
        <v>13.9108970811899</v>
      </c>
      <c r="L4106" s="30" t="n">
        <f aca="false">(Sens!$L$4103-Sens!$L$4100*(1-tax))/Sens!$L$4104</f>
        <v>15.4407210609232</v>
      </c>
      <c r="M4106" s="30" t="n">
        <f aca="false">(Sens!$M$4103-Sens!$M$4100*(1-tax))/Sens!$M$4104</f>
        <v>17.0292684197861</v>
      </c>
      <c r="P4106" s="5" t="s">
        <v>708</v>
      </c>
    </row>
    <row r="4107" customFormat="false" ht="17.15" hidden="false" customHeight="false" outlineLevel="0" collapsed="false">
      <c r="A4107" s="0" t="s">
        <v>709</v>
      </c>
      <c r="B4107" s="0" t="s">
        <v>52</v>
      </c>
      <c r="H4107" s="12" t="n">
        <f aca="false">Sens!$H$4105/Sens!$G$4105-1</f>
        <v>-0.2436176071539</v>
      </c>
      <c r="I4107" s="12" t="n">
        <f aca="false">Sens!$I$4105/Sens!$H$4105-1</f>
        <v>0.154115949464604</v>
      </c>
      <c r="J4107" s="12" t="n">
        <f aca="false">Sens!$J$4105/Sens!$I$4105-1</f>
        <v>0.122892754730832</v>
      </c>
      <c r="K4107" s="12" t="n">
        <f aca="false">Sens!$K$4105/Sens!$J$4105-1</f>
        <v>0.0930110885770294</v>
      </c>
      <c r="L4107" s="12" t="n">
        <f aca="false">Sens!$L$4105/Sens!$K$4105-1</f>
        <v>0.109973064339748</v>
      </c>
      <c r="M4107" s="12" t="n">
        <f aca="false">Sens!$M$4105/Sens!$L$4105-1</f>
        <v>0.102880387036013</v>
      </c>
    </row>
    <row r="4110" customFormat="false" ht="19.4" hidden="false" customHeight="false" outlineLevel="0" collapsed="false">
      <c r="A4110" s="31" t="s">
        <v>1133</v>
      </c>
    </row>
    <row r="4111" customFormat="false" ht="17.15" hidden="false" customHeight="false" outlineLevel="0" collapsed="false">
      <c r="A4111" s="6" t="s">
        <v>16</v>
      </c>
      <c r="B4111" s="6" t="s">
        <v>17</v>
      </c>
      <c r="C4111" s="20" t="s">
        <v>457</v>
      </c>
      <c r="D4111" s="20" t="s">
        <v>458</v>
      </c>
      <c r="E4111" s="20" t="s">
        <v>540</v>
      </c>
      <c r="F4111" s="20" t="s">
        <v>541</v>
      </c>
      <c r="G4111" s="20" t="s">
        <v>542</v>
      </c>
      <c r="H4111" s="20" t="s">
        <v>543</v>
      </c>
      <c r="I4111" s="20" t="s">
        <v>544</v>
      </c>
      <c r="J4111" s="20" t="s">
        <v>545</v>
      </c>
      <c r="K4111" s="20" t="s">
        <v>546</v>
      </c>
      <c r="L4111" s="20" t="s">
        <v>547</v>
      </c>
      <c r="M4111" s="20" t="s">
        <v>548</v>
      </c>
      <c r="N4111" s="20" t="s">
        <v>549</v>
      </c>
      <c r="O4111" s="20" t="s">
        <v>550</v>
      </c>
      <c r="P4111" s="6" t="s">
        <v>23</v>
      </c>
      <c r="R4111" s="20" t="n">
        <v>2023</v>
      </c>
      <c r="S4111" s="20" t="n">
        <v>2024</v>
      </c>
      <c r="T4111" s="20" t="n">
        <v>2025</v>
      </c>
      <c r="U4111" s="20" t="n">
        <v>2026</v>
      </c>
      <c r="V4111" s="20" t="n">
        <v>2027</v>
      </c>
      <c r="W4111" s="20" t="n">
        <v>2028</v>
      </c>
      <c r="X4111" s="20" t="n">
        <v>2029</v>
      </c>
      <c r="Y4111" s="20" t="n">
        <v>2030</v>
      </c>
      <c r="Z4111" s="20" t="n">
        <v>2031</v>
      </c>
      <c r="AA4111" s="20" t="n">
        <v>2032</v>
      </c>
    </row>
    <row r="4112" customFormat="false" ht="15" hidden="false" customHeight="false" outlineLevel="0" collapsed="false">
      <c r="A4112" s="5" t="s">
        <v>509</v>
      </c>
      <c r="B4112" s="0" t="s">
        <v>73</v>
      </c>
      <c r="C4112" s="38" t="n">
        <f aca="false">Sens!$C$4103</f>
        <v>59.248</v>
      </c>
      <c r="D4112" s="38" t="n">
        <f aca="false">Sens!$D$4103</f>
        <v>77.67</v>
      </c>
      <c r="E4112" s="38" t="n">
        <f aca="false">Sens!$E$4103</f>
        <v>92.902</v>
      </c>
      <c r="F4112" s="38" t="n">
        <f aca="false">Sens!$F$4103</f>
        <v>48.9433718146785</v>
      </c>
      <c r="G4112" s="38" t="n">
        <f aca="false">Sens!$G$4103</f>
        <v>141.845371814679</v>
      </c>
      <c r="H4112" s="38" t="n">
        <f aca="false">Sens!$H$4103</f>
        <v>108.14765648131</v>
      </c>
      <c r="I4112" s="38" t="n">
        <f aca="false">Sens!$I$4103</f>
        <v>125.813454724237</v>
      </c>
      <c r="J4112" s="38" t="n">
        <f aca="false">Sens!$J$4103</f>
        <v>142.405216891562</v>
      </c>
      <c r="K4112" s="38" t="n">
        <f aca="false">Sens!$K$4103</f>
        <v>156.895684982763</v>
      </c>
      <c r="L4112" s="38" t="n">
        <f aca="false">Sens!$L$4103</f>
        <v>175.543184115937</v>
      </c>
      <c r="M4112" s="38" t="n">
        <f aca="false">Sens!$M$4103</f>
        <v>195.151959918034</v>
      </c>
    </row>
    <row r="4113" customFormat="false" ht="17.15" hidden="false" customHeight="false" outlineLevel="0" collapsed="false">
      <c r="A4113" s="5" t="s">
        <v>731</v>
      </c>
      <c r="B4113" s="0" t="s">
        <v>73</v>
      </c>
      <c r="C4113" s="38" t="n">
        <f aca="false">Sens!$C$4091</f>
        <v>32.067</v>
      </c>
      <c r="D4113" s="38" t="n">
        <f aca="false">Sens!$D$4091</f>
        <v>41.86</v>
      </c>
      <c r="E4113" s="38" t="n">
        <f aca="false">Sens!$E$4091</f>
        <v>26.703</v>
      </c>
      <c r="F4113" s="38" t="n">
        <f aca="false">Sens!$F$4091</f>
        <v>30.6103857251209</v>
      </c>
      <c r="G4113" s="38" t="n">
        <f aca="false">Sens!$G$4091</f>
        <v>57.3133857251209</v>
      </c>
      <c r="H4113" s="38" t="n">
        <f aca="false">Sens!$H$4091</f>
        <v>87.6845218193838</v>
      </c>
      <c r="I4113" s="38" t="n">
        <f aca="false">Sens!$I$4091</f>
        <v>122.294769708638</v>
      </c>
      <c r="J4113" s="38" t="n">
        <f aca="false">Sens!$J$4091</f>
        <v>157.133962573221</v>
      </c>
      <c r="K4113" s="38" t="n">
        <f aca="false">Sens!$K$4091</f>
        <v>191.350633353599</v>
      </c>
      <c r="L4113" s="38" t="n">
        <f aca="false">Sens!$L$4091</f>
        <v>223.909238335354</v>
      </c>
      <c r="M4113" s="38" t="n">
        <f aca="false">Sens!$M$4091</f>
        <v>257.576319867276</v>
      </c>
    </row>
    <row r="4114" customFormat="false" ht="15" hidden="false" customHeight="false" outlineLevel="0" collapsed="false">
      <c r="A4114" s="5" t="s">
        <v>732</v>
      </c>
      <c r="B4114" s="0" t="s">
        <v>73</v>
      </c>
      <c r="C4114" s="38" t="n">
        <f aca="false">Q!$D$48</f>
        <v>22.011</v>
      </c>
      <c r="D4114" s="38" t="n">
        <f aca="false">Q!$E$48</f>
        <v>19.467</v>
      </c>
      <c r="E4114" s="38" t="n">
        <f aca="false">Q!$P$48</f>
        <v>10.07</v>
      </c>
      <c r="F4114" s="38" t="n">
        <f aca="false">sbc_r*Sens!$F$4035</f>
        <v>11.2170714500462</v>
      </c>
      <c r="G4114" s="38" t="n">
        <f aca="false">Sens!$E$4114+Sens!$F$4114</f>
        <v>21.2870714500462</v>
      </c>
      <c r="H4114" s="38" t="n">
        <f aca="false">sbc_r*Sens!$H$4035</f>
        <v>24.1772394325528</v>
      </c>
      <c r="I4114" s="38" t="n">
        <f aca="false">sbc_r*Sens!$I$4035</f>
        <v>27.6495284422397</v>
      </c>
      <c r="J4114" s="38" t="n">
        <f aca="false">sbc_r*Sens!$J$4035</f>
        <v>30.9042211184633</v>
      </c>
      <c r="K4114" s="38" t="n">
        <f aca="false">sbc_r*Sens!$K$4035</f>
        <v>33.8004145402678</v>
      </c>
      <c r="L4114" s="38" t="n">
        <f aca="false">sbc_r*Sens!$L$4035</f>
        <v>36.8322537652494</v>
      </c>
      <c r="M4114" s="38" t="n">
        <f aca="false">sbc_r*Sens!$M$4035</f>
        <v>40.0097627968013</v>
      </c>
    </row>
    <row r="4115" customFormat="false" ht="17.15" hidden="false" customHeight="false" outlineLevel="0" collapsed="false">
      <c r="A4115" s="5" t="s">
        <v>733</v>
      </c>
      <c r="B4115" s="0" t="s">
        <v>73</v>
      </c>
      <c r="C4115" s="38" t="n">
        <f aca="false">Q!$D$44-Sens!$C$4112-Sens!$C$4113-Sens!$C$4114</f>
        <v>2.551</v>
      </c>
      <c r="D4115" s="38" t="n">
        <f aca="false">Q!$E$44-Sens!$D$4112-Sens!$D$4113-Sens!$D$4114</f>
        <v>0.51700000000001</v>
      </c>
      <c r="E4115" s="38" t="n">
        <f aca="false">Q!$P$44-Sens!$E$4112-Sens!$E$4113-Sens!$E$4114</f>
        <v>-58.256</v>
      </c>
      <c r="F4115" s="38" t="n">
        <f aca="false">wc_2h26+oth_r*Sens!$F$4035</f>
        <v>7.34599241893378</v>
      </c>
      <c r="G4115" s="38" t="n">
        <f aca="false">Sens!$E$4115+Sens!$F$4115</f>
        <v>-50.9100075810662</v>
      </c>
      <c r="H4115" s="38" t="n">
        <f aca="false">oth_r*Sens!$H$4035</f>
        <v>11.6369707537667</v>
      </c>
      <c r="I4115" s="38" t="n">
        <f aca="false">oth_r*Sens!$I$4035</f>
        <v>13.3082502961262</v>
      </c>
      <c r="J4115" s="38" t="n">
        <f aca="false">oth_r*Sens!$J$4035</f>
        <v>14.8747965344332</v>
      </c>
      <c r="K4115" s="38" t="n">
        <f aca="false">oth_r*Sens!$K$4035</f>
        <v>16.2687901804328</v>
      </c>
      <c r="L4115" s="38" t="n">
        <f aca="false">oth_r*Sens!$L$4035</f>
        <v>17.7280727627002</v>
      </c>
      <c r="M4115" s="38" t="n">
        <f aca="false">oth_r*Sens!$M$4035</f>
        <v>19.2574690270319</v>
      </c>
      <c r="P4115" s="8" t="s">
        <v>734</v>
      </c>
    </row>
    <row r="4116" customFormat="false" ht="15" hidden="false" customHeight="false" outlineLevel="0" collapsed="false">
      <c r="A4116" s="3" t="s">
        <v>515</v>
      </c>
      <c r="B4116" s="8" t="s">
        <v>73</v>
      </c>
      <c r="C4116" s="38" t="n">
        <f aca="false">Q!$D$44</f>
        <v>115.877</v>
      </c>
      <c r="D4116" s="38" t="n">
        <f aca="false">Q!$E$44</f>
        <v>139.514</v>
      </c>
      <c r="E4116" s="38" t="n">
        <f aca="false">Q!$P$44</f>
        <v>71.419</v>
      </c>
      <c r="F4116" s="38" t="n">
        <f aca="false">Sens!$F$4112+Sens!$F$4113+Sens!$F$4114+Sens!$F$4115</f>
        <v>98.1168214087795</v>
      </c>
      <c r="G4116" s="38" t="n">
        <f aca="false">Sens!$E$4116+Sens!$F$4116</f>
        <v>169.535821408779</v>
      </c>
      <c r="H4116" s="38" t="n">
        <f aca="false">Sens!$H$4112+Sens!$H$4113+Sens!$H$4114+Sens!$H$4115</f>
        <v>231.646388487013</v>
      </c>
      <c r="I4116" s="38" t="n">
        <f aca="false">Sens!$I$4112+Sens!$I$4113+Sens!$I$4114+Sens!$I$4115</f>
        <v>289.066003171241</v>
      </c>
      <c r="J4116" s="38" t="n">
        <f aca="false">Sens!$J$4112+Sens!$J$4113+Sens!$J$4114+Sens!$J$4115</f>
        <v>345.318197117679</v>
      </c>
      <c r="K4116" s="38" t="n">
        <f aca="false">Sens!$K$4112+Sens!$K$4113+Sens!$K$4114+Sens!$K$4115</f>
        <v>398.315523057063</v>
      </c>
      <c r="L4116" s="38" t="n">
        <f aca="false">Sens!$L$4112+Sens!$L$4113+Sens!$L$4114+Sens!$L$4115</f>
        <v>454.012748979241</v>
      </c>
      <c r="M4116" s="38" t="n">
        <f aca="false">Sens!$M$4112+Sens!$M$4113+Sens!$M$4114+Sens!$M$4115</f>
        <v>511.995511609143</v>
      </c>
    </row>
    <row r="4117" customFormat="false" ht="17.15" hidden="false" customHeight="false" outlineLevel="0" collapsed="false">
      <c r="A4117" s="5" t="s">
        <v>735</v>
      </c>
      <c r="B4117" s="0" t="s">
        <v>73</v>
      </c>
      <c r="C4117" s="38" t="n">
        <f aca="false">Sens!$C$4004</f>
        <v>25.2781053077374</v>
      </c>
      <c r="D4117" s="38" t="n">
        <f aca="false">Sens!$D$4004</f>
        <v>69.5686316310026</v>
      </c>
      <c r="E4117" s="38" t="n">
        <f aca="false">Sens!$E$4004</f>
        <v>64.1899206485108</v>
      </c>
      <c r="F4117" s="38" t="n">
        <f aca="false">Sens!$F$4004</f>
        <v>96.2481299895</v>
      </c>
      <c r="G4117" s="38" t="n">
        <f aca="false">Sens!$G$4004</f>
        <v>160.438050638011</v>
      </c>
      <c r="H4117" s="38" t="n">
        <f aca="false">Sens!$H$4004</f>
        <v>198.57136494475</v>
      </c>
      <c r="I4117" s="38" t="n">
        <f aca="false">Sens!$I$4004</f>
        <v>204.6464699105</v>
      </c>
      <c r="J4117" s="38" t="n">
        <f aca="false">Sens!$J$4004</f>
        <v>209.8832381105</v>
      </c>
      <c r="K4117" s="38" t="n">
        <f aca="false">Sens!$K$4004</f>
        <v>215.1200063105</v>
      </c>
      <c r="L4117" s="38" t="n">
        <f aca="false">Sens!$L$4004</f>
        <v>251.7773837105</v>
      </c>
      <c r="M4117" s="38" t="n">
        <f aca="false">Sens!$M$4004</f>
        <v>311.87584476575</v>
      </c>
    </row>
    <row r="4118" customFormat="false" ht="17.15" hidden="false" customHeight="false" outlineLevel="0" collapsed="false">
      <c r="A4118" s="5" t="s">
        <v>736</v>
      </c>
      <c r="B4118" s="0" t="s">
        <v>73</v>
      </c>
      <c r="C4118" s="38" t="n">
        <f aca="false">cx_awso*Sens!$C$4033</f>
        <v>21.0469989286053</v>
      </c>
      <c r="D4118" s="38" t="n">
        <f aca="false">cx_awso*Sens!$D$4033</f>
        <v>24.0042459822698</v>
      </c>
      <c r="E4118" s="38" t="n">
        <f aca="false">cx_awso*Sens!$E$4033</f>
        <v>14.261729404886</v>
      </c>
      <c r="F4118" s="38" t="n">
        <f aca="false">cx_awso*Sens!$F$4033</f>
        <v>15.7190020837331</v>
      </c>
      <c r="G4118" s="38" t="n">
        <f aca="false">Sens!$E$4118+Sens!$F$4118</f>
        <v>29.9807314886191</v>
      </c>
      <c r="H4118" s="38" t="n">
        <f aca="false">cx_awso*Sens!$H$4033</f>
        <v>36.1787121536283</v>
      </c>
      <c r="I4118" s="38" t="n">
        <f aca="false">cx_awso*Sens!$I$4033</f>
        <v>42.1296794430021</v>
      </c>
      <c r="J4118" s="38" t="n">
        <f aca="false">cx_awso*Sens!$J$4033</f>
        <v>47.279781889299</v>
      </c>
      <c r="K4118" s="38" t="n">
        <f aca="false">cx_awso*Sens!$K$4033</f>
        <v>51.0621644404429</v>
      </c>
      <c r="L4118" s="38" t="n">
        <f aca="false">cx_awso*Sens!$L$4033</f>
        <v>55.1471375956783</v>
      </c>
      <c r="M4118" s="38" t="n">
        <f aca="false">cx_awso*Sens!$M$4033</f>
        <v>59.5589086033326</v>
      </c>
    </row>
    <row r="4119" customFormat="false" ht="17.15" hidden="false" customHeight="false" outlineLevel="0" collapsed="false">
      <c r="A4119" s="5" t="s">
        <v>737</v>
      </c>
      <c r="B4119" s="0" t="s">
        <v>73</v>
      </c>
      <c r="C4119" s="38" t="n">
        <f aca="false">Q!$D$46-Sens!$C$4117-Sens!$C$4118</f>
        <v>31.3328957636573</v>
      </c>
      <c r="D4119" s="38" t="n">
        <f aca="false">Q!$E$46-Sens!$D$4117-Sens!$D$4118</f>
        <v>34.7471223867276</v>
      </c>
      <c r="E4119" s="38" t="n">
        <f aca="false">Q!$P$46-Sens!$E$4117-Sens!$E$4118</f>
        <v>17.8583499466032</v>
      </c>
      <c r="F4119" s="38" t="n">
        <f aca="false">cx_rt*Sens!$F$3968</f>
        <v>21.0855744229195</v>
      </c>
      <c r="G4119" s="38" t="n">
        <f aca="false">Sens!$E$4119+Sens!$F$4119</f>
        <v>38.9439243695228</v>
      </c>
      <c r="H4119" s="38" t="n">
        <f aca="false">cx_rt*Sens!$H$3968</f>
        <v>43.1200434029767</v>
      </c>
      <c r="I4119" s="38" t="n">
        <f aca="false">cx_rt*Sens!$I$3968</f>
        <v>47.1583152318763</v>
      </c>
      <c r="J4119" s="38" t="n">
        <f aca="false">cx_rt*Sens!$J$3968</f>
        <v>50.9060281137911</v>
      </c>
      <c r="K4119" s="38" t="n">
        <f aca="false">cx_rt*Sens!$K$3968</f>
        <v>54.2035645673053</v>
      </c>
      <c r="L4119" s="38" t="n">
        <f aca="false">cx_rt*Sens!$L$3968</f>
        <v>57.7318979121519</v>
      </c>
      <c r="M4119" s="38" t="n">
        <f aca="false">cx_rt*Sens!$M$3968</f>
        <v>61.5084196557756</v>
      </c>
    </row>
    <row r="4120" customFormat="false" ht="15" hidden="false" customHeight="false" outlineLevel="0" collapsed="false">
      <c r="A4120" s="3" t="s">
        <v>738</v>
      </c>
      <c r="B4120" s="8" t="s">
        <v>73</v>
      </c>
      <c r="C4120" s="38" t="n">
        <f aca="false">Q!$D$46</f>
        <v>77.658</v>
      </c>
      <c r="D4120" s="38" t="n">
        <f aca="false">Q!$E$46</f>
        <v>128.32</v>
      </c>
      <c r="E4120" s="38" t="n">
        <f aca="false">Q!$P$46</f>
        <v>96.31</v>
      </c>
      <c r="F4120" s="38" t="n">
        <f aca="false">Sens!$F$4117+Sens!$F$4118+Sens!$F$4119</f>
        <v>133.052706496153</v>
      </c>
      <c r="G4120" s="38" t="n">
        <f aca="false">Sens!$E$4120+Sens!$F$4120</f>
        <v>229.362706496153</v>
      </c>
      <c r="H4120" s="38" t="n">
        <f aca="false">Sens!$H$4117+Sens!$H$4118+Sens!$H$4119</f>
        <v>277.870120501355</v>
      </c>
      <c r="I4120" s="38" t="n">
        <f aca="false">Sens!$I$4117+Sens!$I$4118+Sens!$I$4119</f>
        <v>293.934464585378</v>
      </c>
      <c r="J4120" s="38" t="n">
        <f aca="false">Sens!$J$4117+Sens!$J$4118+Sens!$J$4119</f>
        <v>308.06904811359</v>
      </c>
      <c r="K4120" s="38" t="n">
        <f aca="false">Sens!$K$4117+Sens!$K$4118+Sens!$K$4119</f>
        <v>320.385735318248</v>
      </c>
      <c r="L4120" s="38" t="n">
        <f aca="false">Sens!$L$4117+Sens!$L$4118+Sens!$L$4119</f>
        <v>364.65641921833</v>
      </c>
      <c r="M4120" s="38" t="n">
        <f aca="false">Sens!$M$4117+Sens!$M$4118+Sens!$M$4119</f>
        <v>432.943173024858</v>
      </c>
    </row>
    <row r="4121" customFormat="false" ht="17.15" hidden="false" customHeight="false" outlineLevel="0" collapsed="false">
      <c r="A4121" s="5" t="s">
        <v>523</v>
      </c>
      <c r="B4121" s="0" t="s">
        <v>73</v>
      </c>
      <c r="C4121" s="38" t="n">
        <f aca="false">Q!$D$50</f>
        <v>2.043</v>
      </c>
      <c r="D4121" s="38" t="n">
        <f aca="false">Q!$E$50</f>
        <v>1.557</v>
      </c>
      <c r="E4121" s="38" t="n">
        <f aca="false">lease_pr/2</f>
        <v>0.8</v>
      </c>
      <c r="F4121" s="38" t="n">
        <f aca="false">lease_pr/2</f>
        <v>0.8</v>
      </c>
      <c r="G4121" s="38" t="n">
        <f aca="false">Sens!$E$4121+Sens!$F$4121</f>
        <v>1.6</v>
      </c>
      <c r="H4121" s="38" t="n">
        <f aca="false">lease_pr</f>
        <v>1.6</v>
      </c>
      <c r="I4121" s="38" t="n">
        <f aca="false">lease_pr</f>
        <v>1.6</v>
      </c>
      <c r="J4121" s="38" t="n">
        <f aca="false">lease_pr</f>
        <v>1.6</v>
      </c>
      <c r="K4121" s="38" t="n">
        <f aca="false">lease_pr</f>
        <v>1.6</v>
      </c>
      <c r="L4121" s="38" t="n">
        <f aca="false">lease_pr</f>
        <v>1.6</v>
      </c>
      <c r="M4121" s="38" t="n">
        <f aca="false">lease_pr</f>
        <v>1.6</v>
      </c>
      <c r="P4121" s="8" t="s">
        <v>739</v>
      </c>
    </row>
    <row r="4122" customFormat="false" ht="15" hidden="false" customHeight="false" outlineLevel="0" collapsed="false">
      <c r="A4122" s="46" t="s">
        <v>740</v>
      </c>
      <c r="B4122" s="13" t="s">
        <v>73</v>
      </c>
      <c r="C4122" s="47" t="n">
        <f aca="false">Sens!$C$4116-Sens!$C$4120-Sens!$C$4121</f>
        <v>36.176</v>
      </c>
      <c r="D4122" s="47" t="n">
        <f aca="false">Sens!$D$4116-Sens!$D$4120-Sens!$D$4121</f>
        <v>9.63700000000002</v>
      </c>
      <c r="E4122" s="47" t="n">
        <f aca="false">Sens!$E$4116-Sens!$E$4120-Sens!$E$4121</f>
        <v>-25.691</v>
      </c>
      <c r="F4122" s="47" t="n">
        <f aca="false">Sens!$F$4116-Sens!$F$4120-Sens!$F$4121</f>
        <v>-35.7358850873731</v>
      </c>
      <c r="G4122" s="47" t="n">
        <f aca="false">Sens!$G$4116-Sens!$G$4120-Sens!$G$4121</f>
        <v>-61.4268850873731</v>
      </c>
      <c r="H4122" s="47" t="n">
        <f aca="false">Sens!$H$4116-Sens!$H$4120-Sens!$H$4121</f>
        <v>-47.8237320143419</v>
      </c>
      <c r="I4122" s="47" t="n">
        <f aca="false">Sens!$I$4116-Sens!$I$4120-Sens!$I$4121</f>
        <v>-6.46846141413747</v>
      </c>
      <c r="J4122" s="47" t="n">
        <f aca="false">Sens!$J$4116-Sens!$J$4120-Sens!$J$4121</f>
        <v>35.6491490040889</v>
      </c>
      <c r="K4122" s="47" t="n">
        <f aca="false">Sens!$K$4116-Sens!$K$4120-Sens!$K$4121</f>
        <v>76.3297877388151</v>
      </c>
      <c r="L4122" s="47" t="n">
        <f aca="false">Sens!$L$4116-Sens!$L$4120-Sens!$L$4121</f>
        <v>87.7563297609113</v>
      </c>
      <c r="M4122" s="47" t="n">
        <f aca="false">Sens!$M$4116-Sens!$M$4120-Sens!$M$4121</f>
        <v>77.4523385842851</v>
      </c>
      <c r="N4122" s="13"/>
      <c r="O4122" s="13"/>
    </row>
    <row r="4123" customFormat="false" ht="17.15" hidden="false" customHeight="false" outlineLevel="0" collapsed="false">
      <c r="A4123" s="5" t="s">
        <v>741</v>
      </c>
      <c r="B4123" s="0" t="s">
        <v>73</v>
      </c>
      <c r="C4123" s="38" t="n">
        <f aca="false">dps*Sens!$C$4104</f>
        <v>0</v>
      </c>
      <c r="D4123" s="38" t="n">
        <f aca="false">dps*Sens!$D$4104</f>
        <v>0</v>
      </c>
      <c r="E4123" s="38" t="n">
        <f aca="false">dps*Sens!$E$4104</f>
        <v>0</v>
      </c>
      <c r="F4123" s="38" t="n">
        <f aca="false">0</f>
        <v>0</v>
      </c>
      <c r="G4123" s="38" t="n">
        <f aca="false">dps*Sens!$G$4104</f>
        <v>0</v>
      </c>
      <c r="H4123" s="38" t="n">
        <f aca="false">dps*Sens!$H$4104</f>
        <v>0</v>
      </c>
      <c r="I4123" s="38" t="n">
        <f aca="false">dps*Sens!$I$4104</f>
        <v>0</v>
      </c>
      <c r="J4123" s="38" t="n">
        <f aca="false">dps*Sens!$J$4104</f>
        <v>0</v>
      </c>
      <c r="K4123" s="38" t="n">
        <f aca="false">dps*Sens!$K$4104</f>
        <v>0</v>
      </c>
      <c r="L4123" s="38" t="n">
        <f aca="false">dps*Sens!$L$4104</f>
        <v>0</v>
      </c>
      <c r="M4123" s="38" t="n">
        <f aca="false">dps*Sens!$M$4104</f>
        <v>0</v>
      </c>
      <c r="P4123" s="8" t="s">
        <v>742</v>
      </c>
    </row>
    <row r="4124" customFormat="false" ht="17.15" hidden="false" customHeight="false" outlineLevel="0" collapsed="false">
      <c r="A4124" s="5" t="s">
        <v>743</v>
      </c>
      <c r="B4124" s="0" t="s">
        <v>73</v>
      </c>
      <c r="C4124" s="38" t="n">
        <f aca="false">0</f>
        <v>0</v>
      </c>
      <c r="D4124" s="38" t="n">
        <f aca="false">0</f>
        <v>0</v>
      </c>
      <c r="E4124" s="38" t="n">
        <f aca="false">0</f>
        <v>0</v>
      </c>
      <c r="F4124" s="38" t="n">
        <f aca="false">0</f>
        <v>0</v>
      </c>
      <c r="G4124" s="38" t="n">
        <f aca="false">0</f>
        <v>0</v>
      </c>
      <c r="H4124" s="38" t="n">
        <f aca="false">0</f>
        <v>0</v>
      </c>
      <c r="I4124" s="38" t="n">
        <f aca="false">0</f>
        <v>0</v>
      </c>
      <c r="J4124" s="38" t="n">
        <f aca="false">0</f>
        <v>0</v>
      </c>
      <c r="K4124" s="38" t="n">
        <f aca="false">0</f>
        <v>0</v>
      </c>
      <c r="L4124" s="38" t="n">
        <f aca="false">0</f>
        <v>0</v>
      </c>
      <c r="M4124" s="38" t="n">
        <f aca="false">0</f>
        <v>0</v>
      </c>
      <c r="P4124" s="8" t="s">
        <v>744</v>
      </c>
    </row>
    <row r="4125" customFormat="false" ht="15" hidden="false" customHeight="false" outlineLevel="0" collapsed="false">
      <c r="A4125" s="3" t="s">
        <v>745</v>
      </c>
      <c r="B4125" s="8" t="s">
        <v>73</v>
      </c>
      <c r="C4125" s="38" t="n">
        <f aca="false">Sens!$C$4122-Sens!$C$4123</f>
        <v>36.176</v>
      </c>
      <c r="D4125" s="38" t="n">
        <f aca="false">Sens!$D$4122-Sens!$D$4123</f>
        <v>9.63700000000002</v>
      </c>
      <c r="E4125" s="38" t="n">
        <f aca="false">Sens!$E$4122-Sens!$E$4123</f>
        <v>-25.691</v>
      </c>
      <c r="F4125" s="38" t="n">
        <f aca="false">Sens!$F$4122-Sens!$F$4123</f>
        <v>-35.7358850873731</v>
      </c>
      <c r="G4125" s="38" t="n">
        <f aca="false">Sens!$G$4122-Sens!$G$4123</f>
        <v>-61.4268850873731</v>
      </c>
      <c r="H4125" s="38" t="n">
        <f aca="false">Sens!$H$4122-Sens!$H$4123</f>
        <v>-47.8237320143419</v>
      </c>
      <c r="I4125" s="38" t="n">
        <f aca="false">Sens!$I$4122-Sens!$I$4123</f>
        <v>-6.46846141413747</v>
      </c>
      <c r="J4125" s="38" t="n">
        <f aca="false">Sens!$J$4122-Sens!$J$4123</f>
        <v>35.6491490040889</v>
      </c>
      <c r="K4125" s="38" t="n">
        <f aca="false">Sens!$K$4122-Sens!$K$4123</f>
        <v>76.3297877388151</v>
      </c>
      <c r="L4125" s="38" t="n">
        <f aca="false">Sens!$L$4122-Sens!$L$4123</f>
        <v>87.7563297609113</v>
      </c>
      <c r="M4125" s="38" t="n">
        <f aca="false">Sens!$M$4122-Sens!$M$4123</f>
        <v>77.4523385842851</v>
      </c>
    </row>
    <row r="4126" customFormat="false" ht="17.15" hidden="false" customHeight="false" outlineLevel="0" collapsed="false">
      <c r="A4126" s="5" t="s">
        <v>746</v>
      </c>
      <c r="B4126" s="0" t="s">
        <v>73</v>
      </c>
      <c r="E4126" s="38" t="n">
        <f aca="false">Q!$P$53</f>
        <v>39.767</v>
      </c>
      <c r="F4126" s="38" t="n">
        <f aca="false">inv_2h26</f>
        <v>21.3</v>
      </c>
      <c r="G4126" s="38" t="n">
        <f aca="false">Sens!$E$4126+Sens!$F$4126</f>
        <v>61.067</v>
      </c>
      <c r="H4126" s="41" t="n">
        <v>0</v>
      </c>
      <c r="I4126" s="41" t="n">
        <v>0</v>
      </c>
      <c r="J4126" s="41" t="n">
        <v>0</v>
      </c>
      <c r="K4126" s="41" t="n">
        <v>0</v>
      </c>
      <c r="L4126" s="41" t="n">
        <v>0</v>
      </c>
      <c r="M4126" s="41" t="n">
        <v>0</v>
      </c>
    </row>
    <row r="4127" customFormat="false" ht="17.15" hidden="false" customHeight="false" outlineLevel="0" collapsed="false">
      <c r="A4127" s="5" t="s">
        <v>747</v>
      </c>
      <c r="B4127" s="0" t="s">
        <v>73</v>
      </c>
      <c r="F4127" s="38" t="n">
        <f aca="false">iss_2h26</f>
        <v>29.25</v>
      </c>
      <c r="G4127" s="38" t="n">
        <f aca="false">Sens!$F$4127</f>
        <v>29.25</v>
      </c>
      <c r="H4127" s="41" t="n">
        <v>0</v>
      </c>
      <c r="I4127" s="41" t="n">
        <v>0</v>
      </c>
      <c r="J4127" s="41" t="n">
        <v>0</v>
      </c>
      <c r="K4127" s="41" t="n">
        <v>0</v>
      </c>
      <c r="L4127" s="41" t="n">
        <v>0</v>
      </c>
      <c r="M4127" s="41" t="n">
        <v>0</v>
      </c>
    </row>
    <row r="4128" customFormat="false" ht="17.15" hidden="false" customHeight="false" outlineLevel="0" collapsed="false">
      <c r="A4128" s="5" t="s">
        <v>748</v>
      </c>
      <c r="B4128" s="0" t="s">
        <v>73</v>
      </c>
      <c r="F4128" s="38" t="n">
        <f aca="false">cash_q2</f>
        <v>122.988</v>
      </c>
      <c r="G4128" s="38" t="n">
        <f aca="false">cash_q2</f>
        <v>122.988</v>
      </c>
      <c r="H4128" s="38" t="n">
        <f aca="false">Sens!$G$4131</f>
        <v>95.2021149126269</v>
      </c>
      <c r="I4128" s="38" t="n">
        <f aca="false">Sens!$H$4131</f>
        <v>50</v>
      </c>
      <c r="J4128" s="38" t="n">
        <f aca="false">Sens!$I$4131</f>
        <v>50</v>
      </c>
      <c r="K4128" s="38" t="n">
        <f aca="false">Sens!$J$4131</f>
        <v>85.6491490040889</v>
      </c>
      <c r="L4128" s="38" t="n">
        <f aca="false">Sens!$K$4131</f>
        <v>161.978936742904</v>
      </c>
      <c r="M4128" s="38" t="n">
        <f aca="false">Sens!$L$4131</f>
        <v>249.735266503815</v>
      </c>
    </row>
    <row r="4129" customFormat="false" ht="15" hidden="false" customHeight="false" outlineLevel="0" collapsed="false">
      <c r="A4129" s="5" t="s">
        <v>749</v>
      </c>
      <c r="B4129" s="0" t="s">
        <v>73</v>
      </c>
      <c r="F4129" s="38" t="n">
        <f aca="false">Sens!$F$4128+Sens!$F$4125-Sens!$F$4124-Sens!$F$4126+Sens!$F$4127</f>
        <v>95.2021149126269</v>
      </c>
      <c r="H4129" s="38" t="n">
        <f aca="false">Sens!$H$4128+Sens!$H$4125-Sens!$H$4124-Sens!$H$4126+Sens!$H$4127</f>
        <v>47.378382898285</v>
      </c>
      <c r="I4129" s="38" t="n">
        <f aca="false">Sens!$I$4128+Sens!$I$4125-Sens!$I$4124-Sens!$I$4126+Sens!$I$4127</f>
        <v>43.5315385858625</v>
      </c>
      <c r="J4129" s="38" t="n">
        <f aca="false">Sens!$J$4128+Sens!$J$4125-Sens!$J$4124-Sens!$J$4126+Sens!$J$4127</f>
        <v>85.6491490040889</v>
      </c>
      <c r="K4129" s="38" t="n">
        <f aca="false">Sens!$K$4128+Sens!$K$4125-Sens!$K$4124-Sens!$K$4126+Sens!$K$4127</f>
        <v>161.978936742904</v>
      </c>
      <c r="L4129" s="38" t="n">
        <f aca="false">Sens!$L$4128+Sens!$L$4125-Sens!$L$4124-Sens!$L$4126+Sens!$L$4127</f>
        <v>249.735266503815</v>
      </c>
      <c r="M4129" s="38" t="n">
        <f aca="false">Sens!$M$4128+Sens!$M$4125-Sens!$M$4124-Sens!$M$4126+Sens!$M$4127</f>
        <v>327.1876050881</v>
      </c>
    </row>
    <row r="4130" customFormat="false" ht="17.15" hidden="false" customHeight="false" outlineLevel="0" collapsed="false">
      <c r="A4130" s="5" t="s">
        <v>750</v>
      </c>
      <c r="B4130" s="0" t="s">
        <v>73</v>
      </c>
      <c r="F4130" s="38" t="n">
        <f aca="false">MAX(0,min_cash-Sens!$F$4129)</f>
        <v>0</v>
      </c>
      <c r="G4130" s="38" t="n">
        <f aca="false">Sens!$F$4130</f>
        <v>0</v>
      </c>
      <c r="H4130" s="38" t="n">
        <f aca="false">MAX(0,min_cash-Sens!$H$4129)</f>
        <v>2.62161710171498</v>
      </c>
      <c r="I4130" s="38" t="n">
        <f aca="false">MAX(0,min_cash-Sens!$I$4129)</f>
        <v>6.46846141413747</v>
      </c>
      <c r="J4130" s="38" t="n">
        <f aca="false">MAX(0,min_cash-Sens!$J$4129)</f>
        <v>0</v>
      </c>
      <c r="K4130" s="38" t="n">
        <f aca="false">MAX(0,min_cash-Sens!$K$4129)</f>
        <v>0</v>
      </c>
      <c r="L4130" s="38" t="n">
        <f aca="false">MAX(0,min_cash-Sens!$L$4129)</f>
        <v>0</v>
      </c>
      <c r="M4130" s="38" t="n">
        <f aca="false">MAX(0,min_cash-Sens!$M$4129)</f>
        <v>0</v>
      </c>
      <c r="P4130" s="5" t="s">
        <v>751</v>
      </c>
    </row>
    <row r="4131" customFormat="false" ht="15" hidden="false" customHeight="false" outlineLevel="0" collapsed="false">
      <c r="A4131" s="5" t="s">
        <v>752</v>
      </c>
      <c r="B4131" s="0" t="s">
        <v>73</v>
      </c>
      <c r="D4131" s="38" t="n">
        <f aca="false">Q!$E$61</f>
        <v>123.029</v>
      </c>
      <c r="E4131" s="38" t="n">
        <f aca="false">Q!$M$61</f>
        <v>122.988</v>
      </c>
      <c r="F4131" s="38" t="n">
        <f aca="false">Sens!$F$4129+Sens!$F$4130</f>
        <v>95.2021149126269</v>
      </c>
      <c r="G4131" s="38" t="n">
        <f aca="false">Sens!$F$4131</f>
        <v>95.2021149126269</v>
      </c>
      <c r="H4131" s="38" t="n">
        <f aca="false">Sens!$H$4129+Sens!$H$4130</f>
        <v>50</v>
      </c>
      <c r="I4131" s="38" t="n">
        <f aca="false">Sens!$I$4129+Sens!$I$4130</f>
        <v>50</v>
      </c>
      <c r="J4131" s="38" t="n">
        <f aca="false">Sens!$J$4129+Sens!$J$4130</f>
        <v>85.6491490040889</v>
      </c>
      <c r="K4131" s="38" t="n">
        <f aca="false">Sens!$K$4129+Sens!$K$4130</f>
        <v>161.978936742904</v>
      </c>
      <c r="L4131" s="38" t="n">
        <f aca="false">Sens!$L$4129+Sens!$L$4130</f>
        <v>249.735266503815</v>
      </c>
      <c r="M4131" s="38" t="n">
        <f aca="false">Sens!$M$4129+Sens!$M$4130</f>
        <v>327.1876050881</v>
      </c>
    </row>
    <row r="4132" customFormat="false" ht="15" hidden="false" customHeight="false" outlineLevel="0" collapsed="false">
      <c r="A4132" s="5" t="s">
        <v>753</v>
      </c>
      <c r="B4132" s="0" t="s">
        <v>73</v>
      </c>
      <c r="D4132" s="38" t="n">
        <f aca="false">Q!$E$62</f>
        <v>68.836</v>
      </c>
      <c r="E4132" s="38" t="n">
        <f aca="false">Q!$M$62</f>
        <v>132.995</v>
      </c>
      <c r="F4132" s="38" t="n">
        <f aca="false">debt_q2+Sens!$F$4127+Sens!$F$4130</f>
        <v>162.245</v>
      </c>
      <c r="G4132" s="38" t="n">
        <f aca="false">Sens!$F$4132</f>
        <v>162.245</v>
      </c>
      <c r="H4132" s="38" t="n">
        <f aca="false">Sens!$G$4132+Sens!$H$4130</f>
        <v>164.866617101715</v>
      </c>
      <c r="I4132" s="38" t="n">
        <f aca="false">Sens!$H$4132+Sens!$I$4130</f>
        <v>171.335078515852</v>
      </c>
      <c r="J4132" s="38" t="n">
        <f aca="false">Sens!$I$4132+Sens!$J$4130</f>
        <v>171.335078515852</v>
      </c>
      <c r="K4132" s="38" t="n">
        <f aca="false">Sens!$J$4132+Sens!$K$4130</f>
        <v>171.335078515852</v>
      </c>
      <c r="L4132" s="38" t="n">
        <f aca="false">Sens!$K$4132+Sens!$L$4130</f>
        <v>171.335078515852</v>
      </c>
      <c r="M4132" s="38" t="n">
        <f aca="false">Sens!$L$4132+Sens!$M$4130</f>
        <v>171.335078515852</v>
      </c>
    </row>
    <row r="4133" customFormat="false" ht="15" hidden="false" customHeight="false" outlineLevel="0" collapsed="false">
      <c r="A4133" s="5" t="s">
        <v>754</v>
      </c>
      <c r="B4133" s="0" t="s">
        <v>73</v>
      </c>
      <c r="D4133" s="38" t="n">
        <f aca="false">Sens!$D$4132-Sens!$D$4131</f>
        <v>-54.193</v>
      </c>
      <c r="E4133" s="38" t="n">
        <f aca="false">Sens!$E$4132-Sens!$E$4131</f>
        <v>10.007</v>
      </c>
      <c r="F4133" s="38" t="n">
        <f aca="false">Sens!$F$4132-Sens!$F$4131</f>
        <v>67.0428850873731</v>
      </c>
      <c r="G4133" s="38" t="n">
        <f aca="false">Sens!$G$4132-Sens!$G$4131</f>
        <v>67.0428850873731</v>
      </c>
      <c r="H4133" s="38" t="n">
        <f aca="false">Sens!$H$4132-Sens!$H$4131</f>
        <v>114.866617101715</v>
      </c>
      <c r="I4133" s="38" t="n">
        <f aca="false">Sens!$I$4132-Sens!$I$4131</f>
        <v>121.335078515852</v>
      </c>
      <c r="J4133" s="38" t="n">
        <f aca="false">Sens!$J$4132-Sens!$J$4131</f>
        <v>85.6859295117636</v>
      </c>
      <c r="K4133" s="38" t="n">
        <f aca="false">Sens!$K$4132-Sens!$K$4131</f>
        <v>9.35614177294849</v>
      </c>
      <c r="L4133" s="38" t="n">
        <f aca="false">Sens!$L$4132-Sens!$L$4131</f>
        <v>-78.4001879879628</v>
      </c>
      <c r="M4133" s="38" t="n">
        <f aca="false">Sens!$M$4132-Sens!$M$4131</f>
        <v>-155.852526572248</v>
      </c>
    </row>
    <row r="4134" customFormat="false" ht="17.15" hidden="false" customHeight="false" outlineLevel="0" collapsed="false">
      <c r="A4134" s="5" t="s">
        <v>755</v>
      </c>
      <c r="B4134" s="0" t="s">
        <v>73</v>
      </c>
      <c r="F4134" s="38" t="n">
        <f aca="false">debt_q2*kd_book*0.5+iss_2h26*kd_new*0.25</f>
        <v>3.24888964316061</v>
      </c>
      <c r="H4134" s="38" t="n">
        <f aca="false">debt_q2*kd_book+(Sens!$G$4132-debt_q2)*kd_new</f>
        <v>7.42354178632123</v>
      </c>
      <c r="I4134" s="38" t="n">
        <f aca="false">debt_q2*kd_book+(Sens!$H$4132-debt_q2)*kd_new</f>
        <v>7.58949014885979</v>
      </c>
      <c r="J4134" s="38" t="n">
        <f aca="false">debt_q2*kd_book+(Sens!$I$4132-debt_q2)*kd_new</f>
        <v>7.99894375637469</v>
      </c>
      <c r="K4134" s="38" t="n">
        <f aca="false">debt_q2*kd_book+(Sens!$J$4132-debt_q2)*kd_new</f>
        <v>7.99894375637469</v>
      </c>
      <c r="L4134" s="38" t="n">
        <f aca="false">debt_q2*kd_book+(Sens!$K$4132-debt_q2)*kd_new</f>
        <v>7.99894375637469</v>
      </c>
      <c r="M4134" s="38" t="n">
        <f aca="false">debt_q2*kd_book+(Sens!$L$4132-debt_q2)*kd_new</f>
        <v>7.99894375637469</v>
      </c>
    </row>
    <row r="4135" customFormat="false" ht="17.15" hidden="false" customHeight="false" outlineLevel="0" collapsed="false">
      <c r="A4135" s="5" t="s">
        <v>756</v>
      </c>
      <c r="B4135" s="0" t="s">
        <v>73</v>
      </c>
      <c r="F4135" s="38" t="n">
        <f aca="false">cash_q2*y_cash*0.5</f>
        <v>2.59</v>
      </c>
      <c r="H4135" s="38" t="n">
        <f aca="false">Sens!$G$4131*y_cash</f>
        <v>4.00971603121774</v>
      </c>
      <c r="I4135" s="38" t="n">
        <f aca="false">Sens!$H$4131*y_cash</f>
        <v>2.10589651022864</v>
      </c>
      <c r="J4135" s="38" t="n">
        <f aca="false">Sens!$I$4131*y_cash</f>
        <v>2.10589651022864</v>
      </c>
      <c r="K4135" s="38" t="n">
        <f aca="false">Sens!$J$4131*y_cash</f>
        <v>3.60736487983527</v>
      </c>
      <c r="L4135" s="38" t="n">
        <f aca="false">Sens!$K$4131*y_cash</f>
        <v>6.82221755234854</v>
      </c>
      <c r="M4135" s="38" t="n">
        <f aca="false">Sens!$L$4131*y_cash</f>
        <v>10.5183325242281</v>
      </c>
    </row>
    <row r="4136" customFormat="false" ht="17.15" hidden="false" customHeight="false" outlineLevel="0" collapsed="false">
      <c r="A4136" s="46" t="s">
        <v>757</v>
      </c>
      <c r="B4136" s="13" t="s">
        <v>73</v>
      </c>
      <c r="C4136" s="13"/>
      <c r="D4136" s="13"/>
      <c r="E4136" s="13"/>
      <c r="F4136" s="13"/>
      <c r="G4136" s="47" t="n">
        <f aca="false">SUM(Sens!$G$4125:$K$4125)</f>
        <v>-3.74014177294853</v>
      </c>
      <c r="H4136" s="13"/>
      <c r="I4136" s="13"/>
      <c r="J4136" s="13"/>
      <c r="K4136" s="13"/>
      <c r="L4136" s="13"/>
      <c r="M4136" s="13"/>
      <c r="N4136" s="13"/>
      <c r="O4136" s="13"/>
    </row>
    <row r="4137" customFormat="false" ht="17.15" hidden="false" customHeight="false" outlineLevel="0" collapsed="false">
      <c r="A4137" s="0" t="s">
        <v>724</v>
      </c>
      <c r="B4137" s="0" t="s">
        <v>73</v>
      </c>
      <c r="G4137" s="38" t="n">
        <f aca="false">SUM(Sens!$G$4130:$K$4130)</f>
        <v>9.09007851585245</v>
      </c>
    </row>
    <row r="4140" customFormat="false" ht="19.4" hidden="false" customHeight="false" outlineLevel="0" collapsed="false">
      <c r="A4140" s="31" t="s">
        <v>1134</v>
      </c>
    </row>
    <row r="4141" customFormat="false" ht="17.15" hidden="false" customHeight="false" outlineLevel="0" collapsed="false">
      <c r="A4141" s="6" t="s">
        <v>16</v>
      </c>
      <c r="B4141" s="6" t="s">
        <v>17</v>
      </c>
      <c r="C4141" s="20" t="s">
        <v>457</v>
      </c>
      <c r="D4141" s="20" t="s">
        <v>458</v>
      </c>
      <c r="E4141" s="20" t="s">
        <v>540</v>
      </c>
      <c r="F4141" s="20" t="s">
        <v>541</v>
      </c>
      <c r="G4141" s="20" t="s">
        <v>542</v>
      </c>
      <c r="H4141" s="20" t="s">
        <v>543</v>
      </c>
      <c r="I4141" s="20" t="s">
        <v>544</v>
      </c>
      <c r="J4141" s="20" t="s">
        <v>545</v>
      </c>
      <c r="K4141" s="20" t="s">
        <v>546</v>
      </c>
      <c r="L4141" s="20" t="s">
        <v>547</v>
      </c>
      <c r="M4141" s="20" t="s">
        <v>548</v>
      </c>
      <c r="N4141" s="20" t="s">
        <v>549</v>
      </c>
      <c r="O4141" s="20" t="s">
        <v>550</v>
      </c>
      <c r="P4141" s="6" t="s">
        <v>23</v>
      </c>
      <c r="R4141" s="20" t="n">
        <v>2023</v>
      </c>
      <c r="S4141" s="20" t="n">
        <v>2024</v>
      </c>
      <c r="T4141" s="20" t="n">
        <v>2025</v>
      </c>
      <c r="U4141" s="20" t="n">
        <v>2026</v>
      </c>
      <c r="V4141" s="20" t="n">
        <v>2027</v>
      </c>
      <c r="W4141" s="20" t="n">
        <v>2028</v>
      </c>
      <c r="X4141" s="20" t="n">
        <v>2029</v>
      </c>
      <c r="Y4141" s="20" t="n">
        <v>2030</v>
      </c>
      <c r="Z4141" s="20" t="n">
        <v>2031</v>
      </c>
      <c r="AA4141" s="20" t="n">
        <v>2032</v>
      </c>
    </row>
    <row r="4142" customFormat="false" ht="17.15" hidden="false" customHeight="false" outlineLevel="0" collapsed="false">
      <c r="A4142" s="1" t="s">
        <v>852</v>
      </c>
    </row>
    <row r="4143" customFormat="false" ht="17.15" hidden="false" customHeight="false" outlineLevel="0" collapsed="false">
      <c r="A4143" s="0" t="s">
        <v>853</v>
      </c>
      <c r="B4143" s="0" t="s">
        <v>73</v>
      </c>
      <c r="H4143" s="38" t="n">
        <f aca="false">Sens!$H$4079*(1-tax)</f>
        <v>110.968894908747</v>
      </c>
      <c r="I4143" s="38" t="n">
        <f aca="false">Sens!$I$4079*(1-tax)</f>
        <v>130.345181356925</v>
      </c>
      <c r="J4143" s="38" t="n">
        <f aca="false">Sens!$J$4079*(1-tax)</f>
        <v>147.27532232113</v>
      </c>
      <c r="K4143" s="38" t="n">
        <f aca="false">Sens!$K$4079*(1-tax)</f>
        <v>160.5249537189</v>
      </c>
      <c r="L4143" s="38" t="n">
        <f aca="false">Sens!$L$4079*(1-tax)</f>
        <v>176.515648858875</v>
      </c>
      <c r="M4143" s="38" t="n">
        <f aca="false">Sens!$M$4079*(1-tax)</f>
        <v>193.069898056823</v>
      </c>
    </row>
    <row r="4144" customFormat="false" ht="15" hidden="false" customHeight="false" outlineLevel="0" collapsed="false">
      <c r="A4144" s="5" t="s">
        <v>854</v>
      </c>
      <c r="B4144" s="0" t="s">
        <v>73</v>
      </c>
      <c r="H4144" s="38" t="n">
        <f aca="false">Sens!$H$4091</f>
        <v>87.6845218193838</v>
      </c>
      <c r="I4144" s="38" t="n">
        <f aca="false">Sens!$I$4091</f>
        <v>122.294769708638</v>
      </c>
      <c r="J4144" s="38" t="n">
        <f aca="false">Sens!$J$4091</f>
        <v>157.133962573221</v>
      </c>
      <c r="K4144" s="38" t="n">
        <f aca="false">Sens!$K$4091</f>
        <v>191.350633353599</v>
      </c>
      <c r="L4144" s="38" t="n">
        <f aca="false">Sens!$L$4091</f>
        <v>223.909238335354</v>
      </c>
      <c r="M4144" s="38" t="n">
        <f aca="false">Sens!$M$4091</f>
        <v>257.576319867276</v>
      </c>
    </row>
    <row r="4145" customFormat="false" ht="15" hidden="false" customHeight="false" outlineLevel="0" collapsed="false">
      <c r="A4145" s="5" t="s">
        <v>855</v>
      </c>
      <c r="B4145" s="0" t="s">
        <v>73</v>
      </c>
      <c r="H4145" s="38" t="n">
        <f aca="false">Sens!$H$4120</f>
        <v>277.870120501355</v>
      </c>
      <c r="I4145" s="38" t="n">
        <f aca="false">Sens!$I$4120</f>
        <v>293.934464585378</v>
      </c>
      <c r="J4145" s="38" t="n">
        <f aca="false">Sens!$J$4120</f>
        <v>308.06904811359</v>
      </c>
      <c r="K4145" s="38" t="n">
        <f aca="false">Sens!$K$4120</f>
        <v>320.385735318248</v>
      </c>
      <c r="L4145" s="38" t="n">
        <f aca="false">Sens!$L$4120</f>
        <v>364.65641921833</v>
      </c>
      <c r="M4145" s="38" t="n">
        <f aca="false">Sens!$M$4120</f>
        <v>432.943173024858</v>
      </c>
    </row>
    <row r="4146" customFormat="false" ht="15" hidden="false" customHeight="false" outlineLevel="0" collapsed="false">
      <c r="A4146" s="5" t="s">
        <v>856</v>
      </c>
      <c r="B4146" s="0" t="s">
        <v>73</v>
      </c>
      <c r="H4146" s="38" t="n">
        <f aca="false">Sens!$H$4121</f>
        <v>1.6</v>
      </c>
      <c r="I4146" s="38" t="n">
        <f aca="false">Sens!$I$4121</f>
        <v>1.6</v>
      </c>
      <c r="J4146" s="38" t="n">
        <f aca="false">Sens!$J$4121</f>
        <v>1.6</v>
      </c>
      <c r="K4146" s="38" t="n">
        <f aca="false">Sens!$K$4121</f>
        <v>1.6</v>
      </c>
      <c r="L4146" s="38" t="n">
        <f aca="false">Sens!$L$4121</f>
        <v>1.6</v>
      </c>
      <c r="M4146" s="38" t="n">
        <f aca="false">Sens!$M$4121</f>
        <v>1.6</v>
      </c>
    </row>
    <row r="4147" customFormat="false" ht="15" hidden="false" customHeight="false" outlineLevel="0" collapsed="false">
      <c r="A4147" s="5" t="s">
        <v>857</v>
      </c>
      <c r="B4147" s="0" t="s">
        <v>73</v>
      </c>
      <c r="H4147" s="38" t="n">
        <f aca="false">Sens!$H$4115</f>
        <v>11.6369707537667</v>
      </c>
      <c r="I4147" s="38" t="n">
        <f aca="false">Sens!$I$4115</f>
        <v>13.3082502961262</v>
      </c>
      <c r="J4147" s="38" t="n">
        <f aca="false">Sens!$J$4115</f>
        <v>14.8747965344332</v>
      </c>
      <c r="K4147" s="38" t="n">
        <f aca="false">Sens!$K$4115</f>
        <v>16.2687901804328</v>
      </c>
      <c r="L4147" s="38" t="n">
        <f aca="false">Sens!$L$4115</f>
        <v>17.7280727627002</v>
      </c>
      <c r="M4147" s="38" t="n">
        <f aca="false">Sens!$M$4115</f>
        <v>19.2574690270319</v>
      </c>
    </row>
    <row r="4148" customFormat="false" ht="17.15" hidden="false" customHeight="false" outlineLevel="0" collapsed="false">
      <c r="A4148" s="1" t="s">
        <v>858</v>
      </c>
      <c r="B4148" s="8" t="s">
        <v>73</v>
      </c>
      <c r="H4148" s="38" t="n">
        <f aca="false">Sens!$H$4143+Sens!$H$4144-Sens!$H$4145-Sens!$H$4146+Sens!$H$4147</f>
        <v>-69.1797330194575</v>
      </c>
      <c r="I4148" s="38" t="n">
        <f aca="false">Sens!$I$4143+Sens!$I$4144-Sens!$I$4145-Sens!$I$4146+Sens!$I$4147</f>
        <v>-29.5862632236898</v>
      </c>
      <c r="J4148" s="38" t="n">
        <f aca="false">Sens!$J$4143+Sens!$J$4144-Sens!$J$4145-Sens!$J$4146+Sens!$J$4147</f>
        <v>9.61503331519402</v>
      </c>
      <c r="K4148" s="38" t="n">
        <f aca="false">Sens!$K$4143+Sens!$K$4144-Sens!$K$4145-Sens!$K$4146+Sens!$K$4147</f>
        <v>46.1586419346837</v>
      </c>
      <c r="L4148" s="38" t="n">
        <f aca="false">Sens!$L$4143+Sens!$L$4144-Sens!$L$4145-Sens!$L$4146+Sens!$L$4147</f>
        <v>51.8965407385996</v>
      </c>
      <c r="M4148" s="38" t="n">
        <f aca="false">Sens!$M$4143+Sens!$M$4144-Sens!$M$4145-Sens!$M$4146+Sens!$M$4147</f>
        <v>35.3605139262725</v>
      </c>
    </row>
    <row r="4149" customFormat="false" ht="15" hidden="false" customHeight="false" outlineLevel="0" collapsed="false">
      <c r="A4149" s="5" t="s">
        <v>859</v>
      </c>
      <c r="B4149" s="0" t="s">
        <v>57</v>
      </c>
      <c r="H4149" s="51" t="n">
        <f aca="false">1/(1+wacc)^(2027-2026-0.5)</f>
        <v>0.942858177653364</v>
      </c>
      <c r="I4149" s="51" t="n">
        <f aca="false">1/(1+wacc)^(2028-2026-0.5)</f>
        <v>0.838183517758688</v>
      </c>
      <c r="J4149" s="51" t="n">
        <f aca="false">1/(1+wacc)^(2029-2026-0.5)</f>
        <v>0.745129677074952</v>
      </c>
      <c r="K4149" s="51" t="n">
        <f aca="false">1/(1+wacc)^(2030-2026-0.5)</f>
        <v>0.662406530186232</v>
      </c>
      <c r="L4149" s="51" t="n">
        <f aca="false">1/(1+wacc)^(2031-2026-0.5)</f>
        <v>0.588867179409399</v>
      </c>
      <c r="M4149" s="51" t="n">
        <f aca="false">1/(1+wacc)^(2032-2026-0.5)</f>
        <v>0.52349205387225</v>
      </c>
    </row>
    <row r="4150" customFormat="false" ht="15" hidden="false" customHeight="false" outlineLevel="0" collapsed="false">
      <c r="A4150" s="5" t="s">
        <v>860</v>
      </c>
      <c r="B4150" s="0" t="s">
        <v>73</v>
      </c>
      <c r="H4150" s="38" t="n">
        <f aca="false">Sens!$H$4148*Sens!$H$4149</f>
        <v>-65.2266770052719</v>
      </c>
      <c r="I4150" s="38" t="n">
        <f aca="false">Sens!$I$4148*Sens!$I$4149</f>
        <v>-24.7987181861668</v>
      </c>
      <c r="J4150" s="38" t="n">
        <f aca="false">Sens!$J$4148*Sens!$J$4149</f>
        <v>7.16444666921542</v>
      </c>
      <c r="K4150" s="38" t="n">
        <f aca="false">Sens!$K$4148*Sens!$K$4149</f>
        <v>30.5757858420625</v>
      </c>
      <c r="L4150" s="38" t="n">
        <f aca="false">Sens!$L$4148*Sens!$L$4149</f>
        <v>30.5601695658441</v>
      </c>
      <c r="M4150" s="38" t="n">
        <f aca="false">Sens!$M$4148*Sens!$M$4149</f>
        <v>18.5109480612427</v>
      </c>
    </row>
    <row r="4151" customFormat="false" ht="15" hidden="false" customHeight="false" outlineLevel="0" collapsed="false">
      <c r="A4151" s="5" t="s">
        <v>861</v>
      </c>
      <c r="B4151" s="0" t="s">
        <v>73</v>
      </c>
      <c r="C4151" s="38" t="n">
        <f aca="false">SUM(Sens!$H$4150:$M$4150)</f>
        <v>-3.21404505307399</v>
      </c>
    </row>
    <row r="4152" customFormat="false" ht="17.15" hidden="false" customHeight="false" outlineLevel="0" collapsed="false">
      <c r="A4152" s="5" t="s">
        <v>862</v>
      </c>
      <c r="B4152" s="0" t="s">
        <v>73</v>
      </c>
      <c r="C4152" s="38" t="n">
        <f aca="false">Sens!$M$4143*(1+tg)*(1-tg/ronic)/(wacc-tg)</f>
        <v>1592.38966416603</v>
      </c>
    </row>
    <row r="4153" customFormat="false" ht="15" hidden="false" customHeight="false" outlineLevel="0" collapsed="false">
      <c r="A4153" s="5" t="s">
        <v>863</v>
      </c>
      <c r="B4153" s="0" t="s">
        <v>73</v>
      </c>
      <c r="C4153" s="38" t="n">
        <f aca="false">Sens!$C$4152/(1+wacc)^6</f>
        <v>785.969722133988</v>
      </c>
    </row>
    <row r="4154" customFormat="false" ht="17.15" hidden="false" customHeight="false" outlineLevel="0" collapsed="false">
      <c r="A4154" s="5" t="s">
        <v>864</v>
      </c>
      <c r="B4154" s="0" t="s">
        <v>73</v>
      </c>
      <c r="C4154" s="38" t="n">
        <f aca="false">Sens!$C$4151+Sens!$C$4153</f>
        <v>782.755677080914</v>
      </c>
    </row>
    <row r="4155" customFormat="false" ht="17.15" hidden="false" customHeight="false" outlineLevel="0" collapsed="false">
      <c r="A4155" s="5" t="s">
        <v>865</v>
      </c>
      <c r="B4155" s="0" t="s">
        <v>52</v>
      </c>
      <c r="C4155" s="12" t="n">
        <f aca="false">Sens!$C$4153/Sens!$C$4154</f>
        <v>1.00410606418731</v>
      </c>
    </row>
    <row r="4156" customFormat="false" ht="17.15" hidden="false" customHeight="false" outlineLevel="0" collapsed="false">
      <c r="A4156" s="5" t="s">
        <v>866</v>
      </c>
      <c r="B4156" s="0" t="s">
        <v>73</v>
      </c>
      <c r="C4156" s="38" t="n">
        <f aca="false">Sens!$G$4133</f>
        <v>67.0428850873731</v>
      </c>
    </row>
    <row r="4157" customFormat="false" ht="17.15" hidden="false" customHeight="false" outlineLevel="0" collapsed="false">
      <c r="A4157" s="5" t="s">
        <v>867</v>
      </c>
      <c r="B4157" s="0" t="s">
        <v>73</v>
      </c>
      <c r="C4157" s="38" t="n">
        <f aca="false">(ant_val*ant_sh+oai_val*oai_sh)*(1-liq_disc)</f>
        <v>178.944</v>
      </c>
    </row>
    <row r="4158" customFormat="false" ht="15" hidden="false" customHeight="false" outlineLevel="0" collapsed="false">
      <c r="A4158" s="5" t="s">
        <v>868</v>
      </c>
      <c r="B4158" s="0" t="s">
        <v>73</v>
      </c>
      <c r="C4158" s="38" t="n">
        <f aca="false">Sens!$C$4154-Sens!$C$4156+Sens!$C$4157</f>
        <v>894.65679199354</v>
      </c>
    </row>
    <row r="4159" customFormat="false" ht="17.15" hidden="false" customHeight="false" outlineLevel="0" collapsed="false">
      <c r="A4159" s="5" t="s">
        <v>869</v>
      </c>
      <c r="B4159" s="0" t="s">
        <v>27</v>
      </c>
      <c r="C4159" s="30" t="n">
        <f aca="false">Sens!$C$4158/sh_val</f>
        <v>81.1089142152744</v>
      </c>
    </row>
    <row r="4160" customFormat="false" ht="17.15" hidden="false" customHeight="false" outlineLevel="0" collapsed="false">
      <c r="A4160" s="1" t="s">
        <v>870</v>
      </c>
      <c r="B4160" s="8" t="s">
        <v>27</v>
      </c>
      <c r="C4160" s="30" t="n">
        <f aca="false">Sens!$C$4159*(1+ke)^tp_yf</f>
        <v>89.580328306024</v>
      </c>
    </row>
    <row r="4161" customFormat="false" ht="17.15" hidden="false" customHeight="false" outlineLevel="0" collapsed="false">
      <c r="A4161" s="3" t="s">
        <v>871</v>
      </c>
    </row>
    <row r="4162" customFormat="false" ht="17.15" hidden="false" customHeight="false" outlineLevel="0" collapsed="false">
      <c r="A4162" s="5" t="s">
        <v>872</v>
      </c>
      <c r="B4162" s="0" t="s">
        <v>73</v>
      </c>
      <c r="C4162" s="38" t="n">
        <f aca="false">0.25*Sens!$H$4092+0.75*Sens!$I$4092</f>
        <v>57.5541093268329</v>
      </c>
    </row>
    <row r="4163" customFormat="false" ht="15" hidden="false" customHeight="false" outlineLevel="0" collapsed="false">
      <c r="A4163" s="5" t="s">
        <v>873</v>
      </c>
      <c r="B4163" s="0" t="s">
        <v>57</v>
      </c>
      <c r="C4163" s="30" t="n">
        <f aca="false">m_ads*m_x</f>
        <v>9.11</v>
      </c>
    </row>
    <row r="4164" customFormat="false" ht="17.15" hidden="false" customHeight="false" outlineLevel="0" collapsed="false">
      <c r="A4164" s="5" t="s">
        <v>874</v>
      </c>
      <c r="B4164" s="0" t="s">
        <v>73</v>
      </c>
      <c r="C4164" s="38" t="n">
        <f aca="false">Sens!$C$4162*Sens!$C$4163</f>
        <v>524.317935967448</v>
      </c>
    </row>
    <row r="4165" customFormat="false" ht="17.15" hidden="false" customHeight="false" outlineLevel="0" collapsed="false">
      <c r="A4165" s="5" t="s">
        <v>875</v>
      </c>
      <c r="B4165" s="0" t="s">
        <v>73</v>
      </c>
      <c r="C4165" s="38" t="n">
        <f aca="false">0.25*Sens!$H$4093+0.75*Sens!$I$4093</f>
        <v>28.0799331249373</v>
      </c>
    </row>
    <row r="4166" customFormat="false" ht="15" hidden="false" customHeight="false" outlineLevel="0" collapsed="false">
      <c r="A4166" s="5" t="s">
        <v>876</v>
      </c>
      <c r="B4166" s="0" t="s">
        <v>57</v>
      </c>
      <c r="C4166" s="30" t="n">
        <f aca="false">m_retail*m_x</f>
        <v>17.72</v>
      </c>
    </row>
    <row r="4167" customFormat="false" ht="17.15" hidden="false" customHeight="false" outlineLevel="0" collapsed="false">
      <c r="A4167" s="5" t="s">
        <v>877</v>
      </c>
      <c r="B4167" s="0" t="s">
        <v>73</v>
      </c>
      <c r="C4167" s="38" t="n">
        <f aca="false">Sens!$C$4165*Sens!$C$4166</f>
        <v>497.576414973889</v>
      </c>
    </row>
    <row r="4168" customFormat="false" ht="17.15" hidden="false" customHeight="false" outlineLevel="0" collapsed="false">
      <c r="A4168" s="0" t="s">
        <v>878</v>
      </c>
      <c r="B4168" s="0" t="s">
        <v>73</v>
      </c>
      <c r="C4168" s="38" t="n">
        <f aca="false">0.25*Sens!$H$4094+0.75*Sens!$I$4094</f>
        <v>107.575398943098</v>
      </c>
    </row>
    <row r="4169" customFormat="false" ht="17.15" hidden="false" customHeight="false" outlineLevel="0" collapsed="false">
      <c r="A4169" s="0" t="s">
        <v>879</v>
      </c>
      <c r="B4169" s="0" t="s">
        <v>57</v>
      </c>
      <c r="C4169" s="30" t="n">
        <f aca="false">m_cloud*m_x</f>
        <v>13.82</v>
      </c>
    </row>
    <row r="4170" customFormat="false" ht="17.15" hidden="false" customHeight="false" outlineLevel="0" collapsed="false">
      <c r="A4170" s="0" t="s">
        <v>880</v>
      </c>
      <c r="B4170" s="0" t="s">
        <v>73</v>
      </c>
      <c r="C4170" s="38" t="n">
        <f aca="false">Sens!$C$4168*Sens!$C$4169</f>
        <v>1486.69201339361</v>
      </c>
    </row>
    <row r="4171" customFormat="false" ht="17.15" hidden="false" customHeight="false" outlineLevel="0" collapsed="false">
      <c r="A4171" s="0" t="s">
        <v>881</v>
      </c>
      <c r="B4171" s="0" t="s">
        <v>73</v>
      </c>
      <c r="C4171" s="38" t="n">
        <f aca="false">0.25*Sens!$H$4095+0.75*Sens!$I$4095</f>
        <v>72.2947701247864</v>
      </c>
    </row>
    <row r="4172" customFormat="false" ht="17.15" hidden="false" customHeight="false" outlineLevel="0" collapsed="false">
      <c r="A4172" s="0" t="s">
        <v>882</v>
      </c>
      <c r="B4172" s="0" t="s">
        <v>57</v>
      </c>
      <c r="C4172" s="30" t="n">
        <f aca="false">m_ai</f>
        <v>6</v>
      </c>
    </row>
    <row r="4173" customFormat="false" ht="17.15" hidden="false" customHeight="false" outlineLevel="0" collapsed="false">
      <c r="A4173" s="0" t="s">
        <v>883</v>
      </c>
      <c r="B4173" s="0" t="s">
        <v>73</v>
      </c>
      <c r="C4173" s="38" t="n">
        <f aca="false">Sens!$C$4171*Sens!$C$4172</f>
        <v>433.768620748718</v>
      </c>
    </row>
    <row r="4174" customFormat="false" ht="17.15" hidden="false" customHeight="false" outlineLevel="0" collapsed="false">
      <c r="A4174" s="5" t="s">
        <v>884</v>
      </c>
      <c r="B4174" s="0" t="s">
        <v>73</v>
      </c>
      <c r="C4174" s="38" t="n">
        <f aca="false">Sens!$C$4164+Sens!$C$4167+Sens!$C$4170+Sens!$C$4173</f>
        <v>2942.35498508367</v>
      </c>
    </row>
    <row r="4175" customFormat="false" ht="17.15" hidden="false" customHeight="false" outlineLevel="0" collapsed="false">
      <c r="A4175" s="5" t="s">
        <v>885</v>
      </c>
      <c r="B4175" s="0" t="s">
        <v>73</v>
      </c>
      <c r="C4175" s="38" t="n">
        <f aca="false">Sens!$H$4133</f>
        <v>114.866617101715</v>
      </c>
    </row>
    <row r="4176" customFormat="false" ht="15" hidden="false" customHeight="false" outlineLevel="0" collapsed="false">
      <c r="A4176" s="5" t="s">
        <v>886</v>
      </c>
      <c r="B4176" s="0" t="s">
        <v>73</v>
      </c>
      <c r="C4176" s="38" t="n">
        <f aca="false">Sens!$C$4174-Sens!$C$4175+Sens!$C$4157</f>
        <v>3006.43236798195</v>
      </c>
    </row>
    <row r="4177" customFormat="false" ht="15" hidden="false" customHeight="false" outlineLevel="0" collapsed="false">
      <c r="A4177" s="3" t="s">
        <v>887</v>
      </c>
      <c r="B4177" s="8" t="s">
        <v>27</v>
      </c>
      <c r="C4177" s="30" t="n">
        <f aca="false">Sens!$C$4176/sh_val</f>
        <v>272.560905154826</v>
      </c>
    </row>
    <row r="4178" customFormat="false" ht="17.15" hidden="false" customHeight="false" outlineLevel="0" collapsed="false">
      <c r="A4178" s="46" t="s">
        <v>888</v>
      </c>
      <c r="B4178" s="13" t="s">
        <v>27</v>
      </c>
      <c r="C4178" s="43" t="n">
        <f aca="false">w_dcf*Sens!$C$4160+(1-w_dcf)*Sens!$C$4177</f>
        <v>181.070616730425</v>
      </c>
      <c r="D4178" s="13"/>
      <c r="E4178" s="13"/>
      <c r="F4178" s="13"/>
      <c r="G4178" s="13"/>
      <c r="H4178" s="13"/>
      <c r="I4178" s="13"/>
      <c r="J4178" s="13"/>
      <c r="K4178" s="13"/>
      <c r="L4178" s="13"/>
      <c r="M4178" s="13"/>
      <c r="N4178" s="13"/>
      <c r="O4178" s="13"/>
    </row>
    <row r="4179" customFormat="false" ht="17.15" hidden="false" customHeight="false" outlineLevel="0" collapsed="false">
      <c r="A4179" s="5" t="s">
        <v>889</v>
      </c>
      <c r="B4179" s="0" t="s">
        <v>27</v>
      </c>
      <c r="C4179" s="30" t="n">
        <f aca="false">0.45*Sens!$C$4160+0.55*Sens!$C$4177</f>
        <v>190.219645572865</v>
      </c>
    </row>
    <row r="4182" customFormat="false" ht="19.4" hidden="false" customHeight="false" outlineLevel="0" collapsed="false">
      <c r="A4182" s="31" t="s">
        <v>1135</v>
      </c>
    </row>
    <row r="4183" customFormat="false" ht="17.15" hidden="false" customHeight="false" outlineLevel="0" collapsed="false">
      <c r="A4183" s="6" t="s">
        <v>16</v>
      </c>
      <c r="B4183" s="6" t="s">
        <v>17</v>
      </c>
      <c r="C4183" s="20" t="s">
        <v>457</v>
      </c>
      <c r="D4183" s="20" t="s">
        <v>458</v>
      </c>
      <c r="E4183" s="20" t="s">
        <v>540</v>
      </c>
      <c r="F4183" s="20" t="s">
        <v>541</v>
      </c>
      <c r="G4183" s="20" t="s">
        <v>542</v>
      </c>
      <c r="H4183" s="20" t="s">
        <v>543</v>
      </c>
      <c r="I4183" s="20" t="s">
        <v>544</v>
      </c>
      <c r="J4183" s="20" t="s">
        <v>545</v>
      </c>
      <c r="K4183" s="20" t="s">
        <v>546</v>
      </c>
      <c r="L4183" s="20" t="s">
        <v>547</v>
      </c>
      <c r="M4183" s="20" t="s">
        <v>548</v>
      </c>
      <c r="N4183" s="20" t="s">
        <v>549</v>
      </c>
      <c r="O4183" s="20" t="s">
        <v>550</v>
      </c>
      <c r="P4183" s="6" t="s">
        <v>23</v>
      </c>
      <c r="R4183" s="20" t="n">
        <v>2023</v>
      </c>
      <c r="S4183" s="20" t="n">
        <v>2024</v>
      </c>
      <c r="T4183" s="20" t="n">
        <v>2025</v>
      </c>
      <c r="U4183" s="20" t="n">
        <v>2026</v>
      </c>
      <c r="V4183" s="20" t="n">
        <v>2027</v>
      </c>
      <c r="W4183" s="20" t="n">
        <v>2028</v>
      </c>
      <c r="X4183" s="20" t="n">
        <v>2029</v>
      </c>
      <c r="Y4183" s="20" t="n">
        <v>2030</v>
      </c>
      <c r="Z4183" s="20" t="n">
        <v>2031</v>
      </c>
      <c r="AA4183" s="20" t="n">
        <v>2032</v>
      </c>
    </row>
    <row r="4184" customFormat="false" ht="17.15" hidden="false" customHeight="false" outlineLevel="0" collapsed="false">
      <c r="A4184" s="1" t="s">
        <v>621</v>
      </c>
    </row>
    <row r="4185" customFormat="false" ht="17.15" hidden="false" customHeight="false" outlineLevel="0" collapsed="false">
      <c r="A4185" s="0" t="s">
        <v>479</v>
      </c>
      <c r="B4185" s="0" t="s">
        <v>73</v>
      </c>
      <c r="C4185" s="38" t="n">
        <f aca="false">Q!$D$10</f>
        <v>247.029</v>
      </c>
      <c r="D4185" s="38" t="n">
        <f aca="false">Q!$E$10</f>
        <v>269.287</v>
      </c>
      <c r="E4185" s="38" t="n">
        <f aca="false">Q!$P$10</f>
        <v>134.686</v>
      </c>
      <c r="F4185" s="38" t="n">
        <f aca="false">Sens!$O$4185*(1+Sens!$F$4186)-pd_amt*Q!$O$10/(Q!$O$10+Q!$O$12)</f>
        <v>160.728085930082</v>
      </c>
      <c r="G4185" s="38" t="n">
        <f aca="false">Sens!$E$4185+Sens!$F$4185</f>
        <v>295.414085930082</v>
      </c>
      <c r="H4185" s="38" t="n">
        <f aca="false">Sens!$G$4185*(1+Sens!$H$4186)</f>
        <v>320.828163943375</v>
      </c>
      <c r="I4185" s="38" t="n">
        <f aca="false">Sens!$H$4185*(1+Sens!$I$4186)</f>
        <v>344.575578072228</v>
      </c>
      <c r="J4185" s="38" t="n">
        <f aca="false">Sens!$I$4185*(1+Sens!$J$4186)</f>
        <v>365.942555779681</v>
      </c>
      <c r="K4185" s="38" t="n">
        <f aca="false">Sens!$J$4185*(1+Sens!$K$4186)</f>
        <v>384.239683568665</v>
      </c>
      <c r="L4185" s="38" t="n">
        <f aca="false">Sens!$K$4185*(1+Sens!$L$4186)</f>
        <v>403.451667747098</v>
      </c>
      <c r="M4185" s="38" t="n">
        <f aca="false">Sens!$L$4185*(1+Sens!$M$4186)</f>
        <v>423.624251134453</v>
      </c>
      <c r="N4185" s="38" t="n">
        <f aca="false">Q!$N$10</f>
        <v>118.892</v>
      </c>
      <c r="O4185" s="38" t="n">
        <f aca="false">Q!$O$10</f>
        <v>150.395</v>
      </c>
      <c r="P4185" s="8" t="s">
        <v>622</v>
      </c>
    </row>
    <row r="4186" customFormat="false" ht="17.15" hidden="false" customHeight="false" outlineLevel="0" collapsed="false">
      <c r="A4186" s="0" t="s">
        <v>623</v>
      </c>
      <c r="B4186" s="0" t="s">
        <v>52</v>
      </c>
      <c r="E4186" s="12" t="n">
        <f aca="false">Sens!$E$4185/Sens!$N$4185-1</f>
        <v>0.132843252699929</v>
      </c>
      <c r="F4186" s="12" t="n">
        <f aca="false">Sens!$O$4185/(Q!$F$10+Q!$G$10)-1</f>
        <v>0.0980382135842941</v>
      </c>
      <c r="G4186" s="12" t="n">
        <f aca="false">Sens!$G$4185/Sens!$D$4185-1</f>
        <v>0.0970231980380869</v>
      </c>
      <c r="H4186" s="12" t="n">
        <f aca="false">Sens!$F$4186+(g_os-Sens!$F$4186)*1/4</f>
        <v>0.0860286601882206</v>
      </c>
      <c r="I4186" s="12" t="n">
        <f aca="false">Sens!$F$4186+(g_os-Sens!$F$4186)*2/4</f>
        <v>0.074019106792147</v>
      </c>
      <c r="J4186" s="12" t="n">
        <f aca="false">Sens!$F$4186+(g_os-Sens!$F$4186)*3/4</f>
        <v>0.0620095533960735</v>
      </c>
      <c r="K4186" s="12" t="n">
        <f aca="false">Sens!$F$4186+(g_os-Sens!$F$4186)*4/4</f>
        <v>0.05</v>
      </c>
      <c r="L4186" s="12" t="n">
        <f aca="false">g_os</f>
        <v>0.05</v>
      </c>
      <c r="M4186" s="12" t="n">
        <f aca="false">g_os</f>
        <v>0.05</v>
      </c>
      <c r="P4186" s="8" t="s">
        <v>624</v>
      </c>
    </row>
    <row r="4187" customFormat="false" ht="17.15" hidden="false" customHeight="false" outlineLevel="0" collapsed="false">
      <c r="A4187" s="0" t="s">
        <v>480</v>
      </c>
      <c r="B4187" s="0" t="s">
        <v>73</v>
      </c>
      <c r="C4187" s="38" t="n">
        <f aca="false">Q!$D$11</f>
        <v>21.215</v>
      </c>
      <c r="D4187" s="38" t="n">
        <f aca="false">Q!$E$11</f>
        <v>22.561</v>
      </c>
      <c r="E4187" s="38" t="n">
        <f aca="false">Q!$P$11</f>
        <v>11.579</v>
      </c>
      <c r="F4187" s="38" t="n">
        <f aca="false">Sens!$O$4187*(1+Sens!$F$4188)</f>
        <v>12.0952613121125</v>
      </c>
      <c r="G4187" s="38" t="n">
        <f aca="false">Sens!$E$4187+Sens!$F$4187</f>
        <v>23.6742613121125</v>
      </c>
      <c r="H4187" s="38" t="n">
        <f aca="false">Sens!$G$4187*(1+Sens!$H$4188)</f>
        <v>24.8803243963206</v>
      </c>
      <c r="I4187" s="38" t="n">
        <f aca="false">Sens!$H$4187*(1+Sens!$I$4188)</f>
        <v>25.9741308664154</v>
      </c>
      <c r="J4187" s="38" t="n">
        <f aca="false">Sens!$I$4187*(1+Sens!$J$4188)</f>
        <v>26.9346894124267</v>
      </c>
      <c r="K4187" s="38" t="n">
        <f aca="false">Sens!$J$4187*(1+Sens!$K$4188)</f>
        <v>27.7427300947995</v>
      </c>
      <c r="L4187" s="38" t="n">
        <f aca="false">Sens!$K$4187*(1+Sens!$L$4188)</f>
        <v>28.5750119976435</v>
      </c>
      <c r="M4187" s="38" t="n">
        <f aca="false">Sens!$L$4187*(1+Sens!$M$4188)</f>
        <v>29.4322623575728</v>
      </c>
      <c r="N4187" s="38" t="n">
        <f aca="false">Q!$N$11</f>
        <v>11.128</v>
      </c>
      <c r="O4187" s="38" t="n">
        <f aca="false">Q!$O$11</f>
        <v>11.433</v>
      </c>
      <c r="P4187" s="8" t="s">
        <v>622</v>
      </c>
    </row>
    <row r="4188" customFormat="false" ht="17.15" hidden="false" customHeight="false" outlineLevel="0" collapsed="false">
      <c r="A4188" s="0" t="s">
        <v>625</v>
      </c>
      <c r="B4188" s="0" t="s">
        <v>52</v>
      </c>
      <c r="E4188" s="12" t="n">
        <f aca="false">Sens!$E$4187/Sens!$N$4187-1</f>
        <v>0.0405283968368082</v>
      </c>
      <c r="F4188" s="12" t="n">
        <f aca="false">Sens!$O$4187/(Q!$F$11+Q!$G$11)-1</f>
        <v>0.0579254187100955</v>
      </c>
      <c r="G4188" s="12" t="n">
        <f aca="false">Sens!$G$4187/Sens!$D$4187-1</f>
        <v>0.0493445021103904</v>
      </c>
      <c r="H4188" s="12" t="n">
        <f aca="false">Sens!$F$4188+(g_ps-Sens!$F$4188)*1/4</f>
        <v>0.0509440640325716</v>
      </c>
      <c r="I4188" s="12" t="n">
        <f aca="false">Sens!$F$4188+(g_ps-Sens!$F$4188)*2/4</f>
        <v>0.0439627093550477</v>
      </c>
      <c r="J4188" s="12" t="n">
        <f aca="false">Sens!$F$4188+(g_ps-Sens!$F$4188)*3/4</f>
        <v>0.0369813546775239</v>
      </c>
      <c r="K4188" s="12" t="n">
        <f aca="false">Sens!$F$4188+(g_ps-Sens!$F$4188)*4/4</f>
        <v>0.03</v>
      </c>
      <c r="L4188" s="12" t="n">
        <f aca="false">g_ps</f>
        <v>0.03</v>
      </c>
      <c r="M4188" s="12" t="n">
        <f aca="false">g_ps</f>
        <v>0.03</v>
      </c>
      <c r="P4188" s="8" t="s">
        <v>626</v>
      </c>
    </row>
    <row r="4189" customFormat="false" ht="17.15" hidden="false" customHeight="false" outlineLevel="0" collapsed="false">
      <c r="A4189" s="0" t="s">
        <v>481</v>
      </c>
      <c r="B4189" s="0" t="s">
        <v>73</v>
      </c>
      <c r="C4189" s="38" t="n">
        <f aca="false">Q!$D$12</f>
        <v>156.146</v>
      </c>
      <c r="D4189" s="38" t="n">
        <f aca="false">Q!$E$12</f>
        <v>172.162</v>
      </c>
      <c r="E4189" s="38" t="n">
        <f aca="false">Q!$P$12</f>
        <v>88.358</v>
      </c>
      <c r="F4189" s="38" t="n">
        <f aca="false">Sens!$O$4189*(1+Sens!$F$4190)-pd_amt*Q!$O$12/(Q!$O$10+Q!$O$12)</f>
        <v>103.62028337149</v>
      </c>
      <c r="G4189" s="38" t="n">
        <f aca="false">Sens!$E$4189+Sens!$F$4189</f>
        <v>191.97828337149</v>
      </c>
      <c r="H4189" s="38" t="n">
        <f aca="false">Sens!$G$4189*(1+Sens!$H$4190)</f>
        <v>212.128608444755</v>
      </c>
      <c r="I4189" s="38" t="n">
        <f aca="false">Sens!$H$4189*(1+Sens!$I$4190)</f>
        <v>231.92183134134</v>
      </c>
      <c r="J4189" s="38" t="n">
        <f aca="false">Sens!$I$4189*(1+Sens!$J$4190)</f>
        <v>250.859136487863</v>
      </c>
      <c r="K4189" s="38" t="n">
        <f aca="false">Sens!$J$4189*(1+Sens!$K$4190)</f>
        <v>268.419276042014</v>
      </c>
      <c r="L4189" s="38" t="n">
        <f aca="false">Sens!$K$4189*(1+Sens!$L$4190)</f>
        <v>287.208625364954</v>
      </c>
      <c r="M4189" s="38" t="n">
        <f aca="false">Sens!$L$4189*(1+Sens!$M$4190)</f>
        <v>307.313229140501</v>
      </c>
      <c r="N4189" s="38" t="n">
        <f aca="false">Q!$N$12</f>
        <v>76.86</v>
      </c>
      <c r="O4189" s="38" t="n">
        <f aca="false">Q!$O$12</f>
        <v>95.302</v>
      </c>
      <c r="P4189" s="8" t="s">
        <v>622</v>
      </c>
    </row>
    <row r="4190" customFormat="false" ht="17.15" hidden="false" customHeight="false" outlineLevel="0" collapsed="false">
      <c r="A4190" s="0" t="s">
        <v>627</v>
      </c>
      <c r="B4190" s="0" t="s">
        <v>52</v>
      </c>
      <c r="E4190" s="12" t="n">
        <f aca="false">Sens!$E$4189/Sens!$N$4189-1</f>
        <v>0.1495966692688</v>
      </c>
      <c r="F4190" s="12" t="n">
        <f aca="false">Sens!$O$4189/(Q!$F$12+Q!$G$12)-1</f>
        <v>0.11661530890813</v>
      </c>
      <c r="G4190" s="12" t="n">
        <f aca="false">Sens!$G$4189/Sens!$D$4189-1</f>
        <v>0.115102539303041</v>
      </c>
      <c r="H4190" s="12" t="n">
        <f aca="false">Sens!$F$4190+(g_sp-Sens!$F$4190)*1/4</f>
        <v>0.104961481681098</v>
      </c>
      <c r="I4190" s="12" t="n">
        <f aca="false">Sens!$F$4190+(g_sp-Sens!$F$4190)*2/4</f>
        <v>0.0933076544540651</v>
      </c>
      <c r="J4190" s="12" t="n">
        <f aca="false">Sens!$F$4190+(g_sp-Sens!$F$4190)*3/4</f>
        <v>0.0816538272270325</v>
      </c>
      <c r="K4190" s="12" t="n">
        <f aca="false">Sens!$F$4190+(g_sp-Sens!$F$4190)*4/4</f>
        <v>0.07</v>
      </c>
      <c r="L4190" s="12" t="n">
        <f aca="false">g_sp</f>
        <v>0.07</v>
      </c>
      <c r="M4190" s="12" t="n">
        <f aca="false">g_sp</f>
        <v>0.07</v>
      </c>
      <c r="P4190" s="8" t="s">
        <v>628</v>
      </c>
    </row>
    <row r="4191" customFormat="false" ht="17.15" hidden="false" customHeight="false" outlineLevel="0" collapsed="false">
      <c r="A4191" s="0" t="s">
        <v>482</v>
      </c>
      <c r="B4191" s="0" t="s">
        <v>73</v>
      </c>
      <c r="C4191" s="38" t="n">
        <f aca="false">Q!$D$13</f>
        <v>56.214</v>
      </c>
      <c r="D4191" s="38" t="n">
        <f aca="false">Q!$E$13</f>
        <v>68.635</v>
      </c>
      <c r="E4191" s="38" t="n">
        <f aca="false">Q!$P$13</f>
        <v>37.052</v>
      </c>
      <c r="F4191" s="38" t="n">
        <f aca="false">Sens!$O$4191*(1+Sens!$F$4192)</f>
        <v>48.1533381827382</v>
      </c>
      <c r="G4191" s="38" t="n">
        <f aca="false">Sens!$E$4191+Sens!$F$4191</f>
        <v>85.2053381827382</v>
      </c>
      <c r="H4191" s="38" t="n">
        <f aca="false">Sens!$G$4191*(1+Sens!$H$4192)</f>
        <v>102.29336185894</v>
      </c>
      <c r="I4191" s="38" t="n">
        <f aca="false">Sens!$H$4191*(1+Sens!$I$4192)</f>
        <v>119.379837585241</v>
      </c>
      <c r="J4191" s="38" t="n">
        <f aca="false">Sens!$I$4191*(1+Sens!$J$4192)</f>
        <v>135.319079048844</v>
      </c>
      <c r="K4191" s="38" t="n">
        <f aca="false">Sens!$J$4191*(1+Sens!$K$4192)</f>
        <v>148.850986953729</v>
      </c>
      <c r="L4191" s="38" t="n">
        <f aca="false">Sens!$K$4191*(1+Sens!$L$4192)</f>
        <v>163.736085649102</v>
      </c>
      <c r="M4191" s="38" t="n">
        <f aca="false">Sens!$L$4191*(1+Sens!$M$4192)</f>
        <v>180.109694214012</v>
      </c>
      <c r="N4191" s="38" t="n">
        <f aca="false">Q!$N$13</f>
        <v>29.615</v>
      </c>
      <c r="O4191" s="38" t="n">
        <f aca="false">Q!$O$13</f>
        <v>39.02</v>
      </c>
      <c r="P4191" s="8" t="s">
        <v>622</v>
      </c>
    </row>
    <row r="4192" customFormat="false" ht="17.15" hidden="false" customHeight="false" outlineLevel="0" collapsed="false">
      <c r="A4192" s="0" t="s">
        <v>629</v>
      </c>
      <c r="B4192" s="0" t="s">
        <v>52</v>
      </c>
      <c r="E4192" s="12" t="n">
        <f aca="false">Sens!$E$4191/Sens!$N$4191-1</f>
        <v>0.25112274185379</v>
      </c>
      <c r="F4192" s="12" t="n">
        <f aca="false">Sens!$O$4191/(Q!$F$13+Q!$G$13)-1</f>
        <v>0.234068123596572</v>
      </c>
      <c r="G4192" s="12" t="n">
        <f aca="false">Sens!$G$4191/Sens!$D$4191-1</f>
        <v>0.241426942270536</v>
      </c>
      <c r="H4192" s="12" t="n">
        <f aca="false">Sens!$F$4192+(g_ad-Sens!$F$4192)*1/4</f>
        <v>0.200551092697429</v>
      </c>
      <c r="I4192" s="12" t="n">
        <f aca="false">Sens!$F$4192+(g_ad-Sens!$F$4192)*2/4</f>
        <v>0.167034061798286</v>
      </c>
      <c r="J4192" s="12" t="n">
        <f aca="false">Sens!$F$4192+(g_ad-Sens!$F$4192)*3/4</f>
        <v>0.133517030899143</v>
      </c>
      <c r="K4192" s="12" t="n">
        <f aca="false">Sens!$F$4192+(g_ad-Sens!$F$4192)*4/4</f>
        <v>0.1</v>
      </c>
      <c r="L4192" s="12" t="n">
        <f aca="false">g_ad</f>
        <v>0.1</v>
      </c>
      <c r="M4192" s="12" t="n">
        <f aca="false">g_ad</f>
        <v>0.1</v>
      </c>
      <c r="P4192" s="8" t="s">
        <v>630</v>
      </c>
    </row>
    <row r="4193" customFormat="false" ht="17.15" hidden="false" customHeight="false" outlineLevel="0" collapsed="false">
      <c r="A4193" s="0" t="s">
        <v>483</v>
      </c>
      <c r="B4193" s="0" t="s">
        <v>73</v>
      </c>
      <c r="C4193" s="38" t="n">
        <f aca="false">Q!$D$14</f>
        <v>44.374</v>
      </c>
      <c r="D4193" s="38" t="n">
        <f aca="false">Q!$E$14</f>
        <v>49.619</v>
      </c>
      <c r="E4193" s="38" t="n">
        <f aca="false">Q!$P$14</f>
        <v>27.157</v>
      </c>
      <c r="F4193" s="38" t="n">
        <f aca="false">Sens!$O$4193*(1+Sens!$F$4194)</f>
        <v>28.9776360923374</v>
      </c>
      <c r="G4193" s="38" t="n">
        <f aca="false">Sens!$E$4193+Sens!$F$4193</f>
        <v>56.1346360923374</v>
      </c>
      <c r="H4193" s="38" t="n">
        <f aca="false">Sens!$G$4193*(1+Sens!$H$4194)</f>
        <v>62.4937078946075</v>
      </c>
      <c r="I4193" s="38" t="n">
        <f aca="false">Sens!$H$4193*(1+Sens!$I$4194)</f>
        <v>68.6715233062498</v>
      </c>
      <c r="J4193" s="38" t="n">
        <f aca="false">Sens!$I$4193*(1+Sens!$J$4194)</f>
        <v>74.4692882949818</v>
      </c>
      <c r="K4193" s="38" t="n">
        <f aca="false">Sens!$J$4193*(1+Sens!$K$4194)</f>
        <v>79.6821384756306</v>
      </c>
      <c r="L4193" s="38" t="n">
        <f aca="false">Sens!$K$4193*(1+Sens!$L$4194)</f>
        <v>85.2598881689247</v>
      </c>
      <c r="M4193" s="38" t="n">
        <f aca="false">Sens!$L$4193*(1+Sens!$M$4194)</f>
        <v>91.2280803407494</v>
      </c>
      <c r="N4193" s="38" t="n">
        <f aca="false">Q!$N$14</f>
        <v>23.923</v>
      </c>
      <c r="O4193" s="38" t="n">
        <f aca="false">Q!$O$14</f>
        <v>25.696</v>
      </c>
      <c r="P4193" s="8" t="s">
        <v>622</v>
      </c>
    </row>
    <row r="4194" customFormat="false" ht="17.15" hidden="false" customHeight="false" outlineLevel="0" collapsed="false">
      <c r="A4194" s="0" t="s">
        <v>631</v>
      </c>
      <c r="B4194" s="0" t="s">
        <v>52</v>
      </c>
      <c r="E4194" s="12" t="n">
        <f aca="false">Sens!$E$4193/Sens!$N$4193-1</f>
        <v>0.135183714417088</v>
      </c>
      <c r="F4194" s="12" t="n">
        <f aca="false">Sens!$O$4193/(Q!$F$14+Q!$G$14)-1</f>
        <v>0.127709997366804</v>
      </c>
      <c r="G4194" s="12" t="n">
        <f aca="false">Sens!$G$4193/Sens!$D$4193-1</f>
        <v>0.131313329416905</v>
      </c>
      <c r="H4194" s="12" t="n">
        <f aca="false">Sens!$F$4194+(g_sub-Sens!$F$4194)*1/4</f>
        <v>0.113282498025103</v>
      </c>
      <c r="I4194" s="12" t="n">
        <f aca="false">Sens!$F$4194+(g_sub-Sens!$F$4194)*2/4</f>
        <v>0.0988549986834021</v>
      </c>
      <c r="J4194" s="12" t="n">
        <f aca="false">Sens!$F$4194+(g_sub-Sens!$F$4194)*3/4</f>
        <v>0.084427499341701</v>
      </c>
      <c r="K4194" s="12" t="n">
        <f aca="false">Sens!$F$4194+(g_sub-Sens!$F$4194)*4/4</f>
        <v>0.07</v>
      </c>
      <c r="L4194" s="12" t="n">
        <f aca="false">g_sub</f>
        <v>0.07</v>
      </c>
      <c r="M4194" s="12" t="n">
        <f aca="false">g_sub</f>
        <v>0.07</v>
      </c>
      <c r="P4194" s="8" t="s">
        <v>632</v>
      </c>
    </row>
    <row r="4195" customFormat="false" ht="17.15" hidden="false" customHeight="false" outlineLevel="0" collapsed="false">
      <c r="A4195" s="0" t="s">
        <v>484</v>
      </c>
      <c r="B4195" s="0" t="s">
        <v>73</v>
      </c>
      <c r="C4195" s="38" t="n">
        <f aca="false">Q!$D$15</f>
        <v>5.425</v>
      </c>
      <c r="D4195" s="38" t="n">
        <f aca="false">Q!$E$15</f>
        <v>5.935</v>
      </c>
      <c r="E4195" s="38" t="n">
        <f aca="false">Q!$P$15</f>
        <v>3.474</v>
      </c>
      <c r="F4195" s="38" t="n">
        <f aca="false">Sens!$O$4195*(1+Sens!$F$4196)</f>
        <v>3.36182431966931</v>
      </c>
      <c r="G4195" s="38" t="n">
        <f aca="false">Sens!$E$4195+Sens!$F$4195</f>
        <v>6.83582431966931</v>
      </c>
      <c r="H4195" s="38" t="n">
        <f aca="false">Sens!$G$4195*(1+Sens!$H$4196)</f>
        <v>7.31157108370141</v>
      </c>
      <c r="I4195" s="38" t="n">
        <f aca="false">Sens!$H$4195*(1+Sens!$I$4196)</f>
        <v>7.77266852639815</v>
      </c>
      <c r="J4195" s="38" t="n">
        <f aca="false">Sens!$I$4195*(1+Sens!$J$4196)</f>
        <v>8.2120733019884</v>
      </c>
      <c r="K4195" s="38" t="n">
        <f aca="false">Sens!$J$4195*(1+Sens!$K$4196)</f>
        <v>8.62267696708783</v>
      </c>
      <c r="L4195" s="38" t="n">
        <f aca="false">Sens!$K$4195*(1+Sens!$L$4196)</f>
        <v>9.05381081544222</v>
      </c>
      <c r="M4195" s="38" t="n">
        <f aca="false">Sens!$L$4195*(1+Sens!$M$4196)</f>
        <v>9.50650135621433</v>
      </c>
      <c r="N4195" s="38" t="n">
        <f aca="false">Q!$N$15</f>
        <v>2.811</v>
      </c>
      <c r="O4195" s="38" t="n">
        <f aca="false">Q!$O$15</f>
        <v>3.124</v>
      </c>
      <c r="P4195" s="8" t="s">
        <v>622</v>
      </c>
    </row>
    <row r="4196" customFormat="false" ht="17.15" hidden="false" customHeight="false" outlineLevel="0" collapsed="false">
      <c r="A4196" s="0" t="s">
        <v>633</v>
      </c>
      <c r="B4196" s="0" t="s">
        <v>52</v>
      </c>
      <c r="E4196" s="12" t="n">
        <f aca="false">Sens!$E$4195/Sens!$N$4195-1</f>
        <v>0.235859124866596</v>
      </c>
      <c r="F4196" s="12" t="n">
        <f aca="false">Sens!$O$4195/(Q!$F$15+Q!$G$15)-1</f>
        <v>0.0761281433000345</v>
      </c>
      <c r="G4196" s="12" t="n">
        <f aca="false">Sens!$G$4195/Sens!$D$4195-1</f>
        <v>0.151781688234087</v>
      </c>
      <c r="H4196" s="12" t="n">
        <f aca="false">Sens!$F$4196+(g_ot-Sens!$F$4196)*1/4</f>
        <v>0.0695961074750259</v>
      </c>
      <c r="I4196" s="12" t="n">
        <f aca="false">Sens!$F$4196+(g_ot-Sens!$F$4196)*2/4</f>
        <v>0.0630640716500172</v>
      </c>
      <c r="J4196" s="12" t="n">
        <f aca="false">Sens!$F$4196+(g_ot-Sens!$F$4196)*3/4</f>
        <v>0.0565320358250086</v>
      </c>
      <c r="K4196" s="12" t="n">
        <f aca="false">Sens!$F$4196+(g_ot-Sens!$F$4196)*4/4</f>
        <v>0.05</v>
      </c>
      <c r="L4196" s="12" t="n">
        <f aca="false">g_ot</f>
        <v>0.05</v>
      </c>
      <c r="M4196" s="12" t="n">
        <f aca="false">g_ot</f>
        <v>0.05</v>
      </c>
      <c r="P4196" s="8" t="s">
        <v>634</v>
      </c>
    </row>
    <row r="4197" customFormat="false" ht="17.15" hidden="false" customHeight="false" outlineLevel="0" collapsed="false">
      <c r="A4197" s="3" t="s">
        <v>635</v>
      </c>
      <c r="B4197" s="8" t="s">
        <v>73</v>
      </c>
      <c r="C4197" s="38" t="n">
        <f aca="false">Sens!$C$4185+Sens!$C$4187+Sens!$C$4189+Sens!$C$4191+Sens!$C$4193+Sens!$C$4195</f>
        <v>530.403</v>
      </c>
      <c r="D4197" s="38" t="n">
        <f aca="false">Sens!$D$4185+Sens!$D$4187+Sens!$D$4189+Sens!$D$4191+Sens!$D$4193+Sens!$D$4195</f>
        <v>588.199</v>
      </c>
      <c r="E4197" s="38" t="n">
        <f aca="false">Sens!$E$4185+Sens!$E$4187+Sens!$E$4189+Sens!$E$4191+Sens!$E$4193+Sens!$E$4195</f>
        <v>302.306</v>
      </c>
      <c r="F4197" s="38" t="n">
        <f aca="false">Sens!$F$4185+Sens!$F$4187+Sens!$F$4189+Sens!$F$4191+Sens!$F$4193+Sens!$F$4195</f>
        <v>356.93642920843</v>
      </c>
      <c r="G4197" s="38" t="n">
        <f aca="false">Sens!$G$4185+Sens!$G$4187+Sens!$G$4189+Sens!$G$4191+Sens!$G$4193+Sens!$G$4195</f>
        <v>659.24242920843</v>
      </c>
      <c r="H4197" s="38" t="n">
        <f aca="false">Sens!$H$4185+Sens!$H$4187+Sens!$H$4189+Sens!$H$4191+Sens!$H$4193+Sens!$H$4195</f>
        <v>729.935737621701</v>
      </c>
      <c r="I4197" s="38" t="n">
        <f aca="false">Sens!$I$4185+Sens!$I$4187+Sens!$I$4189+Sens!$I$4191+Sens!$I$4193+Sens!$I$4195</f>
        <v>798.295569697873</v>
      </c>
      <c r="J4197" s="38" t="n">
        <f aca="false">Sens!$J$4185+Sens!$J$4187+Sens!$J$4189+Sens!$J$4191+Sens!$J$4193+Sens!$J$4195</f>
        <v>861.736822325785</v>
      </c>
      <c r="K4197" s="38" t="n">
        <f aca="false">Sens!$K$4185+Sens!$K$4187+Sens!$K$4189+Sens!$K$4191+Sens!$K$4193+Sens!$K$4195</f>
        <v>917.557492101925</v>
      </c>
      <c r="L4197" s="38" t="n">
        <f aca="false">Sens!$L$4185+Sens!$L$4187+Sens!$L$4189+Sens!$L$4191+Sens!$L$4193+Sens!$L$4195</f>
        <v>977.285089743165</v>
      </c>
      <c r="M4197" s="38" t="n">
        <f aca="false">Sens!$M$4185+Sens!$M$4187+Sens!$M$4189+Sens!$M$4191+Sens!$M$4193+Sens!$M$4195</f>
        <v>1041.2140185435</v>
      </c>
      <c r="N4197" s="38" t="n">
        <f aca="false">Sens!$N$4185+Sens!$N$4187+Sens!$N$4189+Sens!$N$4191+Sens!$N$4193+Sens!$N$4195</f>
        <v>263.229</v>
      </c>
      <c r="O4197" s="38" t="n">
        <f aca="false">Sens!$O$4185+Sens!$O$4187+Sens!$O$4189+Sens!$O$4191+Sens!$O$4193+Sens!$O$4195</f>
        <v>324.97</v>
      </c>
    </row>
    <row r="4198" customFormat="false" ht="17.15" hidden="false" customHeight="false" outlineLevel="0" collapsed="false">
      <c r="A4198" s="5" t="s">
        <v>636</v>
      </c>
      <c r="B4198" s="0" t="s">
        <v>52</v>
      </c>
      <c r="C4198" s="12" t="n">
        <f aca="false">Q!$D$5/(Q!$D$5+Q!$D$6)</f>
        <v>0.730570905519011</v>
      </c>
      <c r="D4198" s="12" t="n">
        <f aca="false">Q!$E$5/(Q!$E$5+Q!$E$6)</f>
        <v>0.724763217890544</v>
      </c>
      <c r="E4198" s="12" t="n">
        <f aca="false">Q!$P$5/(Q!$P$5+Q!$P$6)</f>
        <v>0.728797972914861</v>
      </c>
      <c r="F4198" s="12" t="n">
        <f aca="false">Sens!$O$4198</f>
        <v>0.718066283041511</v>
      </c>
      <c r="G4198" s="12" t="n">
        <f aca="false">Sens!$G$4199/Sens!$G$4197</f>
        <v>0.722987468473627</v>
      </c>
      <c r="H4198" s="12" t="n">
        <f aca="false">Sens!$G$4198</f>
        <v>0.722987468473627</v>
      </c>
      <c r="I4198" s="12" t="n">
        <f aca="false">Sens!$G$4198</f>
        <v>0.722987468473627</v>
      </c>
      <c r="J4198" s="12" t="n">
        <f aca="false">Sens!$G$4198</f>
        <v>0.722987468473627</v>
      </c>
      <c r="K4198" s="12" t="n">
        <f aca="false">Sens!$G$4198</f>
        <v>0.722987468473627</v>
      </c>
      <c r="L4198" s="12" t="n">
        <f aca="false">Sens!$G$4198</f>
        <v>0.722987468473627</v>
      </c>
      <c r="M4198" s="12" t="n">
        <f aca="false">Sens!$G$4198</f>
        <v>0.722987468473627</v>
      </c>
      <c r="N4198" s="12" t="n">
        <f aca="false">Q!$N$5/(Q!$N$5+Q!$N$6)</f>
        <v>0.733030935041352</v>
      </c>
      <c r="O4198" s="12" t="n">
        <f aca="false">Q!$O$5/(Q!$O$5+Q!$O$6)</f>
        <v>0.718066283041511</v>
      </c>
      <c r="P4198" s="8" t="s">
        <v>637</v>
      </c>
    </row>
    <row r="4199" customFormat="false" ht="17.15" hidden="false" customHeight="false" outlineLevel="0" collapsed="false">
      <c r="A4199" s="1" t="s">
        <v>472</v>
      </c>
      <c r="B4199" s="8" t="s">
        <v>73</v>
      </c>
      <c r="C4199" s="38" t="n">
        <f aca="false">Q!$D$5</f>
        <v>387.497</v>
      </c>
      <c r="D4199" s="38" t="n">
        <f aca="false">Q!$E$5</f>
        <v>426.305</v>
      </c>
      <c r="E4199" s="38" t="n">
        <f aca="false">Q!$P$5</f>
        <v>220.32</v>
      </c>
      <c r="F4199" s="38" t="n">
        <f aca="false">Sens!$F$4197*Sens!$F$4198</f>
        <v>256.304015003807</v>
      </c>
      <c r="G4199" s="38" t="n">
        <f aca="false">Sens!$E$4199+Sens!$F$4199</f>
        <v>476.624015003807</v>
      </c>
      <c r="H4199" s="38" t="n">
        <f aca="false">Sens!$H$4197*Sens!$H$4198</f>
        <v>527.734391091543</v>
      </c>
      <c r="I4199" s="38" t="n">
        <f aca="false">Sens!$I$4197*Sens!$I$4198</f>
        <v>577.157693029577</v>
      </c>
      <c r="J4199" s="38" t="n">
        <f aca="false">Sens!$J$4197*Sens!$J$4198</f>
        <v>623.024923663827</v>
      </c>
      <c r="K4199" s="38" t="n">
        <f aca="false">Sens!$K$4197*Sens!$K$4198</f>
        <v>663.382568393781</v>
      </c>
      <c r="L4199" s="38" t="n">
        <f aca="false">Sens!$L$4197*Sens!$L$4198</f>
        <v>706.564873010432</v>
      </c>
      <c r="M4199" s="38" t="n">
        <f aca="false">Sens!$M$4197*Sens!$M$4198</f>
        <v>752.784687406019</v>
      </c>
      <c r="N4199" s="38" t="n">
        <f aca="false">Q!$N$5</f>
        <v>192.955</v>
      </c>
      <c r="O4199" s="38" t="n">
        <f aca="false">Q!$O$5</f>
        <v>233.35</v>
      </c>
      <c r="P4199" s="5" t="s">
        <v>638</v>
      </c>
    </row>
    <row r="4200" customFormat="false" ht="17.15" hidden="false" customHeight="false" outlineLevel="0" collapsed="false">
      <c r="A4200" s="1" t="s">
        <v>475</v>
      </c>
      <c r="B4200" s="8" t="s">
        <v>73</v>
      </c>
      <c r="C4200" s="38" t="n">
        <f aca="false">Q!$D$6</f>
        <v>142.906</v>
      </c>
      <c r="D4200" s="38" t="n">
        <f aca="false">Q!$E$6</f>
        <v>161.894</v>
      </c>
      <c r="E4200" s="38" t="n">
        <f aca="false">Q!$P$6</f>
        <v>81.986</v>
      </c>
      <c r="F4200" s="38" t="n">
        <f aca="false">Sens!$F$4197*(1-Sens!$F$4198)</f>
        <v>100.632414204623</v>
      </c>
      <c r="G4200" s="38" t="n">
        <f aca="false">Sens!$E$4200+Sens!$F$4200</f>
        <v>182.618414204623</v>
      </c>
      <c r="H4200" s="38" t="n">
        <f aca="false">Sens!$H$4197*(1-Sens!$H$4198)</f>
        <v>202.201346530158</v>
      </c>
      <c r="I4200" s="38" t="n">
        <f aca="false">Sens!$I$4197*(1-Sens!$I$4198)</f>
        <v>221.137876668296</v>
      </c>
      <c r="J4200" s="38" t="n">
        <f aca="false">Sens!$J$4197*(1-Sens!$J$4198)</f>
        <v>238.711898661958</v>
      </c>
      <c r="K4200" s="38" t="n">
        <f aca="false">Sens!$K$4197*(1-Sens!$K$4198)</f>
        <v>254.174923708144</v>
      </c>
      <c r="L4200" s="38" t="n">
        <f aca="false">Sens!$L$4197*(1-Sens!$L$4198)</f>
        <v>270.720216732733</v>
      </c>
      <c r="M4200" s="38" t="n">
        <f aca="false">Sens!$M$4197*(1-Sens!$M$4198)</f>
        <v>288.429331137484</v>
      </c>
      <c r="N4200" s="38" t="n">
        <f aca="false">Q!$N$6</f>
        <v>70.274</v>
      </c>
      <c r="O4200" s="38" t="n">
        <f aca="false">Q!$O$6</f>
        <v>91.62</v>
      </c>
      <c r="P4200" s="5" t="s">
        <v>639</v>
      </c>
    </row>
    <row r="4201" customFormat="false" ht="17.15" hidden="false" customHeight="false" outlineLevel="0" collapsed="false">
      <c r="A4201" s="5" t="s">
        <v>640</v>
      </c>
      <c r="B4201" s="0" t="s">
        <v>73</v>
      </c>
      <c r="C4201" s="38" t="n">
        <f aca="false">Sens!$C$4191*Sens!$C$4198</f>
        <v>41.0683128828457</v>
      </c>
      <c r="D4201" s="38" t="n">
        <f aca="false">Sens!$D$4191*Sens!$D$4198</f>
        <v>49.7441234599175</v>
      </c>
      <c r="E4201" s="38" t="n">
        <f aca="false">Sens!$E$4191*Sens!$E$4198</f>
        <v>27.0034224924414</v>
      </c>
      <c r="F4201" s="38" t="n">
        <f aca="false">Sens!$F$4191*Sens!$F$4198</f>
        <v>34.5772885649197</v>
      </c>
      <c r="G4201" s="38" t="n">
        <f aca="false">Sens!$G$4191*Sens!$G$4198</f>
        <v>61.6023917531772</v>
      </c>
      <c r="H4201" s="38" t="n">
        <f aca="false">Sens!$H$4191*Sens!$H$4198</f>
        <v>73.9568187320519</v>
      </c>
      <c r="I4201" s="38" t="n">
        <f aca="false">Sens!$I$4191*Sens!$I$4198</f>
        <v>86.3101265625461</v>
      </c>
      <c r="J4201" s="38" t="n">
        <f aca="false">Sens!$J$4191*Sens!$J$4198</f>
        <v>97.8339983977065</v>
      </c>
      <c r="K4201" s="38" t="n">
        <f aca="false">Sens!$K$4191*Sens!$K$4198</f>
        <v>107.617398237477</v>
      </c>
      <c r="L4201" s="38" t="n">
        <f aca="false">Sens!$L$4191*Sens!$L$4198</f>
        <v>118.379138061225</v>
      </c>
      <c r="M4201" s="38" t="n">
        <f aca="false">Sens!$M$4191*Sens!$M$4198</f>
        <v>130.217051867347</v>
      </c>
      <c r="N4201" s="38" t="n">
        <f aca="false">Sens!$N$4191*Sens!$N$4198</f>
        <v>21.7087111412496</v>
      </c>
      <c r="O4201" s="38" t="n">
        <f aca="false">Sens!$O$4191*Sens!$O$4198</f>
        <v>28.0189463642798</v>
      </c>
      <c r="P4201" s="5" t="s">
        <v>641</v>
      </c>
    </row>
    <row r="4202" customFormat="false" ht="15" hidden="false" customHeight="false" outlineLevel="0" collapsed="false">
      <c r="A4202" s="5" t="s">
        <v>642</v>
      </c>
      <c r="B4202" s="0" t="s">
        <v>73</v>
      </c>
      <c r="C4202" s="38" t="n">
        <f aca="false">Sens!$C$4191-Sens!$C$4201</f>
        <v>15.1456871171543</v>
      </c>
      <c r="D4202" s="38" t="n">
        <f aca="false">Sens!$D$4191-Sens!$D$4201</f>
        <v>18.8908765400825</v>
      </c>
      <c r="E4202" s="38" t="n">
        <f aca="false">Sens!$E$4191-Sens!$E$4201</f>
        <v>10.0485775075586</v>
      </c>
      <c r="F4202" s="38" t="n">
        <f aca="false">Sens!$F$4191-Sens!$F$4201</f>
        <v>13.5760496178185</v>
      </c>
      <c r="G4202" s="38" t="n">
        <f aca="false">Sens!$G$4191-Sens!$G$4201</f>
        <v>23.6029464295611</v>
      </c>
      <c r="H4202" s="38" t="n">
        <f aca="false">Sens!$H$4191-Sens!$H$4201</f>
        <v>28.3365431268884</v>
      </c>
      <c r="I4202" s="38" t="n">
        <f aca="false">Sens!$I$4191-Sens!$I$4201</f>
        <v>33.0697110226949</v>
      </c>
      <c r="J4202" s="38" t="n">
        <f aca="false">Sens!$J$4191-Sens!$J$4201</f>
        <v>37.4850806511378</v>
      </c>
      <c r="K4202" s="38" t="n">
        <f aca="false">Sens!$K$4191-Sens!$K$4201</f>
        <v>41.2335887162515</v>
      </c>
      <c r="L4202" s="38" t="n">
        <f aca="false">Sens!$L$4191-Sens!$L$4201</f>
        <v>45.3569475878767</v>
      </c>
      <c r="M4202" s="38" t="n">
        <f aca="false">Sens!$M$4191-Sens!$M$4201</f>
        <v>49.8926423466644</v>
      </c>
      <c r="N4202" s="38" t="n">
        <f aca="false">Sens!$N$4191-Sens!$N$4201</f>
        <v>7.90628885875037</v>
      </c>
      <c r="O4202" s="38" t="n">
        <f aca="false">Sens!$O$4191-Sens!$O$4201</f>
        <v>11.0010536357202</v>
      </c>
    </row>
    <row r="4203" customFormat="false" ht="19.4" hidden="false" customHeight="false" outlineLevel="0" collapsed="false">
      <c r="A4203" s="31" t="s">
        <v>1136</v>
      </c>
    </row>
    <row r="4204" customFormat="false" ht="17.15" hidden="false" customHeight="false" outlineLevel="0" collapsed="false">
      <c r="A4204" s="6" t="s">
        <v>16</v>
      </c>
      <c r="B4204" s="6" t="s">
        <v>17</v>
      </c>
      <c r="C4204" s="20" t="s">
        <v>457</v>
      </c>
      <c r="D4204" s="20" t="s">
        <v>458</v>
      </c>
      <c r="E4204" s="20" t="s">
        <v>540</v>
      </c>
      <c r="F4204" s="20" t="s">
        <v>541</v>
      </c>
      <c r="G4204" s="20" t="s">
        <v>542</v>
      </c>
      <c r="H4204" s="20" t="s">
        <v>543</v>
      </c>
      <c r="I4204" s="20" t="s">
        <v>544</v>
      </c>
      <c r="J4204" s="20" t="s">
        <v>545</v>
      </c>
      <c r="K4204" s="20" t="s">
        <v>546</v>
      </c>
      <c r="L4204" s="20" t="s">
        <v>547</v>
      </c>
      <c r="M4204" s="20" t="s">
        <v>548</v>
      </c>
      <c r="N4204" s="20" t="s">
        <v>549</v>
      </c>
      <c r="O4204" s="20" t="s">
        <v>550</v>
      </c>
      <c r="P4204" s="6" t="s">
        <v>23</v>
      </c>
      <c r="R4204" s="20" t="n">
        <v>2023</v>
      </c>
      <c r="S4204" s="20" t="n">
        <v>2024</v>
      </c>
      <c r="T4204" s="20" t="n">
        <v>2025</v>
      </c>
      <c r="U4204" s="20" t="n">
        <v>2026</v>
      </c>
      <c r="V4204" s="20" t="n">
        <v>2027</v>
      </c>
      <c r="W4204" s="20" t="n">
        <v>2028</v>
      </c>
      <c r="X4204" s="20" t="n">
        <v>2029</v>
      </c>
      <c r="Y4204" s="20" t="n">
        <v>2030</v>
      </c>
      <c r="Z4204" s="20" t="n">
        <v>2031</v>
      </c>
      <c r="AA4204" s="20" t="n">
        <v>2032</v>
      </c>
    </row>
    <row r="4205" customFormat="false" ht="17.15" hidden="false" customHeight="false" outlineLevel="0" collapsed="false">
      <c r="A4205" s="1" t="s">
        <v>551</v>
      </c>
    </row>
    <row r="4206" customFormat="false" ht="17.15" hidden="false" customHeight="false" outlineLevel="0" collapsed="false">
      <c r="A4206" s="14" t="s">
        <v>552</v>
      </c>
      <c r="B4206" s="13" t="s">
        <v>108</v>
      </c>
      <c r="C4206" s="32" t="n">
        <f aca="false">mw_ye24</f>
        <v>360</v>
      </c>
      <c r="D4206" s="32" t="n">
        <f aca="false">mw_ye25</f>
        <v>1440</v>
      </c>
      <c r="E4206" s="32" t="n">
        <f aca="false">mw_open</f>
        <v>2080</v>
      </c>
      <c r="F4206" s="32" t="n">
        <f aca="false">Sens!$E$4206+pace_B*0.5</f>
        <v>3897.15</v>
      </c>
      <c r="G4206" s="32" t="n">
        <f aca="false">Sens!$F$4206</f>
        <v>3897.15</v>
      </c>
      <c r="H4206" s="32" t="n">
        <f aca="false">Sens!$G$4206+pace_B</f>
        <v>7531.45</v>
      </c>
      <c r="I4206" s="32" t="n">
        <f aca="false">Sens!$H$4206+pace_B</f>
        <v>11165.75</v>
      </c>
      <c r="J4206" s="32" t="n">
        <f aca="false">Sens!$I$4206+pace_B</f>
        <v>14800.05</v>
      </c>
      <c r="K4206" s="32" t="n">
        <f aca="false">Sens!$J$4206+pace_B</f>
        <v>18434.35</v>
      </c>
      <c r="L4206" s="32" t="n">
        <f aca="false">Sens!$K$4206+pace_B</f>
        <v>22068.65</v>
      </c>
      <c r="M4206" s="32" t="n">
        <f aca="false">Sens!$L$4206+pace_B</f>
        <v>25702.95</v>
      </c>
      <c r="N4206" s="32" t="n">
        <f aca="false">(mw_ye24+mw_ye25)/2</f>
        <v>900</v>
      </c>
      <c r="O4206" s="32" t="n">
        <f aca="false">mw_ye25</f>
        <v>1440</v>
      </c>
      <c r="P4206" s="5" t="s">
        <v>553</v>
      </c>
    </row>
    <row r="4207" customFormat="false" ht="17.15" hidden="false" customHeight="false" outlineLevel="0" collapsed="false">
      <c r="A4207" s="5" t="s">
        <v>554</v>
      </c>
      <c r="B4207" s="0" t="s">
        <v>108</v>
      </c>
      <c r="C4207" s="33" t="n">
        <f aca="false">(mw_ye23+mw_ye24)/2</f>
        <v>240</v>
      </c>
      <c r="D4207" s="33" t="n">
        <f aca="false">(Sens!$C$4206+Sens!$D$4206)/2</f>
        <v>900</v>
      </c>
      <c r="E4207" s="33" t="n">
        <f aca="false">(Sens!$D$4206+Sens!$E$4206)/2</f>
        <v>1760</v>
      </c>
      <c r="F4207" s="33" t="n">
        <f aca="false">(Sens!$E$4206+Sens!$F$4206)/2</f>
        <v>2988.575</v>
      </c>
      <c r="G4207" s="33" t="n">
        <f aca="false">(Sens!$E$4207+Sens!$F$4207)/2</f>
        <v>2374.2875</v>
      </c>
      <c r="H4207" s="33" t="n">
        <f aca="false">(Sens!$G$4206+Sens!$H$4206)/2</f>
        <v>5714.3</v>
      </c>
      <c r="I4207" s="33" t="n">
        <f aca="false">(Sens!$H$4206+Sens!$I$4206)/2</f>
        <v>9348.6</v>
      </c>
      <c r="J4207" s="33" t="n">
        <f aca="false">(Sens!$I$4206+Sens!$J$4206)/2</f>
        <v>12982.9</v>
      </c>
      <c r="K4207" s="33" t="n">
        <f aca="false">(Sens!$J$4206+Sens!$K$4206)/2</f>
        <v>16617.2</v>
      </c>
      <c r="L4207" s="33" t="n">
        <f aca="false">(Sens!$K$4206+Sens!$L$4206)/2</f>
        <v>20251.5</v>
      </c>
      <c r="M4207" s="33" t="n">
        <f aca="false">(Sens!$L$4206+Sens!$M$4206)/2</f>
        <v>23885.8</v>
      </c>
      <c r="N4207" s="33" t="n">
        <f aca="false">(Sens!$C$4206+Sens!$N$4206)/2</f>
        <v>630</v>
      </c>
      <c r="O4207" s="33" t="n">
        <f aca="false">(Sens!$N$4206+Sens!$O$4206)/2</f>
        <v>1170</v>
      </c>
    </row>
    <row r="4208" customFormat="false" ht="15" hidden="false" customHeight="false" outlineLevel="0" collapsed="false">
      <c r="A4208" s="5" t="s">
        <v>555</v>
      </c>
      <c r="B4208" s="5" t="s">
        <v>102</v>
      </c>
      <c r="C4208" s="34" t="n">
        <v>1</v>
      </c>
      <c r="D4208" s="34" t="n">
        <v>1</v>
      </c>
      <c r="E4208" s="34" t="n">
        <v>0.5</v>
      </c>
      <c r="F4208" s="34" t="n">
        <v>0.5</v>
      </c>
      <c r="G4208" s="34" t="n">
        <v>1</v>
      </c>
      <c r="H4208" s="34" t="n">
        <v>1</v>
      </c>
      <c r="I4208" s="34" t="n">
        <v>1</v>
      </c>
      <c r="J4208" s="34" t="n">
        <v>1</v>
      </c>
      <c r="K4208" s="34" t="n">
        <v>1</v>
      </c>
      <c r="L4208" s="34" t="n">
        <v>1</v>
      </c>
      <c r="M4208" s="34" t="n">
        <v>1</v>
      </c>
      <c r="N4208" s="34" t="n">
        <v>0.5</v>
      </c>
      <c r="O4208" s="34" t="n">
        <v>0.5</v>
      </c>
    </row>
    <row r="4209" customFormat="false" ht="17.15" hidden="false" customHeight="false" outlineLevel="0" collapsed="false">
      <c r="A4209" s="5" t="s">
        <v>556</v>
      </c>
      <c r="B4209" s="0" t="s">
        <v>108</v>
      </c>
      <c r="C4209" s="33" t="n">
        <f aca="false">Sens!$C$4206-mw_ye23</f>
        <v>240</v>
      </c>
      <c r="D4209" s="33" t="n">
        <f aca="false">Sens!$D$4206-Sens!$C$4206</f>
        <v>1080</v>
      </c>
      <c r="E4209" s="33" t="n">
        <f aca="false">Sens!$E$4206-Sens!$D$4206</f>
        <v>640</v>
      </c>
      <c r="F4209" s="33" t="n">
        <f aca="false">Sens!$F$4206-Sens!$E$4206</f>
        <v>1817.15</v>
      </c>
      <c r="G4209" s="33" t="n">
        <f aca="false">Sens!$E$4209+Sens!$F$4209</f>
        <v>2457.15</v>
      </c>
      <c r="H4209" s="33" t="n">
        <f aca="false">Sens!$H$4206-Sens!$G$4206</f>
        <v>3634.3</v>
      </c>
      <c r="I4209" s="33" t="n">
        <f aca="false">Sens!$I$4206-Sens!$H$4206</f>
        <v>3634.3</v>
      </c>
      <c r="J4209" s="33" t="n">
        <f aca="false">Sens!$J$4206-Sens!$I$4206</f>
        <v>3634.3</v>
      </c>
      <c r="K4209" s="33" t="n">
        <f aca="false">Sens!$K$4206-Sens!$J$4206</f>
        <v>3634.3</v>
      </c>
      <c r="L4209" s="33" t="n">
        <f aca="false">Sens!$L$4206-Sens!$K$4206</f>
        <v>3634.3</v>
      </c>
      <c r="M4209" s="33" t="n">
        <f aca="false">Sens!$M$4206-Sens!$L$4206</f>
        <v>3634.3</v>
      </c>
      <c r="N4209" s="33" t="n">
        <f aca="false">Sens!$N$4206-Sens!$C$4206</f>
        <v>540</v>
      </c>
      <c r="O4209" s="33" t="n">
        <f aca="false">Sens!$O$4206-Sens!$N$4206</f>
        <v>540</v>
      </c>
    </row>
    <row r="4210" customFormat="false" ht="17.15" hidden="false" customHeight="false" outlineLevel="0" collapsed="false">
      <c r="A4210" s="5" t="s">
        <v>557</v>
      </c>
      <c r="B4210" s="0" t="s">
        <v>108</v>
      </c>
      <c r="C4210" s="33" t="n">
        <f aca="false">Sens!$C$4209/ext_sh</f>
        <v>300</v>
      </c>
      <c r="D4210" s="33" t="n">
        <f aca="false">Sens!$D$4209/ext_sh</f>
        <v>1350</v>
      </c>
      <c r="E4210" s="33" t="n">
        <f aca="false">Sens!$E$4209/ext_sh</f>
        <v>800</v>
      </c>
      <c r="F4210" s="33" t="n">
        <f aca="false">Sens!$F$4209/ext_sh</f>
        <v>2271.4375</v>
      </c>
      <c r="G4210" s="33" t="n">
        <f aca="false">Sens!$G$4209/ext_sh</f>
        <v>3071.4375</v>
      </c>
      <c r="H4210" s="33" t="n">
        <f aca="false">Sens!$H$4209/ext_sh</f>
        <v>4542.875</v>
      </c>
      <c r="I4210" s="33" t="n">
        <f aca="false">Sens!$I$4209/ext_sh</f>
        <v>4542.875</v>
      </c>
      <c r="J4210" s="33" t="n">
        <f aca="false">Sens!$J$4209/ext_sh</f>
        <v>4542.875</v>
      </c>
      <c r="K4210" s="33" t="n">
        <f aca="false">Sens!$K$4209/ext_sh</f>
        <v>4542.875</v>
      </c>
      <c r="L4210" s="33" t="n">
        <f aca="false">Sens!$L$4209/ext_sh</f>
        <v>4542.875</v>
      </c>
      <c r="M4210" s="33" t="n">
        <f aca="false">Sens!$M$4209/ext_sh</f>
        <v>4542.875</v>
      </c>
      <c r="N4210" s="33" t="n">
        <f aca="false">Sens!$N$4209/ext_sh</f>
        <v>675</v>
      </c>
      <c r="O4210" s="33" t="n">
        <f aca="false">Sens!$O$4209/ext_sh</f>
        <v>675</v>
      </c>
      <c r="P4210" s="8" t="s">
        <v>558</v>
      </c>
      <c r="R4210" s="33" t="n">
        <f aca="false">mw_ye23/ext_sh</f>
        <v>150</v>
      </c>
      <c r="S4210" s="33" t="n">
        <f aca="false">Sens!$C$4210</f>
        <v>300</v>
      </c>
      <c r="T4210" s="33" t="n">
        <f aca="false">Sens!$D$4210</f>
        <v>1350</v>
      </c>
      <c r="U4210" s="33" t="n">
        <f aca="false">Sens!$G$4210</f>
        <v>3071.4375</v>
      </c>
      <c r="V4210" s="33" t="n">
        <f aca="false">Sens!$H$4210</f>
        <v>4542.875</v>
      </c>
      <c r="W4210" s="33" t="n">
        <f aca="false">Sens!$I$4210</f>
        <v>4542.875</v>
      </c>
      <c r="X4210" s="33" t="n">
        <f aca="false">Sens!$J$4210</f>
        <v>4542.875</v>
      </c>
      <c r="Y4210" s="33" t="n">
        <f aca="false">Sens!$K$4210</f>
        <v>4542.875</v>
      </c>
      <c r="Z4210" s="33" t="n">
        <f aca="false">Sens!$L$4210</f>
        <v>4542.875</v>
      </c>
      <c r="AA4210" s="33" t="n">
        <f aca="false">Sens!$M$4210</f>
        <v>4542.875</v>
      </c>
    </row>
    <row r="4211" customFormat="false" ht="17.15" hidden="false" customHeight="false" outlineLevel="0" collapsed="false">
      <c r="A4211" s="1" t="s">
        <v>559</v>
      </c>
    </row>
    <row r="4212" customFormat="false" ht="17.15" hidden="false" customHeight="false" outlineLevel="0" collapsed="false">
      <c r="A4212" s="0" t="s">
        <v>560</v>
      </c>
      <c r="B4212" s="0" t="s">
        <v>52</v>
      </c>
      <c r="F4212" s="35" t="n">
        <f aca="false">na_vr26</f>
        <v>0</v>
      </c>
      <c r="G4212" s="35" t="n">
        <f aca="false">na_vr26</f>
        <v>0</v>
      </c>
      <c r="H4212" s="35" t="n">
        <f aca="false">na_vr27</f>
        <v>0.5</v>
      </c>
      <c r="I4212" s="35" t="n">
        <f aca="false">na_vr28</f>
        <v>1</v>
      </c>
      <c r="J4212" s="35" t="n">
        <f aca="false">na_vr28</f>
        <v>1</v>
      </c>
      <c r="K4212" s="35" t="n">
        <f aca="false">na_vr28</f>
        <v>1</v>
      </c>
      <c r="L4212" s="35" t="n">
        <f aca="false">na_vr28</f>
        <v>1</v>
      </c>
      <c r="M4212" s="35" t="n">
        <f aca="false">na_vr28</f>
        <v>1</v>
      </c>
    </row>
    <row r="4213" customFormat="false" ht="17.15" hidden="false" customHeight="false" outlineLevel="0" collapsed="false">
      <c r="A4213" s="5" t="s">
        <v>561</v>
      </c>
      <c r="B4213" s="0" t="s">
        <v>151</v>
      </c>
      <c r="F4213" s="36" t="n">
        <f aca="false">cust_sh*tk_he_gb300*cf_chip+(1-cust_sh)*((1-Sens!$F$4212)*tk_he_gb300+Sens!$F$4212*tk_he_vr200)</f>
        <v>10.8864110021101</v>
      </c>
      <c r="G4213" s="36" t="n">
        <f aca="false">cust_sh*tk_he_gb300*cf_chip+(1-cust_sh)*((1-Sens!$G$4212)*tk_he_gb300+Sens!$G$4212*tk_he_vr200)</f>
        <v>10.8864110021101</v>
      </c>
      <c r="H4213" s="36" t="n">
        <f aca="false">cust_sh*tk_he_gb300*cf_chip+(1-cust_sh)*((1-Sens!$H$4212)*tk_he_gb300+Sens!$H$4212*tk_he_vr200)</f>
        <v>11.2211760027286</v>
      </c>
      <c r="I4213" s="36" t="n">
        <f aca="false">cust_sh*tk_he_gb300*cf_chip+(1-cust_sh)*((1-Sens!$I$4212)*tk_he_gb300+Sens!$I$4212*tk_he_vr200)</f>
        <v>11.5559410033471</v>
      </c>
      <c r="J4213" s="36" t="n">
        <f aca="false">cust_sh*tk_he_gb300*cf_chip+(1-cust_sh)*((1-Sens!$J$4212)*tk_he_gb300+Sens!$J$4212*tk_he_vr200)</f>
        <v>11.5559410033471</v>
      </c>
      <c r="K4213" s="36" t="n">
        <f aca="false">cust_sh*tk_he_gb300*cf_chip+(1-cust_sh)*((1-Sens!$K$4212)*tk_he_gb300+Sens!$K$4212*tk_he_vr200)</f>
        <v>11.5559410033471</v>
      </c>
      <c r="L4213" s="36" t="n">
        <f aca="false">cust_sh*tk_he_gb300*cf_chip+(1-cust_sh)*((1-Sens!$L$4212)*tk_he_gb300+Sens!$L$4212*tk_he_vr200)</f>
        <v>11.5559410033471</v>
      </c>
      <c r="M4213" s="36" t="n">
        <f aca="false">cust_sh*tk_he_gb300*cf_chip+(1-cust_sh)*((1-Sens!$M$4212)*tk_he_gb300+Sens!$M$4212*tk_he_vr200)</f>
        <v>11.5559410033471</v>
      </c>
    </row>
    <row r="4214" customFormat="false" ht="17.15" hidden="false" customHeight="false" outlineLevel="0" collapsed="false">
      <c r="A4214" s="5" t="s">
        <v>562</v>
      </c>
      <c r="B4214" s="0" t="s">
        <v>151</v>
      </c>
      <c r="F4214" s="36" t="n">
        <f aca="false">cust_sh*tk_ox_gb300+(1-cust_sh)*((1-Sens!$F$4212)*tk_ox_gb300+Sens!$F$4212*tk_ox_vr200)</f>
        <v>1.98263481314457</v>
      </c>
      <c r="G4214" s="36" t="n">
        <f aca="false">cust_sh*tk_ox_gb300+(1-cust_sh)*((1-Sens!$G$4212)*tk_ox_gb300+Sens!$G$4212*tk_ox_vr200)</f>
        <v>1.98263481314457</v>
      </c>
      <c r="H4214" s="36" t="n">
        <f aca="false">cust_sh*tk_ox_gb300+(1-cust_sh)*((1-Sens!$H$4212)*tk_ox_gb300+Sens!$H$4212*tk_ox_vr200)</f>
        <v>2.01034999693694</v>
      </c>
      <c r="I4214" s="36" t="n">
        <f aca="false">cust_sh*tk_ox_gb300+(1-cust_sh)*((1-Sens!$I$4212)*tk_ox_gb300+Sens!$I$4212*tk_ox_vr200)</f>
        <v>2.0380651807293</v>
      </c>
      <c r="J4214" s="36" t="n">
        <f aca="false">cust_sh*tk_ox_gb300+(1-cust_sh)*((1-Sens!$J$4212)*tk_ox_gb300+Sens!$J$4212*tk_ox_vr200)</f>
        <v>2.0380651807293</v>
      </c>
      <c r="K4214" s="36" t="n">
        <f aca="false">cust_sh*tk_ox_gb300+(1-cust_sh)*((1-Sens!$K$4212)*tk_ox_gb300+Sens!$K$4212*tk_ox_vr200)</f>
        <v>2.0380651807293</v>
      </c>
      <c r="L4214" s="36" t="n">
        <f aca="false">cust_sh*tk_ox_gb300+(1-cust_sh)*((1-Sens!$L$4212)*tk_ox_gb300+Sens!$L$4212*tk_ox_vr200)</f>
        <v>2.0380651807293</v>
      </c>
      <c r="M4214" s="36" t="n">
        <f aca="false">cust_sh*tk_ox_gb300+(1-cust_sh)*((1-Sens!$M$4212)*tk_ox_gb300+Sens!$M$4212*tk_ox_vr200)</f>
        <v>2.0380651807293</v>
      </c>
    </row>
    <row r="4215" customFormat="false" ht="17.15" hidden="false" customHeight="false" outlineLevel="0" collapsed="false">
      <c r="A4215" s="5" t="s">
        <v>563</v>
      </c>
      <c r="B4215" s="0" t="s">
        <v>170</v>
      </c>
      <c r="F4215" s="36" t="n">
        <f aca="false">cust_sh*tk_cx_gb300*cf_cx+(1-cust_sh)*((1-Sens!$F$4212)*tk_cx_gb300+Sens!$F$4212*tk_cx_vr200)</f>
        <v>32.237224</v>
      </c>
      <c r="G4215" s="36" t="n">
        <f aca="false">cust_sh*tk_cx_gb300*cf_cx+(1-cust_sh)*((1-Sens!$G$4212)*tk_cx_gb300+Sens!$G$4212*tk_cx_vr200)</f>
        <v>32.237224</v>
      </c>
      <c r="H4215" s="36" t="n">
        <f aca="false">cust_sh*tk_cx_gb300*cf_cx+(1-cust_sh)*((1-Sens!$H$4212)*tk_cx_gb300+Sens!$H$4212*tk_cx_vr200)</f>
        <v>33.574506</v>
      </c>
      <c r="I4215" s="36" t="n">
        <f aca="false">cust_sh*tk_cx_gb300*cf_cx+(1-cust_sh)*((1-Sens!$I$4212)*tk_cx_gb300+Sens!$I$4212*tk_cx_vr200)</f>
        <v>34.911788</v>
      </c>
      <c r="J4215" s="36" t="n">
        <f aca="false">cust_sh*tk_cx_gb300*cf_cx+(1-cust_sh)*((1-Sens!$J$4212)*tk_cx_gb300+Sens!$J$4212*tk_cx_vr200)</f>
        <v>34.911788</v>
      </c>
      <c r="K4215" s="36" t="n">
        <f aca="false">cust_sh*tk_cx_gb300*cf_cx+(1-cust_sh)*((1-Sens!$K$4212)*tk_cx_gb300+Sens!$K$4212*tk_cx_vr200)</f>
        <v>34.911788</v>
      </c>
      <c r="L4215" s="36" t="n">
        <f aca="false">cust_sh*tk_cx_gb300*cf_cx+(1-cust_sh)*((1-Sens!$L$4212)*tk_cx_gb300+Sens!$L$4212*tk_cx_vr200)</f>
        <v>34.911788</v>
      </c>
      <c r="M4215" s="36" t="n">
        <f aca="false">cust_sh*tk_cx_gb300*cf_cx+(1-cust_sh)*((1-Sens!$M$4212)*tk_cx_gb300+Sens!$M$4212*tk_cx_vr200)</f>
        <v>34.911788</v>
      </c>
    </row>
    <row r="4216" customFormat="false" ht="17.15" hidden="false" customHeight="false" outlineLevel="0" collapsed="false">
      <c r="A4216" s="5" t="s">
        <v>564</v>
      </c>
      <c r="B4216" s="0" t="s">
        <v>108</v>
      </c>
      <c r="F4216" s="33" t="n">
        <f aca="false">Sens!$F$4206-mw_open</f>
        <v>1817.15</v>
      </c>
      <c r="G4216" s="33" t="n">
        <f aca="false">Sens!$F$4216</f>
        <v>1817.15</v>
      </c>
      <c r="H4216" s="33" t="n">
        <f aca="false">Sens!$H$4206-mw_open</f>
        <v>5451.45</v>
      </c>
      <c r="I4216" s="33" t="n">
        <f aca="false">Sens!$I$4206-mw_open</f>
        <v>9085.75</v>
      </c>
      <c r="J4216" s="33" t="n">
        <f aca="false">Sens!$J$4206-mw_open</f>
        <v>12720.05</v>
      </c>
      <c r="K4216" s="33" t="n">
        <f aca="false">Sens!$K$4206-mw_open</f>
        <v>16354.35</v>
      </c>
      <c r="L4216" s="33" t="n">
        <f aca="false">Sens!$L$4206-mw_open</f>
        <v>19988.65</v>
      </c>
      <c r="M4216" s="33" t="n">
        <f aca="false">Sens!$M$4206-mw_open</f>
        <v>23622.95</v>
      </c>
    </row>
    <row r="4217" customFormat="false" ht="17.15" hidden="false" customHeight="false" outlineLevel="0" collapsed="false">
      <c r="A4217" s="0" t="s">
        <v>565</v>
      </c>
      <c r="B4217" s="0" t="s">
        <v>566</v>
      </c>
      <c r="F4217" s="33" t="n">
        <f aca="false">Sens!$F$4209*Sens!$F$4213</f>
        <v>19782.2417524844</v>
      </c>
      <c r="G4217" s="33" t="n">
        <f aca="false">Sens!$F$4217</f>
        <v>19782.2417524844</v>
      </c>
      <c r="H4217" s="33" t="n">
        <f aca="false">Sens!$G$4217+Sens!$H$4209*Sens!$H$4213</f>
        <v>60563.3616992009</v>
      </c>
      <c r="I4217" s="33" t="n">
        <f aca="false">Sens!$H$4217+Sens!$I$4209*Sens!$I$4213</f>
        <v>102561.118087665</v>
      </c>
      <c r="J4217" s="33" t="n">
        <f aca="false">Sens!$I$4217+Sens!$J$4209*Sens!$J$4213</f>
        <v>144558.87447613</v>
      </c>
      <c r="K4217" s="33" t="n">
        <f aca="false">Sens!$J$4217+Sens!$K$4209*Sens!$K$4213</f>
        <v>186556.630864594</v>
      </c>
      <c r="L4217" s="33" t="n">
        <f aca="false">Sens!$K$4217+Sens!$L$4209*Sens!$L$4213</f>
        <v>228554.387253058</v>
      </c>
      <c r="M4217" s="33" t="n">
        <f aca="false">Sens!$L$4217+Sens!$M$4209*Sens!$M$4213</f>
        <v>270552.143641523</v>
      </c>
    </row>
    <row r="4218" customFormat="false" ht="17.15" hidden="false" customHeight="false" outlineLevel="0" collapsed="false">
      <c r="A4218" s="0" t="s">
        <v>567</v>
      </c>
      <c r="B4218" s="0" t="s">
        <v>566</v>
      </c>
      <c r="F4218" s="33" t="n">
        <f aca="false">Sens!$F$4209*Sens!$F$4214</f>
        <v>3602.74485070566</v>
      </c>
      <c r="G4218" s="33" t="n">
        <f aca="false">Sens!$F$4218</f>
        <v>3602.74485070566</v>
      </c>
      <c r="H4218" s="33" t="n">
        <f aca="false">Sens!$G$4218+Sens!$H$4209*Sens!$H$4214</f>
        <v>10908.9598445736</v>
      </c>
      <c r="I4218" s="33" t="n">
        <f aca="false">Sens!$H$4218+Sens!$I$4209*Sens!$I$4214</f>
        <v>18315.9001308981</v>
      </c>
      <c r="J4218" s="33" t="n">
        <f aca="false">Sens!$I$4218+Sens!$J$4209*Sens!$J$4214</f>
        <v>25722.8404172225</v>
      </c>
      <c r="K4218" s="33" t="n">
        <f aca="false">Sens!$J$4218+Sens!$K$4209*Sens!$K$4214</f>
        <v>33129.780703547</v>
      </c>
      <c r="L4218" s="33" t="n">
        <f aca="false">Sens!$K$4218+Sens!$L$4209*Sens!$L$4214</f>
        <v>40536.7209898715</v>
      </c>
      <c r="M4218" s="33" t="n">
        <f aca="false">Sens!$L$4218+Sens!$M$4209*Sens!$M$4214</f>
        <v>47943.661276196</v>
      </c>
    </row>
    <row r="4219" customFormat="false" ht="17.15" hidden="false" customHeight="false" outlineLevel="0" collapsed="false">
      <c r="A4219" s="5" t="s">
        <v>568</v>
      </c>
      <c r="B4219" s="0" t="s">
        <v>151</v>
      </c>
      <c r="F4219" s="36" t="n">
        <f aca="false">IF(Sens!$F$4216&gt;0,Sens!$F$4217/Sens!$F$4216,Sens!$F$4213)</f>
        <v>10.8864110021101</v>
      </c>
      <c r="G4219" s="36" t="n">
        <f aca="false">IF(Sens!$G$4216&gt;0,Sens!$G$4217/Sens!$G$4216,Sens!$G$4213)</f>
        <v>10.8864110021101</v>
      </c>
      <c r="H4219" s="36" t="n">
        <f aca="false">IF(Sens!$H$4216&gt;0,Sens!$H$4217/Sens!$H$4216,Sens!$H$4213)</f>
        <v>11.1095876691891</v>
      </c>
      <c r="I4219" s="36" t="n">
        <f aca="false">IF(Sens!$I$4216&gt;0,Sens!$I$4217/Sens!$I$4216,Sens!$I$4213)</f>
        <v>11.2881290028523</v>
      </c>
      <c r="J4219" s="36" t="n">
        <f aca="false">IF(Sens!$J$4216&gt;0,Sens!$J$4217/Sens!$J$4216,Sens!$J$4213)</f>
        <v>11.3646467172794</v>
      </c>
      <c r="K4219" s="36" t="n">
        <f aca="false">IF(Sens!$K$4216&gt;0,Sens!$K$4217/Sens!$K$4216,Sens!$K$4213)</f>
        <v>11.4071565586278</v>
      </c>
      <c r="L4219" s="36" t="n">
        <f aca="false">IF(Sens!$L$4216&gt;0,Sens!$L$4217/Sens!$L$4216,Sens!$L$4213)</f>
        <v>11.4342082758495</v>
      </c>
      <c r="M4219" s="36" t="n">
        <f aca="false">IF(Sens!$M$4216&gt;0,Sens!$M$4217/Sens!$M$4216,Sens!$M$4213)</f>
        <v>11.4529363877722</v>
      </c>
    </row>
    <row r="4220" customFormat="false" ht="17.15" hidden="false" customHeight="false" outlineLevel="0" collapsed="false">
      <c r="A4220" s="5" t="s">
        <v>569</v>
      </c>
      <c r="B4220" s="0" t="s">
        <v>151</v>
      </c>
      <c r="F4220" s="36" t="n">
        <f aca="false">IF(Sens!$F$4216&gt;0,Sens!$F$4218/Sens!$F$4216,Sens!$F$4214)</f>
        <v>1.98263481314457</v>
      </c>
      <c r="G4220" s="36" t="n">
        <f aca="false">IF(Sens!$G$4216&gt;0,Sens!$G$4218/Sens!$G$4216,Sens!$G$4214)</f>
        <v>1.98263481314457</v>
      </c>
      <c r="H4220" s="36" t="n">
        <f aca="false">IF(Sens!$H$4216&gt;0,Sens!$H$4218/Sens!$H$4216,Sens!$H$4214)</f>
        <v>2.00111160233948</v>
      </c>
      <c r="I4220" s="36" t="n">
        <f aca="false">IF(Sens!$I$4216&gt;0,Sens!$I$4218/Sens!$I$4216,Sens!$I$4214)</f>
        <v>2.01589303369541</v>
      </c>
      <c r="J4220" s="36" t="n">
        <f aca="false">IF(Sens!$J$4216&gt;0,Sens!$J$4218/Sens!$J$4216,Sens!$J$4214)</f>
        <v>2.02222793284795</v>
      </c>
      <c r="K4220" s="36" t="n">
        <f aca="false">IF(Sens!$K$4216&gt;0,Sens!$K$4218/Sens!$K$4216,Sens!$K$4214)</f>
        <v>2.02574732126603</v>
      </c>
      <c r="L4220" s="36" t="n">
        <f aca="false">IF(Sens!$L$4216&gt;0,Sens!$L$4218/Sens!$L$4216,Sens!$L$4214)</f>
        <v>2.02798693207753</v>
      </c>
      <c r="M4220" s="36" t="n">
        <f aca="false">IF(Sens!$M$4216&gt;0,Sens!$M$4218/Sens!$M$4216,Sens!$M$4214)</f>
        <v>2.02953743187011</v>
      </c>
    </row>
    <row r="4221" customFormat="false" ht="17.15" hidden="false" customHeight="false" outlineLevel="0" collapsed="false">
      <c r="A4221" s="14" t="s">
        <v>570</v>
      </c>
      <c r="B4221" s="13" t="s">
        <v>151</v>
      </c>
      <c r="C4221" s="13"/>
      <c r="D4221" s="13"/>
      <c r="E4221" s="13"/>
      <c r="F4221" s="37" t="n">
        <f aca="false">Sens!$F$4219*k_B</f>
        <v>10.7987645808025</v>
      </c>
      <c r="G4221" s="37" t="n">
        <f aca="false">Sens!$G$4219*k_B</f>
        <v>10.7987645808025</v>
      </c>
      <c r="H4221" s="37" t="n">
        <f aca="false">Sens!$H$4219*k_B</f>
        <v>11.0201444540452</v>
      </c>
      <c r="I4221" s="37" t="n">
        <f aca="false">Sens!$I$4219*k_B</f>
        <v>11.1972483526393</v>
      </c>
      <c r="J4221" s="37" t="n">
        <f aca="false">Sens!$J$4219*k_B</f>
        <v>11.2731500234653</v>
      </c>
      <c r="K4221" s="37" t="n">
        <f aca="false">Sens!$K$4219*k_B</f>
        <v>11.3153176183687</v>
      </c>
      <c r="L4221" s="37" t="n">
        <f aca="false">Sens!$L$4219*k_B</f>
        <v>11.3421515423981</v>
      </c>
      <c r="M4221" s="37" t="n">
        <f aca="false">Sens!$M$4219*k_B</f>
        <v>11.3607288744184</v>
      </c>
      <c r="N4221" s="13"/>
      <c r="O4221" s="13"/>
      <c r="P4221" s="5" t="s">
        <v>571</v>
      </c>
    </row>
    <row r="4222" customFormat="false" ht="17.15" hidden="false" customHeight="false" outlineLevel="0" collapsed="false">
      <c r="A4222" s="5" t="s">
        <v>572</v>
      </c>
      <c r="B4222" s="0" t="s">
        <v>108</v>
      </c>
      <c r="F4222" s="33" t="n">
        <f aca="false">Sens!$F$4216/2</f>
        <v>908.575</v>
      </c>
      <c r="H4222" s="33" t="n">
        <f aca="false">(Sens!$G$4216+Sens!$H$4216)/2</f>
        <v>3634.3</v>
      </c>
      <c r="I4222" s="33" t="n">
        <f aca="false">(Sens!$H$4216+Sens!$I$4216)/2</f>
        <v>7268.6</v>
      </c>
      <c r="J4222" s="33" t="n">
        <f aca="false">(Sens!$I$4216+Sens!$J$4216)/2</f>
        <v>10902.9</v>
      </c>
      <c r="K4222" s="33" t="n">
        <f aca="false">(Sens!$J$4216+Sens!$K$4216)/2</f>
        <v>14537.2</v>
      </c>
      <c r="L4222" s="33" t="n">
        <f aca="false">(Sens!$K$4216+Sens!$L$4216)/2</f>
        <v>18171.5</v>
      </c>
      <c r="M4222" s="33" t="n">
        <f aca="false">(Sens!$L$4216+Sens!$M$4216)/2</f>
        <v>21805.8</v>
      </c>
    </row>
    <row r="4223" customFormat="false" ht="17.15" hidden="false" customHeight="false" outlineLevel="0" collapsed="false">
      <c r="A4223" s="1" t="s">
        <v>573</v>
      </c>
    </row>
    <row r="4224" customFormat="false" ht="17.15" hidden="false" customHeight="false" outlineLevel="0" collapsed="false">
      <c r="A4224" s="1" t="s">
        <v>574</v>
      </c>
      <c r="B4224" s="8" t="s">
        <v>73</v>
      </c>
      <c r="C4224" s="38" t="n">
        <f aca="false">Sens!$C$4207*rpm_open*Sens!$C$4208/1000</f>
        <v>2.32100535697364</v>
      </c>
      <c r="D4224" s="38" t="n">
        <f aca="false">Sens!$D$4207*rpm_open*Sens!$D$4208/1000</f>
        <v>8.70377008865116</v>
      </c>
      <c r="E4224" s="38" t="n">
        <f aca="false">Sens!$E$4207*rpm_open*Sens!$E$4208/1000</f>
        <v>8.51035297557002</v>
      </c>
      <c r="F4224" s="38" t="n">
        <f aca="false">(mw_open*rpm_open+Sens!$F$4222*Sens!$F$4221)*Sens!$F$4208/1000</f>
        <v>14.9634336447205</v>
      </c>
      <c r="G4224" s="38" t="n">
        <f aca="false">Sens!$E$4224+Sens!$F$4224</f>
        <v>23.4737866202905</v>
      </c>
      <c r="H4224" s="38" t="n">
        <f aca="false">(mw_open*rpm_open+Sens!$H$4222*Sens!$H$4221)/1000</f>
        <v>60.1658907497746</v>
      </c>
      <c r="I4224" s="38" t="n">
        <f aca="false">(mw_open*rpm_open+Sens!$I$4222*Sens!$I$4221)/1000</f>
        <v>101.503699136432</v>
      </c>
      <c r="J4224" s="38" t="n">
        <f aca="false">(mw_open*rpm_open+Sens!$J$4222*Sens!$J$4221)/1000</f>
        <v>143.025407151278</v>
      </c>
      <c r="K4224" s="38" t="n">
        <f aca="false">(mw_open*rpm_open+Sens!$K$4222*Sens!$K$4221)/1000</f>
        <v>184.608415042187</v>
      </c>
      <c r="L4224" s="38" t="n">
        <f aca="false">(mw_open*rpm_open+Sens!$L$4222*Sens!$L$4221)/1000</f>
        <v>226.219286513125</v>
      </c>
      <c r="M4224" s="38" t="n">
        <f aca="false">(mw_open*rpm_open+Sens!$M$4222*Sens!$M$4221)/1000</f>
        <v>267.845161450232</v>
      </c>
      <c r="N4224" s="38" t="n">
        <f aca="false">Sens!$N$4207*rpm_open*Sens!$N$4208/1000</f>
        <v>3.04631953102791</v>
      </c>
      <c r="O4224" s="38" t="n">
        <f aca="false">Sens!$O$4207*rpm_open*Sens!$O$4208/1000</f>
        <v>5.65745055762326</v>
      </c>
      <c r="P4224" s="5" t="s">
        <v>575</v>
      </c>
    </row>
    <row r="4225" customFormat="false" ht="17.15" hidden="false" customHeight="false" outlineLevel="0" collapsed="false">
      <c r="A4225" s="5" t="s">
        <v>576</v>
      </c>
      <c r="B4225" s="0" t="s">
        <v>151</v>
      </c>
      <c r="C4225" s="36" t="n">
        <f aca="false">Sens!$C$4224*1000/(Sens!$C$4207*Sens!$C$4208)</f>
        <v>9.67085565405685</v>
      </c>
      <c r="D4225" s="36" t="n">
        <f aca="false">Sens!$D$4224*1000/(Sens!$D$4207*Sens!$D$4208)</f>
        <v>9.67085565405685</v>
      </c>
      <c r="E4225" s="36" t="n">
        <f aca="false">Sens!$E$4224*1000/(Sens!$E$4207*Sens!$E$4208)</f>
        <v>9.67085565405685</v>
      </c>
      <c r="F4225" s="36" t="n">
        <f aca="false">Sens!$F$4224*1000/(Sens!$F$4207*Sens!$F$4208)</f>
        <v>10.0137581588017</v>
      </c>
      <c r="G4225" s="36" t="n">
        <f aca="false">Sens!$G$4224*1000/(Sens!$G$4207*Sens!$G$4208)</f>
        <v>9.88666562928478</v>
      </c>
      <c r="H4225" s="36" t="n">
        <f aca="false">Sens!$H$4224*1000/(Sens!$H$4207*Sens!$H$4208)</f>
        <v>10.5290045586992</v>
      </c>
      <c r="I4225" s="36" t="n">
        <f aca="false">Sens!$I$4224*1000/(Sens!$I$4207*Sens!$I$4208)</f>
        <v>10.8576363451674</v>
      </c>
      <c r="J4225" s="36" t="n">
        <f aca="false">Sens!$J$4224*1000/(Sens!$J$4207*Sens!$J$4208)</f>
        <v>11.0164452588619</v>
      </c>
      <c r="K4225" s="36" t="n">
        <f aca="false">Sens!$K$4224*1000/(Sens!$K$4207*Sens!$K$4208)</f>
        <v>11.1094778327388</v>
      </c>
      <c r="L4225" s="36" t="n">
        <f aca="false">Sens!$L$4224*1000/(Sens!$L$4207*Sens!$L$4208)</f>
        <v>11.1704953466718</v>
      </c>
      <c r="M4225" s="36" t="n">
        <f aca="false">Sens!$M$4224*1000/(Sens!$M$4207*Sens!$M$4208)</f>
        <v>11.2135729785158</v>
      </c>
      <c r="N4225" s="36" t="n">
        <f aca="false">Sens!$N$4224*1000/(Sens!$N$4207*Sens!$N$4208)</f>
        <v>9.67085565405685</v>
      </c>
      <c r="O4225" s="36" t="n">
        <f aca="false">Sens!$O$4224*1000/(Sens!$O$4207*Sens!$O$4208)</f>
        <v>9.67085565405685</v>
      </c>
    </row>
    <row r="4226" customFormat="false" ht="17.15" hidden="false" customHeight="false" outlineLevel="0" collapsed="false">
      <c r="A4226" s="0" t="s">
        <v>577</v>
      </c>
      <c r="B4226" s="0" t="s">
        <v>73</v>
      </c>
      <c r="C4226" s="38" t="n">
        <f aca="false">Sens!$C$4207/ext_sh*(ox_open+rent_mw)*Sens!$C$4208/1000</f>
        <v>0.642569210675032</v>
      </c>
      <c r="D4226" s="38" t="n">
        <f aca="false">Sens!$D$4207/ext_sh*(ox_open+rent_mw)*Sens!$D$4208/1000</f>
        <v>2.40963454003137</v>
      </c>
      <c r="E4226" s="38" t="n">
        <f aca="false">Sens!$E$4207/ext_sh*(ox_open+rent_mw)*Sens!$E$4208/1000</f>
        <v>2.35608710580845</v>
      </c>
      <c r="F4226" s="38" t="n">
        <f aca="false">((mw_open*ox_open+Sens!$F$4222*Sens!$F$4220)/ext_sh+Sens!$F$4207/ext_sh*rent_mw)*Sens!$F$4208/1000</f>
        <v>4.05421991106232</v>
      </c>
      <c r="G4226" s="38" t="n">
        <f aca="false">Sens!$E$4226+Sens!$F$4226</f>
        <v>6.41030701687077</v>
      </c>
      <c r="H4226" s="38" t="n">
        <f aca="false">((mw_open*ox_open+Sens!$H$4222*Sens!$H$4220)/ext_sh+Sens!$H$4207/ext_sh*rent_mw)*Sens!$H$4208/1000</f>
        <v>15.8108975546616</v>
      </c>
      <c r="I4226" s="38" t="n">
        <f aca="false">((mw_open*ox_open+Sens!$I$4222*Sens!$I$4220)/ext_sh+Sens!$I$4207/ext_sh*rent_mw)*Sens!$I$4208/1000</f>
        <v>26.1871623400817</v>
      </c>
      <c r="J4226" s="38" t="n">
        <f aca="false">((mw_open*ox_open+Sens!$J$4222*Sens!$J$4220)/ext_sh+Sens!$J$4207/ext_sh*rent_mw)*Sens!$J$4208/1000</f>
        <v>36.5826128954935</v>
      </c>
      <c r="K4226" s="38" t="n">
        <f aca="false">((mw_open*ox_open+Sens!$K$4222*Sens!$K$4220)/ext_sh+Sens!$K$4207/ext_sh*rent_mw)*Sens!$K$4208/1000</f>
        <v>46.9844587075692</v>
      </c>
      <c r="L4226" s="38" t="n">
        <f aca="false">((mw_open*ox_open+Sens!$L$4222*Sens!$L$4220)/ext_sh+Sens!$L$4207/ext_sh*rent_mw)*Sens!$L$4208/1000</f>
        <v>57.3892114544922</v>
      </c>
      <c r="M4226" s="38" t="n">
        <f aca="false">((mw_open*ox_open+Sens!$M$4222*Sens!$M$4220)/ext_sh+Sens!$M$4207/ext_sh*rent_mw)*Sens!$M$4208/1000</f>
        <v>67.7955294740252</v>
      </c>
      <c r="N4226" s="38" t="n">
        <f aca="false">Sens!$N$4207/ext_sh*(ox_open+rent_mw)*Sens!$N$4208/1000</f>
        <v>0.84337208901098</v>
      </c>
      <c r="O4226" s="38" t="n">
        <f aca="false">Sens!$O$4207/ext_sh*(ox_open+rent_mw)*Sens!$O$4208/1000</f>
        <v>1.56626245102039</v>
      </c>
    </row>
    <row r="4227" customFormat="false" ht="17.15" hidden="false" customHeight="false" outlineLevel="0" collapsed="false">
      <c r="A4227" s="0" t="s">
        <v>578</v>
      </c>
      <c r="B4227" s="0" t="s">
        <v>73</v>
      </c>
      <c r="C4227" s="38" t="n">
        <f aca="false">Q!$D$7</f>
        <v>107.556</v>
      </c>
      <c r="D4227" s="38" t="n">
        <f aca="false">Q!$E$7</f>
        <v>128.725</v>
      </c>
      <c r="E4227" s="38" t="n">
        <f aca="false">Q!$P$7</f>
        <v>79.819</v>
      </c>
      <c r="N4227" s="38" t="n">
        <f aca="false">Q!$N$7</f>
        <v>60.14</v>
      </c>
      <c r="O4227" s="38" t="n">
        <f aca="false">Q!$O$7</f>
        <v>68.585</v>
      </c>
    </row>
    <row r="4228" customFormat="false" ht="17.15" hidden="false" customHeight="false" outlineLevel="0" collapsed="false">
      <c r="A4228" s="1" t="s">
        <v>579</v>
      </c>
      <c r="B4228" s="8" t="s">
        <v>73</v>
      </c>
      <c r="C4228" s="38" t="n">
        <f aca="false">Sens!$C$4227-Sens!$C$4224</f>
        <v>105.234994643026</v>
      </c>
      <c r="D4228" s="38" t="n">
        <f aca="false">Sens!$D$4227-Sens!$D$4224</f>
        <v>120.021229911349</v>
      </c>
      <c r="E4228" s="38" t="n">
        <f aca="false">Sens!$E$4227-Sens!$E$4224</f>
        <v>71.30864702443</v>
      </c>
      <c r="F4228" s="38" t="n">
        <f aca="false">Sens!$O$4228*(1+Sens!$F$4229)</f>
        <v>78.5950104186653</v>
      </c>
      <c r="G4228" s="38" t="n">
        <f aca="false">Sens!$E$4228+Sens!$F$4228</f>
        <v>149.903657443095</v>
      </c>
      <c r="H4228" s="38" t="n">
        <f aca="false">Sens!$G$4228*(1+Sens!$H$4229)</f>
        <v>180.893560768142</v>
      </c>
      <c r="I4228" s="38" t="n">
        <f aca="false">Sens!$H$4228*(1+Sens!$I$4229)</f>
        <v>210.64839721501</v>
      </c>
      <c r="J4228" s="38" t="n">
        <f aca="false">Sens!$I$4228*(1+Sens!$J$4229)</f>
        <v>236.398909446495</v>
      </c>
      <c r="K4228" s="38" t="n">
        <f aca="false">Sens!$J$4228*(1+Sens!$K$4229)</f>
        <v>255.310822202215</v>
      </c>
      <c r="L4228" s="38" t="n">
        <f aca="false">Sens!$K$4228*(1+Sens!$L$4229)</f>
        <v>275.735687978392</v>
      </c>
      <c r="M4228" s="38" t="n">
        <f aca="false">Sens!$L$4228*(1+Sens!$M$4229)</f>
        <v>297.794543016663</v>
      </c>
      <c r="N4228" s="38" t="n">
        <f aca="false">Sens!$N$4227-Sens!$N$4224</f>
        <v>57.0936804689721</v>
      </c>
      <c r="O4228" s="38" t="n">
        <f aca="false">Sens!$O$4227-Sens!$O$4224</f>
        <v>62.9275494423768</v>
      </c>
      <c r="P4228" s="5" t="s">
        <v>580</v>
      </c>
    </row>
    <row r="4229" customFormat="false" ht="17.15" hidden="false" customHeight="false" outlineLevel="0" collapsed="false">
      <c r="A4229" s="0" t="s">
        <v>581</v>
      </c>
      <c r="B4229" s="0" t="s">
        <v>52</v>
      </c>
      <c r="E4229" s="12" t="n">
        <f aca="false">Sens!$E$4228/Sens!$N$4228-1</f>
        <v>0.248976181579029</v>
      </c>
      <c r="F4229" s="12" t="n">
        <f aca="false">Sens!$E$4229</f>
        <v>0.248976181579029</v>
      </c>
      <c r="G4229" s="12" t="n">
        <f aca="false">Sens!$G$4228/Sens!$D$4228-1</f>
        <v>0.248976181579029</v>
      </c>
      <c r="H4229" s="12" t="n">
        <f aca="false">Sens!$E$4229+(g_awso_lt-Sens!$E$4229)*1/4</f>
        <v>0.206732136184272</v>
      </c>
      <c r="I4229" s="12" t="n">
        <f aca="false">Sens!$E$4229+(g_awso_lt-Sens!$E$4229)*2/4</f>
        <v>0.164488090789515</v>
      </c>
      <c r="J4229" s="12" t="n">
        <f aca="false">Sens!$E$4229+(g_awso_lt-Sens!$E$4229)*3/4</f>
        <v>0.122244045394757</v>
      </c>
      <c r="K4229" s="12" t="n">
        <f aca="false">Sens!$E$4229+(g_awso_lt-Sens!$E$4229)*4/4</f>
        <v>0.08</v>
      </c>
      <c r="L4229" s="12" t="n">
        <f aca="false">g_awso_lt</f>
        <v>0.08</v>
      </c>
      <c r="M4229" s="12" t="n">
        <f aca="false">g_awso_lt</f>
        <v>0.08</v>
      </c>
      <c r="P4229" s="8" t="s">
        <v>582</v>
      </c>
    </row>
    <row r="4230" customFormat="false" ht="17.15" hidden="false" customHeight="false" outlineLevel="0" collapsed="false">
      <c r="A4230" s="1" t="s">
        <v>583</v>
      </c>
    </row>
    <row r="4231" customFormat="false" ht="17.15" hidden="false" customHeight="false" outlineLevel="0" collapsed="false">
      <c r="A4231" s="0" t="s">
        <v>584</v>
      </c>
      <c r="B4231" s="0" t="s">
        <v>73</v>
      </c>
      <c r="F4231" s="38" t="n">
        <f aca="false">cx_rt*Sens!$F$4197+cx_awso*Sens!$F$4228</f>
        <v>36.8045765066526</v>
      </c>
    </row>
    <row r="4232" customFormat="false" ht="17.15" hidden="false" customHeight="false" outlineLevel="0" collapsed="false">
      <c r="A4232" s="0" t="s">
        <v>585</v>
      </c>
      <c r="B4232" s="0" t="s">
        <v>52</v>
      </c>
      <c r="C4232" s="12" t="n">
        <f aca="false">tk_cx_h100/(tk_cx_h100+tk_fac*(1-colo_sh))</f>
        <v>0.730756458006641</v>
      </c>
      <c r="D4232" s="12" t="n">
        <f aca="false">tk_cx_h100/(tk_cx_h100+tk_fac*(1-colo_sh))</f>
        <v>0.730756458006641</v>
      </c>
      <c r="E4232" s="12" t="n">
        <f aca="false">Sens!$F$4232</f>
        <v>0.760792334328868</v>
      </c>
      <c r="F4232" s="12" t="n">
        <f aca="false">Sens!$F$4215/(Sens!$F$4215+tk_fac*(1-colo_sh))</f>
        <v>0.760792334328868</v>
      </c>
      <c r="G4232" s="12" t="n">
        <f aca="false">Sens!$G$4215/(Sens!$G$4215+tk_fac*(1-colo_sh))</f>
        <v>0.760792334328868</v>
      </c>
      <c r="H4232" s="12" t="n">
        <f aca="false">Sens!$H$4215/(Sens!$H$4215+tk_fac*(1-colo_sh))</f>
        <v>0.768110668862996</v>
      </c>
      <c r="I4232" s="12" t="n">
        <f aca="false">Sens!$I$4215/(Sens!$I$4215+tk_fac*(1-colo_sh))</f>
        <v>0.77499450139483</v>
      </c>
      <c r="J4232" s="12" t="n">
        <f aca="false">Sens!$J$4215/(Sens!$J$4215+tk_fac*(1-colo_sh))</f>
        <v>0.77499450139483</v>
      </c>
      <c r="K4232" s="12" t="n">
        <f aca="false">Sens!$K$4215/(Sens!$K$4215+tk_fac*(1-colo_sh))</f>
        <v>0.77499450139483</v>
      </c>
      <c r="L4232" s="12" t="n">
        <f aca="false">Sens!$L$4215/(Sens!$L$4215+tk_fac*(1-colo_sh))</f>
        <v>0.77499450139483</v>
      </c>
      <c r="M4232" s="12" t="n">
        <f aca="false">Sens!$M$4215/(Sens!$M$4215+tk_fac*(1-colo_sh))</f>
        <v>0.77499450139483</v>
      </c>
    </row>
    <row r="4233" customFormat="false" ht="17.15" hidden="false" customHeight="false" outlineLevel="0" collapsed="false">
      <c r="A4233" s="1" t="s">
        <v>586</v>
      </c>
      <c r="B4233" s="8" t="s">
        <v>73</v>
      </c>
      <c r="C4233" s="38" t="n">
        <f aca="false">Q!$D$46-cx_rt*Q!$D$16-cx_awso*Sens!$C$4228</f>
        <v>25.2781053077374</v>
      </c>
      <c r="D4233" s="38" t="n">
        <f aca="false">Q!$E$46-cx_rt*Q!$E$16-cx_awso*Sens!$D$4228</f>
        <v>69.5686316310026</v>
      </c>
      <c r="E4233" s="38" t="n">
        <f aca="false">Q!$P$46-cx_rt*Q!$P$16-cx_awso*Sens!$E$4228</f>
        <v>64.1899206485108</v>
      </c>
      <c r="F4233" s="38" t="n">
        <f aca="false">MAX(Sens!$F$4210*(Sens!$F$4215+tk_fac*(1-colo_sh))/1000,capex_g26-Q!$P$46-Sens!$F$4231)</f>
        <v>96.2481299895</v>
      </c>
      <c r="G4233" s="38" t="n">
        <f aca="false">Sens!$E$4233+Sens!$F$4233</f>
        <v>160.438050638011</v>
      </c>
      <c r="H4233" s="38" t="n">
        <f aca="false">Sens!$H$4210*(Sens!$H$4215+tk_fac*(1-colo_sh))/1000+Sens!$H$4234</f>
        <v>198.57136494475</v>
      </c>
      <c r="I4233" s="38" t="n">
        <f aca="false">Sens!$I$4210*(Sens!$I$4215+tk_fac*(1-colo_sh))/1000+Sens!$I$4234</f>
        <v>204.6464699105</v>
      </c>
      <c r="J4233" s="38" t="n">
        <f aca="false">Sens!$J$4210*(Sens!$J$4215+tk_fac*(1-colo_sh))/1000+Sens!$J$4234</f>
        <v>209.8832381105</v>
      </c>
      <c r="K4233" s="38" t="n">
        <f aca="false">Sens!$K$4210*(Sens!$K$4215+tk_fac*(1-colo_sh))/1000+Sens!$K$4234</f>
        <v>215.1200063105</v>
      </c>
      <c r="L4233" s="38" t="n">
        <f aca="false">Sens!$L$4210*(Sens!$L$4215+tk_fac*(1-colo_sh))/1000+Sens!$L$4234</f>
        <v>251.7773837105</v>
      </c>
      <c r="M4233" s="38" t="n">
        <f aca="false">Sens!$M$4210*(Sens!$M$4215+tk_fac*(1-colo_sh))/1000+Sens!$M$4234</f>
        <v>311.87584476575</v>
      </c>
      <c r="P4233" s="5" t="s">
        <v>587</v>
      </c>
      <c r="R4233" s="38" t="n">
        <f aca="false">Q!$C$46-cx_rt*Q!$C$16-cx_awso*(Q!$C$7-mw_ye23/2*rpm_open/1000)</f>
        <v>1.50429979529945</v>
      </c>
      <c r="S4233" s="38" t="n">
        <f aca="false">Sens!$C$4233</f>
        <v>25.2781053077374</v>
      </c>
      <c r="T4233" s="38" t="n">
        <f aca="false">Sens!$D$4233</f>
        <v>69.5686316310026</v>
      </c>
      <c r="U4233" s="38" t="n">
        <f aca="false">Sens!$G$4233</f>
        <v>160.438050638011</v>
      </c>
      <c r="V4233" s="38" t="n">
        <f aca="false">Sens!$H$4233</f>
        <v>198.57136494475</v>
      </c>
      <c r="W4233" s="38" t="n">
        <f aca="false">Sens!$I$4233</f>
        <v>204.6464699105</v>
      </c>
      <c r="X4233" s="38" t="n">
        <f aca="false">Sens!$J$4233</f>
        <v>209.8832381105</v>
      </c>
      <c r="Y4233" s="38" t="n">
        <f aca="false">Sens!$K$4233</f>
        <v>215.1200063105</v>
      </c>
      <c r="Z4233" s="38" t="n">
        <f aca="false">Sens!$L$4233</f>
        <v>251.7773837105</v>
      </c>
      <c r="AA4233" s="38" t="n">
        <f aca="false">Sens!$M$4233</f>
        <v>311.87584476575</v>
      </c>
    </row>
    <row r="4234" customFormat="false" ht="17.15" hidden="false" customHeight="false" outlineLevel="0" collapsed="false">
      <c r="A4234" s="0" t="s">
        <v>588</v>
      </c>
      <c r="B4234" s="0" t="s">
        <v>73</v>
      </c>
      <c r="H4234" s="38" t="n">
        <f aca="false">SUMPRODUCT(--(Sens!$R$4204:$AA$4204=2027-tk_life),Sens!$R$4210:$AA$4210)*Sens!$H$4215/1000</f>
        <v>0</v>
      </c>
      <c r="I4234" s="38" t="n">
        <f aca="false">SUMPRODUCT(--(Sens!$R$4204:$AA$4204=2028-tk_life),Sens!$R$4210:$AA$4210)*Sens!$I$4215/1000</f>
        <v>0</v>
      </c>
      <c r="J4234" s="38" t="n">
        <f aca="false">SUMPRODUCT(--(Sens!$R$4204:$AA$4204=2029-tk_life),Sens!$R$4210:$AA$4210)*Sens!$J$4215/1000</f>
        <v>5.2367682</v>
      </c>
      <c r="K4234" s="38" t="n">
        <f aca="false">SUMPRODUCT(--(Sens!$R$4204:$AA$4204=2030-tk_life),Sens!$R$4210:$AA$4210)*Sens!$K$4215/1000</f>
        <v>10.4735364</v>
      </c>
      <c r="L4234" s="38" t="n">
        <f aca="false">SUMPRODUCT(--(Sens!$R$4204:$AA$4204=2031-tk_life),Sens!$R$4210:$AA$4210)*Sens!$L$4215/1000</f>
        <v>47.1309138</v>
      </c>
      <c r="M4234" s="38" t="n">
        <f aca="false">SUMPRODUCT(--(Sens!$R$4204:$AA$4204=2032-tk_life),Sens!$R$4210:$AA$4210)*Sens!$M$4215/1000</f>
        <v>107.22937485525</v>
      </c>
    </row>
    <row r="4235" customFormat="false" ht="17.15" hidden="false" customHeight="false" outlineLevel="0" collapsed="false">
      <c r="A4235" s="5" t="s">
        <v>589</v>
      </c>
      <c r="B4235" s="0" t="s">
        <v>73</v>
      </c>
      <c r="C4235" s="38" t="n">
        <f aca="false">Sens!$C$4233*Sens!$C$4232</f>
        <v>18.472138699801</v>
      </c>
      <c r="D4235" s="38" t="n">
        <f aca="false">Sens!$D$4233*Sens!$D$4232</f>
        <v>50.8377268390402</v>
      </c>
      <c r="E4235" s="38" t="n">
        <f aca="false">Sens!$E$4233*Sens!$E$4232</f>
        <v>48.8351995705653</v>
      </c>
      <c r="F4235" s="38" t="n">
        <f aca="false">Sens!$F$4233*Sens!$F$4232</f>
        <v>73.2248394895</v>
      </c>
      <c r="G4235" s="38" t="n">
        <f aca="false">Sens!$E$4235+Sens!$F$4235</f>
        <v>122.060039060065</v>
      </c>
      <c r="H4235" s="38" t="n">
        <f aca="false">(Sens!$H$4233-Sens!$H$4234)*Sens!$H$4232+Sens!$H$4234</f>
        <v>152.52478394475</v>
      </c>
      <c r="I4235" s="38" t="n">
        <f aca="false">(Sens!$I$4233-Sens!$I$4234)*Sens!$I$4232+Sens!$I$4234</f>
        <v>158.5998889105</v>
      </c>
      <c r="J4235" s="38" t="n">
        <f aca="false">(Sens!$J$4233-Sens!$J$4234)*Sens!$J$4232+Sens!$J$4234</f>
        <v>163.8366571105</v>
      </c>
      <c r="K4235" s="38" t="n">
        <f aca="false">(Sens!$K$4233-Sens!$K$4234)*Sens!$K$4232+Sens!$K$4234</f>
        <v>169.0734253105</v>
      </c>
      <c r="L4235" s="38" t="n">
        <f aca="false">(Sens!$L$4233-Sens!$L$4234)*Sens!$L$4232+Sens!$L$4234</f>
        <v>205.7308027105</v>
      </c>
      <c r="M4235" s="38" t="n">
        <f aca="false">(Sens!$M$4233-Sens!$M$4234)*Sens!$M$4232+Sens!$M$4234</f>
        <v>265.82926376575</v>
      </c>
      <c r="R4235" s="38" t="n">
        <f aca="false">Sens!$R$4233*Sens!$C$4232</f>
        <v>1.09927679019314</v>
      </c>
      <c r="S4235" s="38" t="n">
        <f aca="false">Sens!$C$4235</f>
        <v>18.472138699801</v>
      </c>
      <c r="T4235" s="38" t="n">
        <f aca="false">Sens!$D$4235</f>
        <v>50.8377268390402</v>
      </c>
      <c r="U4235" s="38" t="n">
        <f aca="false">Sens!$G$4235</f>
        <v>122.060039060065</v>
      </c>
      <c r="V4235" s="38" t="n">
        <f aca="false">Sens!$H$4235</f>
        <v>152.52478394475</v>
      </c>
      <c r="W4235" s="38" t="n">
        <f aca="false">Sens!$I$4235</f>
        <v>158.5998889105</v>
      </c>
      <c r="X4235" s="38" t="n">
        <f aca="false">Sens!$J$4235</f>
        <v>163.8366571105</v>
      </c>
      <c r="Y4235" s="38" t="n">
        <f aca="false">Sens!$K$4235</f>
        <v>169.0734253105</v>
      </c>
      <c r="Z4235" s="38" t="n">
        <f aca="false">Sens!$L$4235</f>
        <v>205.7308027105</v>
      </c>
      <c r="AA4235" s="38" t="n">
        <f aca="false">Sens!$M$4235</f>
        <v>265.82926376575</v>
      </c>
    </row>
    <row r="4236" customFormat="false" ht="15" hidden="false" customHeight="false" outlineLevel="0" collapsed="false">
      <c r="A4236" s="5" t="s">
        <v>590</v>
      </c>
      <c r="B4236" s="0" t="s">
        <v>73</v>
      </c>
      <c r="C4236" s="38" t="n">
        <f aca="false">Sens!$C$4233-Sens!$C$4235</f>
        <v>6.80596660793636</v>
      </c>
      <c r="D4236" s="38" t="n">
        <f aca="false">Sens!$D$4233-Sens!$D$4235</f>
        <v>18.7309047919624</v>
      </c>
      <c r="E4236" s="38" t="n">
        <f aca="false">Sens!$E$4233-Sens!$E$4235</f>
        <v>15.3547210779455</v>
      </c>
      <c r="F4236" s="38" t="n">
        <f aca="false">Sens!$F$4233-Sens!$F$4235</f>
        <v>23.0232905</v>
      </c>
      <c r="G4236" s="38" t="n">
        <f aca="false">Sens!$G$4233-Sens!$G$4235</f>
        <v>38.3780115779455</v>
      </c>
      <c r="H4236" s="38" t="n">
        <f aca="false">Sens!$H$4233-Sens!$H$4235</f>
        <v>46.046581</v>
      </c>
      <c r="I4236" s="38" t="n">
        <f aca="false">Sens!$I$4233-Sens!$I$4235</f>
        <v>46.046581</v>
      </c>
      <c r="J4236" s="38" t="n">
        <f aca="false">Sens!$J$4233-Sens!$J$4235</f>
        <v>46.046581</v>
      </c>
      <c r="K4236" s="38" t="n">
        <f aca="false">Sens!$K$4233-Sens!$K$4235</f>
        <v>46.046581</v>
      </c>
      <c r="L4236" s="38" t="n">
        <f aca="false">Sens!$L$4233-Sens!$L$4235</f>
        <v>46.046581</v>
      </c>
      <c r="M4236" s="38" t="n">
        <f aca="false">Sens!$M$4233-Sens!$M$4235</f>
        <v>46.046581</v>
      </c>
      <c r="R4236" s="38" t="n">
        <f aca="false">Sens!$R$4233-Sens!$R$4235</f>
        <v>0.405023005106309</v>
      </c>
      <c r="S4236" s="38" t="n">
        <f aca="false">Sens!$S$4233-Sens!$S$4235</f>
        <v>6.80596660793636</v>
      </c>
      <c r="T4236" s="38" t="n">
        <f aca="false">Sens!$T$4233-Sens!$T$4235</f>
        <v>18.7309047919624</v>
      </c>
      <c r="U4236" s="38" t="n">
        <f aca="false">Sens!$U$4233-Sens!$U$4235</f>
        <v>38.3780115779455</v>
      </c>
      <c r="V4236" s="38" t="n">
        <f aca="false">Sens!$V$4233-Sens!$V$4235</f>
        <v>46.046581</v>
      </c>
      <c r="W4236" s="38" t="n">
        <f aca="false">Sens!$W$4233-Sens!$W$4235</f>
        <v>46.046581</v>
      </c>
      <c r="X4236" s="38" t="n">
        <f aca="false">Sens!$X$4233-Sens!$X$4235</f>
        <v>46.046581</v>
      </c>
      <c r="Y4236" s="38" t="n">
        <f aca="false">Sens!$Y$4233-Sens!$Y$4235</f>
        <v>46.046581</v>
      </c>
      <c r="Z4236" s="38" t="n">
        <f aca="false">Sens!$Z$4233-Sens!$Z$4235</f>
        <v>46.046581</v>
      </c>
      <c r="AA4236" s="38" t="n">
        <f aca="false">Sens!$AA$4233-Sens!$AA$4235</f>
        <v>46.046581</v>
      </c>
    </row>
    <row r="4237" customFormat="false" ht="17.15" hidden="false" customHeight="false" outlineLevel="0" collapsed="false">
      <c r="A4237" s="0" t="s">
        <v>591</v>
      </c>
      <c r="B4237" s="0" t="s">
        <v>52</v>
      </c>
      <c r="C4237" s="12" t="n">
        <f aca="false">Sens!$C$4233/Sens!$C$4349</f>
        <v>0.325505489553393</v>
      </c>
      <c r="D4237" s="12" t="n">
        <f aca="false">Sens!$D$4233/Sens!$D$4349</f>
        <v>0.54214956071542</v>
      </c>
      <c r="E4237" s="12" t="n">
        <f aca="false">Sens!$E$4233/Sens!$E$4349</f>
        <v>0.666492790452817</v>
      </c>
      <c r="F4237" s="12" t="n">
        <f aca="false">Sens!$F$4233/Sens!$F$4349</f>
        <v>0.723383481058938</v>
      </c>
      <c r="G4237" s="12" t="n">
        <f aca="false">Sens!$G$4233/Sens!$G$4349</f>
        <v>0.699494931364102</v>
      </c>
      <c r="H4237" s="12" t="n">
        <f aca="false">Sens!$H$4233/Sens!$H$4349</f>
        <v>0.714619350171483</v>
      </c>
      <c r="I4237" s="12" t="n">
        <f aca="false">Sens!$I$4233/Sens!$I$4349</f>
        <v>0.696231624961614</v>
      </c>
      <c r="J4237" s="12" t="n">
        <f aca="false">Sens!$J$4233/Sens!$J$4349</f>
        <v>0.681286352509885</v>
      </c>
      <c r="K4237" s="12" t="n">
        <f aca="false">Sens!$K$4233/Sens!$K$4349</f>
        <v>0.671440649805508</v>
      </c>
      <c r="L4237" s="12" t="n">
        <f aca="false">Sens!$L$4233/Sens!$L$4349</f>
        <v>0.6904509846562</v>
      </c>
      <c r="M4237" s="12" t="n">
        <f aca="false">Sens!$M$4233/Sens!$M$4349</f>
        <v>0.720362080285865</v>
      </c>
    </row>
    <row r="4238" customFormat="false" ht="17.15" hidden="false" customHeight="false" outlineLevel="0" collapsed="false">
      <c r="A4238" s="0" t="s">
        <v>592</v>
      </c>
      <c r="B4238" s="0" t="s">
        <v>73</v>
      </c>
      <c r="C4238" s="38" t="n">
        <f aca="false">Sens!$S$4238</f>
        <v>0.183212798365523</v>
      </c>
      <c r="D4238" s="38" t="n">
        <f aca="false">Sens!$T$4238</f>
        <v>3.2619025816657</v>
      </c>
      <c r="E4238" s="38" t="n">
        <f aca="false">Sens!$G$4238/2</f>
        <v>5.86742852741953</v>
      </c>
      <c r="F4238" s="38" t="n">
        <f aca="false">Sens!$G$4238/2</f>
        <v>5.86742852741953</v>
      </c>
      <c r="G4238" s="38" t="n">
        <f aca="false">Sens!$U$4238</f>
        <v>11.7348570548391</v>
      </c>
      <c r="H4238" s="38" t="n">
        <f aca="false">Sens!$V$4238</f>
        <v>32.0781968981833</v>
      </c>
      <c r="I4238" s="38" t="n">
        <f aca="false">Sens!$W$4238</f>
        <v>57.4989942223083</v>
      </c>
      <c r="J4238" s="38" t="n">
        <f aca="false">Sens!$X$4238</f>
        <v>83.932309040725</v>
      </c>
      <c r="K4238" s="38" t="n">
        <f aca="false">Sens!$Y$4238</f>
        <v>111.055205760776</v>
      </c>
      <c r="L4238" s="38" t="n">
        <f aca="false">Sens!$Z$4238</f>
        <v>136.155420195893</v>
      </c>
      <c r="M4238" s="38" t="n">
        <f aca="false">Sens!$AA$4238</f>
        <v>161.970932841136</v>
      </c>
      <c r="N4238" s="38" t="n">
        <f aca="false">Sens!$D$4238/2</f>
        <v>1.63095129083285</v>
      </c>
      <c r="O4238" s="38" t="n">
        <f aca="false">Sens!$D$4238/2</f>
        <v>1.63095129083285</v>
      </c>
      <c r="R4238" s="38" t="n">
        <f aca="false">SUMPRODUCT(--(Sens!$R$4204:$AA$4204&lt;Sens!R$4204),--(Sens!$R$4204:$AA$4204&gt;=Sens!R$4204-tk_life),Sens!$R$4235:$AA$4235)/tk_life</f>
        <v>0</v>
      </c>
      <c r="S4238" s="38" t="n">
        <f aca="false">SUMPRODUCT(--(Sens!$R$4204:$AA$4204&lt;Sens!S$4204),--(Sens!$R$4204:$AA$4204&gt;=Sens!S$4204-tk_life),Sens!$R$4235:$AA$4235)/tk_life</f>
        <v>0.183212798365523</v>
      </c>
      <c r="T4238" s="38" t="n">
        <f aca="false">SUMPRODUCT(--(Sens!$R$4204:$AA$4204&lt;Sens!T$4204),--(Sens!$R$4204:$AA$4204&gt;=Sens!T$4204-tk_life),Sens!$R$4235:$AA$4235)/tk_life</f>
        <v>3.2619025816657</v>
      </c>
      <c r="U4238" s="38" t="n">
        <f aca="false">SUMPRODUCT(--(Sens!$R$4204:$AA$4204&lt;Sens!U$4204),--(Sens!$R$4204:$AA$4204&gt;=Sens!U$4204-tk_life),Sens!$R$4235:$AA$4235)/tk_life</f>
        <v>11.7348570548391</v>
      </c>
      <c r="V4238" s="38" t="n">
        <f aca="false">SUMPRODUCT(--(Sens!$R$4204:$AA$4204&lt;Sens!V$4204),--(Sens!$R$4204:$AA$4204&gt;=Sens!V$4204-tk_life),Sens!$R$4235:$AA$4235)/tk_life</f>
        <v>32.0781968981833</v>
      </c>
      <c r="W4238" s="38" t="n">
        <f aca="false">SUMPRODUCT(--(Sens!$R$4204:$AA$4204&lt;Sens!W$4204),--(Sens!$R$4204:$AA$4204&gt;=Sens!W$4204-tk_life),Sens!$R$4235:$AA$4235)/tk_life</f>
        <v>57.4989942223083</v>
      </c>
      <c r="X4238" s="38" t="n">
        <f aca="false">SUMPRODUCT(--(Sens!$R$4204:$AA$4204&lt;Sens!X$4204),--(Sens!$R$4204:$AA$4204&gt;=Sens!X$4204-tk_life),Sens!$R$4235:$AA$4235)/tk_life</f>
        <v>83.932309040725</v>
      </c>
      <c r="Y4238" s="38" t="n">
        <f aca="false">SUMPRODUCT(--(Sens!$R$4204:$AA$4204&lt;Sens!Y$4204),--(Sens!$R$4204:$AA$4204&gt;=Sens!Y$4204-tk_life),Sens!$R$4235:$AA$4235)/tk_life</f>
        <v>111.055205760776</v>
      </c>
      <c r="Z4238" s="38" t="n">
        <f aca="false">SUMPRODUCT(--(Sens!$R$4204:$AA$4204&lt;Sens!Z$4204),--(Sens!$R$4204:$AA$4204&gt;=Sens!Z$4204-tk_life),Sens!$R$4235:$AA$4235)/tk_life</f>
        <v>136.155420195893</v>
      </c>
      <c r="AA4238" s="38" t="n">
        <f aca="false">SUMPRODUCT(--(Sens!$R$4204:$AA$4204&lt;Sens!AA$4204),--(Sens!$R$4204:$AA$4204&gt;=Sens!AA$4204-tk_life),Sens!$R$4235:$AA$4235)/tk_life</f>
        <v>161.970932841136</v>
      </c>
    </row>
    <row r="4239" customFormat="false" ht="17.15" hidden="false" customHeight="false" outlineLevel="0" collapsed="false">
      <c r="A4239" s="0" t="s">
        <v>593</v>
      </c>
      <c r="B4239" s="0" t="s">
        <v>73</v>
      </c>
      <c r="C4239" s="38" t="n">
        <f aca="false">Sens!$S$4239</f>
        <v>0.0202511502553155</v>
      </c>
      <c r="D4239" s="38" t="n">
        <f aca="false">Sens!$T$4239</f>
        <v>0.360549480652134</v>
      </c>
      <c r="E4239" s="38" t="n">
        <f aca="false">Sens!$G$4239/2</f>
        <v>0.648547360125127</v>
      </c>
      <c r="F4239" s="38" t="n">
        <f aca="false">Sens!$G$4239/2</f>
        <v>0.648547360125127</v>
      </c>
      <c r="G4239" s="38" t="n">
        <f aca="false">Sens!$U$4239</f>
        <v>1.29709472025025</v>
      </c>
      <c r="H4239" s="38" t="n">
        <f aca="false">Sens!$V$4239</f>
        <v>3.21599529914753</v>
      </c>
      <c r="I4239" s="38" t="n">
        <f aca="false">Sens!$W$4239</f>
        <v>5.51832434914753</v>
      </c>
      <c r="J4239" s="38" t="n">
        <f aca="false">Sens!$X$4239</f>
        <v>7.82065339914753</v>
      </c>
      <c r="K4239" s="38" t="n">
        <f aca="false">Sens!$Y$4239</f>
        <v>10.1229824491475</v>
      </c>
      <c r="L4239" s="38" t="n">
        <f aca="false">Sens!$Z$4239</f>
        <v>12.4253114991475</v>
      </c>
      <c r="M4239" s="38" t="n">
        <f aca="false">Sens!$AA$4239</f>
        <v>14.7276405491475</v>
      </c>
      <c r="N4239" s="38" t="n">
        <f aca="false">Sens!$D$4239/2</f>
        <v>0.180274740326067</v>
      </c>
      <c r="O4239" s="38" t="n">
        <f aca="false">Sens!$D$4239/2</f>
        <v>0.180274740326067</v>
      </c>
      <c r="R4239" s="38" t="n">
        <f aca="false">SUMPRODUCT(--(Sens!$R$4204:$AA$4204&lt;Sens!R$4204),Sens!$R$4236:$AA$4236)/fac_life</f>
        <v>0</v>
      </c>
      <c r="S4239" s="38" t="n">
        <f aca="false">SUMPRODUCT(--(Sens!$R$4204:$AA$4204&lt;Sens!S$4204),Sens!$R$4236:$AA$4236)/fac_life</f>
        <v>0.0202511502553155</v>
      </c>
      <c r="T4239" s="38" t="n">
        <f aca="false">SUMPRODUCT(--(Sens!$R$4204:$AA$4204&lt;Sens!T$4204),Sens!$R$4236:$AA$4236)/fac_life</f>
        <v>0.360549480652134</v>
      </c>
      <c r="U4239" s="38" t="n">
        <f aca="false">SUMPRODUCT(--(Sens!$R$4204:$AA$4204&lt;Sens!U$4204),Sens!$R$4236:$AA$4236)/fac_life</f>
        <v>1.29709472025025</v>
      </c>
      <c r="V4239" s="38" t="n">
        <f aca="false">SUMPRODUCT(--(Sens!$R$4204:$AA$4204&lt;Sens!V$4204),Sens!$R$4236:$AA$4236)/fac_life</f>
        <v>3.21599529914753</v>
      </c>
      <c r="W4239" s="38" t="n">
        <f aca="false">SUMPRODUCT(--(Sens!$R$4204:$AA$4204&lt;Sens!W$4204),Sens!$R$4236:$AA$4236)/fac_life</f>
        <v>5.51832434914753</v>
      </c>
      <c r="X4239" s="38" t="n">
        <f aca="false">SUMPRODUCT(--(Sens!$R$4204:$AA$4204&lt;Sens!X$4204),Sens!$R$4236:$AA$4236)/fac_life</f>
        <v>7.82065339914753</v>
      </c>
      <c r="Y4239" s="38" t="n">
        <f aca="false">SUMPRODUCT(--(Sens!$R$4204:$AA$4204&lt;Sens!Y$4204),Sens!$R$4236:$AA$4236)/fac_life</f>
        <v>10.1229824491475</v>
      </c>
      <c r="Z4239" s="38" t="n">
        <f aca="false">SUMPRODUCT(--(Sens!$R$4204:$AA$4204&lt;Sens!Z$4204),Sens!$R$4236:$AA$4236)/fac_life</f>
        <v>12.4253114991475</v>
      </c>
      <c r="AA4239" s="38" t="n">
        <f aca="false">SUMPRODUCT(--(Sens!$R$4204:$AA$4204&lt;Sens!AA$4204),Sens!$R$4236:$AA$4236)/fac_life</f>
        <v>14.7276405491475</v>
      </c>
    </row>
    <row r="4240" customFormat="false" ht="17.15" hidden="false" customHeight="false" outlineLevel="0" collapsed="false">
      <c r="A4240" s="1" t="s">
        <v>594</v>
      </c>
      <c r="B4240" s="8" t="s">
        <v>73</v>
      </c>
      <c r="C4240" s="38" t="n">
        <f aca="false">Sens!$C$4238+Sens!$C$4239</f>
        <v>0.203463948620839</v>
      </c>
      <c r="D4240" s="38" t="n">
        <f aca="false">Sens!$D$4238+Sens!$D$4239</f>
        <v>3.62245206231783</v>
      </c>
      <c r="E4240" s="38" t="n">
        <f aca="false">Sens!$E$4238+Sens!$E$4239</f>
        <v>6.51597588754466</v>
      </c>
      <c r="F4240" s="38" t="n">
        <f aca="false">Sens!$F$4238+Sens!$F$4239</f>
        <v>6.51597588754466</v>
      </c>
      <c r="G4240" s="38" t="n">
        <f aca="false">Sens!$G$4238+Sens!$G$4239</f>
        <v>13.0319517750893</v>
      </c>
      <c r="H4240" s="38" t="n">
        <f aca="false">Sens!$H$4238+Sens!$H$4239</f>
        <v>35.2941921973308</v>
      </c>
      <c r="I4240" s="38" t="n">
        <f aca="false">Sens!$I$4238+Sens!$I$4239</f>
        <v>63.0173185714558</v>
      </c>
      <c r="J4240" s="38" t="n">
        <f aca="false">Sens!$J$4238+Sens!$J$4239</f>
        <v>91.7529624398725</v>
      </c>
      <c r="K4240" s="38" t="n">
        <f aca="false">Sens!$K$4238+Sens!$K$4239</f>
        <v>121.178188209924</v>
      </c>
      <c r="L4240" s="38" t="n">
        <f aca="false">Sens!$L$4238+Sens!$L$4239</f>
        <v>148.58073169504</v>
      </c>
      <c r="M4240" s="38" t="n">
        <f aca="false">Sens!$M$4238+Sens!$M$4239</f>
        <v>176.698573390283</v>
      </c>
      <c r="N4240" s="38" t="n">
        <f aca="false">Sens!$N$4238+Sens!$N$4239</f>
        <v>1.81122603115892</v>
      </c>
      <c r="O4240" s="38" t="n">
        <f aca="false">Sens!$O$4238+Sens!$O$4239</f>
        <v>1.81122603115892</v>
      </c>
      <c r="R4240" s="38" t="n">
        <f aca="false">Sens!$R$4238+Sens!$R$4239</f>
        <v>0</v>
      </c>
      <c r="S4240" s="38" t="n">
        <f aca="false">Sens!$S$4238+Sens!$S$4239</f>
        <v>0.203463948620839</v>
      </c>
      <c r="T4240" s="38" t="n">
        <f aca="false">Sens!$T$4238+Sens!$T$4239</f>
        <v>3.62245206231783</v>
      </c>
      <c r="U4240" s="38" t="n">
        <f aca="false">Sens!$U$4238+Sens!$U$4239</f>
        <v>13.0319517750893</v>
      </c>
      <c r="V4240" s="38" t="n">
        <f aca="false">Sens!$V$4238+Sens!$V$4239</f>
        <v>35.2941921973308</v>
      </c>
      <c r="W4240" s="38" t="n">
        <f aca="false">Sens!$W$4238+Sens!$W$4239</f>
        <v>63.0173185714558</v>
      </c>
      <c r="X4240" s="38" t="n">
        <f aca="false">Sens!$X$4238+Sens!$X$4239</f>
        <v>91.7529624398725</v>
      </c>
      <c r="Y4240" s="38" t="n">
        <f aca="false">Sens!$Y$4238+Sens!$Y$4239</f>
        <v>121.178188209924</v>
      </c>
      <c r="Z4240" s="38" t="n">
        <f aca="false">Sens!$Z$4238+Sens!$Z$4239</f>
        <v>148.58073169504</v>
      </c>
      <c r="AA4240" s="38" t="n">
        <f aca="false">Sens!$AA$4238+Sens!$AA$4239</f>
        <v>176.698573390283</v>
      </c>
    </row>
    <row r="4241" customFormat="false" ht="17.15" hidden="false" customHeight="false" outlineLevel="0" collapsed="false">
      <c r="A4241" s="0" t="s">
        <v>595</v>
      </c>
      <c r="B4241" s="0" t="s">
        <v>73</v>
      </c>
      <c r="C4241" s="38" t="n">
        <f aca="false">Sens!$S$4241</f>
        <v>26.578941154416</v>
      </c>
      <c r="D4241" s="38" t="n">
        <f aca="false">Sens!$T$4241</f>
        <v>92.5251207231008</v>
      </c>
      <c r="G4241" s="38" t="n">
        <f aca="false">Sens!$U$4241</f>
        <v>239.931219586022</v>
      </c>
      <c r="H4241" s="38" t="n">
        <f aca="false">Sens!$V$4241</f>
        <v>403.208392333442</v>
      </c>
      <c r="I4241" s="38" t="n">
        <f aca="false">Sens!$W$4241</f>
        <v>544.837543672486</v>
      </c>
      <c r="J4241" s="38" t="n">
        <f aca="false">Sens!$X$4241</f>
        <v>662.967819343113</v>
      </c>
      <c r="K4241" s="38" t="n">
        <f aca="false">Sens!$Y$4241</f>
        <v>756.90963744369</v>
      </c>
      <c r="L4241" s="38" t="n">
        <f aca="false">Sens!$Z$4241</f>
        <v>860.10628945915</v>
      </c>
      <c r="M4241" s="38" t="n">
        <f aca="false">Sens!$AA$4241</f>
        <v>995.283560834616</v>
      </c>
      <c r="R4241" s="38" t="n">
        <f aca="false">SUM(Sens!$R$4233:$R$4233)-SUM(Sens!$R$4240:$R$4240)</f>
        <v>1.50429979529945</v>
      </c>
      <c r="S4241" s="38" t="n">
        <f aca="false">SUM(Sens!$R$4233:$S$4233)-SUM(Sens!$R$4240:$S$4240)</f>
        <v>26.578941154416</v>
      </c>
      <c r="T4241" s="38" t="n">
        <f aca="false">SUM(Sens!$R$4233:$T$4233)-SUM(Sens!$R$4240:$T$4240)</f>
        <v>92.5251207231008</v>
      </c>
      <c r="U4241" s="38" t="n">
        <f aca="false">SUM(Sens!$R$4233:$U$4233)-SUM(Sens!$R$4240:$U$4240)</f>
        <v>239.931219586022</v>
      </c>
      <c r="V4241" s="38" t="n">
        <f aca="false">SUM(Sens!$R$4233:$V$4233)-SUM(Sens!$R$4240:$V$4240)</f>
        <v>403.208392333442</v>
      </c>
      <c r="W4241" s="38" t="n">
        <f aca="false">SUM(Sens!$R$4233:$W$4233)-SUM(Sens!$R$4240:$W$4240)</f>
        <v>544.837543672486</v>
      </c>
      <c r="X4241" s="38" t="n">
        <f aca="false">SUM(Sens!$R$4233:$X$4233)-SUM(Sens!$R$4240:$X$4240)</f>
        <v>662.967819343113</v>
      </c>
      <c r="Y4241" s="38" t="n">
        <f aca="false">SUM(Sens!$R$4233:$Y$4233)-SUM(Sens!$R$4240:$Y$4240)</f>
        <v>756.90963744369</v>
      </c>
      <c r="Z4241" s="38" t="n">
        <f aca="false">SUM(Sens!$R$4233:$Z$4233)-SUM(Sens!$R$4240:$Z$4240)</f>
        <v>860.10628945915</v>
      </c>
      <c r="AA4241" s="38" t="n">
        <f aca="false">SUM(Sens!$R$4233:$AA$4233)-SUM(Sens!$R$4240:$AA$4240)</f>
        <v>995.283560834616</v>
      </c>
    </row>
    <row r="4242" customFormat="false" ht="17.15" hidden="false" customHeight="false" outlineLevel="0" collapsed="false">
      <c r="A4242" s="1" t="s">
        <v>596</v>
      </c>
    </row>
    <row r="4243" customFormat="false" ht="17.15" hidden="false" customHeight="false" outlineLevel="0" collapsed="false">
      <c r="A4243" s="0" t="s">
        <v>597</v>
      </c>
      <c r="B4243" s="0" t="s">
        <v>73</v>
      </c>
      <c r="C4243" s="38" t="n">
        <f aca="false">Sens!$C$4224-ext_sh*Sens!$C$4226</f>
        <v>1.80694998843362</v>
      </c>
      <c r="D4243" s="38" t="n">
        <f aca="false">Sens!$D$4224-ext_sh*Sens!$D$4226</f>
        <v>6.77606245662607</v>
      </c>
      <c r="E4243" s="38" t="n">
        <f aca="false">Sens!$E$4224-ext_sh*Sens!$E$4226</f>
        <v>6.62548329092326</v>
      </c>
      <c r="F4243" s="38" t="n">
        <f aca="false">Sens!$F$4224-ext_sh*Sens!$F$4226</f>
        <v>11.7200577158706</v>
      </c>
      <c r="G4243" s="38" t="n">
        <f aca="false">Sens!$G$4224-ext_sh*Sens!$G$4226</f>
        <v>18.3455410067939</v>
      </c>
      <c r="H4243" s="38" t="n">
        <f aca="false">Sens!$H$4224-ext_sh*Sens!$H$4226</f>
        <v>47.5171727060453</v>
      </c>
      <c r="I4243" s="38" t="n">
        <f aca="false">Sens!$I$4224-ext_sh*Sens!$I$4226</f>
        <v>80.5539692643667</v>
      </c>
      <c r="J4243" s="38" t="n">
        <f aca="false">Sens!$J$4224-ext_sh*Sens!$J$4226</f>
        <v>113.759316834883</v>
      </c>
      <c r="K4243" s="38" t="n">
        <f aca="false">Sens!$K$4224-ext_sh*Sens!$K$4226</f>
        <v>147.020848076132</v>
      </c>
      <c r="L4243" s="38" t="n">
        <f aca="false">Sens!$L$4224-ext_sh*Sens!$L$4226</f>
        <v>180.307917349531</v>
      </c>
      <c r="M4243" s="38" t="n">
        <f aca="false">Sens!$M$4224-ext_sh*Sens!$M$4226</f>
        <v>213.608737871012</v>
      </c>
      <c r="N4243" s="38" t="n">
        <f aca="false">Sens!$N$4224-ext_sh*Sens!$N$4226</f>
        <v>2.37162185981912</v>
      </c>
      <c r="O4243" s="38" t="n">
        <f aca="false">Sens!$O$4224-ext_sh*Sens!$O$4226</f>
        <v>4.40444059680694</v>
      </c>
    </row>
    <row r="4244" customFormat="false" ht="17.15" hidden="false" customHeight="false" outlineLevel="0" collapsed="false">
      <c r="A4244" s="1" t="s">
        <v>598</v>
      </c>
      <c r="B4244" s="8" t="s">
        <v>73</v>
      </c>
      <c r="C4244" s="38" t="n">
        <f aca="false">Sens!$C$4243-ext_sh*Sens!$C$4240</f>
        <v>1.64417882953695</v>
      </c>
      <c r="D4244" s="38" t="n">
        <f aca="false">Sens!$D$4243-ext_sh*Sens!$D$4240</f>
        <v>3.8781008067718</v>
      </c>
      <c r="E4244" s="38" t="n">
        <f aca="false">Sens!$E$4243-ext_sh*Sens!$E$4240</f>
        <v>1.41270258088753</v>
      </c>
      <c r="F4244" s="38" t="n">
        <f aca="false">Sens!$F$4243-ext_sh*Sens!$F$4240</f>
        <v>6.50727700583486</v>
      </c>
      <c r="G4244" s="38" t="n">
        <f aca="false">Sens!$G$4243-ext_sh*Sens!$G$4240</f>
        <v>7.9199795867224</v>
      </c>
      <c r="H4244" s="38" t="n">
        <f aca="false">Sens!$H$4243-ext_sh*Sens!$H$4240</f>
        <v>19.2818189481807</v>
      </c>
      <c r="I4244" s="38" t="n">
        <f aca="false">Sens!$I$4243-ext_sh*Sens!$I$4240</f>
        <v>30.140114407202</v>
      </c>
      <c r="J4244" s="38" t="n">
        <f aca="false">Sens!$J$4243-ext_sh*Sens!$J$4240</f>
        <v>40.3569468829854</v>
      </c>
      <c r="K4244" s="38" t="n">
        <f aca="false">Sens!$K$4243-ext_sh*Sens!$K$4240</f>
        <v>50.0782975081929</v>
      </c>
      <c r="L4244" s="38" t="n">
        <f aca="false">Sens!$L$4243-ext_sh*Sens!$L$4240</f>
        <v>61.443331993499</v>
      </c>
      <c r="M4244" s="38" t="n">
        <f aca="false">Sens!$M$4243-ext_sh*Sens!$M$4240</f>
        <v>72.2498791587849</v>
      </c>
      <c r="N4244" s="38" t="n">
        <f aca="false">Sens!$N$4243-ext_sh*Sens!$N$4240</f>
        <v>0.92264103489199</v>
      </c>
      <c r="O4244" s="38" t="n">
        <f aca="false">Sens!$O$4243-ext_sh*Sens!$O$4240</f>
        <v>2.95545977187981</v>
      </c>
    </row>
    <row r="4245" customFormat="false" ht="17.15" hidden="false" customHeight="false" outlineLevel="0" collapsed="false">
      <c r="A4245" s="0" t="s">
        <v>599</v>
      </c>
      <c r="B4245" s="0" t="s">
        <v>52</v>
      </c>
      <c r="C4245" s="12" t="n">
        <f aca="false">Sens!$C$4244/Sens!$C$4224</f>
        <v>0.708390794789371</v>
      </c>
      <c r="D4245" s="12" t="n">
        <f aca="false">Sens!$D$4244/Sens!$D$4224</f>
        <v>0.445565630441968</v>
      </c>
      <c r="E4245" s="12" t="n">
        <f aca="false">Sens!$E$4244/Sens!$E$4224</f>
        <v>0.165998118402711</v>
      </c>
      <c r="F4245" s="12" t="n">
        <f aca="false">Sens!$F$4244/Sens!$F$4224</f>
        <v>0.434878595403858</v>
      </c>
      <c r="G4245" s="12" t="n">
        <f aca="false">Sens!$G$4244/Sens!$G$4224</f>
        <v>0.3373967615381</v>
      </c>
      <c r="H4245" s="12" t="n">
        <f aca="false">Sens!$H$4244/Sens!$H$4224</f>
        <v>0.320477578041224</v>
      </c>
      <c r="I4245" s="12" t="n">
        <f aca="false">Sens!$I$4244/Sens!$I$4224</f>
        <v>0.296936118226494</v>
      </c>
      <c r="J4245" s="12" t="n">
        <f aca="false">Sens!$J$4244/Sens!$J$4224</f>
        <v>0.282166278613001</v>
      </c>
      <c r="K4245" s="12" t="n">
        <f aca="false">Sens!$K$4244/Sens!$K$4224</f>
        <v>0.271267685694333</v>
      </c>
      <c r="L4245" s="12" t="n">
        <f aca="false">Sens!$L$4244/Sens!$L$4224</f>
        <v>0.27160960915653</v>
      </c>
      <c r="M4245" s="12" t="n">
        <f aca="false">Sens!$M$4244/Sens!$M$4224</f>
        <v>0.26974494804234</v>
      </c>
      <c r="N4245" s="12" t="n">
        <f aca="false">Sens!$N$4244/Sens!$N$4224</f>
        <v>0.302870734830849</v>
      </c>
      <c r="O4245" s="12" t="n">
        <f aca="false">Sens!$O$4244/Sens!$O$4224</f>
        <v>0.52240134346334</v>
      </c>
    </row>
    <row r="4246" customFormat="false" ht="17.15" hidden="false" customHeight="false" outlineLevel="0" collapsed="false">
      <c r="A4246" s="5" t="s">
        <v>600</v>
      </c>
      <c r="B4246" s="0" t="s">
        <v>73</v>
      </c>
      <c r="C4246" s="38" t="n">
        <f aca="false">rd2*(1-ext_sh)/ext_sh*Sens!$C$4207*he_open*Sens!$C$4208/1000</f>
        <v>0</v>
      </c>
      <c r="D4246" s="38" t="n">
        <f aca="false">rd2*(1-ext_sh)/ext_sh*Sens!$D$4207*he_open*Sens!$D$4208/1000</f>
        <v>0</v>
      </c>
      <c r="E4246" s="38" t="n">
        <f aca="false">rd2*(1-ext_sh)/ext_sh*Sens!$E$4207*he_open*Sens!$E$4208/1000</f>
        <v>0</v>
      </c>
      <c r="F4246" s="38" t="n">
        <f aca="false">rd2*(1-ext_sh)/ext_sh*(mw_open*he_open+Sens!$F$4222*Sens!$F$4219)*Sens!$F$4208/1000</f>
        <v>0</v>
      </c>
      <c r="G4246" s="38" t="n">
        <f aca="false">Sens!$E$4246+Sens!$F$4246</f>
        <v>0</v>
      </c>
      <c r="H4246" s="38" t="n">
        <f aca="false">rd2*(1-ext_sh)/ext_sh*(mw_open*he_open+Sens!$H$4222*Sens!$H$4219)*Sens!$H$4208/1000</f>
        <v>0</v>
      </c>
      <c r="I4246" s="38" t="n">
        <f aca="false">rd2*(1-ext_sh)/ext_sh*(mw_open*he_open+Sens!$I$4222*Sens!$I$4219)*Sens!$I$4208/1000</f>
        <v>0</v>
      </c>
      <c r="J4246" s="38" t="n">
        <f aca="false">rd2*(1-ext_sh)/ext_sh*(mw_open*he_open+Sens!$J$4222*Sens!$J$4219)*Sens!$J$4208/1000</f>
        <v>0</v>
      </c>
      <c r="K4246" s="38" t="n">
        <f aca="false">rd2*(1-ext_sh)/ext_sh*(mw_open*he_open+Sens!$K$4222*Sens!$K$4219)*Sens!$K$4208/1000</f>
        <v>0</v>
      </c>
      <c r="L4246" s="38" t="n">
        <f aca="false">rd2*(1-ext_sh)/ext_sh*(mw_open*he_open+Sens!$L$4222*Sens!$L$4219)*Sens!$L$4208/1000</f>
        <v>0</v>
      </c>
      <c r="M4246" s="38" t="n">
        <f aca="false">rd2*(1-ext_sh)/ext_sh*(mw_open*he_open+Sens!$M$4222*Sens!$M$4219)*Sens!$M$4208/1000</f>
        <v>0</v>
      </c>
      <c r="N4246" s="38" t="n">
        <f aca="false">rd2*(1-ext_sh)/ext_sh*Sens!$N$4207*he_open*Sens!$N$4208/1000</f>
        <v>0</v>
      </c>
      <c r="O4246" s="38" t="n">
        <f aca="false">rd2*(1-ext_sh)/ext_sh*Sens!$O$4207*he_open*Sens!$O$4208/1000</f>
        <v>0</v>
      </c>
      <c r="P4246" s="8" t="s">
        <v>601</v>
      </c>
    </row>
    <row r="4247" customFormat="false" ht="17.15" hidden="false" customHeight="false" outlineLevel="0" collapsed="false">
      <c r="A4247" s="5" t="s">
        <v>602</v>
      </c>
      <c r="B4247" s="0" t="s">
        <v>73</v>
      </c>
      <c r="C4247" s="38" t="n">
        <f aca="false">(1-ext_sh)*(Sens!$C$4226+Sens!$C$4240)-Sens!$C$4246</f>
        <v>0.169206631859174</v>
      </c>
      <c r="D4247" s="38" t="n">
        <f aca="false">(1-ext_sh)*(Sens!$D$4226+Sens!$D$4240)-Sens!$D$4246</f>
        <v>1.20641732046984</v>
      </c>
      <c r="E4247" s="38" t="n">
        <f aca="false">(1-ext_sh)*(Sens!$E$4226+Sens!$E$4240)-Sens!$E$4246</f>
        <v>1.77441259867062</v>
      </c>
      <c r="F4247" s="38" t="n">
        <f aca="false">(1-ext_sh)*(Sens!$F$4226+Sens!$F$4240)-Sens!$F$4246</f>
        <v>2.1140391597214</v>
      </c>
      <c r="G4247" s="38" t="n">
        <f aca="false">(1-ext_sh)*(Sens!$G$4226+Sens!$G$4240)-Sens!$G$4246</f>
        <v>3.88845175839202</v>
      </c>
      <c r="H4247" s="38" t="n">
        <f aca="false">(1-ext_sh)*(Sens!$H$4226+Sens!$H$4240)-Sens!$H$4246</f>
        <v>10.2210179503985</v>
      </c>
      <c r="I4247" s="38" t="n">
        <f aca="false">(1-ext_sh)*(Sens!$I$4226+Sens!$I$4240)-Sens!$I$4246</f>
        <v>17.8408961823075</v>
      </c>
      <c r="J4247" s="38" t="n">
        <f aca="false">(1-ext_sh)*(Sens!$J$4226+Sens!$J$4240)-Sens!$J$4246</f>
        <v>25.6671150670732</v>
      </c>
      <c r="K4247" s="38" t="n">
        <f aca="false">(1-ext_sh)*(Sens!$K$4226+Sens!$K$4240)-Sens!$K$4246</f>
        <v>33.6325293834986</v>
      </c>
      <c r="L4247" s="38" t="n">
        <f aca="false">(1-ext_sh)*(Sens!$L$4226+Sens!$L$4240)-Sens!$L$4246</f>
        <v>41.1939886299065</v>
      </c>
      <c r="M4247" s="38" t="n">
        <f aca="false">(1-ext_sh)*(Sens!$M$4226+Sens!$M$4240)-Sens!$M$4246</f>
        <v>48.8988205728617</v>
      </c>
      <c r="N4247" s="38" t="n">
        <f aca="false">(1-ext_sh)*(Sens!$N$4226+Sens!$N$4240)-Sens!$N$4246</f>
        <v>0.530919624033979</v>
      </c>
      <c r="O4247" s="38" t="n">
        <f aca="false">(1-ext_sh)*(Sens!$O$4226+Sens!$O$4240)-Sens!$O$4246</f>
        <v>0.675497696435861</v>
      </c>
    </row>
    <row r="4248" customFormat="false" ht="17.15" hidden="false" customHeight="false" outlineLevel="0" collapsed="false">
      <c r="A4248" s="0" t="s">
        <v>603</v>
      </c>
      <c r="B4248" s="0" t="s">
        <v>73</v>
      </c>
      <c r="C4248" s="38" t="n">
        <f aca="false">Q!$D$24</f>
        <v>39.834</v>
      </c>
      <c r="D4248" s="38" t="n">
        <f aca="false">Q!$E$24</f>
        <v>45.606</v>
      </c>
      <c r="E4248" s="38" t="n">
        <f aca="false">Q!$P$24</f>
        <v>30.782</v>
      </c>
      <c r="N4248" s="38" t="n">
        <f aca="false">Q!$N$24</f>
        <v>21.707</v>
      </c>
      <c r="O4248" s="38" t="n">
        <f aca="false">Q!$O$24</f>
        <v>23.899</v>
      </c>
    </row>
    <row r="4249" customFormat="false" ht="17.15" hidden="false" customHeight="false" outlineLevel="0" collapsed="false">
      <c r="A4249" s="0" t="s">
        <v>604</v>
      </c>
      <c r="B4249" s="0" t="s">
        <v>73</v>
      </c>
      <c r="C4249" s="38" t="n">
        <f aca="false">Sens!$C$4248-Sens!$C$4244</f>
        <v>38.1898211704631</v>
      </c>
      <c r="D4249" s="38" t="n">
        <f aca="false">Sens!$D$4248-Sens!$D$4244</f>
        <v>41.7278991932282</v>
      </c>
      <c r="E4249" s="38" t="n">
        <f aca="false">Sens!$E$4248-Sens!$E$4244</f>
        <v>29.3692974191125</v>
      </c>
      <c r="F4249" s="38" t="n">
        <f aca="false">Sens!$F$4228*Sens!$F$4250</f>
        <v>29.458060516894</v>
      </c>
      <c r="G4249" s="38" t="n">
        <f aca="false">Sens!$E$4249+Sens!$F$4249</f>
        <v>58.8273579360065</v>
      </c>
      <c r="H4249" s="38" t="n">
        <f aca="false">Sens!$H$4228*Sens!$H$4250</f>
        <v>67.8004040185081</v>
      </c>
      <c r="I4249" s="38" t="n">
        <f aca="false">Sens!$I$4228*Sens!$I$4250</f>
        <v>78.9527630302702</v>
      </c>
      <c r="J4249" s="38" t="n">
        <f aca="false">Sens!$J$4228*Sens!$J$4250</f>
        <v>88.6042681781841</v>
      </c>
      <c r="K4249" s="38" t="n">
        <f aca="false">Sens!$K$4228*Sens!$K$4250</f>
        <v>95.6926096324389</v>
      </c>
      <c r="L4249" s="38" t="n">
        <f aca="false">Sens!$L$4228*Sens!$L$4250</f>
        <v>103.348018403034</v>
      </c>
      <c r="M4249" s="38" t="n">
        <f aca="false">Sens!$M$4228*Sens!$M$4250</f>
        <v>111.615859875277</v>
      </c>
      <c r="N4249" s="38" t="n">
        <f aca="false">Sens!$N$4248-Sens!$N$4244</f>
        <v>20.784358965108</v>
      </c>
      <c r="O4249" s="38" t="n">
        <f aca="false">Sens!$O$4248-Sens!$O$4244</f>
        <v>20.9435402281202</v>
      </c>
      <c r="P4249" s="5" t="s">
        <v>605</v>
      </c>
    </row>
    <row r="4250" customFormat="false" ht="17.15" hidden="false" customHeight="false" outlineLevel="0" collapsed="false">
      <c r="A4250" s="0" t="s">
        <v>606</v>
      </c>
      <c r="B4250" s="0" t="s">
        <v>52</v>
      </c>
      <c r="C4250" s="12" t="n">
        <f aca="false">Sens!$C$4249/Sens!$C$4228</f>
        <v>0.362900395443635</v>
      </c>
      <c r="D4250" s="12" t="n">
        <f aca="false">Sens!$D$4249/Sens!$D$4228</f>
        <v>0.34767098474203</v>
      </c>
      <c r="E4250" s="12" t="n">
        <f aca="false">Sens!$E$4249/Sens!$E$4228</f>
        <v>0.411861655558416</v>
      </c>
      <c r="F4250" s="12" t="n">
        <f aca="false">(Sens!$O$4249+Sens!$E$4249)/(Sens!$O$4228+Sens!$E$4228)</f>
        <v>0.37480827803158</v>
      </c>
      <c r="G4250" s="12" t="n">
        <f aca="false">Sens!$G$4249/Sens!$G$4228</f>
        <v>0.392434440489471</v>
      </c>
      <c r="H4250" s="12" t="n">
        <f aca="false">Sens!$F$4250</f>
        <v>0.37480827803158</v>
      </c>
      <c r="I4250" s="12" t="n">
        <f aca="false">Sens!$F$4250</f>
        <v>0.37480827803158</v>
      </c>
      <c r="J4250" s="12" t="n">
        <f aca="false">Sens!$F$4250</f>
        <v>0.37480827803158</v>
      </c>
      <c r="K4250" s="12" t="n">
        <f aca="false">Sens!$F$4250</f>
        <v>0.37480827803158</v>
      </c>
      <c r="L4250" s="12" t="n">
        <f aca="false">Sens!$F$4250</f>
        <v>0.37480827803158</v>
      </c>
      <c r="M4250" s="12" t="n">
        <f aca="false">Sens!$F$4250</f>
        <v>0.37480827803158</v>
      </c>
      <c r="N4250" s="12" t="n">
        <f aca="false">Sens!$N$4249/Sens!$N$4228</f>
        <v>0.364039571356823</v>
      </c>
      <c r="O4250" s="12" t="n">
        <f aca="false">Sens!$O$4249/Sens!$O$4228</f>
        <v>0.332819892300086</v>
      </c>
      <c r="P4250" s="8" t="s">
        <v>607</v>
      </c>
    </row>
    <row r="4251" customFormat="false" ht="17.15" hidden="false" customHeight="false" outlineLevel="0" collapsed="false">
      <c r="A4251" s="0" t="s">
        <v>608</v>
      </c>
      <c r="B4251" s="0" t="s">
        <v>52</v>
      </c>
      <c r="D4251" s="12" t="n">
        <f aca="false">(Q!$E$31-ext_sh*Sens!$D$4240)/Sens!$D$4228</f>
        <v>0.154572973163571</v>
      </c>
    </row>
    <row r="4252" customFormat="false" ht="17.15" hidden="false" customHeight="false" outlineLevel="0" collapsed="false">
      <c r="A4252" s="0" t="s">
        <v>609</v>
      </c>
      <c r="B4252" s="0" t="s">
        <v>73</v>
      </c>
      <c r="C4252" s="38" t="n">
        <f aca="false">Q!$D$31</f>
        <v>13.32</v>
      </c>
      <c r="D4252" s="38" t="n">
        <f aca="false">Q!$E$31</f>
        <v>21.45</v>
      </c>
      <c r="E4252" s="38" t="n">
        <f aca="false">Q!$P$31</f>
        <v>15.353</v>
      </c>
      <c r="F4252" s="38" t="n">
        <f aca="false">ext_sh*Sens!$F$4240+Sens!$D$4251*Sens!$F$4228</f>
        <v>17.3614451462707</v>
      </c>
      <c r="G4252" s="38" t="n">
        <f aca="false">Sens!$E$4252+Sens!$F$4252</f>
        <v>32.7144451462707</v>
      </c>
      <c r="H4252" s="38" t="n">
        <f aca="false">ext_sh*Sens!$H$4240+Sens!$D$4251*Sens!$H$4228</f>
        <v>56.1966092719415</v>
      </c>
      <c r="I4252" s="38" t="n">
        <f aca="false">ext_sh*Sens!$I$4240+Sens!$D$4251*Sens!$I$4228</f>
        <v>82.9744039068297</v>
      </c>
      <c r="J4252" s="38" t="n">
        <f aca="false">ext_sh*Sens!$J$4240+Sens!$D$4251*Sens!$J$4228</f>
        <v>109.943252237669</v>
      </c>
      <c r="K4252" s="38" t="n">
        <f aca="false">ext_sh*Sens!$K$4240+Sens!$D$4251*Sens!$K$4228</f>
        <v>136.406703436571</v>
      </c>
      <c r="L4252" s="38" t="n">
        <f aca="false">ext_sh*Sens!$L$4240+Sens!$D$4251*Sens!$L$4228</f>
        <v>161.485870454155</v>
      </c>
      <c r="M4252" s="38" t="n">
        <f aca="false">ext_sh*Sens!$M$4240+Sens!$D$4251*Sens!$M$4228</f>
        <v>187.389846618199</v>
      </c>
      <c r="N4252" s="38" t="n">
        <f aca="false">Q!$N$31</f>
        <v>9.234</v>
      </c>
      <c r="O4252" s="38" t="n">
        <f aca="false">Q!$O$31</f>
        <v>12.216</v>
      </c>
    </row>
    <row r="4253" customFormat="false" ht="17.15" hidden="false" customHeight="false" outlineLevel="0" collapsed="false">
      <c r="A4253" s="1" t="s">
        <v>610</v>
      </c>
    </row>
    <row r="4254" customFormat="false" ht="17.15" hidden="false" customHeight="false" outlineLevel="0" collapsed="false">
      <c r="A4254" s="14" t="s">
        <v>611</v>
      </c>
      <c r="B4254" s="13" t="s">
        <v>52</v>
      </c>
      <c r="C4254" s="13"/>
      <c r="D4254" s="13"/>
      <c r="E4254" s="13"/>
      <c r="F4254" s="13"/>
      <c r="G4254" s="16" t="n">
        <f aca="false">Sens!$G$4244*(1-tax)/(ext_sh*(Sens!$D$4241+Sens!$G$4241)/2)</f>
        <v>0.0492184452944045</v>
      </c>
      <c r="H4254" s="16" t="n">
        <f aca="false">Sens!$H$4244*(1-tax)/(ext_sh*(Sens!$G$4241+Sens!$H$4241)/2)</f>
        <v>0.0619414246858107</v>
      </c>
      <c r="I4254" s="16" t="n">
        <f aca="false">Sens!$I$4244*(1-tax)/(ext_sh*(Sens!$H$4241+Sens!$I$4241)/2)</f>
        <v>0.0656831488051666</v>
      </c>
      <c r="J4254" s="16" t="n">
        <f aca="false">Sens!$J$4244*(1-tax)/(ext_sh*(Sens!$I$4241+Sens!$J$4241)/2)</f>
        <v>0.0690334849962116</v>
      </c>
      <c r="K4254" s="16" t="n">
        <f aca="false">Sens!$K$4244*(1-tax)/(ext_sh*(Sens!$J$4241+Sens!$K$4241)/2)</f>
        <v>0.0728680488295485</v>
      </c>
      <c r="L4254" s="16" t="n">
        <f aca="false">Sens!$L$4244*(1-tax)/(ext_sh*(Sens!$K$4241+Sens!$L$4241)/2)</f>
        <v>0.0785052878122331</v>
      </c>
      <c r="M4254" s="16" t="n">
        <f aca="false">Sens!$M$4244*(1-tax)/(ext_sh*(Sens!$L$4241+Sens!$M$4241)/2)</f>
        <v>0.0804526580722741</v>
      </c>
      <c r="N4254" s="13"/>
      <c r="O4254" s="13"/>
      <c r="P4254" s="8" t="s">
        <v>612</v>
      </c>
    </row>
    <row r="4255" customFormat="false" ht="17.15" hidden="false" customHeight="false" outlineLevel="0" collapsed="false">
      <c r="A4255" s="5" t="s">
        <v>613</v>
      </c>
      <c r="B4255" s="0" t="s">
        <v>57</v>
      </c>
      <c r="H4255" s="36" t="n">
        <f aca="false">Sens!$H$4224*1000/(mw_open*he_open+Sens!$H$4222*Sens!$H$4219)</f>
        <v>0.991949006767191</v>
      </c>
      <c r="I4255" s="36" t="n">
        <f aca="false">Sens!$I$4224*1000/(mw_open*he_open+Sens!$I$4222*Sens!$I$4219)</f>
        <v>0.991949006767191</v>
      </c>
      <c r="J4255" s="36" t="n">
        <f aca="false">Sens!$J$4224*1000/(mw_open*he_open+Sens!$J$4222*Sens!$J$4219)</f>
        <v>0.991949006767191</v>
      </c>
      <c r="K4255" s="36" t="n">
        <f aca="false">Sens!$K$4224*1000/(mw_open*he_open+Sens!$K$4222*Sens!$K$4219)</f>
        <v>0.991949006767191</v>
      </c>
      <c r="L4255" s="36" t="n">
        <f aca="false">Sens!$L$4224*1000/(mw_open*he_open+Sens!$L$4222*Sens!$L$4219)</f>
        <v>0.991949006767191</v>
      </c>
      <c r="M4255" s="36" t="n">
        <f aca="false">Sens!$M$4224*1000/(mw_open*he_open+Sens!$M$4222*Sens!$M$4219)</f>
        <v>0.991949006767192</v>
      </c>
    </row>
    <row r="4256" customFormat="false" ht="17.15" hidden="false" customHeight="false" outlineLevel="0" collapsed="false">
      <c r="A4256" s="5" t="s">
        <v>614</v>
      </c>
      <c r="B4256" s="0" t="s">
        <v>57</v>
      </c>
      <c r="H4256" s="36" t="n">
        <f aca="false">Sens!$H$4255*(Sens!$H$4224+wacc*ext_sh*(Sens!$G$4241+Sens!$H$4241)/2/(1-tax)-Sens!$H$4244)/Sens!$H$4224</f>
        <v>1.3149781212103</v>
      </c>
      <c r="I4256" s="36" t="n">
        <f aca="false">Sens!$I$4255*(Sens!$I$4224+wacc*ext_sh*(Sens!$H$4241+Sens!$I$4241)/2/(1-tax)-Sens!$I$4244)/Sens!$I$4224</f>
        <v>1.25742005569107</v>
      </c>
      <c r="J4256" s="36" t="n">
        <f aca="false">Sens!$J$4255*(Sens!$J$4224+wacc*ext_sh*(Sens!$I$4241+Sens!$J$4241)/2/(1-tax)-Sens!$J$4244)/Sens!$J$4224</f>
        <v>1.21838845868559</v>
      </c>
      <c r="K4256" s="36" t="n">
        <f aca="false">Sens!$K$4255*(Sens!$K$4224+wacc*ext_sh*(Sens!$J$4241+Sens!$K$4241)/2/(1-tax)-Sens!$K$4244)/Sens!$K$4224</f>
        <v>1.18402644209548</v>
      </c>
      <c r="L4256" s="36" t="n">
        <f aca="false">Sens!$L$4255*(Sens!$L$4224+wacc*ext_sh*(Sens!$K$4241+Sens!$L$4241)/2/(1-tax)-Sens!$L$4244)/Sens!$L$4224</f>
        <v>1.15111215322059</v>
      </c>
      <c r="M4256" s="36" t="n">
        <f aca="false">Sens!$M$4255*(Sens!$M$4224+wacc*ext_sh*(Sens!$L$4241+Sens!$M$4241)/2/(1-tax)-Sens!$M$4244)/Sens!$M$4224</f>
        <v>1.1397166845677</v>
      </c>
    </row>
    <row r="4257" customFormat="false" ht="17.15" hidden="false" customHeight="false" outlineLevel="0" collapsed="false">
      <c r="A4257" s="5" t="s">
        <v>615</v>
      </c>
      <c r="B4257" s="0" t="s">
        <v>52</v>
      </c>
      <c r="C4257" s="12" t="n">
        <f aca="false">Sens!$C$4225/tk_pq</f>
        <v>0.195316432429398</v>
      </c>
      <c r="D4257" s="12" t="n">
        <f aca="false">Sens!$D$4225/tk_pq</f>
        <v>0.195316432429398</v>
      </c>
      <c r="E4257" s="12" t="n">
        <f aca="false">Sens!$E$4225/tk_pq</f>
        <v>0.195316432429398</v>
      </c>
      <c r="F4257" s="12" t="n">
        <f aca="false">Sens!$F$4225/tk_pq</f>
        <v>0.202241827274866</v>
      </c>
      <c r="G4257" s="12" t="n">
        <f aca="false">Sens!$G$4225/tk_pq</f>
        <v>0.199675016194063</v>
      </c>
      <c r="H4257" s="12" t="n">
        <f aca="false">Sens!$H$4225/tk_pq</f>
        <v>0.212647947710325</v>
      </c>
      <c r="I4257" s="12" t="n">
        <f aca="false">Sens!$I$4225/tk_pq</f>
        <v>0.219285125475351</v>
      </c>
      <c r="J4257" s="12" t="n">
        <f aca="false">Sens!$J$4225/tk_pq</f>
        <v>0.222492493217189</v>
      </c>
      <c r="K4257" s="12" t="n">
        <f aca="false">Sens!$K$4225/tk_pq</f>
        <v>0.224371415939166</v>
      </c>
      <c r="L4257" s="12" t="n">
        <f aca="false">Sens!$L$4225/tk_pq</f>
        <v>0.225603749825993</v>
      </c>
      <c r="M4257" s="12" t="n">
        <f aca="false">Sens!$M$4225/tk_pq</f>
        <v>0.22647376274628</v>
      </c>
      <c r="N4257" s="12" t="n">
        <f aca="false">Sens!$N$4225/tk_pq</f>
        <v>0.195316432429398</v>
      </c>
      <c r="O4257" s="12" t="n">
        <f aca="false">Sens!$O$4225/tk_pq</f>
        <v>0.195316432429398</v>
      </c>
      <c r="P4257" s="5" t="s">
        <v>616</v>
      </c>
    </row>
    <row r="4260" customFormat="false" ht="17.15" hidden="false" customHeight="false" outlineLevel="0" collapsed="false">
      <c r="A4260" s="1" t="s">
        <v>643</v>
      </c>
    </row>
    <row r="4261" customFormat="false" ht="17.15" hidden="false" customHeight="false" outlineLevel="0" collapsed="false">
      <c r="A4261" s="0" t="s">
        <v>644</v>
      </c>
      <c r="B4261" s="0" t="s">
        <v>73</v>
      </c>
      <c r="C4261" s="38" t="n">
        <f aca="false">Sens!$C$4224</f>
        <v>2.32100535697364</v>
      </c>
      <c r="D4261" s="38" t="n">
        <f aca="false">Sens!$D$4224</f>
        <v>8.70377008865116</v>
      </c>
      <c r="E4261" s="38" t="n">
        <f aca="false">Sens!$E$4224</f>
        <v>8.51035297557002</v>
      </c>
      <c r="F4261" s="38" t="n">
        <f aca="false">Sens!$F$4224</f>
        <v>14.9634336447205</v>
      </c>
      <c r="G4261" s="38" t="n">
        <f aca="false">Sens!$G$4224</f>
        <v>23.4737866202905</v>
      </c>
      <c r="H4261" s="38" t="n">
        <f aca="false">Sens!$H$4224</f>
        <v>60.1658907497746</v>
      </c>
      <c r="I4261" s="38" t="n">
        <f aca="false">Sens!$I$4224</f>
        <v>101.503699136432</v>
      </c>
      <c r="J4261" s="38" t="n">
        <f aca="false">Sens!$J$4224</f>
        <v>143.025407151278</v>
      </c>
      <c r="K4261" s="38" t="n">
        <f aca="false">Sens!$K$4224</f>
        <v>184.608415042187</v>
      </c>
      <c r="L4261" s="38" t="n">
        <f aca="false">Sens!$L$4224</f>
        <v>226.219286513125</v>
      </c>
      <c r="M4261" s="38" t="n">
        <f aca="false">Sens!$M$4224</f>
        <v>267.845161450232</v>
      </c>
      <c r="N4261" s="38" t="n">
        <f aca="false">Sens!$N$4224</f>
        <v>3.04631953102791</v>
      </c>
      <c r="O4261" s="38" t="n">
        <f aca="false">Sens!$O$4224</f>
        <v>5.65745055762326</v>
      </c>
      <c r="P4261" s="8" t="s">
        <v>645</v>
      </c>
    </row>
    <row r="4262" customFormat="false" ht="17.15" hidden="false" customHeight="false" outlineLevel="0" collapsed="false">
      <c r="A4262" s="0" t="s">
        <v>646</v>
      </c>
      <c r="B4262" s="0" t="s">
        <v>73</v>
      </c>
      <c r="C4262" s="38" t="n">
        <f aca="false">Sens!$C$4228</f>
        <v>105.234994643026</v>
      </c>
      <c r="D4262" s="38" t="n">
        <f aca="false">Sens!$D$4228</f>
        <v>120.021229911349</v>
      </c>
      <c r="E4262" s="38" t="n">
        <f aca="false">Sens!$E$4228</f>
        <v>71.30864702443</v>
      </c>
      <c r="F4262" s="38" t="n">
        <f aca="false">Sens!$F$4228</f>
        <v>78.5950104186653</v>
      </c>
      <c r="G4262" s="38" t="n">
        <f aca="false">Sens!$G$4228</f>
        <v>149.903657443095</v>
      </c>
      <c r="H4262" s="38" t="n">
        <f aca="false">Sens!$H$4228</f>
        <v>180.893560768142</v>
      </c>
      <c r="I4262" s="38" t="n">
        <f aca="false">Sens!$I$4228</f>
        <v>210.64839721501</v>
      </c>
      <c r="J4262" s="38" t="n">
        <f aca="false">Sens!$J$4228</f>
        <v>236.398909446495</v>
      </c>
      <c r="K4262" s="38" t="n">
        <f aca="false">Sens!$K$4228</f>
        <v>255.310822202215</v>
      </c>
      <c r="L4262" s="38" t="n">
        <f aca="false">Sens!$L$4228</f>
        <v>275.735687978392</v>
      </c>
      <c r="M4262" s="38" t="n">
        <f aca="false">Sens!$M$4228</f>
        <v>297.794543016663</v>
      </c>
      <c r="N4262" s="38" t="n">
        <f aca="false">Sens!$N$4228</f>
        <v>57.0936804689721</v>
      </c>
      <c r="O4262" s="38" t="n">
        <f aca="false">Sens!$O$4228</f>
        <v>62.9275494423768</v>
      </c>
      <c r="P4262" s="8" t="s">
        <v>645</v>
      </c>
    </row>
    <row r="4263" customFormat="false" ht="17.15" hidden="false" customHeight="false" outlineLevel="0" collapsed="false">
      <c r="A4263" s="1" t="s">
        <v>476</v>
      </c>
      <c r="B4263" s="8" t="s">
        <v>73</v>
      </c>
      <c r="C4263" s="38" t="n">
        <f aca="false">Q!$D$7</f>
        <v>107.556</v>
      </c>
      <c r="D4263" s="38" t="n">
        <f aca="false">Q!$E$7</f>
        <v>128.725</v>
      </c>
      <c r="E4263" s="38" t="n">
        <f aca="false">Q!$P$7</f>
        <v>79.819</v>
      </c>
      <c r="F4263" s="38" t="n">
        <f aca="false">Sens!$F$4261+Sens!$F$4262</f>
        <v>93.5584440633857</v>
      </c>
      <c r="G4263" s="38" t="n">
        <f aca="false">Sens!$G$4261+Sens!$G$4262</f>
        <v>173.377444063386</v>
      </c>
      <c r="H4263" s="38" t="n">
        <f aca="false">Sens!$H$4261+Sens!$H$4262</f>
        <v>241.059451517916</v>
      </c>
      <c r="I4263" s="38" t="n">
        <f aca="false">Sens!$I$4261+Sens!$I$4262</f>
        <v>312.152096351442</v>
      </c>
      <c r="J4263" s="38" t="n">
        <f aca="false">Sens!$J$4261+Sens!$J$4262</f>
        <v>379.424316597773</v>
      </c>
      <c r="K4263" s="38" t="n">
        <f aca="false">Sens!$K$4261+Sens!$K$4262</f>
        <v>439.919237244402</v>
      </c>
      <c r="L4263" s="38" t="n">
        <f aca="false">Sens!$L$4261+Sens!$L$4262</f>
        <v>501.954974491517</v>
      </c>
      <c r="M4263" s="38" t="n">
        <f aca="false">Sens!$M$4261+Sens!$M$4262</f>
        <v>565.639704466895</v>
      </c>
      <c r="N4263" s="38" t="n">
        <f aca="false">Q!$N$7</f>
        <v>60.14</v>
      </c>
      <c r="O4263" s="38" t="n">
        <f aca="false">Q!$O$7</f>
        <v>68.585</v>
      </c>
      <c r="P4263" s="5" t="s">
        <v>647</v>
      </c>
    </row>
    <row r="4264" customFormat="false" ht="15" hidden="false" customHeight="false" outlineLevel="0" collapsed="false">
      <c r="A4264" s="3" t="s">
        <v>648</v>
      </c>
      <c r="B4264" s="8" t="s">
        <v>73</v>
      </c>
      <c r="C4264" s="38" t="n">
        <f aca="false">Q!$D$8</f>
        <v>637.959</v>
      </c>
      <c r="D4264" s="38" t="n">
        <f aca="false">Q!$E$8</f>
        <v>716.924</v>
      </c>
      <c r="E4264" s="38" t="n">
        <f aca="false">Q!$P$8</f>
        <v>382.125</v>
      </c>
      <c r="F4264" s="38" t="n">
        <f aca="false">Sens!$F$4197+Sens!$F$4263</f>
        <v>450.494873271816</v>
      </c>
      <c r="G4264" s="38" t="n">
        <f aca="false">Sens!$G$4197+Sens!$G$4263</f>
        <v>832.619873271816</v>
      </c>
      <c r="H4264" s="38" t="n">
        <f aca="false">Sens!$H$4197+Sens!$H$4263</f>
        <v>970.995189139617</v>
      </c>
      <c r="I4264" s="38" t="n">
        <f aca="false">Sens!$I$4197+Sens!$I$4263</f>
        <v>1110.44766604932</v>
      </c>
      <c r="J4264" s="38" t="n">
        <f aca="false">Sens!$J$4197+Sens!$J$4263</f>
        <v>1241.16113892356</v>
      </c>
      <c r="K4264" s="38" t="n">
        <f aca="false">Sens!$K$4197+Sens!$K$4263</f>
        <v>1357.47672934633</v>
      </c>
      <c r="L4264" s="38" t="n">
        <f aca="false">Sens!$L$4197+Sens!$L$4263</f>
        <v>1479.24006423468</v>
      </c>
      <c r="M4264" s="38" t="n">
        <f aca="false">Sens!$M$4197+Sens!$M$4263</f>
        <v>1606.8537230104</v>
      </c>
      <c r="N4264" s="38" t="n">
        <f aca="false">Q!$N$8</f>
        <v>323.369</v>
      </c>
      <c r="O4264" s="38" t="n">
        <f aca="false">Q!$O$8</f>
        <v>393.555</v>
      </c>
    </row>
    <row r="4265" customFormat="false" ht="17.15" hidden="false" customHeight="false" outlineLevel="0" collapsed="false">
      <c r="A4265" s="24" t="s">
        <v>656</v>
      </c>
      <c r="B4265" s="25" t="s">
        <v>73</v>
      </c>
      <c r="C4265" s="39" t="n">
        <f aca="false">Sens!$C$4197-(Sens!$C$4199+Sens!$C$4200)</f>
        <v>0</v>
      </c>
      <c r="D4265" s="39" t="n">
        <f aca="false">Sens!$D$4197-(Sens!$D$4199+Sens!$D$4200)</f>
        <v>0</v>
      </c>
      <c r="E4265" s="39" t="n">
        <f aca="false">Sens!$E$4197-(Sens!$E$4199+Sens!$E$4200)</f>
        <v>0</v>
      </c>
      <c r="F4265" s="39" t="n">
        <f aca="false">Sens!$F$4197-(Sens!$F$4199+Sens!$F$4200)</f>
        <v>0</v>
      </c>
      <c r="G4265" s="39" t="n">
        <f aca="false">Sens!$G$4197-(Sens!$G$4199+Sens!$G$4200)</f>
        <v>0</v>
      </c>
      <c r="H4265" s="39" t="n">
        <f aca="false">Sens!$H$4197-(Sens!$H$4199+Sens!$H$4200)</f>
        <v>0</v>
      </c>
      <c r="I4265" s="39" t="n">
        <f aca="false">Sens!$I$4197-(Sens!$I$4199+Sens!$I$4200)</f>
        <v>0</v>
      </c>
      <c r="J4265" s="39" t="n">
        <f aca="false">Sens!$J$4197-(Sens!$J$4199+Sens!$J$4200)</f>
        <v>0</v>
      </c>
      <c r="K4265" s="39" t="n">
        <f aca="false">Sens!$K$4197-(Sens!$K$4199+Sens!$K$4200)</f>
        <v>0</v>
      </c>
      <c r="L4265" s="39" t="n">
        <f aca="false">Sens!$L$4197-(Sens!$L$4199+Sens!$L$4200)</f>
        <v>0</v>
      </c>
      <c r="M4265" s="39" t="n">
        <f aca="false">Sens!$M$4197-(Sens!$M$4199+Sens!$M$4200)</f>
        <v>0</v>
      </c>
      <c r="N4265" s="39" t="n">
        <f aca="false">Sens!$N$4197-(Sens!$N$4199+Sens!$N$4200)</f>
        <v>0</v>
      </c>
      <c r="O4265" s="39" t="n">
        <f aca="false">Sens!$O$4197-(Sens!$O$4199+Sens!$O$4200)</f>
        <v>0</v>
      </c>
    </row>
    <row r="4266" customFormat="false" ht="17.15" hidden="false" customHeight="false" outlineLevel="0" collapsed="false">
      <c r="A4266" s="24" t="s">
        <v>657</v>
      </c>
      <c r="B4266" s="25" t="s">
        <v>73</v>
      </c>
      <c r="C4266" s="39" t="n">
        <f aca="false">Sens!$C$4261+Sens!$C$4262-Sens!$C$4263</f>
        <v>0</v>
      </c>
      <c r="D4266" s="39" t="n">
        <f aca="false">Sens!$D$4261+Sens!$D$4262-Sens!$D$4263</f>
        <v>0</v>
      </c>
      <c r="E4266" s="39" t="n">
        <f aca="false">Sens!$E$4261+Sens!$E$4262-Sens!$E$4263</f>
        <v>0</v>
      </c>
      <c r="F4266" s="39" t="n">
        <f aca="false">Sens!$F$4261+Sens!$F$4262-Sens!$F$4263</f>
        <v>0</v>
      </c>
      <c r="G4266" s="39" t="n">
        <f aca="false">Sens!$G$4261+Sens!$G$4262-Sens!$G$4263</f>
        <v>0</v>
      </c>
      <c r="H4266" s="39" t="n">
        <f aca="false">Sens!$H$4261+Sens!$H$4262-Sens!$H$4263</f>
        <v>0</v>
      </c>
      <c r="I4266" s="39" t="n">
        <f aca="false">Sens!$I$4261+Sens!$I$4262-Sens!$I$4263</f>
        <v>0</v>
      </c>
      <c r="J4266" s="39" t="n">
        <f aca="false">Sens!$J$4261+Sens!$J$4262-Sens!$J$4263</f>
        <v>0</v>
      </c>
      <c r="K4266" s="39" t="n">
        <f aca="false">Sens!$K$4261+Sens!$K$4262-Sens!$K$4263</f>
        <v>0</v>
      </c>
      <c r="L4266" s="39" t="n">
        <f aca="false">Sens!$L$4261+Sens!$L$4262-Sens!$L$4263</f>
        <v>0</v>
      </c>
      <c r="M4266" s="39" t="n">
        <f aca="false">Sens!$M$4261+Sens!$M$4262-Sens!$M$4263</f>
        <v>0</v>
      </c>
      <c r="N4266" s="39" t="n">
        <f aca="false">Sens!$N$4261+Sens!$N$4262-Sens!$N$4263</f>
        <v>0</v>
      </c>
      <c r="O4266" s="39" t="n">
        <f aca="false">Sens!$O$4261+Sens!$O$4262-Sens!$O$4263</f>
        <v>0</v>
      </c>
    </row>
    <row r="4267" customFormat="false" ht="17.15" hidden="false" customHeight="false" outlineLevel="0" collapsed="false">
      <c r="A4267" s="24" t="s">
        <v>658</v>
      </c>
      <c r="B4267" s="25" t="s">
        <v>73</v>
      </c>
      <c r="C4267" s="39" t="n">
        <f aca="false">Sens!$C$4199+Sens!$C$4200+Sens!$C$4263-Sens!$C$4264</f>
        <v>0</v>
      </c>
      <c r="D4267" s="39" t="n">
        <f aca="false">Sens!$D$4199+Sens!$D$4200+Sens!$D$4263-Sens!$D$4264</f>
        <v>0</v>
      </c>
      <c r="E4267" s="39" t="n">
        <f aca="false">Sens!$E$4199+Sens!$E$4200+Sens!$E$4263-Sens!$E$4264</f>
        <v>0</v>
      </c>
      <c r="F4267" s="39" t="n">
        <f aca="false">Sens!$F$4199+Sens!$F$4200+Sens!$F$4263-Sens!$F$4264</f>
        <v>0</v>
      </c>
      <c r="G4267" s="39" t="n">
        <f aca="false">Sens!$G$4199+Sens!$G$4200+Sens!$G$4263-Sens!$G$4264</f>
        <v>0</v>
      </c>
      <c r="H4267" s="39" t="n">
        <f aca="false">Sens!$H$4199+Sens!$H$4200+Sens!$H$4263-Sens!$H$4264</f>
        <v>0</v>
      </c>
      <c r="I4267" s="39" t="n">
        <f aca="false">Sens!$I$4199+Sens!$I$4200+Sens!$I$4263-Sens!$I$4264</f>
        <v>0</v>
      </c>
      <c r="J4267" s="39" t="n">
        <f aca="false">Sens!$J$4199+Sens!$J$4200+Sens!$J$4263-Sens!$J$4264</f>
        <v>0</v>
      </c>
      <c r="K4267" s="39" t="n">
        <f aca="false">Sens!$K$4199+Sens!$K$4200+Sens!$K$4263-Sens!$K$4264</f>
        <v>0</v>
      </c>
      <c r="L4267" s="39" t="n">
        <f aca="false">Sens!$L$4199+Sens!$L$4200+Sens!$L$4263-Sens!$L$4264</f>
        <v>0</v>
      </c>
      <c r="M4267" s="39" t="n">
        <f aca="false">Sens!$M$4199+Sens!$M$4200+Sens!$M$4263-Sens!$M$4264</f>
        <v>0</v>
      </c>
      <c r="N4267" s="39" t="n">
        <f aca="false">Sens!$N$4199+Sens!$N$4200+Sens!$N$4263-Sens!$N$4264</f>
        <v>0</v>
      </c>
      <c r="O4267" s="39" t="n">
        <f aca="false">Sens!$O$4199+Sens!$O$4200+Sens!$O$4263-Sens!$O$4264</f>
        <v>0</v>
      </c>
    </row>
    <row r="4268" customFormat="false" ht="15" hidden="false" customHeight="false" outlineLevel="0" collapsed="false">
      <c r="A4268" s="5" t="s">
        <v>652</v>
      </c>
      <c r="B4268" s="0" t="s">
        <v>52</v>
      </c>
      <c r="G4268" s="12" t="n">
        <f aca="false">Sens!$G$4264/Sens!$D$4264-1</f>
        <v>0.161378156222718</v>
      </c>
      <c r="H4268" s="12" t="n">
        <f aca="false">Sens!$H$4264/Sens!$G$4264-1</f>
        <v>0.166192665236357</v>
      </c>
      <c r="I4268" s="12" t="n">
        <f aca="false">Sens!$I$4264/Sens!$H$4264-1</f>
        <v>0.143618092519351</v>
      </c>
      <c r="J4268" s="12" t="n">
        <f aca="false">Sens!$J$4264/Sens!$I$4264-1</f>
        <v>0.117712411733268</v>
      </c>
      <c r="K4268" s="12" t="n">
        <f aca="false">Sens!$K$4264/Sens!$J$4264-1</f>
        <v>0.0937151404237868</v>
      </c>
      <c r="L4268" s="12" t="n">
        <f aca="false">Sens!$L$4264/Sens!$K$4264-1</f>
        <v>0.0896982852494186</v>
      </c>
      <c r="M4268" s="12" t="n">
        <f aca="false">Sens!$M$4264/Sens!$L$4264-1</f>
        <v>0.0862697420528154</v>
      </c>
    </row>
    <row r="4269" customFormat="false" ht="17.15" hidden="false" customHeight="false" outlineLevel="0" collapsed="false">
      <c r="A4269" s="0" t="s">
        <v>653</v>
      </c>
      <c r="B4269" s="0" t="s">
        <v>52</v>
      </c>
      <c r="C4269" s="12" t="n">
        <f aca="false">Sens!$C$4263/Sens!$C$4264</f>
        <v>0.168593906504964</v>
      </c>
      <c r="D4269" s="12" t="n">
        <f aca="false">Sens!$D$4263/Sens!$D$4264</f>
        <v>0.179551807444025</v>
      </c>
      <c r="E4269" s="12" t="n">
        <f aca="false">Sens!$E$4263/Sens!$E$4264</f>
        <v>0.208881910369643</v>
      </c>
      <c r="F4269" s="12" t="n">
        <f aca="false">Sens!$F$4263/Sens!$F$4264</f>
        <v>0.207679264769203</v>
      </c>
      <c r="G4269" s="12" t="n">
        <f aca="false">Sens!$G$4263/Sens!$G$4264</f>
        <v>0.208231210458731</v>
      </c>
      <c r="H4269" s="12" t="n">
        <f aca="false">Sens!$H$4263/Sens!$H$4264</f>
        <v>0.248260191414043</v>
      </c>
      <c r="I4269" s="12" t="n">
        <f aca="false">Sens!$I$4263/Sens!$I$4264</f>
        <v>0.28110473450946</v>
      </c>
      <c r="J4269" s="12" t="n">
        <f aca="false">Sens!$J$4263/Sens!$J$4264</f>
        <v>0.30570109287086</v>
      </c>
      <c r="K4269" s="12" t="n">
        <f aca="false">Sens!$K$4263/Sens!$K$4264</f>
        <v>0.324071291782835</v>
      </c>
      <c r="L4269" s="12" t="n">
        <f aca="false">Sens!$L$4263/Sens!$L$4264</f>
        <v>0.339333003903741</v>
      </c>
      <c r="M4269" s="12" t="n">
        <f aca="false">Sens!$M$4263/Sens!$M$4264</f>
        <v>0.3520169237354</v>
      </c>
      <c r="N4269" s="12" t="n">
        <f aca="false">Sens!$N$4263/Sens!$N$4264</f>
        <v>0.185979484737251</v>
      </c>
      <c r="O4269" s="12" t="n">
        <f aca="false">Sens!$O$4263/Sens!$O$4264</f>
        <v>0.174270432341096</v>
      </c>
    </row>
    <row r="4270" customFormat="false" ht="17.15" hidden="false" customHeight="false" outlineLevel="0" collapsed="false">
      <c r="A4270" s="0" t="s">
        <v>654</v>
      </c>
      <c r="B4270" s="0" t="s">
        <v>52</v>
      </c>
      <c r="C4270" s="12" t="n">
        <f aca="false">Sens!$C$4261/Sens!$C$4263</f>
        <v>0.0215795060896058</v>
      </c>
      <c r="D4270" s="12" t="n">
        <f aca="false">Sens!$D$4261/Sens!$D$4263</f>
        <v>0.0676152269462122</v>
      </c>
      <c r="E4270" s="12" t="n">
        <f aca="false">Sens!$E$4261/Sens!$E$4263</f>
        <v>0.106620641395783</v>
      </c>
      <c r="F4270" s="12" t="n">
        <f aca="false">Sens!$F$4261/Sens!$F$4263</f>
        <v>0.159936751776064</v>
      </c>
      <c r="G4270" s="12" t="n">
        <f aca="false">Sens!$G$4261/Sens!$G$4263</f>
        <v>0.135391237003751</v>
      </c>
      <c r="H4270" s="12" t="n">
        <f aca="false">Sens!$H$4261/Sens!$H$4263</f>
        <v>0.249589428545194</v>
      </c>
      <c r="I4270" s="12" t="n">
        <f aca="false">Sens!$I$4261/Sens!$I$4263</f>
        <v>0.325173850577483</v>
      </c>
      <c r="J4270" s="12" t="n">
        <f aca="false">Sens!$J$4261/Sens!$J$4263</f>
        <v>0.376953718817392</v>
      </c>
      <c r="K4270" s="12" t="n">
        <f aca="false">Sens!$K$4261/Sens!$K$4263</f>
        <v>0.419641605578676</v>
      </c>
      <c r="L4270" s="12" t="n">
        <f aca="false">Sens!$L$4261/Sens!$L$4263</f>
        <v>0.450676451094615</v>
      </c>
      <c r="M4270" s="12" t="n">
        <f aca="false">Sens!$M$4261/Sens!$M$4263</f>
        <v>0.473526096798086</v>
      </c>
      <c r="N4270" s="12" t="n">
        <f aca="false">Sens!$N$4261/Sens!$N$4263</f>
        <v>0.0506537999838362</v>
      </c>
      <c r="O4270" s="12" t="n">
        <f aca="false">Sens!$O$4261/Sens!$O$4263</f>
        <v>0.0824881615167056</v>
      </c>
    </row>
    <row r="4273" customFormat="false" ht="19.4" hidden="false" customHeight="false" outlineLevel="0" collapsed="false">
      <c r="A4273" s="31" t="s">
        <v>1137</v>
      </c>
    </row>
    <row r="4274" customFormat="false" ht="17.15" hidden="false" customHeight="false" outlineLevel="0" collapsed="false">
      <c r="A4274" s="6" t="s">
        <v>16</v>
      </c>
      <c r="B4274" s="6" t="s">
        <v>17</v>
      </c>
      <c r="C4274" s="20" t="s">
        <v>457</v>
      </c>
      <c r="D4274" s="20" t="s">
        <v>458</v>
      </c>
      <c r="E4274" s="20" t="s">
        <v>540</v>
      </c>
      <c r="F4274" s="20" t="s">
        <v>541</v>
      </c>
      <c r="G4274" s="20" t="s">
        <v>542</v>
      </c>
      <c r="H4274" s="20" t="s">
        <v>543</v>
      </c>
      <c r="I4274" s="20" t="s">
        <v>544</v>
      </c>
      <c r="J4274" s="20" t="s">
        <v>545</v>
      </c>
      <c r="K4274" s="20" t="s">
        <v>546</v>
      </c>
      <c r="L4274" s="20" t="s">
        <v>547</v>
      </c>
      <c r="M4274" s="20" t="s">
        <v>548</v>
      </c>
      <c r="N4274" s="20" t="s">
        <v>549</v>
      </c>
      <c r="O4274" s="20" t="s">
        <v>550</v>
      </c>
      <c r="P4274" s="6" t="s">
        <v>23</v>
      </c>
      <c r="R4274" s="20" t="n">
        <v>2023</v>
      </c>
      <c r="S4274" s="20" t="n">
        <v>2024</v>
      </c>
      <c r="T4274" s="20" t="n">
        <v>2025</v>
      </c>
      <c r="U4274" s="20" t="n">
        <v>2026</v>
      </c>
      <c r="V4274" s="20" t="n">
        <v>2027</v>
      </c>
      <c r="W4274" s="20" t="n">
        <v>2028</v>
      </c>
      <c r="X4274" s="20" t="n">
        <v>2029</v>
      </c>
      <c r="Y4274" s="20" t="n">
        <v>2030</v>
      </c>
      <c r="Z4274" s="20" t="n">
        <v>2031</v>
      </c>
      <c r="AA4274" s="20" t="n">
        <v>2032</v>
      </c>
    </row>
    <row r="4275" customFormat="false" ht="17.15" hidden="false" customHeight="false" outlineLevel="0" collapsed="false">
      <c r="A4275" s="1" t="s">
        <v>669</v>
      </c>
    </row>
    <row r="4276" customFormat="false" ht="15" hidden="false" customHeight="false" outlineLevel="0" collapsed="false">
      <c r="A4276" s="0" t="s">
        <v>479</v>
      </c>
      <c r="B4276" s="0" t="s">
        <v>73</v>
      </c>
      <c r="C4276" s="38" t="n">
        <f aca="false">Sens!$C$4185</f>
        <v>247.029</v>
      </c>
      <c r="D4276" s="38" t="n">
        <f aca="false">Sens!$D$4185</f>
        <v>269.287</v>
      </c>
      <c r="E4276" s="38" t="n">
        <f aca="false">Sens!$E$4185</f>
        <v>134.686</v>
      </c>
      <c r="F4276" s="38" t="n">
        <f aca="false">Sens!$F$4185</f>
        <v>160.728085930082</v>
      </c>
      <c r="G4276" s="38" t="n">
        <f aca="false">Sens!$G$4185</f>
        <v>295.414085930082</v>
      </c>
      <c r="H4276" s="38" t="n">
        <f aca="false">Sens!$H$4185</f>
        <v>320.828163943375</v>
      </c>
      <c r="I4276" s="38" t="n">
        <f aca="false">Sens!$I$4185</f>
        <v>344.575578072228</v>
      </c>
      <c r="J4276" s="38" t="n">
        <f aca="false">Sens!$J$4185</f>
        <v>365.942555779681</v>
      </c>
      <c r="K4276" s="38" t="n">
        <f aca="false">Sens!$K$4185</f>
        <v>384.239683568665</v>
      </c>
      <c r="L4276" s="38" t="n">
        <f aca="false">Sens!$L$4185</f>
        <v>403.451667747098</v>
      </c>
      <c r="M4276" s="38" t="n">
        <f aca="false">Sens!$M$4185</f>
        <v>423.624251134453</v>
      </c>
      <c r="N4276" s="38" t="n">
        <f aca="false">Sens!$N$4185</f>
        <v>118.892</v>
      </c>
      <c r="O4276" s="38" t="n">
        <f aca="false">Sens!$O$4185</f>
        <v>150.395</v>
      </c>
    </row>
    <row r="4277" customFormat="false" ht="15" hidden="false" customHeight="false" outlineLevel="0" collapsed="false">
      <c r="A4277" s="0" t="s">
        <v>480</v>
      </c>
      <c r="B4277" s="0" t="s">
        <v>73</v>
      </c>
      <c r="C4277" s="38" t="n">
        <f aca="false">Sens!$C$4187</f>
        <v>21.215</v>
      </c>
      <c r="D4277" s="38" t="n">
        <f aca="false">Sens!$D$4187</f>
        <v>22.561</v>
      </c>
      <c r="E4277" s="38" t="n">
        <f aca="false">Sens!$E$4187</f>
        <v>11.579</v>
      </c>
      <c r="F4277" s="38" t="n">
        <f aca="false">Sens!$F$4187</f>
        <v>12.0952613121125</v>
      </c>
      <c r="G4277" s="38" t="n">
        <f aca="false">Sens!$G$4187</f>
        <v>23.6742613121125</v>
      </c>
      <c r="H4277" s="38" t="n">
        <f aca="false">Sens!$H$4187</f>
        <v>24.8803243963206</v>
      </c>
      <c r="I4277" s="38" t="n">
        <f aca="false">Sens!$I$4187</f>
        <v>25.9741308664154</v>
      </c>
      <c r="J4277" s="38" t="n">
        <f aca="false">Sens!$J$4187</f>
        <v>26.9346894124267</v>
      </c>
      <c r="K4277" s="38" t="n">
        <f aca="false">Sens!$K$4187</f>
        <v>27.7427300947995</v>
      </c>
      <c r="L4277" s="38" t="n">
        <f aca="false">Sens!$L$4187</f>
        <v>28.5750119976435</v>
      </c>
      <c r="M4277" s="38" t="n">
        <f aca="false">Sens!$M$4187</f>
        <v>29.4322623575728</v>
      </c>
      <c r="N4277" s="38" t="n">
        <f aca="false">Sens!$N$4187</f>
        <v>11.128</v>
      </c>
      <c r="O4277" s="38" t="n">
        <f aca="false">Sens!$O$4187</f>
        <v>11.433</v>
      </c>
    </row>
    <row r="4278" customFormat="false" ht="15" hidden="false" customHeight="false" outlineLevel="0" collapsed="false">
      <c r="A4278" s="0" t="s">
        <v>481</v>
      </c>
      <c r="B4278" s="0" t="s">
        <v>73</v>
      </c>
      <c r="C4278" s="38" t="n">
        <f aca="false">Sens!$C$4189</f>
        <v>156.146</v>
      </c>
      <c r="D4278" s="38" t="n">
        <f aca="false">Sens!$D$4189</f>
        <v>172.162</v>
      </c>
      <c r="E4278" s="38" t="n">
        <f aca="false">Sens!$E$4189</f>
        <v>88.358</v>
      </c>
      <c r="F4278" s="38" t="n">
        <f aca="false">Sens!$F$4189</f>
        <v>103.62028337149</v>
      </c>
      <c r="G4278" s="38" t="n">
        <f aca="false">Sens!$G$4189</f>
        <v>191.97828337149</v>
      </c>
      <c r="H4278" s="38" t="n">
        <f aca="false">Sens!$H$4189</f>
        <v>212.128608444755</v>
      </c>
      <c r="I4278" s="38" t="n">
        <f aca="false">Sens!$I$4189</f>
        <v>231.92183134134</v>
      </c>
      <c r="J4278" s="38" t="n">
        <f aca="false">Sens!$J$4189</f>
        <v>250.859136487863</v>
      </c>
      <c r="K4278" s="38" t="n">
        <f aca="false">Sens!$K$4189</f>
        <v>268.419276042014</v>
      </c>
      <c r="L4278" s="38" t="n">
        <f aca="false">Sens!$L$4189</f>
        <v>287.208625364954</v>
      </c>
      <c r="M4278" s="38" t="n">
        <f aca="false">Sens!$M$4189</f>
        <v>307.313229140501</v>
      </c>
      <c r="N4278" s="38" t="n">
        <f aca="false">Sens!$N$4189</f>
        <v>76.86</v>
      </c>
      <c r="O4278" s="38" t="n">
        <f aca="false">Sens!$O$4189</f>
        <v>95.302</v>
      </c>
    </row>
    <row r="4279" customFormat="false" ht="15" hidden="false" customHeight="false" outlineLevel="0" collapsed="false">
      <c r="A4279" s="0" t="s">
        <v>482</v>
      </c>
      <c r="B4279" s="0" t="s">
        <v>73</v>
      </c>
      <c r="C4279" s="38" t="n">
        <f aca="false">Sens!$C$4191</f>
        <v>56.214</v>
      </c>
      <c r="D4279" s="38" t="n">
        <f aca="false">Sens!$D$4191</f>
        <v>68.635</v>
      </c>
      <c r="E4279" s="38" t="n">
        <f aca="false">Sens!$E$4191</f>
        <v>37.052</v>
      </c>
      <c r="F4279" s="38" t="n">
        <f aca="false">Sens!$F$4191</f>
        <v>48.1533381827382</v>
      </c>
      <c r="G4279" s="38" t="n">
        <f aca="false">Sens!$G$4191</f>
        <v>85.2053381827382</v>
      </c>
      <c r="H4279" s="38" t="n">
        <f aca="false">Sens!$H$4191</f>
        <v>102.29336185894</v>
      </c>
      <c r="I4279" s="38" t="n">
        <f aca="false">Sens!$I$4191</f>
        <v>119.379837585241</v>
      </c>
      <c r="J4279" s="38" t="n">
        <f aca="false">Sens!$J$4191</f>
        <v>135.319079048844</v>
      </c>
      <c r="K4279" s="38" t="n">
        <f aca="false">Sens!$K$4191</f>
        <v>148.850986953729</v>
      </c>
      <c r="L4279" s="38" t="n">
        <f aca="false">Sens!$L$4191</f>
        <v>163.736085649102</v>
      </c>
      <c r="M4279" s="38" t="n">
        <f aca="false">Sens!$M$4191</f>
        <v>180.109694214012</v>
      </c>
      <c r="N4279" s="38" t="n">
        <f aca="false">Sens!$N$4191</f>
        <v>29.615</v>
      </c>
      <c r="O4279" s="38" t="n">
        <f aca="false">Sens!$O$4191</f>
        <v>39.02</v>
      </c>
    </row>
    <row r="4280" customFormat="false" ht="15" hidden="false" customHeight="false" outlineLevel="0" collapsed="false">
      <c r="A4280" s="0" t="s">
        <v>483</v>
      </c>
      <c r="B4280" s="0" t="s">
        <v>73</v>
      </c>
      <c r="C4280" s="38" t="n">
        <f aca="false">Sens!$C$4193</f>
        <v>44.374</v>
      </c>
      <c r="D4280" s="38" t="n">
        <f aca="false">Sens!$D$4193</f>
        <v>49.619</v>
      </c>
      <c r="E4280" s="38" t="n">
        <f aca="false">Sens!$E$4193</f>
        <v>27.157</v>
      </c>
      <c r="F4280" s="38" t="n">
        <f aca="false">Sens!$F$4193</f>
        <v>28.9776360923374</v>
      </c>
      <c r="G4280" s="38" t="n">
        <f aca="false">Sens!$G$4193</f>
        <v>56.1346360923374</v>
      </c>
      <c r="H4280" s="38" t="n">
        <f aca="false">Sens!$H$4193</f>
        <v>62.4937078946075</v>
      </c>
      <c r="I4280" s="38" t="n">
        <f aca="false">Sens!$I$4193</f>
        <v>68.6715233062498</v>
      </c>
      <c r="J4280" s="38" t="n">
        <f aca="false">Sens!$J$4193</f>
        <v>74.4692882949818</v>
      </c>
      <c r="K4280" s="38" t="n">
        <f aca="false">Sens!$K$4193</f>
        <v>79.6821384756306</v>
      </c>
      <c r="L4280" s="38" t="n">
        <f aca="false">Sens!$L$4193</f>
        <v>85.2598881689247</v>
      </c>
      <c r="M4280" s="38" t="n">
        <f aca="false">Sens!$M$4193</f>
        <v>91.2280803407494</v>
      </c>
      <c r="N4280" s="38" t="n">
        <f aca="false">Sens!$N$4193</f>
        <v>23.923</v>
      </c>
      <c r="O4280" s="38" t="n">
        <f aca="false">Sens!$O$4193</f>
        <v>25.696</v>
      </c>
    </row>
    <row r="4281" customFormat="false" ht="15" hidden="false" customHeight="false" outlineLevel="0" collapsed="false">
      <c r="A4281" s="0" t="s">
        <v>484</v>
      </c>
      <c r="B4281" s="0" t="s">
        <v>73</v>
      </c>
      <c r="C4281" s="38" t="n">
        <f aca="false">Sens!$C$4195</f>
        <v>5.425</v>
      </c>
      <c r="D4281" s="38" t="n">
        <f aca="false">Sens!$D$4195</f>
        <v>5.935</v>
      </c>
      <c r="E4281" s="38" t="n">
        <f aca="false">Sens!$E$4195</f>
        <v>3.474</v>
      </c>
      <c r="F4281" s="38" t="n">
        <f aca="false">Sens!$F$4195</f>
        <v>3.36182431966931</v>
      </c>
      <c r="G4281" s="38" t="n">
        <f aca="false">Sens!$G$4195</f>
        <v>6.83582431966931</v>
      </c>
      <c r="H4281" s="38" t="n">
        <f aca="false">Sens!$H$4195</f>
        <v>7.31157108370141</v>
      </c>
      <c r="I4281" s="38" t="n">
        <f aca="false">Sens!$I$4195</f>
        <v>7.77266852639815</v>
      </c>
      <c r="J4281" s="38" t="n">
        <f aca="false">Sens!$J$4195</f>
        <v>8.2120733019884</v>
      </c>
      <c r="K4281" s="38" t="n">
        <f aca="false">Sens!$K$4195</f>
        <v>8.62267696708783</v>
      </c>
      <c r="L4281" s="38" t="n">
        <f aca="false">Sens!$L$4195</f>
        <v>9.05381081544222</v>
      </c>
      <c r="M4281" s="38" t="n">
        <f aca="false">Sens!$M$4195</f>
        <v>9.50650135621433</v>
      </c>
      <c r="N4281" s="38" t="n">
        <f aca="false">Sens!$N$4195</f>
        <v>2.811</v>
      </c>
      <c r="O4281" s="38" t="n">
        <f aca="false">Sens!$O$4195</f>
        <v>3.124</v>
      </c>
    </row>
    <row r="4282" customFormat="false" ht="17.15" hidden="false" customHeight="false" outlineLevel="0" collapsed="false">
      <c r="A4282" s="0" t="s">
        <v>670</v>
      </c>
      <c r="B4282" s="0" t="s">
        <v>73</v>
      </c>
      <c r="C4282" s="38" t="n">
        <f aca="false">Sens!$C$4263</f>
        <v>107.556</v>
      </c>
      <c r="D4282" s="38" t="n">
        <f aca="false">Sens!$D$4263</f>
        <v>128.725</v>
      </c>
      <c r="E4282" s="38" t="n">
        <f aca="false">Sens!$E$4263</f>
        <v>79.819</v>
      </c>
      <c r="F4282" s="38" t="n">
        <f aca="false">Sens!$F$4263</f>
        <v>93.5584440633857</v>
      </c>
      <c r="G4282" s="38" t="n">
        <f aca="false">Sens!$G$4263</f>
        <v>173.377444063386</v>
      </c>
      <c r="H4282" s="38" t="n">
        <f aca="false">Sens!$H$4263</f>
        <v>241.059451517916</v>
      </c>
      <c r="I4282" s="38" t="n">
        <f aca="false">Sens!$I$4263</f>
        <v>312.152096351442</v>
      </c>
      <c r="J4282" s="38" t="n">
        <f aca="false">Sens!$J$4263</f>
        <v>379.424316597773</v>
      </c>
      <c r="K4282" s="38" t="n">
        <f aca="false">Sens!$K$4263</f>
        <v>439.919237244402</v>
      </c>
      <c r="L4282" s="38" t="n">
        <f aca="false">Sens!$L$4263</f>
        <v>501.954974491517</v>
      </c>
      <c r="M4282" s="38" t="n">
        <f aca="false">Sens!$M$4263</f>
        <v>565.639704466895</v>
      </c>
      <c r="N4282" s="38" t="n">
        <f aca="false">Sens!$N$4263</f>
        <v>60.14</v>
      </c>
      <c r="O4282" s="38" t="n">
        <f aca="false">Sens!$O$4263</f>
        <v>68.585</v>
      </c>
    </row>
    <row r="4283" customFormat="false" ht="15" hidden="false" customHeight="false" outlineLevel="0" collapsed="false">
      <c r="A4283" s="1" t="s">
        <v>472</v>
      </c>
      <c r="B4283" s="8" t="s">
        <v>73</v>
      </c>
      <c r="C4283" s="38" t="n">
        <f aca="false">Sens!$C$4199</f>
        <v>387.497</v>
      </c>
      <c r="D4283" s="38" t="n">
        <f aca="false">Sens!$D$4199</f>
        <v>426.305</v>
      </c>
      <c r="E4283" s="38" t="n">
        <f aca="false">Sens!$E$4199</f>
        <v>220.32</v>
      </c>
      <c r="F4283" s="38" t="n">
        <f aca="false">Sens!$F$4199</f>
        <v>256.304015003807</v>
      </c>
      <c r="G4283" s="38" t="n">
        <f aca="false">Sens!$G$4199</f>
        <v>476.624015003807</v>
      </c>
      <c r="H4283" s="38" t="n">
        <f aca="false">Sens!$H$4199</f>
        <v>527.734391091543</v>
      </c>
      <c r="I4283" s="38" t="n">
        <f aca="false">Sens!$I$4199</f>
        <v>577.157693029577</v>
      </c>
      <c r="J4283" s="38" t="n">
        <f aca="false">Sens!$J$4199</f>
        <v>623.024923663827</v>
      </c>
      <c r="K4283" s="38" t="n">
        <f aca="false">Sens!$K$4199</f>
        <v>663.382568393781</v>
      </c>
      <c r="L4283" s="38" t="n">
        <f aca="false">Sens!$L$4199</f>
        <v>706.564873010432</v>
      </c>
      <c r="M4283" s="38" t="n">
        <f aca="false">Sens!$M$4199</f>
        <v>752.784687406019</v>
      </c>
      <c r="N4283" s="38" t="n">
        <f aca="false">Sens!$N$4199</f>
        <v>192.955</v>
      </c>
      <c r="O4283" s="38" t="n">
        <f aca="false">Sens!$O$4199</f>
        <v>233.35</v>
      </c>
    </row>
    <row r="4284" customFormat="false" ht="15" hidden="false" customHeight="false" outlineLevel="0" collapsed="false">
      <c r="A4284" s="1" t="s">
        <v>475</v>
      </c>
      <c r="B4284" s="8" t="s">
        <v>73</v>
      </c>
      <c r="C4284" s="38" t="n">
        <f aca="false">Sens!$C$4200</f>
        <v>142.906</v>
      </c>
      <c r="D4284" s="38" t="n">
        <f aca="false">Sens!$D$4200</f>
        <v>161.894</v>
      </c>
      <c r="E4284" s="38" t="n">
        <f aca="false">Sens!$E$4200</f>
        <v>81.986</v>
      </c>
      <c r="F4284" s="38" t="n">
        <f aca="false">Sens!$F$4200</f>
        <v>100.632414204623</v>
      </c>
      <c r="G4284" s="38" t="n">
        <f aca="false">Sens!$G$4200</f>
        <v>182.618414204623</v>
      </c>
      <c r="H4284" s="38" t="n">
        <f aca="false">Sens!$H$4200</f>
        <v>202.201346530158</v>
      </c>
      <c r="I4284" s="38" t="n">
        <f aca="false">Sens!$I$4200</f>
        <v>221.137876668296</v>
      </c>
      <c r="J4284" s="38" t="n">
        <f aca="false">Sens!$J$4200</f>
        <v>238.711898661958</v>
      </c>
      <c r="K4284" s="38" t="n">
        <f aca="false">Sens!$K$4200</f>
        <v>254.174923708144</v>
      </c>
      <c r="L4284" s="38" t="n">
        <f aca="false">Sens!$L$4200</f>
        <v>270.720216732733</v>
      </c>
      <c r="M4284" s="38" t="n">
        <f aca="false">Sens!$M$4200</f>
        <v>288.429331137484</v>
      </c>
      <c r="N4284" s="38" t="n">
        <f aca="false">Sens!$N$4200</f>
        <v>70.274</v>
      </c>
      <c r="O4284" s="38" t="n">
        <f aca="false">Sens!$O$4200</f>
        <v>91.62</v>
      </c>
    </row>
    <row r="4285" customFormat="false" ht="15" hidden="false" customHeight="false" outlineLevel="0" collapsed="false">
      <c r="A4285" s="1" t="s">
        <v>476</v>
      </c>
      <c r="B4285" s="8" t="s">
        <v>73</v>
      </c>
      <c r="C4285" s="38" t="n">
        <f aca="false">Sens!$C$4263</f>
        <v>107.556</v>
      </c>
      <c r="D4285" s="38" t="n">
        <f aca="false">Sens!$D$4263</f>
        <v>128.725</v>
      </c>
      <c r="E4285" s="38" t="n">
        <f aca="false">Sens!$E$4263</f>
        <v>79.819</v>
      </c>
      <c r="F4285" s="38" t="n">
        <f aca="false">Sens!$F$4263</f>
        <v>93.5584440633857</v>
      </c>
      <c r="G4285" s="38" t="n">
        <f aca="false">Sens!$G$4263</f>
        <v>173.377444063386</v>
      </c>
      <c r="H4285" s="38" t="n">
        <f aca="false">Sens!$H$4263</f>
        <v>241.059451517916</v>
      </c>
      <c r="I4285" s="38" t="n">
        <f aca="false">Sens!$I$4263</f>
        <v>312.152096351442</v>
      </c>
      <c r="J4285" s="38" t="n">
        <f aca="false">Sens!$J$4263</f>
        <v>379.424316597773</v>
      </c>
      <c r="K4285" s="38" t="n">
        <f aca="false">Sens!$K$4263</f>
        <v>439.919237244402</v>
      </c>
      <c r="L4285" s="38" t="n">
        <f aca="false">Sens!$L$4263</f>
        <v>501.954974491517</v>
      </c>
      <c r="M4285" s="38" t="n">
        <f aca="false">Sens!$M$4263</f>
        <v>565.639704466895</v>
      </c>
      <c r="N4285" s="38" t="n">
        <f aca="false">Sens!$N$4263</f>
        <v>60.14</v>
      </c>
      <c r="O4285" s="38" t="n">
        <f aca="false">Sens!$O$4263</f>
        <v>68.585</v>
      </c>
    </row>
    <row r="4286" customFormat="false" ht="17.15" hidden="false" customHeight="false" outlineLevel="0" collapsed="false">
      <c r="A4286" s="0" t="s">
        <v>644</v>
      </c>
      <c r="B4286" s="0" t="s">
        <v>73</v>
      </c>
      <c r="C4286" s="38" t="n">
        <f aca="false">Sens!$C$4261</f>
        <v>2.32100535697364</v>
      </c>
      <c r="D4286" s="38" t="n">
        <f aca="false">Sens!$D$4261</f>
        <v>8.70377008865116</v>
      </c>
      <c r="E4286" s="38" t="n">
        <f aca="false">Sens!$E$4261</f>
        <v>8.51035297557002</v>
      </c>
      <c r="F4286" s="38" t="n">
        <f aca="false">Sens!$F$4261</f>
        <v>14.9634336447205</v>
      </c>
      <c r="G4286" s="38" t="n">
        <f aca="false">Sens!$G$4261</f>
        <v>23.4737866202905</v>
      </c>
      <c r="H4286" s="38" t="n">
        <f aca="false">Sens!$H$4261</f>
        <v>60.1658907497746</v>
      </c>
      <c r="I4286" s="38" t="n">
        <f aca="false">Sens!$I$4261</f>
        <v>101.503699136432</v>
      </c>
      <c r="J4286" s="38" t="n">
        <f aca="false">Sens!$J$4261</f>
        <v>143.025407151278</v>
      </c>
      <c r="K4286" s="38" t="n">
        <f aca="false">Sens!$K$4261</f>
        <v>184.608415042187</v>
      </c>
      <c r="L4286" s="38" t="n">
        <f aca="false">Sens!$L$4261</f>
        <v>226.219286513125</v>
      </c>
      <c r="M4286" s="38" t="n">
        <f aca="false">Sens!$M$4261</f>
        <v>267.845161450232</v>
      </c>
      <c r="N4286" s="38" t="n">
        <f aca="false">Sens!$N$4261</f>
        <v>3.04631953102791</v>
      </c>
      <c r="O4286" s="38" t="n">
        <f aca="false">Sens!$O$4261</f>
        <v>5.65745055762326</v>
      </c>
    </row>
    <row r="4287" customFormat="false" ht="17.15" hidden="false" customHeight="false" outlineLevel="0" collapsed="false">
      <c r="A4287" s="0" t="s">
        <v>646</v>
      </c>
      <c r="B4287" s="0" t="s">
        <v>73</v>
      </c>
      <c r="C4287" s="38" t="n">
        <f aca="false">Sens!$C$4262</f>
        <v>105.234994643026</v>
      </c>
      <c r="D4287" s="38" t="n">
        <f aca="false">Sens!$D$4262</f>
        <v>120.021229911349</v>
      </c>
      <c r="E4287" s="38" t="n">
        <f aca="false">Sens!$E$4262</f>
        <v>71.30864702443</v>
      </c>
      <c r="F4287" s="38" t="n">
        <f aca="false">Sens!$F$4262</f>
        <v>78.5950104186653</v>
      </c>
      <c r="G4287" s="38" t="n">
        <f aca="false">Sens!$G$4262</f>
        <v>149.903657443095</v>
      </c>
      <c r="H4287" s="38" t="n">
        <f aca="false">Sens!$H$4262</f>
        <v>180.893560768142</v>
      </c>
      <c r="I4287" s="38" t="n">
        <f aca="false">Sens!$I$4262</f>
        <v>210.64839721501</v>
      </c>
      <c r="J4287" s="38" t="n">
        <f aca="false">Sens!$J$4262</f>
        <v>236.398909446495</v>
      </c>
      <c r="K4287" s="38" t="n">
        <f aca="false">Sens!$K$4262</f>
        <v>255.310822202215</v>
      </c>
      <c r="L4287" s="38" t="n">
        <f aca="false">Sens!$L$4262</f>
        <v>275.735687978392</v>
      </c>
      <c r="M4287" s="38" t="n">
        <f aca="false">Sens!$M$4262</f>
        <v>297.794543016663</v>
      </c>
      <c r="N4287" s="38" t="n">
        <f aca="false">Sens!$N$4262</f>
        <v>57.0936804689721</v>
      </c>
      <c r="O4287" s="38" t="n">
        <f aca="false">Sens!$O$4262</f>
        <v>62.9275494423768</v>
      </c>
    </row>
    <row r="4288" customFormat="false" ht="15" hidden="false" customHeight="false" outlineLevel="0" collapsed="false">
      <c r="A4288" s="3" t="s">
        <v>477</v>
      </c>
      <c r="B4288" s="8" t="s">
        <v>73</v>
      </c>
      <c r="C4288" s="38" t="n">
        <f aca="false">Sens!$C$4264</f>
        <v>637.959</v>
      </c>
      <c r="D4288" s="38" t="n">
        <f aca="false">Sens!$D$4264</f>
        <v>716.924</v>
      </c>
      <c r="E4288" s="38" t="n">
        <f aca="false">Sens!$E$4264</f>
        <v>382.125</v>
      </c>
      <c r="F4288" s="38" t="n">
        <f aca="false">Sens!$F$4264</f>
        <v>450.494873271816</v>
      </c>
      <c r="G4288" s="38" t="n">
        <f aca="false">Sens!$G$4264</f>
        <v>832.619873271816</v>
      </c>
      <c r="H4288" s="38" t="n">
        <f aca="false">Sens!$H$4264</f>
        <v>970.995189139617</v>
      </c>
      <c r="I4288" s="38" t="n">
        <f aca="false">Sens!$I$4264</f>
        <v>1110.44766604932</v>
      </c>
      <c r="J4288" s="38" t="n">
        <f aca="false">Sens!$J$4264</f>
        <v>1241.16113892356</v>
      </c>
      <c r="K4288" s="38" t="n">
        <f aca="false">Sens!$K$4264</f>
        <v>1357.47672934633</v>
      </c>
      <c r="L4288" s="38" t="n">
        <f aca="false">Sens!$L$4264</f>
        <v>1479.24006423468</v>
      </c>
      <c r="M4288" s="38" t="n">
        <f aca="false">Sens!$M$4264</f>
        <v>1606.8537230104</v>
      </c>
      <c r="N4288" s="38" t="n">
        <f aca="false">Sens!$N$4264</f>
        <v>323.369</v>
      </c>
      <c r="O4288" s="38" t="n">
        <f aca="false">Sens!$O$4264</f>
        <v>393.555</v>
      </c>
    </row>
    <row r="4289" customFormat="false" ht="17.15" hidden="false" customHeight="false" outlineLevel="0" collapsed="false">
      <c r="A4289" s="24" t="s">
        <v>656</v>
      </c>
      <c r="B4289" s="25" t="s">
        <v>73</v>
      </c>
      <c r="C4289" s="39" t="n">
        <f aca="false">Sens!$C$4276+Sens!$C$4277+Sens!$C$4278+Sens!$C$4279+Sens!$C$4280+Sens!$C$4281-(Sens!$C$4283+Sens!$C$4284)</f>
        <v>0</v>
      </c>
      <c r="D4289" s="39" t="n">
        <f aca="false">Sens!$D$4276+Sens!$D$4277+Sens!$D$4278+Sens!$D$4279+Sens!$D$4280+Sens!$D$4281-(Sens!$D$4283+Sens!$D$4284)</f>
        <v>0</v>
      </c>
      <c r="E4289" s="39" t="n">
        <f aca="false">Sens!$E$4276+Sens!$E$4277+Sens!$E$4278+Sens!$E$4279+Sens!$E$4280+Sens!$E$4281-(Sens!$E$4283+Sens!$E$4284)</f>
        <v>0</v>
      </c>
      <c r="F4289" s="39" t="n">
        <f aca="false">Sens!$F$4276+Sens!$F$4277+Sens!$F$4278+Sens!$F$4279+Sens!$F$4280+Sens!$F$4281-(Sens!$F$4283+Sens!$F$4284)</f>
        <v>0</v>
      </c>
      <c r="G4289" s="39" t="n">
        <f aca="false">Sens!$G$4276+Sens!$G$4277+Sens!$G$4278+Sens!$G$4279+Sens!$G$4280+Sens!$G$4281-(Sens!$G$4283+Sens!$G$4284)</f>
        <v>0</v>
      </c>
      <c r="H4289" s="39" t="n">
        <f aca="false">Sens!$H$4276+Sens!$H$4277+Sens!$H$4278+Sens!$H$4279+Sens!$H$4280+Sens!$H$4281-(Sens!$H$4283+Sens!$H$4284)</f>
        <v>0</v>
      </c>
      <c r="I4289" s="39" t="n">
        <f aca="false">Sens!$I$4276+Sens!$I$4277+Sens!$I$4278+Sens!$I$4279+Sens!$I$4280+Sens!$I$4281-(Sens!$I$4283+Sens!$I$4284)</f>
        <v>0</v>
      </c>
      <c r="J4289" s="39" t="n">
        <f aca="false">Sens!$J$4276+Sens!$J$4277+Sens!$J$4278+Sens!$J$4279+Sens!$J$4280+Sens!$J$4281-(Sens!$J$4283+Sens!$J$4284)</f>
        <v>0</v>
      </c>
      <c r="K4289" s="39" t="n">
        <f aca="false">Sens!$K$4276+Sens!$K$4277+Sens!$K$4278+Sens!$K$4279+Sens!$K$4280+Sens!$K$4281-(Sens!$K$4283+Sens!$K$4284)</f>
        <v>0</v>
      </c>
      <c r="L4289" s="39" t="n">
        <f aca="false">Sens!$L$4276+Sens!$L$4277+Sens!$L$4278+Sens!$L$4279+Sens!$L$4280+Sens!$L$4281-(Sens!$L$4283+Sens!$L$4284)</f>
        <v>0</v>
      </c>
      <c r="M4289" s="39" t="n">
        <f aca="false">Sens!$M$4276+Sens!$M$4277+Sens!$M$4278+Sens!$M$4279+Sens!$M$4280+Sens!$M$4281-(Sens!$M$4283+Sens!$M$4284)</f>
        <v>0</v>
      </c>
      <c r="N4289" s="39" t="n">
        <f aca="false">Sens!$N$4276+Sens!$N$4277+Sens!$N$4278+Sens!$N$4279+Sens!$N$4280+Sens!$N$4281-(Sens!$N$4283+Sens!$N$4284)</f>
        <v>0</v>
      </c>
      <c r="O4289" s="39" t="n">
        <f aca="false">Sens!$O$4276+Sens!$O$4277+Sens!$O$4278+Sens!$O$4279+Sens!$O$4280+Sens!$O$4281-(Sens!$O$4283+Sens!$O$4284)</f>
        <v>0</v>
      </c>
    </row>
    <row r="4290" customFormat="false" ht="17.15" hidden="false" customHeight="false" outlineLevel="0" collapsed="false">
      <c r="A4290" s="24" t="s">
        <v>657</v>
      </c>
      <c r="B4290" s="25" t="s">
        <v>73</v>
      </c>
      <c r="C4290" s="39" t="n">
        <f aca="false">Sens!$C$4286+Sens!$C$4287-Sens!$C$4285</f>
        <v>0</v>
      </c>
      <c r="D4290" s="39" t="n">
        <f aca="false">Sens!$D$4286+Sens!$D$4287-Sens!$D$4285</f>
        <v>0</v>
      </c>
      <c r="E4290" s="39" t="n">
        <f aca="false">Sens!$E$4286+Sens!$E$4287-Sens!$E$4285</f>
        <v>0</v>
      </c>
      <c r="F4290" s="39" t="n">
        <f aca="false">Sens!$F$4286+Sens!$F$4287-Sens!$F$4285</f>
        <v>0</v>
      </c>
      <c r="G4290" s="39" t="n">
        <f aca="false">Sens!$G$4286+Sens!$G$4287-Sens!$G$4285</f>
        <v>0</v>
      </c>
      <c r="H4290" s="39" t="n">
        <f aca="false">Sens!$H$4286+Sens!$H$4287-Sens!$H$4285</f>
        <v>0</v>
      </c>
      <c r="I4290" s="39" t="n">
        <f aca="false">Sens!$I$4286+Sens!$I$4287-Sens!$I$4285</f>
        <v>0</v>
      </c>
      <c r="J4290" s="39" t="n">
        <f aca="false">Sens!$J$4286+Sens!$J$4287-Sens!$J$4285</f>
        <v>0</v>
      </c>
      <c r="K4290" s="39" t="n">
        <f aca="false">Sens!$K$4286+Sens!$K$4287-Sens!$K$4285</f>
        <v>0</v>
      </c>
      <c r="L4290" s="39" t="n">
        <f aca="false">Sens!$L$4286+Sens!$L$4287-Sens!$L$4285</f>
        <v>0</v>
      </c>
      <c r="M4290" s="39" t="n">
        <f aca="false">Sens!$M$4286+Sens!$M$4287-Sens!$M$4285</f>
        <v>0</v>
      </c>
      <c r="N4290" s="39" t="n">
        <f aca="false">Sens!$N$4286+Sens!$N$4287-Sens!$N$4285</f>
        <v>0</v>
      </c>
      <c r="O4290" s="39" t="n">
        <f aca="false">Sens!$O$4286+Sens!$O$4287-Sens!$O$4285</f>
        <v>0</v>
      </c>
    </row>
    <row r="4291" customFormat="false" ht="17.15" hidden="false" customHeight="false" outlineLevel="0" collapsed="false">
      <c r="A4291" s="24" t="s">
        <v>711</v>
      </c>
      <c r="B4291" s="25" t="s">
        <v>73</v>
      </c>
      <c r="C4291" s="39" t="n">
        <f aca="false">Sens!$C$4276+Sens!$C$4277+Sens!$C$4278+Sens!$C$4279+Sens!$C$4280+Sens!$C$4281+Sens!$C$4282-Sens!$C$4288</f>
        <v>0</v>
      </c>
      <c r="D4291" s="39" t="n">
        <f aca="false">Sens!$D$4276+Sens!$D$4277+Sens!$D$4278+Sens!$D$4279+Sens!$D$4280+Sens!$D$4281+Sens!$D$4282-Sens!$D$4288</f>
        <v>0</v>
      </c>
      <c r="E4291" s="39" t="n">
        <f aca="false">Sens!$E$4276+Sens!$E$4277+Sens!$E$4278+Sens!$E$4279+Sens!$E$4280+Sens!$E$4281+Sens!$E$4282-Sens!$E$4288</f>
        <v>0</v>
      </c>
      <c r="F4291" s="39" t="n">
        <f aca="false">Sens!$F$4276+Sens!$F$4277+Sens!$F$4278+Sens!$F$4279+Sens!$F$4280+Sens!$F$4281+Sens!$F$4282-Sens!$F$4288</f>
        <v>0</v>
      </c>
      <c r="G4291" s="39" t="n">
        <f aca="false">Sens!$G$4276+Sens!$G$4277+Sens!$G$4278+Sens!$G$4279+Sens!$G$4280+Sens!$G$4281+Sens!$G$4282-Sens!$G$4288</f>
        <v>0</v>
      </c>
      <c r="H4291" s="39" t="n">
        <f aca="false">Sens!$H$4276+Sens!$H$4277+Sens!$H$4278+Sens!$H$4279+Sens!$H$4280+Sens!$H$4281+Sens!$H$4282-Sens!$H$4288</f>
        <v>0</v>
      </c>
      <c r="I4291" s="39" t="n">
        <f aca="false">Sens!$I$4276+Sens!$I$4277+Sens!$I$4278+Sens!$I$4279+Sens!$I$4280+Sens!$I$4281+Sens!$I$4282-Sens!$I$4288</f>
        <v>0</v>
      </c>
      <c r="J4291" s="39" t="n">
        <f aca="false">Sens!$J$4276+Sens!$J$4277+Sens!$J$4278+Sens!$J$4279+Sens!$J$4280+Sens!$J$4281+Sens!$J$4282-Sens!$J$4288</f>
        <v>0</v>
      </c>
      <c r="K4291" s="39" t="n">
        <f aca="false">Sens!$K$4276+Sens!$K$4277+Sens!$K$4278+Sens!$K$4279+Sens!$K$4280+Sens!$K$4281+Sens!$K$4282-Sens!$K$4288</f>
        <v>0</v>
      </c>
      <c r="L4291" s="39" t="n">
        <f aca="false">Sens!$L$4276+Sens!$L$4277+Sens!$L$4278+Sens!$L$4279+Sens!$L$4280+Sens!$L$4281+Sens!$L$4282-Sens!$L$4288</f>
        <v>0</v>
      </c>
      <c r="M4291" s="39" t="n">
        <f aca="false">Sens!$M$4276+Sens!$M$4277+Sens!$M$4278+Sens!$M$4279+Sens!$M$4280+Sens!$M$4281+Sens!$M$4282-Sens!$M$4288</f>
        <v>0</v>
      </c>
      <c r="N4291" s="39" t="n">
        <f aca="false">Sens!$N$4276+Sens!$N$4277+Sens!$N$4278+Sens!$N$4279+Sens!$N$4280+Sens!$N$4281+Sens!$N$4282-Sens!$N$4288</f>
        <v>0</v>
      </c>
      <c r="O4291" s="39" t="n">
        <f aca="false">Sens!$O$4276+Sens!$O$4277+Sens!$O$4278+Sens!$O$4279+Sens!$O$4280+Sens!$O$4281+Sens!$O$4282-Sens!$O$4288</f>
        <v>0</v>
      </c>
    </row>
    <row r="4292" customFormat="false" ht="17.15" hidden="false" customHeight="false" outlineLevel="0" collapsed="false">
      <c r="A4292" s="24" t="s">
        <v>658</v>
      </c>
      <c r="B4292" s="25" t="s">
        <v>73</v>
      </c>
      <c r="C4292" s="39" t="n">
        <f aca="false">Sens!$C$4283+Sens!$C$4284+Sens!$C$4285-Sens!$C$4288</f>
        <v>0</v>
      </c>
      <c r="D4292" s="39" t="n">
        <f aca="false">Sens!$D$4283+Sens!$D$4284+Sens!$D$4285-Sens!$D$4288</f>
        <v>0</v>
      </c>
      <c r="E4292" s="39" t="n">
        <f aca="false">Sens!$E$4283+Sens!$E$4284+Sens!$E$4285-Sens!$E$4288</f>
        <v>0</v>
      </c>
      <c r="F4292" s="39" t="n">
        <f aca="false">Sens!$F$4283+Sens!$F$4284+Sens!$F$4285-Sens!$F$4288</f>
        <v>0</v>
      </c>
      <c r="G4292" s="39" t="n">
        <f aca="false">Sens!$G$4283+Sens!$G$4284+Sens!$G$4285-Sens!$G$4288</f>
        <v>0</v>
      </c>
      <c r="H4292" s="39" t="n">
        <f aca="false">Sens!$H$4283+Sens!$H$4284+Sens!$H$4285-Sens!$H$4288</f>
        <v>0</v>
      </c>
      <c r="I4292" s="39" t="n">
        <f aca="false">Sens!$I$4283+Sens!$I$4284+Sens!$I$4285-Sens!$I$4288</f>
        <v>0</v>
      </c>
      <c r="J4292" s="39" t="n">
        <f aca="false">Sens!$J$4283+Sens!$J$4284+Sens!$J$4285-Sens!$J$4288</f>
        <v>0</v>
      </c>
      <c r="K4292" s="39" t="n">
        <f aca="false">Sens!$K$4283+Sens!$K$4284+Sens!$K$4285-Sens!$K$4288</f>
        <v>0</v>
      </c>
      <c r="L4292" s="39" t="n">
        <f aca="false">Sens!$L$4283+Sens!$L$4284+Sens!$L$4285-Sens!$L$4288</f>
        <v>0</v>
      </c>
      <c r="M4292" s="39" t="n">
        <f aca="false">Sens!$M$4283+Sens!$M$4284+Sens!$M$4285-Sens!$M$4288</f>
        <v>0</v>
      </c>
      <c r="N4292" s="39" t="n">
        <f aca="false">Sens!$N$4283+Sens!$N$4284+Sens!$N$4285-Sens!$N$4288</f>
        <v>0</v>
      </c>
      <c r="O4292" s="39" t="n">
        <f aca="false">Sens!$O$4283+Sens!$O$4284+Sens!$O$4285-Sens!$O$4288</f>
        <v>0</v>
      </c>
    </row>
    <row r="4293" customFormat="false" ht="17.15" hidden="false" customHeight="false" outlineLevel="0" collapsed="false">
      <c r="A4293" s="1" t="s">
        <v>672</v>
      </c>
    </row>
    <row r="4294" customFormat="false" ht="17.15" hidden="false" customHeight="false" outlineLevel="0" collapsed="false">
      <c r="A4294" s="0" t="s">
        <v>673</v>
      </c>
      <c r="B4294" s="0" t="s">
        <v>73</v>
      </c>
      <c r="C4294" s="38" t="n">
        <f aca="false">Sens!$C$4201*m_ad</f>
        <v>20.5341564414228</v>
      </c>
      <c r="D4294" s="38" t="n">
        <f aca="false">Sens!$D$4201*m_ad</f>
        <v>24.8720617299587</v>
      </c>
      <c r="E4294" s="38" t="n">
        <f aca="false">Sens!$E$4201*m_ad</f>
        <v>13.5017112462207</v>
      </c>
      <c r="F4294" s="38" t="n">
        <f aca="false">Sens!$F$4201*m_ad</f>
        <v>17.2886442824599</v>
      </c>
      <c r="G4294" s="38" t="n">
        <f aca="false">Sens!$G$4201*m_ad</f>
        <v>30.8011958765886</v>
      </c>
      <c r="H4294" s="38" t="n">
        <f aca="false">Sens!$H$4201*m_ad</f>
        <v>36.978409366026</v>
      </c>
      <c r="I4294" s="38" t="n">
        <f aca="false">Sens!$I$4201*m_ad</f>
        <v>43.155063281273</v>
      </c>
      <c r="J4294" s="38" t="n">
        <f aca="false">Sens!$J$4201*m_ad</f>
        <v>48.9169991988532</v>
      </c>
      <c r="K4294" s="38" t="n">
        <f aca="false">Sens!$K$4201*m_ad</f>
        <v>53.8086991187386</v>
      </c>
      <c r="L4294" s="38" t="n">
        <f aca="false">Sens!$L$4201*m_ad</f>
        <v>59.1895690306124</v>
      </c>
      <c r="M4294" s="38" t="n">
        <f aca="false">Sens!$M$4201*m_ad</f>
        <v>65.1085259336737</v>
      </c>
      <c r="N4294" s="38" t="n">
        <f aca="false">Sens!$N$4201*m_ad</f>
        <v>10.8543555706248</v>
      </c>
      <c r="O4294" s="38" t="n">
        <f aca="false">Sens!$O$4201*m_ad</f>
        <v>14.0094731821399</v>
      </c>
    </row>
    <row r="4295" customFormat="false" ht="17.15" hidden="false" customHeight="false" outlineLevel="0" collapsed="false">
      <c r="A4295" s="0" t="s">
        <v>674</v>
      </c>
      <c r="B4295" s="0" t="s">
        <v>73</v>
      </c>
      <c r="C4295" s="38" t="n">
        <f aca="false">Sens!$C$4199-Sens!$C$4201</f>
        <v>346.428687117154</v>
      </c>
      <c r="D4295" s="38" t="n">
        <f aca="false">Sens!$D$4199-Sens!$D$4201</f>
        <v>376.560876540083</v>
      </c>
      <c r="E4295" s="38" t="n">
        <f aca="false">Sens!$E$4199-Sens!$E$4201</f>
        <v>193.316577507559</v>
      </c>
      <c r="F4295" s="38" t="n">
        <f aca="false">Sens!$F$4199-Sens!$F$4201</f>
        <v>221.726726438887</v>
      </c>
      <c r="G4295" s="38" t="n">
        <f aca="false">Sens!$G$4199-Sens!$G$4201</f>
        <v>415.02162325063</v>
      </c>
      <c r="H4295" s="38" t="n">
        <f aca="false">Sens!$H$4199-Sens!$H$4201</f>
        <v>453.777572359491</v>
      </c>
      <c r="I4295" s="38" t="n">
        <f aca="false">Sens!$I$4199-Sens!$I$4201</f>
        <v>490.847566467031</v>
      </c>
      <c r="J4295" s="38" t="n">
        <f aca="false">Sens!$J$4199-Sens!$J$4201</f>
        <v>525.190925266121</v>
      </c>
      <c r="K4295" s="38" t="n">
        <f aca="false">Sens!$K$4199-Sens!$K$4201</f>
        <v>555.765170156304</v>
      </c>
      <c r="L4295" s="38" t="n">
        <f aca="false">Sens!$L$4199-Sens!$L$4201</f>
        <v>588.185734949207</v>
      </c>
      <c r="M4295" s="38" t="n">
        <f aca="false">Sens!$M$4199-Sens!$M$4201</f>
        <v>622.567635538672</v>
      </c>
      <c r="N4295" s="38" t="n">
        <f aca="false">Sens!$N$4199-Sens!$N$4201</f>
        <v>171.24628885875</v>
      </c>
      <c r="O4295" s="38" t="n">
        <f aca="false">Sens!$O$4199-Sens!$O$4201</f>
        <v>205.33105363572</v>
      </c>
    </row>
    <row r="4296" customFormat="false" ht="17.15" hidden="false" customHeight="false" outlineLevel="0" collapsed="false">
      <c r="A4296" s="0" t="s">
        <v>675</v>
      </c>
      <c r="B4296" s="0" t="s">
        <v>73</v>
      </c>
      <c r="C4296" s="38" t="n">
        <f aca="false">Sens!$C$4247*Sens!$C$4198</f>
        <v>0.123617442257179</v>
      </c>
      <c r="D4296" s="38" t="n">
        <f aca="false">Sens!$D$4247*Sens!$D$4198</f>
        <v>0.874366899302609</v>
      </c>
      <c r="E4296" s="38" t="n">
        <f aca="false">Sens!$E$4247*Sens!$E$4198</f>
        <v>1.29318830502574</v>
      </c>
      <c r="F4296" s="38" t="n">
        <f aca="false">Sens!$F$4247*Sens!$F$4198</f>
        <v>1.51802024162534</v>
      </c>
      <c r="G4296" s="38" t="n">
        <f aca="false">Sens!$G$4247*Sens!$G$4198</f>
        <v>2.81130189308167</v>
      </c>
      <c r="H4296" s="38" t="n">
        <f aca="false">Sens!$H$4247*Sens!$H$4198</f>
        <v>7.38966789318209</v>
      </c>
      <c r="I4296" s="38" t="n">
        <f aca="false">Sens!$I$4247*Sens!$I$4198</f>
        <v>12.8987443661473</v>
      </c>
      <c r="J4296" s="38" t="n">
        <f aca="false">Sens!$J$4247*Sens!$J$4198</f>
        <v>18.5570025453645</v>
      </c>
      <c r="K4296" s="38" t="n">
        <f aca="false">Sens!$K$4247*Sens!$K$4198</f>
        <v>24.3158972773405</v>
      </c>
      <c r="L4296" s="38" t="n">
        <f aca="false">Sens!$L$4247*Sens!$L$4198</f>
        <v>29.7827375558674</v>
      </c>
      <c r="M4296" s="38" t="n">
        <f aca="false">Sens!$M$4247*Sens!$M$4198</f>
        <v>35.3532344973194</v>
      </c>
      <c r="N4296" s="38" t="n">
        <f aca="false">Sens!$N$4247*Sens!$N$4198</f>
        <v>0.389180508437431</v>
      </c>
      <c r="O4296" s="38" t="n">
        <f aca="false">Sens!$O$4247*Sens!$O$4198</f>
        <v>0.485052120082802</v>
      </c>
    </row>
    <row r="4297" customFormat="false" ht="17.15" hidden="false" customHeight="false" outlineLevel="0" collapsed="false">
      <c r="A4297" s="0" t="s">
        <v>676</v>
      </c>
      <c r="B4297" s="0" t="s">
        <v>52</v>
      </c>
      <c r="C4297" s="28" t="n">
        <f aca="false">(Sens!$C$4298-Sens!$C$4294+Sens!$C$4296)/Sens!$C$4295</f>
        <v>0.0131526665379575</v>
      </c>
      <c r="D4297" s="28" t="n">
        <f aca="false">(Sens!$D$4298-Sens!$D$4294+Sens!$D$4296)/Sens!$D$4295</f>
        <v>0.0149280116962589</v>
      </c>
      <c r="E4297" s="28" t="n">
        <f aca="false">(Sens!$E$4298-Sens!$E$4294+Sens!$E$4296)/Sens!$E$4295</f>
        <v>0.0268030663774938</v>
      </c>
      <c r="F4297" s="28" t="n">
        <f aca="false">Sens!$O$4297+(Sens!$E$4297-Sens!$N$4297)</f>
        <v>0.0232379346966962</v>
      </c>
      <c r="G4297" s="28" t="n">
        <f aca="false">(Sens!$G$4298-Sens!$G$4294+Sens!$G$4296)/Sens!$G$4295</f>
        <v>0.0248738876928168</v>
      </c>
      <c r="H4297" s="28" t="n">
        <f aca="false">Sens!$G$4297+step_na_hi</f>
        <v>0.0308738876928168</v>
      </c>
      <c r="I4297" s="28" t="n">
        <f aca="false">Sens!$H$4297+step_na_hi</f>
        <v>0.0368738876928168</v>
      </c>
      <c r="J4297" s="28" t="n">
        <f aca="false">Sens!$I$4297+step_na_hi</f>
        <v>0.0428738876928168</v>
      </c>
      <c r="K4297" s="28" t="n">
        <f aca="false">Sens!$J$4297+step_na_hi</f>
        <v>0.0488738876928168</v>
      </c>
      <c r="L4297" s="28" t="n">
        <f aca="false">Sens!$K$4297</f>
        <v>0.0488738876928168</v>
      </c>
      <c r="M4297" s="28" t="n">
        <f aca="false">Sens!$L$4297</f>
        <v>0.0488738876928168</v>
      </c>
      <c r="N4297" s="28" t="n">
        <f aca="false">(Sens!$N$4298-Sens!$N$4294+Sens!$N$4296)/Sens!$N$4295</f>
        <v>0.0168927744775755</v>
      </c>
      <c r="O4297" s="28" t="n">
        <f aca="false">(Sens!$O$4298-Sens!$O$4294+Sens!$O$4296)/Sens!$O$4295</f>
        <v>0.0133276427967779</v>
      </c>
      <c r="P4297" s="8" t="s">
        <v>677</v>
      </c>
    </row>
    <row r="4298" customFormat="false" ht="17.15" hidden="false" customHeight="false" outlineLevel="0" collapsed="false">
      <c r="A4298" s="1" t="s">
        <v>678</v>
      </c>
      <c r="B4298" s="8" t="s">
        <v>73</v>
      </c>
      <c r="C4298" s="38" t="n">
        <f aca="false">Q!$D$22</f>
        <v>24.967</v>
      </c>
      <c r="D4298" s="38" t="n">
        <f aca="false">Q!$E$22</f>
        <v>29.619</v>
      </c>
      <c r="E4298" s="38" t="n">
        <f aca="false">Q!$P$22</f>
        <v>17.39</v>
      </c>
      <c r="F4298" s="38" t="n">
        <f aca="false">Sens!$F$4294+Sens!$F$4295*Sens!$F$4297-Sens!$F$4296</f>
        <v>20.9230952303336</v>
      </c>
      <c r="G4298" s="38" t="n">
        <f aca="false">Sens!$E$4298+Sens!$F$4298</f>
        <v>38.3130952303336</v>
      </c>
      <c r="H4298" s="38" t="n">
        <f aca="false">Sens!$H$4294+Sens!$H$4295*Sens!$H$4297-Sens!$H$4296</f>
        <v>43.5986192793898</v>
      </c>
      <c r="I4298" s="38" t="n">
        <f aca="false">Sens!$I$4294+Sens!$I$4295*Sens!$I$4297-Sens!$I$4296</f>
        <v>48.3557769553235</v>
      </c>
      <c r="J4298" s="38" t="n">
        <f aca="false">Sens!$J$4294+Sens!$J$4295*Sens!$J$4297-Sens!$J$4296</f>
        <v>52.8769734006349</v>
      </c>
      <c r="K4298" s="38" t="n">
        <f aca="false">Sens!$K$4294+Sens!$K$4295*Sens!$K$4297-Sens!$K$4296</f>
        <v>56.6552063511965</v>
      </c>
      <c r="L4298" s="38" t="n">
        <f aca="false">Sens!$L$4294+Sens!$L$4295*Sens!$L$4297-Sens!$L$4296</f>
        <v>58.1537550271695</v>
      </c>
      <c r="M4298" s="38" t="n">
        <f aca="false">Sens!$M$4294+Sens!$M$4295*Sens!$M$4297-Sens!$M$4296</f>
        <v>60.1825921368538</v>
      </c>
      <c r="N4298" s="38" t="n">
        <f aca="false">Q!$N$22</f>
        <v>13.358</v>
      </c>
      <c r="O4298" s="38" t="n">
        <f aca="false">Q!$O$22</f>
        <v>16.261</v>
      </c>
    </row>
    <row r="4299" customFormat="false" ht="17.15" hidden="false" customHeight="false" outlineLevel="0" collapsed="false">
      <c r="A4299" s="0" t="s">
        <v>679</v>
      </c>
      <c r="B4299" s="0" t="s">
        <v>73</v>
      </c>
      <c r="C4299" s="38" t="n">
        <f aca="false">Sens!$C$4202*m_ad</f>
        <v>7.57284355857716</v>
      </c>
      <c r="D4299" s="38" t="n">
        <f aca="false">Sens!$D$4202*m_ad</f>
        <v>9.44543827004127</v>
      </c>
      <c r="E4299" s="38" t="n">
        <f aca="false">Sens!$E$4202*m_ad</f>
        <v>5.02428875377928</v>
      </c>
      <c r="F4299" s="38" t="n">
        <f aca="false">Sens!$F$4202*m_ad</f>
        <v>6.78802480890925</v>
      </c>
      <c r="G4299" s="38" t="n">
        <f aca="false">Sens!$G$4202*m_ad</f>
        <v>11.8014732147805</v>
      </c>
      <c r="H4299" s="38" t="n">
        <f aca="false">Sens!$H$4202*m_ad</f>
        <v>14.1682715634442</v>
      </c>
      <c r="I4299" s="38" t="n">
        <f aca="false">Sens!$I$4202*m_ad</f>
        <v>16.5348555113474</v>
      </c>
      <c r="J4299" s="38" t="n">
        <f aca="false">Sens!$J$4202*m_ad</f>
        <v>18.7425403255689</v>
      </c>
      <c r="K4299" s="38" t="n">
        <f aca="false">Sens!$K$4202*m_ad</f>
        <v>20.6167943581258</v>
      </c>
      <c r="L4299" s="38" t="n">
        <f aca="false">Sens!$L$4202*m_ad</f>
        <v>22.6784737939383</v>
      </c>
      <c r="M4299" s="38" t="n">
        <f aca="false">Sens!$M$4202*m_ad</f>
        <v>24.9463211733322</v>
      </c>
      <c r="N4299" s="38" t="n">
        <f aca="false">Sens!$N$4202*m_ad</f>
        <v>3.95314442937518</v>
      </c>
      <c r="O4299" s="38" t="n">
        <f aca="false">Sens!$O$4202*m_ad</f>
        <v>5.50052681786011</v>
      </c>
    </row>
    <row r="4300" customFormat="false" ht="17.15" hidden="false" customHeight="false" outlineLevel="0" collapsed="false">
      <c r="A4300" s="0" t="s">
        <v>680</v>
      </c>
      <c r="B4300" s="0" t="s">
        <v>73</v>
      </c>
      <c r="C4300" s="38" t="n">
        <f aca="false">Sens!$C$4200-Sens!$C$4202</f>
        <v>127.760312882846</v>
      </c>
      <c r="D4300" s="38" t="n">
        <f aca="false">Sens!$D$4200-Sens!$D$4202</f>
        <v>143.003123459917</v>
      </c>
      <c r="E4300" s="38" t="n">
        <f aca="false">Sens!$E$4200-Sens!$E$4202</f>
        <v>71.9374224924414</v>
      </c>
      <c r="F4300" s="38" t="n">
        <f aca="false">Sens!$F$4200-Sens!$F$4202</f>
        <v>87.0563645868046</v>
      </c>
      <c r="G4300" s="38" t="n">
        <f aca="false">Sens!$G$4200-Sens!$G$4202</f>
        <v>159.015467775062</v>
      </c>
      <c r="H4300" s="38" t="n">
        <f aca="false">Sens!$H$4200-Sens!$H$4202</f>
        <v>173.864803403269</v>
      </c>
      <c r="I4300" s="38" t="n">
        <f aca="false">Sens!$I$4200-Sens!$I$4202</f>
        <v>188.068165645601</v>
      </c>
      <c r="J4300" s="38" t="n">
        <f aca="false">Sens!$J$4200-Sens!$J$4202</f>
        <v>201.22681801082</v>
      </c>
      <c r="K4300" s="38" t="n">
        <f aca="false">Sens!$K$4200-Sens!$K$4202</f>
        <v>212.941334991893</v>
      </c>
      <c r="L4300" s="38" t="n">
        <f aca="false">Sens!$L$4200-Sens!$L$4202</f>
        <v>225.363269144856</v>
      </c>
      <c r="M4300" s="38" t="n">
        <f aca="false">Sens!$M$4200-Sens!$M$4202</f>
        <v>238.536688790819</v>
      </c>
      <c r="N4300" s="38" t="n">
        <f aca="false">Sens!$N$4200-Sens!$N$4202</f>
        <v>62.3677111412496</v>
      </c>
      <c r="O4300" s="38" t="n">
        <f aca="false">Sens!$O$4200-Sens!$O$4202</f>
        <v>80.6189463642798</v>
      </c>
    </row>
    <row r="4301" customFormat="false" ht="17.15" hidden="false" customHeight="false" outlineLevel="0" collapsed="false">
      <c r="A4301" s="0" t="s">
        <v>681</v>
      </c>
      <c r="B4301" s="0" t="s">
        <v>73</v>
      </c>
      <c r="C4301" s="38" t="n">
        <f aca="false">Sens!$C$4247*(1-Sens!$C$4198)</f>
        <v>0.0455891896019953</v>
      </c>
      <c r="D4301" s="38" t="n">
        <f aca="false">Sens!$D$4247*(1-Sens!$D$4198)</f>
        <v>0.332050421167231</v>
      </c>
      <c r="E4301" s="38" t="n">
        <f aca="false">Sens!$E$4247*(1-Sens!$E$4198)</f>
        <v>0.481224293644882</v>
      </c>
      <c r="F4301" s="38" t="n">
        <f aca="false">Sens!$F$4247*(1-Sens!$F$4198)</f>
        <v>0.596018918096053</v>
      </c>
      <c r="G4301" s="38" t="n">
        <f aca="false">Sens!$G$4247*(1-Sens!$G$4198)</f>
        <v>1.07714986531035</v>
      </c>
      <c r="H4301" s="38" t="n">
        <f aca="false">Sens!$H$4247*(1-Sens!$H$4198)</f>
        <v>2.83135005721638</v>
      </c>
      <c r="I4301" s="38" t="n">
        <f aca="false">Sens!$I$4247*(1-Sens!$I$4198)</f>
        <v>4.9421518161602</v>
      </c>
      <c r="J4301" s="38" t="n">
        <f aca="false">Sens!$J$4247*(1-Sens!$J$4198)</f>
        <v>7.11011252170866</v>
      </c>
      <c r="K4301" s="38" t="n">
        <f aca="false">Sens!$K$4247*(1-Sens!$K$4198)</f>
        <v>9.31663210615807</v>
      </c>
      <c r="L4301" s="38" t="n">
        <f aca="false">Sens!$L$4247*(1-Sens!$L$4198)</f>
        <v>11.411251074039</v>
      </c>
      <c r="M4301" s="38" t="n">
        <f aca="false">Sens!$M$4247*(1-Sens!$M$4198)</f>
        <v>13.5455860755423</v>
      </c>
      <c r="N4301" s="38" t="n">
        <f aca="false">Sens!$N$4247*(1-Sens!$N$4198)</f>
        <v>0.141739115596548</v>
      </c>
      <c r="O4301" s="38" t="n">
        <f aca="false">Sens!$O$4247*(1-Sens!$O$4198)</f>
        <v>0.190445576353059</v>
      </c>
    </row>
    <row r="4302" customFormat="false" ht="17.15" hidden="false" customHeight="false" outlineLevel="0" collapsed="false">
      <c r="A4302" s="0" t="s">
        <v>682</v>
      </c>
      <c r="B4302" s="0" t="s">
        <v>52</v>
      </c>
      <c r="C4302" s="28" t="n">
        <f aca="false">(Sens!$C$4303-Sens!$C$4299+Sens!$C$4301)/Sens!$C$4300</f>
        <v>-0.0292364215826579</v>
      </c>
      <c r="D4302" s="28" t="n">
        <f aca="false">(Sens!$D$4303-Sens!$D$4299+Sens!$D$4301)/Sens!$D$4300</f>
        <v>-0.0305125352740778</v>
      </c>
      <c r="E4302" s="28" t="n">
        <f aca="false">(Sens!$E$4303-Sens!$E$4299+Sens!$E$4301)/Sens!$E$4300</f>
        <v>-0.019490056934994</v>
      </c>
      <c r="F4302" s="28" t="n">
        <f aca="false">Sens!$O$4302+(Sens!$E$4302-Sens!$N$4302)</f>
        <v>-0.0367332293992226</v>
      </c>
      <c r="G4302" s="28" t="n">
        <f aca="false">(Sens!$G$4303-Sens!$G$4299+Sens!$G$4301)/Sens!$G$4300</f>
        <v>-0.0288599526442178</v>
      </c>
      <c r="H4302" s="28" t="n">
        <f aca="false">Sens!$G$4302+step_in</f>
        <v>-0.0288599526442178</v>
      </c>
      <c r="I4302" s="28" t="n">
        <f aca="false">Sens!$H$4302+step_in</f>
        <v>-0.0288599526442178</v>
      </c>
      <c r="J4302" s="28" t="n">
        <f aca="false">Sens!$I$4302+step_in</f>
        <v>-0.0288599526442178</v>
      </c>
      <c r="K4302" s="28" t="n">
        <f aca="false">Sens!$J$4302+step_in</f>
        <v>-0.0288599526442178</v>
      </c>
      <c r="L4302" s="28" t="n">
        <f aca="false">Sens!$K$4302</f>
        <v>-0.0288599526442178</v>
      </c>
      <c r="M4302" s="28" t="n">
        <f aca="false">Sens!$L$4302</f>
        <v>-0.0288599526442178</v>
      </c>
      <c r="N4302" s="28" t="n">
        <f aca="false">(Sens!$N$4303-Sens!$N$4299+Sens!$N$4301)/Sens!$N$4300</f>
        <v>-0.02085061789158</v>
      </c>
      <c r="O4302" s="28" t="n">
        <f aca="false">(Sens!$O$4303-Sens!$O$4299+Sens!$O$4301)/Sens!$O$4300</f>
        <v>-0.0380937903558086</v>
      </c>
      <c r="P4302" s="8" t="s">
        <v>677</v>
      </c>
    </row>
    <row r="4303" customFormat="false" ht="17.15" hidden="false" customHeight="false" outlineLevel="0" collapsed="false">
      <c r="A4303" s="1" t="s">
        <v>683</v>
      </c>
      <c r="B4303" s="8" t="s">
        <v>73</v>
      </c>
      <c r="C4303" s="38" t="n">
        <f aca="false">Q!$D$23</f>
        <v>3.792</v>
      </c>
      <c r="D4303" s="38" t="n">
        <f aca="false">Q!$E$23</f>
        <v>4.75</v>
      </c>
      <c r="E4303" s="38" t="n">
        <f aca="false">Q!$P$23</f>
        <v>3.141</v>
      </c>
      <c r="F4303" s="38" t="n">
        <f aca="false">Sens!$F$4299+Sens!$F$4300*Sens!$F$4302-Sens!$F$4301</f>
        <v>2.99414447978375</v>
      </c>
      <c r="G4303" s="38" t="n">
        <f aca="false">Sens!$E$4303+Sens!$F$4303</f>
        <v>6.13514447978375</v>
      </c>
      <c r="H4303" s="38" t="n">
        <f aca="false">Sens!$H$4299+Sens!$H$4300*Sens!$H$4302-Sens!$H$4301</f>
        <v>6.31919151351322</v>
      </c>
      <c r="I4303" s="38" t="n">
        <f aca="false">Sens!$I$4299+Sens!$I$4300*Sens!$I$4302-Sens!$I$4301</f>
        <v>6.16506534077027</v>
      </c>
      <c r="J4303" s="38" t="n">
        <f aca="false">Sens!$J$4299+Sens!$J$4300*Sens!$J$4302-Sens!$J$4301</f>
        <v>5.8250313653213</v>
      </c>
      <c r="K4303" s="38" t="n">
        <f aca="false">Sens!$K$4299+Sens!$K$4300*Sens!$K$4302-Sens!$K$4301</f>
        <v>5.15468540810514</v>
      </c>
      <c r="L4303" s="38" t="n">
        <f aca="false">Sens!$L$4299+Sens!$L$4300*Sens!$L$4302-Sens!$L$4301</f>
        <v>4.76324944463266</v>
      </c>
      <c r="M4303" s="38" t="n">
        <f aca="false">Sens!$M$4299+Sens!$M$4300*Sens!$M$4302-Sens!$M$4301</f>
        <v>4.51657755537829</v>
      </c>
      <c r="N4303" s="38" t="n">
        <f aca="false">Q!$N$23</f>
        <v>2.511</v>
      </c>
      <c r="O4303" s="38" t="n">
        <f aca="false">Q!$O$23</f>
        <v>2.239</v>
      </c>
    </row>
    <row r="4304" customFormat="false" ht="17.15" hidden="false" customHeight="false" outlineLevel="0" collapsed="false">
      <c r="A4304" s="0" t="s">
        <v>684</v>
      </c>
      <c r="B4304" s="0" t="s">
        <v>73</v>
      </c>
      <c r="C4304" s="38" t="n">
        <f aca="false">Sens!$C$4244</f>
        <v>1.64417882953695</v>
      </c>
      <c r="D4304" s="38" t="n">
        <f aca="false">Sens!$D$4244</f>
        <v>3.8781008067718</v>
      </c>
      <c r="E4304" s="38" t="n">
        <f aca="false">Sens!$E$4244</f>
        <v>1.41270258088753</v>
      </c>
      <c r="F4304" s="38" t="n">
        <f aca="false">Sens!$F$4244</f>
        <v>6.50727700583486</v>
      </c>
      <c r="G4304" s="38" t="n">
        <f aca="false">Sens!$G$4244</f>
        <v>7.9199795867224</v>
      </c>
      <c r="H4304" s="38" t="n">
        <f aca="false">Sens!$H$4244</f>
        <v>19.2818189481807</v>
      </c>
      <c r="I4304" s="38" t="n">
        <f aca="false">Sens!$I$4244</f>
        <v>30.140114407202</v>
      </c>
      <c r="J4304" s="38" t="n">
        <f aca="false">Sens!$J$4244</f>
        <v>40.3569468829854</v>
      </c>
      <c r="K4304" s="38" t="n">
        <f aca="false">Sens!$K$4244</f>
        <v>50.0782975081929</v>
      </c>
      <c r="L4304" s="38" t="n">
        <f aca="false">Sens!$L$4244</f>
        <v>61.443331993499</v>
      </c>
      <c r="M4304" s="38" t="n">
        <f aca="false">Sens!$M$4244</f>
        <v>72.2498791587849</v>
      </c>
      <c r="N4304" s="38" t="n">
        <f aca="false">Sens!$N$4244</f>
        <v>0.92264103489199</v>
      </c>
      <c r="O4304" s="38" t="n">
        <f aca="false">Sens!$O$4244</f>
        <v>2.95545977187981</v>
      </c>
    </row>
    <row r="4305" customFormat="false" ht="17.15" hidden="false" customHeight="false" outlineLevel="0" collapsed="false">
      <c r="A4305" s="0" t="s">
        <v>604</v>
      </c>
      <c r="B4305" s="0" t="s">
        <v>73</v>
      </c>
      <c r="C4305" s="38" t="n">
        <f aca="false">Sens!$C$4249</f>
        <v>38.1898211704631</v>
      </c>
      <c r="D4305" s="38" t="n">
        <f aca="false">Sens!$D$4249</f>
        <v>41.7278991932282</v>
      </c>
      <c r="E4305" s="38" t="n">
        <f aca="false">Sens!$E$4249</f>
        <v>29.3692974191125</v>
      </c>
      <c r="F4305" s="38" t="n">
        <f aca="false">Sens!$F$4249</f>
        <v>29.458060516894</v>
      </c>
      <c r="G4305" s="38" t="n">
        <f aca="false">Sens!$G$4249</f>
        <v>58.8273579360065</v>
      </c>
      <c r="H4305" s="38" t="n">
        <f aca="false">Sens!$H$4249</f>
        <v>67.8004040185081</v>
      </c>
      <c r="I4305" s="38" t="n">
        <f aca="false">Sens!$I$4249</f>
        <v>78.9527630302702</v>
      </c>
      <c r="J4305" s="38" t="n">
        <f aca="false">Sens!$J$4249</f>
        <v>88.6042681781841</v>
      </c>
      <c r="K4305" s="38" t="n">
        <f aca="false">Sens!$K$4249</f>
        <v>95.6926096324389</v>
      </c>
      <c r="L4305" s="38" t="n">
        <f aca="false">Sens!$L$4249</f>
        <v>103.348018403034</v>
      </c>
      <c r="M4305" s="38" t="n">
        <f aca="false">Sens!$M$4249</f>
        <v>111.615859875277</v>
      </c>
      <c r="N4305" s="38" t="n">
        <f aca="false">Sens!$N$4249</f>
        <v>20.784358965108</v>
      </c>
      <c r="O4305" s="38" t="n">
        <f aca="false">Sens!$O$4249</f>
        <v>20.9435402281202</v>
      </c>
    </row>
    <row r="4306" customFormat="false" ht="17.15" hidden="false" customHeight="false" outlineLevel="0" collapsed="false">
      <c r="A4306" s="1" t="s">
        <v>685</v>
      </c>
      <c r="B4306" s="8" t="s">
        <v>73</v>
      </c>
      <c r="C4306" s="38" t="n">
        <f aca="false">Q!$D$24</f>
        <v>39.834</v>
      </c>
      <c r="D4306" s="38" t="n">
        <f aca="false">Q!$E$24</f>
        <v>45.606</v>
      </c>
      <c r="E4306" s="38" t="n">
        <f aca="false">Q!$P$24</f>
        <v>30.782</v>
      </c>
      <c r="F4306" s="38" t="n">
        <f aca="false">Sens!$F$4304+Sens!$F$4305</f>
        <v>35.9653375227289</v>
      </c>
      <c r="G4306" s="38" t="n">
        <f aca="false">Sens!$G$4304+Sens!$G$4305</f>
        <v>66.7473375227289</v>
      </c>
      <c r="H4306" s="38" t="n">
        <f aca="false">Sens!$H$4304+Sens!$H$4305</f>
        <v>87.0822229666888</v>
      </c>
      <c r="I4306" s="38" t="n">
        <f aca="false">Sens!$I$4304+Sens!$I$4305</f>
        <v>109.092877437472</v>
      </c>
      <c r="J4306" s="38" t="n">
        <f aca="false">Sens!$J$4304+Sens!$J$4305</f>
        <v>128.96121506117</v>
      </c>
      <c r="K4306" s="38" t="n">
        <f aca="false">Sens!$K$4304+Sens!$K$4305</f>
        <v>145.770907140632</v>
      </c>
      <c r="L4306" s="38" t="n">
        <f aca="false">Sens!$L$4304+Sens!$L$4305</f>
        <v>164.791350396533</v>
      </c>
      <c r="M4306" s="38" t="n">
        <f aca="false">Sens!$M$4304+Sens!$M$4305</f>
        <v>183.865739034062</v>
      </c>
      <c r="N4306" s="38" t="n">
        <f aca="false">Q!$N$24</f>
        <v>21.707</v>
      </c>
      <c r="O4306" s="38" t="n">
        <f aca="false">Q!$O$24</f>
        <v>23.899</v>
      </c>
    </row>
    <row r="4307" customFormat="false" ht="17.15" hidden="false" customHeight="false" outlineLevel="0" collapsed="false">
      <c r="A4307" s="5" t="s">
        <v>686</v>
      </c>
      <c r="B4307" s="0" t="s">
        <v>73</v>
      </c>
      <c r="C4307" s="38" t="n">
        <f aca="false">Q!$D$26</f>
        <v>0</v>
      </c>
      <c r="D4307" s="38" t="n">
        <f aca="false">Q!$E$26</f>
        <v>0</v>
      </c>
      <c r="E4307" s="38" t="n">
        <f aca="false">Q!$P$26</f>
        <v>0</v>
      </c>
      <c r="F4307" s="41" t="n">
        <v>0</v>
      </c>
      <c r="G4307" s="38" t="n">
        <f aca="false">Sens!$E$4307+Sens!$F$4307</f>
        <v>0</v>
      </c>
      <c r="H4307" s="41" t="n">
        <v>0</v>
      </c>
      <c r="I4307" s="41" t="n">
        <v>0</v>
      </c>
      <c r="J4307" s="41" t="n">
        <v>0</v>
      </c>
      <c r="K4307" s="41" t="n">
        <v>0</v>
      </c>
      <c r="L4307" s="41" t="n">
        <v>0</v>
      </c>
      <c r="M4307" s="41" t="n">
        <v>0</v>
      </c>
      <c r="N4307" s="38" t="n">
        <f aca="false">Q!$N$26</f>
        <v>0</v>
      </c>
      <c r="O4307" s="38" t="n">
        <f aca="false">Q!$O$26</f>
        <v>0</v>
      </c>
    </row>
    <row r="4308" customFormat="false" ht="15" hidden="false" customHeight="false" outlineLevel="0" collapsed="false">
      <c r="A4308" s="3" t="s">
        <v>494</v>
      </c>
      <c r="B4308" s="8" t="s">
        <v>73</v>
      </c>
      <c r="C4308" s="38" t="n">
        <f aca="false">Q!$D$25</f>
        <v>68.593</v>
      </c>
      <c r="D4308" s="38" t="n">
        <f aca="false">Q!$E$25</f>
        <v>79.975</v>
      </c>
      <c r="E4308" s="38" t="n">
        <f aca="false">Q!$P$25</f>
        <v>51.313</v>
      </c>
      <c r="F4308" s="38" t="n">
        <f aca="false">Sens!$F$4298+Sens!$F$4303+Sens!$F$4306+Sens!$F$4307</f>
        <v>59.8825772328462</v>
      </c>
      <c r="G4308" s="38" t="n">
        <f aca="false">Sens!$G$4298+Sens!$G$4303+Sens!$G$4306+Sens!$G$4307</f>
        <v>111.195577232846</v>
      </c>
      <c r="H4308" s="38" t="n">
        <f aca="false">Sens!$H$4298+Sens!$H$4303+Sens!$H$4306+Sens!$H$4307</f>
        <v>137.000033759592</v>
      </c>
      <c r="I4308" s="38" t="n">
        <f aca="false">Sens!$I$4298+Sens!$I$4303+Sens!$I$4306+Sens!$I$4307</f>
        <v>163.613719733566</v>
      </c>
      <c r="J4308" s="38" t="n">
        <f aca="false">Sens!$J$4298+Sens!$J$4303+Sens!$J$4306+Sens!$J$4307</f>
        <v>187.663219827126</v>
      </c>
      <c r="K4308" s="38" t="n">
        <f aca="false">Sens!$K$4298+Sens!$K$4303+Sens!$K$4306+Sens!$K$4307</f>
        <v>207.580798899933</v>
      </c>
      <c r="L4308" s="38" t="n">
        <f aca="false">Sens!$L$4298+Sens!$L$4303+Sens!$L$4306+Sens!$L$4307</f>
        <v>227.708354868335</v>
      </c>
      <c r="M4308" s="38" t="n">
        <f aca="false">Sens!$M$4298+Sens!$M$4303+Sens!$M$4306+Sens!$M$4307</f>
        <v>248.564908726294</v>
      </c>
      <c r="N4308" s="38" t="n">
        <f aca="false">Q!$N$25</f>
        <v>37.576</v>
      </c>
      <c r="O4308" s="38" t="n">
        <f aca="false">Q!$O$25</f>
        <v>42.399</v>
      </c>
    </row>
    <row r="4309" customFormat="false" ht="17.15" hidden="false" customHeight="false" outlineLevel="0" collapsed="false">
      <c r="A4309" s="24" t="s">
        <v>712</v>
      </c>
      <c r="B4309" s="25" t="s">
        <v>73</v>
      </c>
      <c r="C4309" s="39" t="n">
        <f aca="false">Sens!$C$4298+Sens!$C$4303+Sens!$C$4306+Sens!$C$4307-Sens!$C$4308</f>
        <v>0</v>
      </c>
      <c r="D4309" s="39" t="n">
        <f aca="false">Sens!$D$4298+Sens!$D$4303+Sens!$D$4306+Sens!$D$4307-Sens!$D$4308</f>
        <v>0</v>
      </c>
      <c r="E4309" s="39" t="n">
        <f aca="false">Sens!$E$4298+Sens!$E$4303+Sens!$E$4306+Sens!$E$4307-Sens!$E$4308</f>
        <v>0</v>
      </c>
      <c r="F4309" s="39" t="n">
        <f aca="false">Sens!$F$4298+Sens!$F$4303+Sens!$F$4306+Sens!$F$4307-Sens!$F$4308</f>
        <v>0</v>
      </c>
      <c r="G4309" s="39" t="n">
        <f aca="false">Sens!$G$4298+Sens!$G$4303+Sens!$G$4306+Sens!$G$4307-Sens!$G$4308</f>
        <v>0</v>
      </c>
      <c r="H4309" s="39" t="n">
        <f aca="false">Sens!$H$4298+Sens!$H$4303+Sens!$H$4306+Sens!$H$4307-Sens!$H$4308</f>
        <v>0</v>
      </c>
      <c r="I4309" s="39" t="n">
        <f aca="false">Sens!$I$4298+Sens!$I$4303+Sens!$I$4306+Sens!$I$4307-Sens!$I$4308</f>
        <v>0</v>
      </c>
      <c r="J4309" s="39" t="n">
        <f aca="false">Sens!$J$4298+Sens!$J$4303+Sens!$J$4306+Sens!$J$4307-Sens!$J$4308</f>
        <v>0</v>
      </c>
      <c r="K4309" s="39" t="n">
        <f aca="false">Sens!$K$4298+Sens!$K$4303+Sens!$K$4306+Sens!$K$4307-Sens!$K$4308</f>
        <v>0</v>
      </c>
      <c r="L4309" s="39" t="n">
        <f aca="false">Sens!$L$4298+Sens!$L$4303+Sens!$L$4306+Sens!$L$4307-Sens!$L$4308</f>
        <v>0</v>
      </c>
      <c r="M4309" s="39" t="n">
        <f aca="false">Sens!$M$4298+Sens!$M$4303+Sens!$M$4306+Sens!$M$4307-Sens!$M$4308</f>
        <v>0</v>
      </c>
      <c r="N4309" s="39" t="n">
        <f aca="false">Sens!$N$4298+Sens!$N$4303+Sens!$N$4306+Sens!$N$4307-Sens!$N$4308</f>
        <v>0</v>
      </c>
      <c r="O4309" s="39" t="n">
        <f aca="false">Sens!$O$4298+Sens!$O$4303+Sens!$O$4306+Sens!$O$4307-Sens!$O$4308</f>
        <v>0</v>
      </c>
    </row>
    <row r="4310" customFormat="false" ht="17.15" hidden="false" customHeight="false" outlineLevel="0" collapsed="false">
      <c r="A4310" s="0" t="s">
        <v>688</v>
      </c>
      <c r="B4310" s="0" t="s">
        <v>52</v>
      </c>
      <c r="C4310" s="12" t="n">
        <f aca="false">Sens!$C$4298/Sens!$C$4283</f>
        <v>0.0644314665661928</v>
      </c>
      <c r="D4310" s="12" t="n">
        <f aca="false">Sens!$D$4298/Sens!$D$4283</f>
        <v>0.0694784250712518</v>
      </c>
      <c r="E4310" s="12" t="n">
        <f aca="false">Sens!$E$4298/Sens!$E$4283</f>
        <v>0.0789306463326071</v>
      </c>
      <c r="F4310" s="12" t="n">
        <f aca="false">Sens!$F$4298/Sens!$F$4283</f>
        <v>0.0816338957078875</v>
      </c>
      <c r="G4310" s="12" t="n">
        <f aca="false">Sens!$G$4298/Sens!$G$4283</f>
        <v>0.080384315570057</v>
      </c>
      <c r="H4310" s="12" t="n">
        <f aca="false">Sens!$H$4298/Sens!$H$4283</f>
        <v>0.0826147016668979</v>
      </c>
      <c r="I4310" s="12" t="n">
        <f aca="false">Sens!$I$4298/Sens!$I$4283</f>
        <v>0.0837826083569945</v>
      </c>
      <c r="J4310" s="12" t="n">
        <f aca="false">Sens!$J$4298/Sens!$J$4283</f>
        <v>0.0848713613087594</v>
      </c>
      <c r="K4310" s="12" t="n">
        <f aca="false">Sens!$K$4298/Sens!$K$4283</f>
        <v>0.0854035198548754</v>
      </c>
      <c r="L4310" s="12" t="n">
        <f aca="false">Sens!$L$4298/Sens!$L$4283</f>
        <v>0.0823049053930408</v>
      </c>
      <c r="M4310" s="12" t="n">
        <f aca="false">Sens!$M$4298/Sens!$M$4283</f>
        <v>0.0799466210507467</v>
      </c>
      <c r="N4310" s="12" t="n">
        <f aca="false">Sens!$N$4298/Sens!$N$4283</f>
        <v>0.069228576611127</v>
      </c>
      <c r="O4310" s="12" t="n">
        <f aca="false">Sens!$O$4298/Sens!$O$4283</f>
        <v>0.069685022498393</v>
      </c>
    </row>
    <row r="4311" customFormat="false" ht="17.15" hidden="false" customHeight="false" outlineLevel="0" collapsed="false">
      <c r="A4311" s="0" t="s">
        <v>689</v>
      </c>
      <c r="B4311" s="0" t="s">
        <v>52</v>
      </c>
      <c r="C4311" s="12" t="n">
        <f aca="false">Sens!$C$4303/Sens!$C$4284</f>
        <v>0.026534925055631</v>
      </c>
      <c r="D4311" s="12" t="n">
        <f aca="false">Sens!$D$4303/Sens!$D$4284</f>
        <v>0.0293401855535103</v>
      </c>
      <c r="E4311" s="12" t="n">
        <f aca="false">Sens!$E$4303/Sens!$E$4284</f>
        <v>0.03831141902276</v>
      </c>
      <c r="F4311" s="12" t="n">
        <f aca="false">Sens!$F$4303/Sens!$F$4284</f>
        <v>0.0297532808235678</v>
      </c>
      <c r="G4311" s="12" t="n">
        <f aca="false">Sens!$G$4303/Sens!$G$4284</f>
        <v>0.0335954317997163</v>
      </c>
      <c r="H4311" s="12" t="n">
        <f aca="false">Sens!$H$4303/Sens!$H$4284</f>
        <v>0.0312519754292078</v>
      </c>
      <c r="I4311" s="12" t="n">
        <f aca="false">Sens!$I$4303/Sens!$I$4284</f>
        <v>0.0278788303191397</v>
      </c>
      <c r="J4311" s="12" t="n">
        <f aca="false">Sens!$J$4303/Sens!$J$4284</f>
        <v>0.0244019313573061</v>
      </c>
      <c r="K4311" s="12" t="n">
        <f aca="false">Sens!$K$4303/Sens!$K$4284</f>
        <v>0.020280070641524</v>
      </c>
      <c r="L4311" s="12" t="n">
        <f aca="false">Sens!$L$4303/Sens!$L$4284</f>
        <v>0.0175947312030086</v>
      </c>
      <c r="M4311" s="12" t="n">
        <f aca="false">Sens!$M$4303/Sens!$M$4284</f>
        <v>0.0156592172424565</v>
      </c>
      <c r="N4311" s="12" t="n">
        <f aca="false">Sens!$N$4303/Sens!$N$4284</f>
        <v>0.0357315650169337</v>
      </c>
      <c r="O4311" s="12" t="n">
        <f aca="false">Sens!$O$4303/Sens!$O$4284</f>
        <v>0.0244378956559703</v>
      </c>
    </row>
    <row r="4312" customFormat="false" ht="17.15" hidden="false" customHeight="false" outlineLevel="0" collapsed="false">
      <c r="A4312" s="13" t="s">
        <v>690</v>
      </c>
      <c r="B4312" s="13" t="s">
        <v>52</v>
      </c>
      <c r="C4312" s="16" t="n">
        <f aca="false">Sens!$C$4306/Sens!$C$4285</f>
        <v>0.370355907620217</v>
      </c>
      <c r="D4312" s="16" t="n">
        <f aca="false">Sens!$D$4306/Sens!$D$4285</f>
        <v>0.35429015342785</v>
      </c>
      <c r="E4312" s="16" t="n">
        <f aca="false">Sens!$E$4306/Sens!$E$4285</f>
        <v>0.385647527531039</v>
      </c>
      <c r="F4312" s="16" t="n">
        <f aca="false">Sens!$F$4306/Sens!$F$4285</f>
        <v>0.384415729470259</v>
      </c>
      <c r="G4312" s="16" t="n">
        <f aca="false">Sens!$G$4306/Sens!$G$4285</f>
        <v>0.38498282105443</v>
      </c>
      <c r="H4312" s="16" t="n">
        <f aca="false">Sens!$H$4306/Sens!$H$4285</f>
        <v>0.361247909668527</v>
      </c>
      <c r="I4312" s="16" t="n">
        <f aca="false">Sens!$I$4306/Sens!$I$4285</f>
        <v>0.349486287974975</v>
      </c>
      <c r="J4312" s="16" t="n">
        <f aca="false">Sens!$J$4306/Sens!$J$4285</f>
        <v>0.339886531832068</v>
      </c>
      <c r="K4312" s="16" t="n">
        <f aca="false">Sens!$K$4306/Sens!$K$4285</f>
        <v>0.33135833762061</v>
      </c>
      <c r="L4312" s="16" t="n">
        <f aca="false">Sens!$L$4306/Sens!$L$4285</f>
        <v>0.328299068185284</v>
      </c>
      <c r="M4312" s="16" t="n">
        <f aca="false">Sens!$M$4306/Sens!$M$4285</f>
        <v>0.325058049465166</v>
      </c>
      <c r="N4312" s="16" t="n">
        <f aca="false">Sens!$N$4306/Sens!$N$4285</f>
        <v>0.360941137346192</v>
      </c>
      <c r="O4312" s="16" t="n">
        <f aca="false">Sens!$O$4306/Sens!$O$4285</f>
        <v>0.348458117664212</v>
      </c>
    </row>
    <row r="4313" customFormat="false" ht="17.15" hidden="false" customHeight="false" outlineLevel="0" collapsed="false">
      <c r="A4313" s="0" t="s">
        <v>691</v>
      </c>
      <c r="B4313" s="0" t="s">
        <v>52</v>
      </c>
      <c r="C4313" s="12" t="n">
        <f aca="false">Sens!$C$4304/Sens!$C$4286</f>
        <v>0.708390794789371</v>
      </c>
      <c r="D4313" s="12" t="n">
        <f aca="false">Sens!$D$4304/Sens!$D$4286</f>
        <v>0.445565630441968</v>
      </c>
      <c r="E4313" s="12" t="n">
        <f aca="false">Sens!$E$4304/Sens!$E$4286</f>
        <v>0.165998118402711</v>
      </c>
      <c r="F4313" s="12" t="n">
        <f aca="false">Sens!$F$4304/Sens!$F$4286</f>
        <v>0.434878595403858</v>
      </c>
      <c r="G4313" s="12" t="n">
        <f aca="false">Sens!$G$4304/Sens!$G$4286</f>
        <v>0.3373967615381</v>
      </c>
      <c r="H4313" s="12" t="n">
        <f aca="false">Sens!$H$4304/Sens!$H$4286</f>
        <v>0.320477578041224</v>
      </c>
      <c r="I4313" s="12" t="n">
        <f aca="false">Sens!$I$4304/Sens!$I$4286</f>
        <v>0.296936118226494</v>
      </c>
      <c r="J4313" s="12" t="n">
        <f aca="false">Sens!$J$4304/Sens!$J$4286</f>
        <v>0.282166278613001</v>
      </c>
      <c r="K4313" s="12" t="n">
        <f aca="false">Sens!$K$4304/Sens!$K$4286</f>
        <v>0.271267685694333</v>
      </c>
      <c r="L4313" s="12" t="n">
        <f aca="false">Sens!$L$4304/Sens!$L$4286</f>
        <v>0.27160960915653</v>
      </c>
      <c r="M4313" s="12" t="n">
        <f aca="false">Sens!$M$4304/Sens!$M$4286</f>
        <v>0.26974494804234</v>
      </c>
      <c r="N4313" s="12" t="n">
        <f aca="false">Sens!$N$4304/Sens!$N$4286</f>
        <v>0.302870734830849</v>
      </c>
      <c r="O4313" s="12" t="n">
        <f aca="false">Sens!$O$4304/Sens!$O$4286</f>
        <v>0.52240134346334</v>
      </c>
    </row>
    <row r="4314" customFormat="false" ht="15" hidden="false" customHeight="false" outlineLevel="0" collapsed="false">
      <c r="A4314" s="5" t="s">
        <v>692</v>
      </c>
      <c r="B4314" s="0" t="s">
        <v>52</v>
      </c>
      <c r="C4314" s="12" t="n">
        <f aca="false">Sens!$C$4308/Sens!$C$4288</f>
        <v>0.107519448742004</v>
      </c>
      <c r="D4314" s="12" t="n">
        <f aca="false">Sens!$D$4308/Sens!$D$4288</f>
        <v>0.111552967957552</v>
      </c>
      <c r="E4314" s="12" t="n">
        <f aca="false">Sens!$E$4308/Sens!$E$4288</f>
        <v>0.13428328426562</v>
      </c>
      <c r="F4314" s="12" t="n">
        <f aca="false">Sens!$F$4308/Sens!$F$4288</f>
        <v>0.132926212451512</v>
      </c>
      <c r="G4314" s="12" t="n">
        <f aca="false">Sens!$G$4308/Sens!$G$4288</f>
        <v>0.133549030959228</v>
      </c>
      <c r="H4314" s="12" t="n">
        <f aca="false">Sens!$H$4308/Sens!$H$4288</f>
        <v>0.141092391900505</v>
      </c>
      <c r="I4314" s="12" t="n">
        <f aca="false">Sens!$I$4308/Sens!$I$4288</f>
        <v>0.147340324749982</v>
      </c>
      <c r="J4314" s="12" t="n">
        <f aca="false">Sens!$J$4308/Sens!$J$4288</f>
        <v>0.151199722535531</v>
      </c>
      <c r="K4314" s="12" t="n">
        <f aca="false">Sens!$K$4308/Sens!$K$4288</f>
        <v>0.152916653679869</v>
      </c>
      <c r="L4314" s="12" t="n">
        <f aca="false">Sens!$L$4308/Sens!$L$4288</f>
        <v>0.15393603808733</v>
      </c>
      <c r="M4314" s="12" t="n">
        <f aca="false">Sens!$M$4308/Sens!$M$4288</f>
        <v>0.154690439563232</v>
      </c>
      <c r="N4314" s="12" t="n">
        <f aca="false">Sens!$N$4308/Sens!$N$4288</f>
        <v>0.116201614873411</v>
      </c>
      <c r="O4314" s="12" t="n">
        <f aca="false">Sens!$O$4308/Sens!$O$4288</f>
        <v>0.107733353660861</v>
      </c>
    </row>
    <row r="4315" customFormat="false" ht="17.15" hidden="false" customHeight="false" outlineLevel="0" collapsed="false">
      <c r="A4315" s="1" t="s">
        <v>693</v>
      </c>
    </row>
    <row r="4316" customFormat="false" ht="17.15" hidden="false" customHeight="false" outlineLevel="0" collapsed="false">
      <c r="A4316" s="5" t="s">
        <v>694</v>
      </c>
      <c r="B4316" s="0" t="s">
        <v>52</v>
      </c>
      <c r="D4316" s="28" t="n">
        <f aca="false">(Q!$E$29+Q!$E$30-(1-ext_sh)*Sens!$D$4240)/Sens!$D$4197</f>
        <v>0.0334674312393194</v>
      </c>
    </row>
    <row r="4317" customFormat="false" ht="17.15" hidden="false" customHeight="false" outlineLevel="0" collapsed="false">
      <c r="A4317" s="0" t="s">
        <v>498</v>
      </c>
      <c r="B4317" s="0" t="s">
        <v>73</v>
      </c>
      <c r="C4317" s="38" t="n">
        <f aca="false">Q!$D$29</f>
        <v>14.285</v>
      </c>
      <c r="D4317" s="38" t="n">
        <f aca="false">Q!$E$29</f>
        <v>15.503</v>
      </c>
      <c r="E4317" s="38" t="n">
        <f aca="false">Q!$P$29</f>
        <v>8.78</v>
      </c>
      <c r="F4317" s="38" t="n">
        <f aca="false">(Sens!$D$4316*Sens!$F$4197+(1-ext_sh)*Sens!$F$4240)*Sens!$F$4198</f>
        <v>9.51361751569285</v>
      </c>
      <c r="G4317" s="38" t="n">
        <f aca="false">Sens!$E$4317+Sens!$F$4317</f>
        <v>18.2936175156929</v>
      </c>
      <c r="H4317" s="38" t="n">
        <f aca="false">(Sens!$D$4316*Sens!$H$4197+(1-ext_sh)*Sens!$H$4240)*Sens!$H$4198</f>
        <v>22.7653661801943</v>
      </c>
      <c r="I4317" s="38" t="n">
        <f aca="false">(Sens!$D$4316*Sens!$I$4197+(1-ext_sh)*Sens!$I$4240)*Sens!$I$4198</f>
        <v>28.4281317305062</v>
      </c>
      <c r="J4317" s="38" t="n">
        <f aca="false">(Sens!$D$4316*Sens!$J$4197+(1-ext_sh)*Sens!$J$4240)*Sens!$J$4198</f>
        <v>34.1182922009732</v>
      </c>
      <c r="K4317" s="38" t="n">
        <f aca="false">(Sens!$D$4316*Sens!$K$4197+(1-ext_sh)*Sens!$K$4240)*Sens!$K$4198</f>
        <v>39.7237727987046</v>
      </c>
      <c r="L4317" s="38" t="n">
        <f aca="false">(Sens!$D$4316*Sens!$L$4197+(1-ext_sh)*Sens!$L$4240)*Sens!$L$4198</f>
        <v>45.1313127180263</v>
      </c>
      <c r="M4317" s="38" t="n">
        <f aca="false">(Sens!$D$4316*Sens!$M$4197+(1-ext_sh)*Sens!$M$4240)*Sens!$M$4198</f>
        <v>50.743940615442</v>
      </c>
      <c r="N4317" s="38" t="n">
        <f aca="false">Q!$N$29</f>
        <v>7.272</v>
      </c>
      <c r="O4317" s="38" t="n">
        <f aca="false">Q!$O$29</f>
        <v>8.231</v>
      </c>
    </row>
    <row r="4318" customFormat="false" ht="17.15" hidden="false" customHeight="false" outlineLevel="0" collapsed="false">
      <c r="A4318" s="0" t="s">
        <v>500</v>
      </c>
      <c r="B4318" s="0" t="s">
        <v>73</v>
      </c>
      <c r="C4318" s="38" t="n">
        <f aca="false">Q!$D$30</f>
        <v>4.462</v>
      </c>
      <c r="D4318" s="38" t="n">
        <f aca="false">Q!$E$30</f>
        <v>4.907</v>
      </c>
      <c r="E4318" s="38" t="n">
        <f aca="false">Q!$P$30</f>
        <v>2.57</v>
      </c>
      <c r="F4318" s="38" t="n">
        <f aca="false">(Sens!$D$4316*Sens!$F$4197+(1-ext_sh)*Sens!$F$4240)*(1-Sens!$F$4198)</f>
        <v>3.7353230631574</v>
      </c>
      <c r="G4318" s="38" t="n">
        <f aca="false">Sens!$E$4318+Sens!$F$4318</f>
        <v>6.3053230631574</v>
      </c>
      <c r="H4318" s="38" t="n">
        <f aca="false">(Sens!$D$4316*Sens!$H$4197+(1-ext_sh)*Sens!$H$4240)*(1-Sens!$H$4198)</f>
        <v>8.72254636724805</v>
      </c>
      <c r="I4318" s="38" t="n">
        <f aca="false">(Sens!$D$4316*Sens!$I$4197+(1-ext_sh)*Sens!$I$4240)*(1-Sens!$I$4198)</f>
        <v>10.8922340713019</v>
      </c>
      <c r="J4318" s="38" t="n">
        <f aca="false">(Sens!$D$4316*Sens!$J$4197+(1-ext_sh)*Sens!$J$4240)*(1-Sens!$J$4198)</f>
        <v>13.0724181345791</v>
      </c>
      <c r="K4318" s="38" t="n">
        <f aca="false">(Sens!$D$4316*Sens!$K$4197+(1-ext_sh)*Sens!$K$4240)*(1-Sens!$K$4198)</f>
        <v>15.2201571183236</v>
      </c>
      <c r="L4318" s="38" t="n">
        <f aca="false">(Sens!$D$4316*Sens!$L$4197+(1-ext_sh)*Sens!$L$4240)*(1-Sens!$L$4198)</f>
        <v>17.2920551631732</v>
      </c>
      <c r="M4318" s="38" t="n">
        <f aca="false">(Sens!$D$4316*Sens!$M$4197+(1-ext_sh)*Sens!$M$4240)*(1-Sens!$M$4198)</f>
        <v>19.4425326336348</v>
      </c>
      <c r="N4318" s="38" t="n">
        <f aca="false">Q!$N$30</f>
        <v>2.316</v>
      </c>
      <c r="O4318" s="38" t="n">
        <f aca="false">Q!$O$30</f>
        <v>2.591</v>
      </c>
    </row>
    <row r="4319" customFormat="false" ht="17.15" hidden="false" customHeight="false" outlineLevel="0" collapsed="false">
      <c r="A4319" s="0" t="s">
        <v>501</v>
      </c>
      <c r="B4319" s="0" t="s">
        <v>73</v>
      </c>
      <c r="C4319" s="38" t="n">
        <f aca="false">Sens!$C$4252</f>
        <v>13.32</v>
      </c>
      <c r="D4319" s="38" t="n">
        <f aca="false">Sens!$D$4252</f>
        <v>21.45</v>
      </c>
      <c r="E4319" s="38" t="n">
        <f aca="false">Sens!$E$4252</f>
        <v>15.353</v>
      </c>
      <c r="F4319" s="38" t="n">
        <f aca="false">Sens!$F$4252</f>
        <v>17.3614451462707</v>
      </c>
      <c r="G4319" s="38" t="n">
        <f aca="false">Sens!$G$4252</f>
        <v>32.7144451462707</v>
      </c>
      <c r="H4319" s="38" t="n">
        <f aca="false">Sens!$H$4252</f>
        <v>56.1966092719415</v>
      </c>
      <c r="I4319" s="38" t="n">
        <f aca="false">Sens!$I$4252</f>
        <v>82.9744039068297</v>
      </c>
      <c r="J4319" s="38" t="n">
        <f aca="false">Sens!$J$4252</f>
        <v>109.943252237669</v>
      </c>
      <c r="K4319" s="38" t="n">
        <f aca="false">Sens!$K$4252</f>
        <v>136.406703436571</v>
      </c>
      <c r="L4319" s="38" t="n">
        <f aca="false">Sens!$L$4252</f>
        <v>161.485870454155</v>
      </c>
      <c r="M4319" s="38" t="n">
        <f aca="false">Sens!$M$4252</f>
        <v>187.389846618199</v>
      </c>
      <c r="N4319" s="38" t="n">
        <f aca="false">Sens!$N$4252</f>
        <v>9.234</v>
      </c>
      <c r="O4319" s="38" t="n">
        <f aca="false">Sens!$O$4252</f>
        <v>12.216</v>
      </c>
    </row>
    <row r="4320" customFormat="false" ht="17.15" hidden="false" customHeight="false" outlineLevel="0" collapsed="false">
      <c r="A4320" s="5" t="s">
        <v>695</v>
      </c>
      <c r="B4320" s="0" t="s">
        <v>73</v>
      </c>
      <c r="C4320" s="38" t="n">
        <f aca="false">Sens!$C$4317+Sens!$C$4318+Sens!$C$4319</f>
        <v>32.067</v>
      </c>
      <c r="D4320" s="38" t="n">
        <f aca="false">Sens!$D$4317+Sens!$D$4318+Sens!$D$4319</f>
        <v>41.86</v>
      </c>
      <c r="E4320" s="38" t="n">
        <f aca="false">Sens!$E$4317+Sens!$E$4318+Sens!$E$4319</f>
        <v>26.703</v>
      </c>
      <c r="F4320" s="38" t="n">
        <f aca="false">Sens!$F$4317+Sens!$F$4318+Sens!$F$4319</f>
        <v>30.6103857251209</v>
      </c>
      <c r="G4320" s="38" t="n">
        <f aca="false">Sens!$G$4317+Sens!$G$4318+Sens!$G$4319</f>
        <v>57.3133857251209</v>
      </c>
      <c r="H4320" s="38" t="n">
        <f aca="false">Sens!$H$4317+Sens!$H$4318+Sens!$H$4319</f>
        <v>87.6845218193838</v>
      </c>
      <c r="I4320" s="38" t="n">
        <f aca="false">Sens!$I$4317+Sens!$I$4318+Sens!$I$4319</f>
        <v>122.294769708638</v>
      </c>
      <c r="J4320" s="38" t="n">
        <f aca="false">Sens!$J$4317+Sens!$J$4318+Sens!$J$4319</f>
        <v>157.133962573221</v>
      </c>
      <c r="K4320" s="38" t="n">
        <f aca="false">Sens!$K$4317+Sens!$K$4318+Sens!$K$4319</f>
        <v>191.350633353599</v>
      </c>
      <c r="L4320" s="38" t="n">
        <f aca="false">Sens!$L$4317+Sens!$L$4318+Sens!$L$4319</f>
        <v>223.909238335354</v>
      </c>
      <c r="M4320" s="38" t="n">
        <f aca="false">Sens!$M$4317+Sens!$M$4318+Sens!$M$4319</f>
        <v>257.576319867276</v>
      </c>
      <c r="N4320" s="38" t="n">
        <f aca="false">Sens!$N$4317+Sens!$N$4318+Sens!$N$4319</f>
        <v>18.822</v>
      </c>
      <c r="O4320" s="38" t="n">
        <f aca="false">Sens!$O$4317+Sens!$O$4318+Sens!$O$4319</f>
        <v>23.038</v>
      </c>
    </row>
    <row r="4321" customFormat="false" ht="17.15" hidden="false" customHeight="false" outlineLevel="0" collapsed="false">
      <c r="A4321" s="0" t="s">
        <v>696</v>
      </c>
      <c r="B4321" s="0" t="s">
        <v>73</v>
      </c>
      <c r="C4321" s="38" t="n">
        <f aca="false">Sens!$C$4294+Sens!$C$4299</f>
        <v>28.107</v>
      </c>
      <c r="D4321" s="38" t="n">
        <f aca="false">Sens!$D$4294+Sens!$D$4299</f>
        <v>34.3175</v>
      </c>
      <c r="E4321" s="38" t="n">
        <f aca="false">Sens!$E$4294+Sens!$E$4299</f>
        <v>18.526</v>
      </c>
      <c r="F4321" s="38" t="n">
        <f aca="false">Sens!$F$4294+Sens!$F$4299</f>
        <v>24.0766690913691</v>
      </c>
      <c r="G4321" s="38" t="n">
        <f aca="false">Sens!$G$4294+Sens!$G$4299</f>
        <v>42.6026690913691</v>
      </c>
      <c r="H4321" s="38" t="n">
        <f aca="false">Sens!$H$4294+Sens!$H$4299</f>
        <v>51.1466809294702</v>
      </c>
      <c r="I4321" s="38" t="n">
        <f aca="false">Sens!$I$4294+Sens!$I$4299</f>
        <v>59.6899187926205</v>
      </c>
      <c r="J4321" s="38" t="n">
        <f aca="false">Sens!$J$4294+Sens!$J$4299</f>
        <v>67.6595395244221</v>
      </c>
      <c r="K4321" s="38" t="n">
        <f aca="false">Sens!$K$4294+Sens!$K$4299</f>
        <v>74.4254934768643</v>
      </c>
      <c r="L4321" s="38" t="n">
        <f aca="false">Sens!$L$4294+Sens!$L$4299</f>
        <v>81.8680428245508</v>
      </c>
      <c r="M4321" s="38" t="n">
        <f aca="false">Sens!$M$4294+Sens!$M$4299</f>
        <v>90.0548471070059</v>
      </c>
      <c r="N4321" s="38" t="n">
        <f aca="false">Sens!$N$4294+Sens!$N$4299</f>
        <v>14.8075</v>
      </c>
      <c r="O4321" s="38" t="n">
        <f aca="false">Sens!$O$4294+Sens!$O$4299</f>
        <v>19.51</v>
      </c>
    </row>
    <row r="4322" customFormat="false" ht="17.15" hidden="false" customHeight="false" outlineLevel="0" collapsed="false">
      <c r="A4322" s="0" t="s">
        <v>697</v>
      </c>
      <c r="B4322" s="0" t="s">
        <v>73</v>
      </c>
      <c r="C4322" s="38" t="n">
        <f aca="false">Sens!$C$4298+Sens!$C$4303+Sens!$C$4317+Sens!$C$4318-Sens!$C$4321</f>
        <v>19.399</v>
      </c>
      <c r="D4322" s="38" t="n">
        <f aca="false">Sens!$D$4298+Sens!$D$4303+Sens!$D$4317+Sens!$D$4318-Sens!$D$4321</f>
        <v>20.4615</v>
      </c>
      <c r="E4322" s="38" t="n">
        <f aca="false">Sens!$E$4298+Sens!$E$4303+Sens!$E$4317+Sens!$E$4318-Sens!$E$4321</f>
        <v>13.355</v>
      </c>
      <c r="F4322" s="38" t="n">
        <f aca="false">Sens!$F$4298+Sens!$F$4303+Sens!$F$4317+Sens!$F$4318-Sens!$F$4321</f>
        <v>13.0895111975985</v>
      </c>
      <c r="G4322" s="38" t="n">
        <f aca="false">Sens!$G$4298+Sens!$G$4303+Sens!$G$4317+Sens!$G$4318-Sens!$G$4321</f>
        <v>26.4445111975985</v>
      </c>
      <c r="H4322" s="38" t="n">
        <f aca="false">Sens!$H$4298+Sens!$H$4303+Sens!$H$4317+Sens!$H$4318-Sens!$H$4321</f>
        <v>30.2590424108752</v>
      </c>
      <c r="I4322" s="38" t="n">
        <f aca="false">Sens!$I$4298+Sens!$I$4303+Sens!$I$4317+Sens!$I$4318-Sens!$I$4321</f>
        <v>34.1512893052813</v>
      </c>
      <c r="J4322" s="38" t="n">
        <f aca="false">Sens!$J$4298+Sens!$J$4303+Sens!$J$4317+Sens!$J$4318-Sens!$J$4321</f>
        <v>38.2331755770864</v>
      </c>
      <c r="K4322" s="38" t="n">
        <f aca="false">Sens!$K$4298+Sens!$K$4303+Sens!$K$4317+Sens!$K$4318-Sens!$K$4321</f>
        <v>42.3283281994655</v>
      </c>
      <c r="L4322" s="38" t="n">
        <f aca="false">Sens!$L$4298+Sens!$L$4303+Sens!$L$4317+Sens!$L$4318-Sens!$L$4321</f>
        <v>43.4723295284508</v>
      </c>
      <c r="M4322" s="38" t="n">
        <f aca="false">Sens!$M$4298+Sens!$M$4303+Sens!$M$4317+Sens!$M$4318-Sens!$M$4321</f>
        <v>44.8307958343031</v>
      </c>
      <c r="N4322" s="38" t="n">
        <f aca="false">Sens!$N$4298+Sens!$N$4303+Sens!$N$4317+Sens!$N$4318-Sens!$N$4321</f>
        <v>10.6495</v>
      </c>
      <c r="O4322" s="38" t="n">
        <f aca="false">Sens!$O$4298+Sens!$O$4303+Sens!$O$4317+Sens!$O$4318-Sens!$O$4321</f>
        <v>9.81200000000001</v>
      </c>
    </row>
    <row r="4323" customFormat="false" ht="17.15" hidden="false" customHeight="false" outlineLevel="0" collapsed="false">
      <c r="A4323" s="0" t="s">
        <v>698</v>
      </c>
      <c r="B4323" s="0" t="s">
        <v>73</v>
      </c>
      <c r="C4323" s="38" t="n">
        <f aca="false">Sens!$C$4305+Sens!$C$4319-ext_sh*Sens!$C$4240</f>
        <v>51.3470500115664</v>
      </c>
      <c r="D4323" s="38" t="n">
        <f aca="false">Sens!$D$4305+Sens!$D$4319-ext_sh*Sens!$D$4240</f>
        <v>60.2799375433739</v>
      </c>
      <c r="E4323" s="38" t="n">
        <f aca="false">Sens!$E$4305+Sens!$E$4319-ext_sh*Sens!$E$4240</f>
        <v>39.5095167090767</v>
      </c>
      <c r="F4323" s="38" t="n">
        <f aca="false">Sens!$F$4305+Sens!$F$4319-ext_sh*Sens!$F$4240</f>
        <v>41.606724953129</v>
      </c>
      <c r="G4323" s="38" t="n">
        <f aca="false">Sens!$G$4305+Sens!$G$4319-ext_sh*Sens!$G$4240</f>
        <v>81.1162416622057</v>
      </c>
      <c r="H4323" s="38" t="n">
        <f aca="false">Sens!$H$4305+Sens!$H$4319-ext_sh*Sens!$H$4240</f>
        <v>95.7616595325849</v>
      </c>
      <c r="I4323" s="38" t="n">
        <f aca="false">Sens!$I$4305+Sens!$I$4319-ext_sh*Sens!$I$4240</f>
        <v>111.513312079935</v>
      </c>
      <c r="J4323" s="38" t="n">
        <f aca="false">Sens!$J$4305+Sens!$J$4319-ext_sh*Sens!$J$4240</f>
        <v>125.145150463955</v>
      </c>
      <c r="K4323" s="38" t="n">
        <f aca="false">Sens!$K$4305+Sens!$K$4319-ext_sh*Sens!$K$4240</f>
        <v>135.156762501071</v>
      </c>
      <c r="L4323" s="38" t="n">
        <f aca="false">Sens!$L$4305+Sens!$L$4319-ext_sh*Sens!$L$4240</f>
        <v>145.969303501157</v>
      </c>
      <c r="M4323" s="38" t="n">
        <f aca="false">Sens!$M$4305+Sens!$M$4319-ext_sh*Sens!$M$4240</f>
        <v>157.646847781249</v>
      </c>
      <c r="N4323" s="38" t="n">
        <f aca="false">Sens!$N$4305+Sens!$N$4319-ext_sh*Sens!$N$4240</f>
        <v>28.5693781401809</v>
      </c>
      <c r="O4323" s="38" t="n">
        <f aca="false">Sens!$O$4305+Sens!$O$4319-ext_sh*Sens!$O$4240</f>
        <v>31.7105594031931</v>
      </c>
    </row>
    <row r="4324" customFormat="false" ht="17.15" hidden="false" customHeight="false" outlineLevel="0" collapsed="false">
      <c r="A4324" s="0" t="s">
        <v>699</v>
      </c>
      <c r="B4324" s="0" t="s">
        <v>73</v>
      </c>
      <c r="C4324" s="38" t="n">
        <f aca="false">Sens!$C$4243</f>
        <v>1.80694998843362</v>
      </c>
      <c r="D4324" s="38" t="n">
        <f aca="false">Sens!$D$4243</f>
        <v>6.77606245662607</v>
      </c>
      <c r="E4324" s="38" t="n">
        <f aca="false">Sens!$E$4243</f>
        <v>6.62548329092326</v>
      </c>
      <c r="F4324" s="38" t="n">
        <f aca="false">Sens!$F$4243</f>
        <v>11.7200577158706</v>
      </c>
      <c r="G4324" s="38" t="n">
        <f aca="false">Sens!$G$4243</f>
        <v>18.3455410067939</v>
      </c>
      <c r="H4324" s="38" t="n">
        <f aca="false">Sens!$H$4243</f>
        <v>47.5171727060453</v>
      </c>
      <c r="I4324" s="38" t="n">
        <f aca="false">Sens!$I$4243</f>
        <v>80.5539692643667</v>
      </c>
      <c r="J4324" s="38" t="n">
        <f aca="false">Sens!$J$4243</f>
        <v>113.759316834883</v>
      </c>
      <c r="K4324" s="38" t="n">
        <f aca="false">Sens!$K$4243</f>
        <v>147.020848076132</v>
      </c>
      <c r="L4324" s="38" t="n">
        <f aca="false">Sens!$L$4243</f>
        <v>180.307917349531</v>
      </c>
      <c r="M4324" s="38" t="n">
        <f aca="false">Sens!$M$4243</f>
        <v>213.608737871012</v>
      </c>
      <c r="N4324" s="38" t="n">
        <f aca="false">Sens!$N$4243</f>
        <v>2.37162185981912</v>
      </c>
      <c r="O4324" s="38" t="n">
        <f aca="false">Sens!$O$4243</f>
        <v>4.40444059680694</v>
      </c>
    </row>
    <row r="4325" customFormat="false" ht="17.15" hidden="false" customHeight="false" outlineLevel="0" collapsed="false">
      <c r="A4325" s="0" t="s">
        <v>700</v>
      </c>
      <c r="B4325" s="0" t="s">
        <v>73</v>
      </c>
      <c r="C4325" s="38" t="n">
        <f aca="false">Sens!$C$4308+Sens!$C$4320</f>
        <v>100.66</v>
      </c>
      <c r="D4325" s="38" t="n">
        <f aca="false">Sens!$D$4308+Sens!$D$4320</f>
        <v>121.835</v>
      </c>
      <c r="E4325" s="38" t="n">
        <f aca="false">Sens!$E$4308+Sens!$E$4320</f>
        <v>78.016</v>
      </c>
      <c r="F4325" s="38" t="n">
        <f aca="false">Sens!$F$4308+Sens!$F$4320</f>
        <v>90.4929629579672</v>
      </c>
      <c r="G4325" s="38" t="n">
        <f aca="false">Sens!$G$4308+Sens!$G$4320</f>
        <v>168.508962957967</v>
      </c>
      <c r="H4325" s="38" t="n">
        <f aca="false">Sens!$H$4308+Sens!$H$4320</f>
        <v>224.684555578976</v>
      </c>
      <c r="I4325" s="38" t="n">
        <f aca="false">Sens!$I$4308+Sens!$I$4320</f>
        <v>285.908489442204</v>
      </c>
      <c r="J4325" s="38" t="n">
        <f aca="false">Sens!$J$4308+Sens!$J$4320</f>
        <v>344.797182400347</v>
      </c>
      <c r="K4325" s="38" t="n">
        <f aca="false">Sens!$K$4308+Sens!$K$4320</f>
        <v>398.931432253533</v>
      </c>
      <c r="L4325" s="38" t="n">
        <f aca="false">Sens!$L$4308+Sens!$L$4320</f>
        <v>451.617593203689</v>
      </c>
      <c r="M4325" s="38" t="n">
        <f aca="false">Sens!$M$4308+Sens!$M$4320</f>
        <v>506.14122859357</v>
      </c>
      <c r="N4325" s="38" t="n">
        <f aca="false">Sens!$N$4308+Sens!$N$4320</f>
        <v>56.398</v>
      </c>
      <c r="O4325" s="38" t="n">
        <f aca="false">Sens!$O$4308+Sens!$O$4320</f>
        <v>65.437</v>
      </c>
    </row>
    <row r="4326" customFormat="false" ht="17.15" hidden="false" customHeight="false" outlineLevel="0" collapsed="false">
      <c r="A4326" s="1" t="s">
        <v>701</v>
      </c>
    </row>
    <row r="4327" customFormat="false" ht="15" hidden="false" customHeight="false" outlineLevel="0" collapsed="false">
      <c r="A4327" s="5" t="s">
        <v>504</v>
      </c>
      <c r="B4327" s="0" t="s">
        <v>73</v>
      </c>
      <c r="C4327" s="38" t="n">
        <f aca="false">Q!$D$34</f>
        <v>2.406</v>
      </c>
      <c r="D4327" s="38" t="n">
        <f aca="false">Q!$E$34</f>
        <v>2.274</v>
      </c>
      <c r="E4327" s="38" t="n">
        <f aca="false">Q!$P$34</f>
        <v>2.114</v>
      </c>
      <c r="F4327" s="38" t="n">
        <f aca="false">Sens!$F$4363</f>
        <v>3.24888964316061</v>
      </c>
      <c r="G4327" s="38" t="n">
        <f aca="false">Sens!$E$4327+Sens!$F$4327</f>
        <v>5.36288964316061</v>
      </c>
      <c r="H4327" s="38" t="n">
        <f aca="false">Sens!$H$4363</f>
        <v>7.42354178632123</v>
      </c>
      <c r="I4327" s="38" t="n">
        <f aca="false">Sens!$I$4363</f>
        <v>7.44706180385855</v>
      </c>
      <c r="J4327" s="38" t="n">
        <f aca="false">Sens!$J$4363</f>
        <v>7.54093748499367</v>
      </c>
      <c r="K4327" s="38" t="n">
        <f aca="false">Sens!$K$4363</f>
        <v>7.54093748499367</v>
      </c>
      <c r="L4327" s="38" t="n">
        <f aca="false">Sens!$L$4363</f>
        <v>7.54093748499367</v>
      </c>
      <c r="M4327" s="38" t="n">
        <f aca="false">Sens!$M$4363</f>
        <v>7.54093748499367</v>
      </c>
      <c r="N4327" s="38" t="n">
        <f aca="false">Q!$N$34</f>
        <v>1.057</v>
      </c>
      <c r="O4327" s="38" t="n">
        <f aca="false">Q!$O$34</f>
        <v>1.217</v>
      </c>
    </row>
    <row r="4328" customFormat="false" ht="15" hidden="false" customHeight="false" outlineLevel="0" collapsed="false">
      <c r="A4328" s="5" t="s">
        <v>702</v>
      </c>
      <c r="B4328" s="0" t="s">
        <v>73</v>
      </c>
      <c r="F4328" s="38" t="n">
        <f aca="false">Sens!$F$4364</f>
        <v>2.59</v>
      </c>
      <c r="H4328" s="38" t="n">
        <f aca="false">Sens!$H$4364</f>
        <v>4.00971603121774</v>
      </c>
      <c r="I4328" s="38" t="n">
        <f aca="false">Sens!$I$4364</f>
        <v>2.10589651022864</v>
      </c>
      <c r="J4328" s="38" t="n">
        <f aca="false">Sens!$J$4364</f>
        <v>2.10589651022864</v>
      </c>
      <c r="K4328" s="38" t="n">
        <f aca="false">Sens!$K$4364</f>
        <v>3.95235157408258</v>
      </c>
      <c r="L4328" s="38" t="n">
        <f aca="false">Sens!$L$4364</f>
        <v>7.65942117777088</v>
      </c>
      <c r="M4328" s="38" t="n">
        <f aca="false">Sens!$M$4364</f>
        <v>11.8919686626098</v>
      </c>
    </row>
    <row r="4329" customFormat="false" ht="17.15" hidden="false" customHeight="false" outlineLevel="0" collapsed="false">
      <c r="A4329" s="5" t="s">
        <v>703</v>
      </c>
      <c r="B4329" s="0" t="s">
        <v>73</v>
      </c>
      <c r="C4329" s="38" t="n">
        <f aca="false">Q!$D$39</f>
        <v>2.427</v>
      </c>
      <c r="D4329" s="38" t="n">
        <f aca="false">Q!$E$39</f>
        <v>19.61</v>
      </c>
      <c r="E4329" s="38" t="n">
        <f aca="false">Q!$P$39</f>
        <v>71.492</v>
      </c>
      <c r="F4329" s="41" t="n">
        <v>0</v>
      </c>
      <c r="G4329" s="38" t="n">
        <f aca="false">Sens!$E$4329+Sens!$F$4329</f>
        <v>71.492</v>
      </c>
      <c r="H4329" s="41" t="n">
        <v>0</v>
      </c>
      <c r="I4329" s="41" t="n">
        <v>0</v>
      </c>
      <c r="J4329" s="41" t="n">
        <v>0</v>
      </c>
      <c r="K4329" s="41" t="n">
        <v>0</v>
      </c>
      <c r="L4329" s="41" t="n">
        <v>0</v>
      </c>
      <c r="M4329" s="41" t="n">
        <v>0</v>
      </c>
      <c r="N4329" s="38" t="n">
        <f aca="false">Q!$N$39</f>
        <v>6.017</v>
      </c>
      <c r="O4329" s="38" t="n">
        <f aca="false">Q!$O$39</f>
        <v>13.593</v>
      </c>
      <c r="P4329" s="5" t="s">
        <v>704</v>
      </c>
    </row>
    <row r="4330" customFormat="false" ht="15" hidden="false" customHeight="false" outlineLevel="0" collapsed="false">
      <c r="A4330" s="5" t="s">
        <v>507</v>
      </c>
      <c r="B4330" s="0" t="s">
        <v>73</v>
      </c>
      <c r="C4330" s="38" t="n">
        <f aca="false">Q!$D$36</f>
        <v>68.614</v>
      </c>
      <c r="D4330" s="38" t="n">
        <f aca="false">Q!$E$36</f>
        <v>97.311</v>
      </c>
      <c r="E4330" s="38" t="n">
        <f aca="false">Q!$P$36</f>
        <v>120.691</v>
      </c>
      <c r="F4330" s="38" t="n">
        <f aca="false">Sens!$F$4308-Sens!$F$4327+Sens!$F$4328+Sens!$F$4329</f>
        <v>59.2236875896856</v>
      </c>
      <c r="G4330" s="38" t="n">
        <f aca="false">Sens!$E$4330+Sens!$F$4330</f>
        <v>179.914687589686</v>
      </c>
      <c r="H4330" s="38" t="n">
        <f aca="false">Sens!$H$4308-Sens!$H$4327+Sens!$H$4328+Sens!$H$4329</f>
        <v>133.586208004488</v>
      </c>
      <c r="I4330" s="38" t="n">
        <f aca="false">Sens!$I$4308-Sens!$I$4327+Sens!$I$4328+Sens!$I$4329</f>
        <v>158.272554439936</v>
      </c>
      <c r="J4330" s="38" t="n">
        <f aca="false">Sens!$J$4308-Sens!$J$4327+Sens!$J$4328+Sens!$J$4329</f>
        <v>182.228178852361</v>
      </c>
      <c r="K4330" s="38" t="n">
        <f aca="false">Sens!$K$4308-Sens!$K$4327+Sens!$K$4328+Sens!$K$4329</f>
        <v>203.992212989022</v>
      </c>
      <c r="L4330" s="38" t="n">
        <f aca="false">Sens!$L$4308-Sens!$L$4327+Sens!$L$4328+Sens!$L$4329</f>
        <v>227.826838561112</v>
      </c>
      <c r="M4330" s="38" t="n">
        <f aca="false">Sens!$M$4308-Sens!$M$4327+Sens!$M$4328+Sens!$M$4329</f>
        <v>252.91593990391</v>
      </c>
      <c r="N4330" s="38" t="n">
        <f aca="false">Q!$N$36</f>
        <v>42.536</v>
      </c>
      <c r="O4330" s="38" t="n">
        <f aca="false">Q!$O$36</f>
        <v>54.775</v>
      </c>
    </row>
    <row r="4331" customFormat="false" ht="15" hidden="false" customHeight="false" outlineLevel="0" collapsed="false">
      <c r="A4331" s="5" t="s">
        <v>508</v>
      </c>
      <c r="B4331" s="0" t="s">
        <v>73</v>
      </c>
      <c r="C4331" s="38" t="n">
        <f aca="false">Q!$D$37</f>
        <v>9.265</v>
      </c>
      <c r="D4331" s="38" t="n">
        <f aca="false">Q!$E$37</f>
        <v>19.087</v>
      </c>
      <c r="E4331" s="38" t="n">
        <f aca="false">Q!$P$37</f>
        <v>27.759</v>
      </c>
      <c r="F4331" s="38" t="n">
        <f aca="false">Sens!$F$4330*tax</f>
        <v>10.2803157750071</v>
      </c>
      <c r="G4331" s="38" t="n">
        <f aca="false">Sens!$E$4331+Sens!$F$4331</f>
        <v>38.0393157750071</v>
      </c>
      <c r="H4331" s="38" t="n">
        <f aca="false">Sens!$H$4330*tax</f>
        <v>23.188498679557</v>
      </c>
      <c r="I4331" s="38" t="n">
        <f aca="false">Sens!$I$4330*tax</f>
        <v>27.4736664395568</v>
      </c>
      <c r="J4331" s="38" t="n">
        <f aca="false">Sens!$J$4330*tax</f>
        <v>31.6319921630987</v>
      </c>
      <c r="K4331" s="38" t="n">
        <f aca="false">Sens!$K$4330*tax</f>
        <v>35.4098917260749</v>
      </c>
      <c r="L4331" s="38" t="n">
        <f aca="false">Sens!$L$4330*tax</f>
        <v>39.5472139231956</v>
      </c>
      <c r="M4331" s="38" t="n">
        <f aca="false">Sens!$M$4330*tax</f>
        <v>43.902293703132</v>
      </c>
      <c r="N4331" s="38" t="n">
        <f aca="false">Q!$N$37</f>
        <v>7.231</v>
      </c>
      <c r="O4331" s="38" t="n">
        <f aca="false">Q!$O$37</f>
        <v>11.856</v>
      </c>
    </row>
    <row r="4332" customFormat="false" ht="15" hidden="false" customHeight="false" outlineLevel="0" collapsed="false">
      <c r="A4332" s="3" t="s">
        <v>509</v>
      </c>
      <c r="B4332" s="8" t="s">
        <v>73</v>
      </c>
      <c r="C4332" s="38" t="n">
        <f aca="false">Q!$D$38</f>
        <v>59.248</v>
      </c>
      <c r="D4332" s="38" t="n">
        <f aca="false">Q!$E$38</f>
        <v>77.67</v>
      </c>
      <c r="E4332" s="38" t="n">
        <f aca="false">Q!$P$38</f>
        <v>92.902</v>
      </c>
      <c r="F4332" s="38" t="n">
        <f aca="false">Sens!$F$4330-Sens!$F$4331</f>
        <v>48.9433718146785</v>
      </c>
      <c r="G4332" s="38" t="n">
        <f aca="false">Sens!$E$4332+Sens!$F$4332</f>
        <v>141.845371814679</v>
      </c>
      <c r="H4332" s="38" t="n">
        <f aca="false">Sens!$H$4330-Sens!$H$4331</f>
        <v>110.397709324931</v>
      </c>
      <c r="I4332" s="38" t="n">
        <f aca="false">Sens!$I$4330-Sens!$I$4331</f>
        <v>130.798888000379</v>
      </c>
      <c r="J4332" s="38" t="n">
        <f aca="false">Sens!$J$4330-Sens!$J$4331</f>
        <v>150.596186689262</v>
      </c>
      <c r="K4332" s="38" t="n">
        <f aca="false">Sens!$K$4330-Sens!$K$4331</f>
        <v>168.582321262947</v>
      </c>
      <c r="L4332" s="38" t="n">
        <f aca="false">Sens!$L$4330-Sens!$L$4331</f>
        <v>188.279624637917</v>
      </c>
      <c r="M4332" s="38" t="n">
        <f aca="false">Sens!$M$4330-Sens!$M$4331</f>
        <v>209.013646200778</v>
      </c>
      <c r="N4332" s="38" t="n">
        <f aca="false">Q!$N$38</f>
        <v>35.291</v>
      </c>
      <c r="O4332" s="38" t="n">
        <f aca="false">Q!$O$38</f>
        <v>42.379</v>
      </c>
    </row>
    <row r="4333" customFormat="false" ht="17.15" hidden="false" customHeight="false" outlineLevel="0" collapsed="false">
      <c r="A4333" s="5" t="s">
        <v>512</v>
      </c>
      <c r="B4333" s="5" t="s">
        <v>33</v>
      </c>
      <c r="C4333" s="22" t="n">
        <f aca="false">Q!$D$41</f>
        <v>10.721</v>
      </c>
      <c r="D4333" s="22" t="n">
        <f aca="false">Q!$E$41</f>
        <v>10.827</v>
      </c>
      <c r="E4333" s="22" t="n">
        <f aca="false">(Q!$L$41+Q!$M$41)/2</f>
        <v>10.8885</v>
      </c>
      <c r="F4333" s="22" t="n">
        <f aca="false">Sens!$G$4333</f>
        <v>10.924806</v>
      </c>
      <c r="G4333" s="22" t="n">
        <f aca="false">Q!$M$41*(1+sh_g*0.25)</f>
        <v>10.924806</v>
      </c>
      <c r="H4333" s="22" t="n">
        <f aca="false">Sens!$G$4333*(1+sh_g)</f>
        <v>11.012204448</v>
      </c>
      <c r="I4333" s="22" t="n">
        <f aca="false">Sens!$H$4333*(1+sh_g)</f>
        <v>11.100302083584</v>
      </c>
      <c r="J4333" s="22" t="n">
        <f aca="false">Sens!$I$4333*(1+sh_g)</f>
        <v>11.1891045002527</v>
      </c>
      <c r="K4333" s="22" t="n">
        <f aca="false">Sens!$J$4333*(1+sh_g)</f>
        <v>11.2786173362547</v>
      </c>
      <c r="L4333" s="22" t="n">
        <f aca="false">Sens!$K$4333*(1+sh_g)</f>
        <v>11.3688462749447</v>
      </c>
      <c r="M4333" s="22" t="n">
        <f aca="false">Sens!$L$4333*(1+sh_g)</f>
        <v>11.4597970451443</v>
      </c>
      <c r="P4333" s="5" t="s">
        <v>705</v>
      </c>
    </row>
    <row r="4334" customFormat="false" ht="17.15" hidden="false" customHeight="false" outlineLevel="0" collapsed="false">
      <c r="A4334" s="42" t="s">
        <v>706</v>
      </c>
      <c r="B4334" s="13" t="s">
        <v>27</v>
      </c>
      <c r="C4334" s="43" t="n">
        <f aca="false">Sens!$C$4332/Sens!$C$4333</f>
        <v>5.52635015390355</v>
      </c>
      <c r="D4334" s="43" t="n">
        <f aca="false">Sens!$D$4332/Sens!$D$4333</f>
        <v>7.1737323358271</v>
      </c>
      <c r="E4334" s="43" t="n">
        <f aca="false">Sens!$E$4332/Sens!$E$4333</f>
        <v>8.53212104513937</v>
      </c>
      <c r="F4334" s="13"/>
      <c r="G4334" s="43" t="n">
        <f aca="false">Sens!$G$4332/Sens!$G$4333</f>
        <v>12.9837886196495</v>
      </c>
      <c r="H4334" s="43" t="n">
        <f aca="false">Sens!$H$4332/Sens!$H$4333</f>
        <v>10.0250326668228</v>
      </c>
      <c r="I4334" s="43" t="n">
        <f aca="false">Sens!$I$4332/Sens!$I$4333</f>
        <v>11.7833629225114</v>
      </c>
      <c r="J4334" s="43" t="n">
        <f aca="false">Sens!$J$4332/Sens!$J$4333</f>
        <v>13.4591813568156</v>
      </c>
      <c r="K4334" s="43" t="n">
        <f aca="false">Sens!$K$4332/Sens!$K$4333</f>
        <v>14.9470734077524</v>
      </c>
      <c r="L4334" s="43" t="n">
        <f aca="false">Sens!$L$4332/Sens!$L$4333</f>
        <v>16.5610142036011</v>
      </c>
      <c r="M4334" s="43" t="n">
        <f aca="false">Sens!$M$4332/Sens!$M$4333</f>
        <v>18.2388610703486</v>
      </c>
      <c r="N4334" s="13"/>
      <c r="O4334" s="13"/>
    </row>
    <row r="4335" customFormat="false" ht="17.15" hidden="false" customHeight="false" outlineLevel="0" collapsed="false">
      <c r="A4335" s="0" t="s">
        <v>707</v>
      </c>
      <c r="B4335" s="0" t="s">
        <v>27</v>
      </c>
      <c r="C4335" s="30" t="n">
        <f aca="false">(Sens!$C$4332-Sens!$C$4329*(1-tax))/Sens!$C$4333</f>
        <v>5.33926775917445</v>
      </c>
      <c r="D4335" s="30" t="n">
        <f aca="false">(Sens!$D$4332-Sens!$D$4329*(1-tax))/Sens!$D$4333</f>
        <v>5.67691812755503</v>
      </c>
      <c r="E4335" s="30" t="n">
        <f aca="false">(Sens!$E$4332-Sens!$E$4329*(1-tax))/Sens!$E$4333</f>
        <v>3.10602057006846</v>
      </c>
      <c r="G4335" s="30" t="n">
        <f aca="false">(Sens!$G$4332-Sens!$G$4329*(1-tax))/Sens!$G$4333</f>
        <v>7.57572050175252</v>
      </c>
      <c r="H4335" s="30" t="n">
        <f aca="false">(Sens!$H$4332-Sens!$H$4329*(1-tax))/Sens!$H$4333</f>
        <v>10.0250326668228</v>
      </c>
      <c r="I4335" s="30" t="n">
        <f aca="false">(Sens!$I$4332-Sens!$I$4329*(1-tax))/Sens!$I$4333</f>
        <v>11.7833629225114</v>
      </c>
      <c r="J4335" s="30" t="n">
        <f aca="false">(Sens!$J$4332-Sens!$J$4329*(1-tax))/Sens!$J$4333</f>
        <v>13.4591813568156</v>
      </c>
      <c r="K4335" s="30" t="n">
        <f aca="false">(Sens!$K$4332-Sens!$K$4329*(1-tax))/Sens!$K$4333</f>
        <v>14.9470734077524</v>
      </c>
      <c r="L4335" s="30" t="n">
        <f aca="false">(Sens!$L$4332-Sens!$L$4329*(1-tax))/Sens!$L$4333</f>
        <v>16.5610142036011</v>
      </c>
      <c r="M4335" s="30" t="n">
        <f aca="false">(Sens!$M$4332-Sens!$M$4329*(1-tax))/Sens!$M$4333</f>
        <v>18.2388610703486</v>
      </c>
      <c r="P4335" s="5" t="s">
        <v>708</v>
      </c>
    </row>
    <row r="4336" customFormat="false" ht="17.15" hidden="false" customHeight="false" outlineLevel="0" collapsed="false">
      <c r="A4336" s="0" t="s">
        <v>709</v>
      </c>
      <c r="B4336" s="0" t="s">
        <v>52</v>
      </c>
      <c r="H4336" s="12" t="n">
        <f aca="false">Sens!$H$4334/Sens!$G$4334-1</f>
        <v>-0.227880785763021</v>
      </c>
      <c r="I4336" s="12" t="n">
        <f aca="false">Sens!$I$4334/Sens!$H$4334-1</f>
        <v>0.175393967693256</v>
      </c>
      <c r="J4336" s="12" t="n">
        <f aca="false">Sens!$J$4334/Sens!$I$4334-1</f>
        <v>0.142219029094205</v>
      </c>
      <c r="K4336" s="12" t="n">
        <f aca="false">Sens!$K$4334/Sens!$J$4334-1</f>
        <v>0.110548480735297</v>
      </c>
      <c r="L4336" s="12" t="n">
        <f aca="false">Sens!$L$4334/Sens!$K$4334-1</f>
        <v>0.107977043520213</v>
      </c>
      <c r="M4336" s="12" t="n">
        <f aca="false">Sens!$M$4334/Sens!$L$4334-1</f>
        <v>0.101313050403802</v>
      </c>
    </row>
    <row r="4339" customFormat="false" ht="19.4" hidden="false" customHeight="false" outlineLevel="0" collapsed="false">
      <c r="A4339" s="31" t="s">
        <v>1138</v>
      </c>
    </row>
    <row r="4340" customFormat="false" ht="17.15" hidden="false" customHeight="false" outlineLevel="0" collapsed="false">
      <c r="A4340" s="6" t="s">
        <v>16</v>
      </c>
      <c r="B4340" s="6" t="s">
        <v>17</v>
      </c>
      <c r="C4340" s="20" t="s">
        <v>457</v>
      </c>
      <c r="D4340" s="20" t="s">
        <v>458</v>
      </c>
      <c r="E4340" s="20" t="s">
        <v>540</v>
      </c>
      <c r="F4340" s="20" t="s">
        <v>541</v>
      </c>
      <c r="G4340" s="20" t="s">
        <v>542</v>
      </c>
      <c r="H4340" s="20" t="s">
        <v>543</v>
      </c>
      <c r="I4340" s="20" t="s">
        <v>544</v>
      </c>
      <c r="J4340" s="20" t="s">
        <v>545</v>
      </c>
      <c r="K4340" s="20" t="s">
        <v>546</v>
      </c>
      <c r="L4340" s="20" t="s">
        <v>547</v>
      </c>
      <c r="M4340" s="20" t="s">
        <v>548</v>
      </c>
      <c r="N4340" s="20" t="s">
        <v>549</v>
      </c>
      <c r="O4340" s="20" t="s">
        <v>550</v>
      </c>
      <c r="P4340" s="6" t="s">
        <v>23</v>
      </c>
      <c r="R4340" s="20" t="n">
        <v>2023</v>
      </c>
      <c r="S4340" s="20" t="n">
        <v>2024</v>
      </c>
      <c r="T4340" s="20" t="n">
        <v>2025</v>
      </c>
      <c r="U4340" s="20" t="n">
        <v>2026</v>
      </c>
      <c r="V4340" s="20" t="n">
        <v>2027</v>
      </c>
      <c r="W4340" s="20" t="n">
        <v>2028</v>
      </c>
      <c r="X4340" s="20" t="n">
        <v>2029</v>
      </c>
      <c r="Y4340" s="20" t="n">
        <v>2030</v>
      </c>
      <c r="Z4340" s="20" t="n">
        <v>2031</v>
      </c>
      <c r="AA4340" s="20" t="n">
        <v>2032</v>
      </c>
    </row>
    <row r="4341" customFormat="false" ht="15" hidden="false" customHeight="false" outlineLevel="0" collapsed="false">
      <c r="A4341" s="5" t="s">
        <v>509</v>
      </c>
      <c r="B4341" s="0" t="s">
        <v>73</v>
      </c>
      <c r="C4341" s="38" t="n">
        <f aca="false">Sens!$C$4332</f>
        <v>59.248</v>
      </c>
      <c r="D4341" s="38" t="n">
        <f aca="false">Sens!$D$4332</f>
        <v>77.67</v>
      </c>
      <c r="E4341" s="38" t="n">
        <f aca="false">Sens!$E$4332</f>
        <v>92.902</v>
      </c>
      <c r="F4341" s="38" t="n">
        <f aca="false">Sens!$F$4332</f>
        <v>48.9433718146785</v>
      </c>
      <c r="G4341" s="38" t="n">
        <f aca="false">Sens!$G$4332</f>
        <v>141.845371814679</v>
      </c>
      <c r="H4341" s="38" t="n">
        <f aca="false">Sens!$H$4332</f>
        <v>110.397709324931</v>
      </c>
      <c r="I4341" s="38" t="n">
        <f aca="false">Sens!$I$4332</f>
        <v>130.798888000379</v>
      </c>
      <c r="J4341" s="38" t="n">
        <f aca="false">Sens!$J$4332</f>
        <v>150.596186689262</v>
      </c>
      <c r="K4341" s="38" t="n">
        <f aca="false">Sens!$K$4332</f>
        <v>168.582321262947</v>
      </c>
      <c r="L4341" s="38" t="n">
        <f aca="false">Sens!$L$4332</f>
        <v>188.279624637917</v>
      </c>
      <c r="M4341" s="38" t="n">
        <f aca="false">Sens!$M$4332</f>
        <v>209.013646200778</v>
      </c>
    </row>
    <row r="4342" customFormat="false" ht="17.15" hidden="false" customHeight="false" outlineLevel="0" collapsed="false">
      <c r="A4342" s="5" t="s">
        <v>731</v>
      </c>
      <c r="B4342" s="0" t="s">
        <v>73</v>
      </c>
      <c r="C4342" s="38" t="n">
        <f aca="false">Sens!$C$4320</f>
        <v>32.067</v>
      </c>
      <c r="D4342" s="38" t="n">
        <f aca="false">Sens!$D$4320</f>
        <v>41.86</v>
      </c>
      <c r="E4342" s="38" t="n">
        <f aca="false">Sens!$E$4320</f>
        <v>26.703</v>
      </c>
      <c r="F4342" s="38" t="n">
        <f aca="false">Sens!$F$4320</f>
        <v>30.6103857251209</v>
      </c>
      <c r="G4342" s="38" t="n">
        <f aca="false">Sens!$G$4320</f>
        <v>57.3133857251209</v>
      </c>
      <c r="H4342" s="38" t="n">
        <f aca="false">Sens!$H$4320</f>
        <v>87.6845218193838</v>
      </c>
      <c r="I4342" s="38" t="n">
        <f aca="false">Sens!$I$4320</f>
        <v>122.294769708638</v>
      </c>
      <c r="J4342" s="38" t="n">
        <f aca="false">Sens!$J$4320</f>
        <v>157.133962573221</v>
      </c>
      <c r="K4342" s="38" t="n">
        <f aca="false">Sens!$K$4320</f>
        <v>191.350633353599</v>
      </c>
      <c r="L4342" s="38" t="n">
        <f aca="false">Sens!$L$4320</f>
        <v>223.909238335354</v>
      </c>
      <c r="M4342" s="38" t="n">
        <f aca="false">Sens!$M$4320</f>
        <v>257.576319867276</v>
      </c>
    </row>
    <row r="4343" customFormat="false" ht="15" hidden="false" customHeight="false" outlineLevel="0" collapsed="false">
      <c r="A4343" s="5" t="s">
        <v>732</v>
      </c>
      <c r="B4343" s="0" t="s">
        <v>73</v>
      </c>
      <c r="C4343" s="38" t="n">
        <f aca="false">Q!$D$48</f>
        <v>22.011</v>
      </c>
      <c r="D4343" s="38" t="n">
        <f aca="false">Q!$E$48</f>
        <v>19.467</v>
      </c>
      <c r="E4343" s="38" t="n">
        <f aca="false">Q!$P$48</f>
        <v>10.07</v>
      </c>
      <c r="F4343" s="38" t="n">
        <f aca="false">sbc_r*Sens!$F$4264</f>
        <v>11.2170714500462</v>
      </c>
      <c r="G4343" s="38" t="n">
        <f aca="false">Sens!$E$4343+Sens!$F$4343</f>
        <v>21.2870714500462</v>
      </c>
      <c r="H4343" s="38" t="n">
        <f aca="false">sbc_r*Sens!$H$4264</f>
        <v>24.1772394325528</v>
      </c>
      <c r="I4343" s="38" t="n">
        <f aca="false">sbc_r*Sens!$I$4264</f>
        <v>27.6495284422397</v>
      </c>
      <c r="J4343" s="38" t="n">
        <f aca="false">sbc_r*Sens!$J$4264</f>
        <v>30.9042211184633</v>
      </c>
      <c r="K4343" s="38" t="n">
        <f aca="false">sbc_r*Sens!$K$4264</f>
        <v>33.8004145402678</v>
      </c>
      <c r="L4343" s="38" t="n">
        <f aca="false">sbc_r*Sens!$L$4264</f>
        <v>36.8322537652494</v>
      </c>
      <c r="M4343" s="38" t="n">
        <f aca="false">sbc_r*Sens!$M$4264</f>
        <v>40.0097627968013</v>
      </c>
    </row>
    <row r="4344" customFormat="false" ht="17.15" hidden="false" customHeight="false" outlineLevel="0" collapsed="false">
      <c r="A4344" s="5" t="s">
        <v>733</v>
      </c>
      <c r="B4344" s="0" t="s">
        <v>73</v>
      </c>
      <c r="C4344" s="38" t="n">
        <f aca="false">Q!$D$44-Sens!$C$4341-Sens!$C$4342-Sens!$C$4343</f>
        <v>2.551</v>
      </c>
      <c r="D4344" s="38" t="n">
        <f aca="false">Q!$E$44-Sens!$D$4341-Sens!$D$4342-Sens!$D$4343</f>
        <v>0.51700000000001</v>
      </c>
      <c r="E4344" s="38" t="n">
        <f aca="false">Q!$P$44-Sens!$E$4341-Sens!$E$4342-Sens!$E$4343</f>
        <v>-58.256</v>
      </c>
      <c r="F4344" s="38" t="n">
        <f aca="false">wc_2h26+oth_r*Sens!$F$4264</f>
        <v>7.34599241893378</v>
      </c>
      <c r="G4344" s="38" t="n">
        <f aca="false">Sens!$E$4344+Sens!$F$4344</f>
        <v>-50.9100075810662</v>
      </c>
      <c r="H4344" s="38" t="n">
        <f aca="false">oth_r*Sens!$H$4264</f>
        <v>11.6369707537667</v>
      </c>
      <c r="I4344" s="38" t="n">
        <f aca="false">oth_r*Sens!$I$4264</f>
        <v>13.3082502961262</v>
      </c>
      <c r="J4344" s="38" t="n">
        <f aca="false">oth_r*Sens!$J$4264</f>
        <v>14.8747965344332</v>
      </c>
      <c r="K4344" s="38" t="n">
        <f aca="false">oth_r*Sens!$K$4264</f>
        <v>16.2687901804328</v>
      </c>
      <c r="L4344" s="38" t="n">
        <f aca="false">oth_r*Sens!$L$4264</f>
        <v>17.7280727627002</v>
      </c>
      <c r="M4344" s="38" t="n">
        <f aca="false">oth_r*Sens!$M$4264</f>
        <v>19.2574690270319</v>
      </c>
      <c r="P4344" s="8" t="s">
        <v>734</v>
      </c>
    </row>
    <row r="4345" customFormat="false" ht="15" hidden="false" customHeight="false" outlineLevel="0" collapsed="false">
      <c r="A4345" s="3" t="s">
        <v>515</v>
      </c>
      <c r="B4345" s="8" t="s">
        <v>73</v>
      </c>
      <c r="C4345" s="38" t="n">
        <f aca="false">Q!$D$44</f>
        <v>115.877</v>
      </c>
      <c r="D4345" s="38" t="n">
        <f aca="false">Q!$E$44</f>
        <v>139.514</v>
      </c>
      <c r="E4345" s="38" t="n">
        <f aca="false">Q!$P$44</f>
        <v>71.419</v>
      </c>
      <c r="F4345" s="38" t="n">
        <f aca="false">Sens!$F$4341+Sens!$F$4342+Sens!$F$4343+Sens!$F$4344</f>
        <v>98.1168214087795</v>
      </c>
      <c r="G4345" s="38" t="n">
        <f aca="false">Sens!$E$4345+Sens!$F$4345</f>
        <v>169.535821408779</v>
      </c>
      <c r="H4345" s="38" t="n">
        <f aca="false">Sens!$H$4341+Sens!$H$4342+Sens!$H$4343+Sens!$H$4344</f>
        <v>233.896441330635</v>
      </c>
      <c r="I4345" s="38" t="n">
        <f aca="false">Sens!$I$4341+Sens!$I$4342+Sens!$I$4343+Sens!$I$4344</f>
        <v>294.051436447383</v>
      </c>
      <c r="J4345" s="38" t="n">
        <f aca="false">Sens!$J$4341+Sens!$J$4342+Sens!$J$4343+Sens!$J$4344</f>
        <v>353.509166915379</v>
      </c>
      <c r="K4345" s="38" t="n">
        <f aca="false">Sens!$K$4341+Sens!$K$4342+Sens!$K$4343+Sens!$K$4344</f>
        <v>410.002159337248</v>
      </c>
      <c r="L4345" s="38" t="n">
        <f aca="false">Sens!$L$4341+Sens!$L$4342+Sens!$L$4343+Sens!$L$4344</f>
        <v>466.749189501221</v>
      </c>
      <c r="M4345" s="38" t="n">
        <f aca="false">Sens!$M$4341+Sens!$M$4342+Sens!$M$4343+Sens!$M$4344</f>
        <v>525.857197891887</v>
      </c>
    </row>
    <row r="4346" customFormat="false" ht="17.15" hidden="false" customHeight="false" outlineLevel="0" collapsed="false">
      <c r="A4346" s="5" t="s">
        <v>735</v>
      </c>
      <c r="B4346" s="0" t="s">
        <v>73</v>
      </c>
      <c r="C4346" s="38" t="n">
        <f aca="false">Sens!$C$4233</f>
        <v>25.2781053077374</v>
      </c>
      <c r="D4346" s="38" t="n">
        <f aca="false">Sens!$D$4233</f>
        <v>69.5686316310026</v>
      </c>
      <c r="E4346" s="38" t="n">
        <f aca="false">Sens!$E$4233</f>
        <v>64.1899206485108</v>
      </c>
      <c r="F4346" s="38" t="n">
        <f aca="false">Sens!$F$4233</f>
        <v>96.2481299895</v>
      </c>
      <c r="G4346" s="38" t="n">
        <f aca="false">Sens!$G$4233</f>
        <v>160.438050638011</v>
      </c>
      <c r="H4346" s="38" t="n">
        <f aca="false">Sens!$H$4233</f>
        <v>198.57136494475</v>
      </c>
      <c r="I4346" s="38" t="n">
        <f aca="false">Sens!$I$4233</f>
        <v>204.6464699105</v>
      </c>
      <c r="J4346" s="38" t="n">
        <f aca="false">Sens!$J$4233</f>
        <v>209.8832381105</v>
      </c>
      <c r="K4346" s="38" t="n">
        <f aca="false">Sens!$K$4233</f>
        <v>215.1200063105</v>
      </c>
      <c r="L4346" s="38" t="n">
        <f aca="false">Sens!$L$4233</f>
        <v>251.7773837105</v>
      </c>
      <c r="M4346" s="38" t="n">
        <f aca="false">Sens!$M$4233</f>
        <v>311.87584476575</v>
      </c>
    </row>
    <row r="4347" customFormat="false" ht="17.15" hidden="false" customHeight="false" outlineLevel="0" collapsed="false">
      <c r="A4347" s="5" t="s">
        <v>736</v>
      </c>
      <c r="B4347" s="0" t="s">
        <v>73</v>
      </c>
      <c r="C4347" s="38" t="n">
        <f aca="false">cx_awso*Sens!$C$4262</f>
        <v>21.0469989286053</v>
      </c>
      <c r="D4347" s="38" t="n">
        <f aca="false">cx_awso*Sens!$D$4262</f>
        <v>24.0042459822698</v>
      </c>
      <c r="E4347" s="38" t="n">
        <f aca="false">cx_awso*Sens!$E$4262</f>
        <v>14.261729404886</v>
      </c>
      <c r="F4347" s="38" t="n">
        <f aca="false">cx_awso*Sens!$F$4262</f>
        <v>15.7190020837331</v>
      </c>
      <c r="G4347" s="38" t="n">
        <f aca="false">Sens!$E$4347+Sens!$F$4347</f>
        <v>29.9807314886191</v>
      </c>
      <c r="H4347" s="38" t="n">
        <f aca="false">cx_awso*Sens!$H$4262</f>
        <v>36.1787121536283</v>
      </c>
      <c r="I4347" s="38" t="n">
        <f aca="false">cx_awso*Sens!$I$4262</f>
        <v>42.1296794430021</v>
      </c>
      <c r="J4347" s="38" t="n">
        <f aca="false">cx_awso*Sens!$J$4262</f>
        <v>47.279781889299</v>
      </c>
      <c r="K4347" s="38" t="n">
        <f aca="false">cx_awso*Sens!$K$4262</f>
        <v>51.0621644404429</v>
      </c>
      <c r="L4347" s="38" t="n">
        <f aca="false">cx_awso*Sens!$L$4262</f>
        <v>55.1471375956783</v>
      </c>
      <c r="M4347" s="38" t="n">
        <f aca="false">cx_awso*Sens!$M$4262</f>
        <v>59.5589086033326</v>
      </c>
    </row>
    <row r="4348" customFormat="false" ht="17.15" hidden="false" customHeight="false" outlineLevel="0" collapsed="false">
      <c r="A4348" s="5" t="s">
        <v>737</v>
      </c>
      <c r="B4348" s="0" t="s">
        <v>73</v>
      </c>
      <c r="C4348" s="38" t="n">
        <f aca="false">Q!$D$46-Sens!$C$4346-Sens!$C$4347</f>
        <v>31.3328957636573</v>
      </c>
      <c r="D4348" s="38" t="n">
        <f aca="false">Q!$E$46-Sens!$D$4346-Sens!$D$4347</f>
        <v>34.7471223867276</v>
      </c>
      <c r="E4348" s="38" t="n">
        <f aca="false">Q!$P$46-Sens!$E$4346-Sens!$E$4347</f>
        <v>17.8583499466032</v>
      </c>
      <c r="F4348" s="38" t="n">
        <f aca="false">cx_rt*Sens!$F$4197</f>
        <v>21.0855744229195</v>
      </c>
      <c r="G4348" s="38" t="n">
        <f aca="false">Sens!$E$4348+Sens!$F$4348</f>
        <v>38.9439243695228</v>
      </c>
      <c r="H4348" s="38" t="n">
        <f aca="false">cx_rt*Sens!$H$4197</f>
        <v>43.1200434029767</v>
      </c>
      <c r="I4348" s="38" t="n">
        <f aca="false">cx_rt*Sens!$I$4197</f>
        <v>47.1583152318763</v>
      </c>
      <c r="J4348" s="38" t="n">
        <f aca="false">cx_rt*Sens!$J$4197</f>
        <v>50.9060281137911</v>
      </c>
      <c r="K4348" s="38" t="n">
        <f aca="false">cx_rt*Sens!$K$4197</f>
        <v>54.2035645673053</v>
      </c>
      <c r="L4348" s="38" t="n">
        <f aca="false">cx_rt*Sens!$L$4197</f>
        <v>57.7318979121519</v>
      </c>
      <c r="M4348" s="38" t="n">
        <f aca="false">cx_rt*Sens!$M$4197</f>
        <v>61.5084196557756</v>
      </c>
    </row>
    <row r="4349" customFormat="false" ht="15" hidden="false" customHeight="false" outlineLevel="0" collapsed="false">
      <c r="A4349" s="3" t="s">
        <v>738</v>
      </c>
      <c r="B4349" s="8" t="s">
        <v>73</v>
      </c>
      <c r="C4349" s="38" t="n">
        <f aca="false">Q!$D$46</f>
        <v>77.658</v>
      </c>
      <c r="D4349" s="38" t="n">
        <f aca="false">Q!$E$46</f>
        <v>128.32</v>
      </c>
      <c r="E4349" s="38" t="n">
        <f aca="false">Q!$P$46</f>
        <v>96.31</v>
      </c>
      <c r="F4349" s="38" t="n">
        <f aca="false">Sens!$F$4346+Sens!$F$4347+Sens!$F$4348</f>
        <v>133.052706496153</v>
      </c>
      <c r="G4349" s="38" t="n">
        <f aca="false">Sens!$E$4349+Sens!$F$4349</f>
        <v>229.362706496153</v>
      </c>
      <c r="H4349" s="38" t="n">
        <f aca="false">Sens!$H$4346+Sens!$H$4347+Sens!$H$4348</f>
        <v>277.870120501355</v>
      </c>
      <c r="I4349" s="38" t="n">
        <f aca="false">Sens!$I$4346+Sens!$I$4347+Sens!$I$4348</f>
        <v>293.934464585378</v>
      </c>
      <c r="J4349" s="38" t="n">
        <f aca="false">Sens!$J$4346+Sens!$J$4347+Sens!$J$4348</f>
        <v>308.06904811359</v>
      </c>
      <c r="K4349" s="38" t="n">
        <f aca="false">Sens!$K$4346+Sens!$K$4347+Sens!$K$4348</f>
        <v>320.385735318248</v>
      </c>
      <c r="L4349" s="38" t="n">
        <f aca="false">Sens!$L$4346+Sens!$L$4347+Sens!$L$4348</f>
        <v>364.65641921833</v>
      </c>
      <c r="M4349" s="38" t="n">
        <f aca="false">Sens!$M$4346+Sens!$M$4347+Sens!$M$4348</f>
        <v>432.943173024858</v>
      </c>
    </row>
    <row r="4350" customFormat="false" ht="17.15" hidden="false" customHeight="false" outlineLevel="0" collapsed="false">
      <c r="A4350" s="5" t="s">
        <v>523</v>
      </c>
      <c r="B4350" s="0" t="s">
        <v>73</v>
      </c>
      <c r="C4350" s="38" t="n">
        <f aca="false">Q!$D$50</f>
        <v>2.043</v>
      </c>
      <c r="D4350" s="38" t="n">
        <f aca="false">Q!$E$50</f>
        <v>1.557</v>
      </c>
      <c r="E4350" s="38" t="n">
        <f aca="false">lease_pr/2</f>
        <v>0.8</v>
      </c>
      <c r="F4350" s="38" t="n">
        <f aca="false">lease_pr/2</f>
        <v>0.8</v>
      </c>
      <c r="G4350" s="38" t="n">
        <f aca="false">Sens!$E$4350+Sens!$F$4350</f>
        <v>1.6</v>
      </c>
      <c r="H4350" s="38" t="n">
        <f aca="false">lease_pr</f>
        <v>1.6</v>
      </c>
      <c r="I4350" s="38" t="n">
        <f aca="false">lease_pr</f>
        <v>1.6</v>
      </c>
      <c r="J4350" s="38" t="n">
        <f aca="false">lease_pr</f>
        <v>1.6</v>
      </c>
      <c r="K4350" s="38" t="n">
        <f aca="false">lease_pr</f>
        <v>1.6</v>
      </c>
      <c r="L4350" s="38" t="n">
        <f aca="false">lease_pr</f>
        <v>1.6</v>
      </c>
      <c r="M4350" s="38" t="n">
        <f aca="false">lease_pr</f>
        <v>1.6</v>
      </c>
      <c r="P4350" s="8" t="s">
        <v>739</v>
      </c>
    </row>
    <row r="4351" customFormat="false" ht="15" hidden="false" customHeight="false" outlineLevel="0" collapsed="false">
      <c r="A4351" s="46" t="s">
        <v>740</v>
      </c>
      <c r="B4351" s="13" t="s">
        <v>73</v>
      </c>
      <c r="C4351" s="47" t="n">
        <f aca="false">Sens!$C$4345-Sens!$C$4349-Sens!$C$4350</f>
        <v>36.176</v>
      </c>
      <c r="D4351" s="47" t="n">
        <f aca="false">Sens!$D$4345-Sens!$D$4349-Sens!$D$4350</f>
        <v>9.63700000000002</v>
      </c>
      <c r="E4351" s="47" t="n">
        <f aca="false">Sens!$E$4345-Sens!$E$4349-Sens!$E$4350</f>
        <v>-25.691</v>
      </c>
      <c r="F4351" s="47" t="n">
        <f aca="false">Sens!$F$4345-Sens!$F$4349-Sens!$F$4350</f>
        <v>-35.7358850873731</v>
      </c>
      <c r="G4351" s="47" t="n">
        <f aca="false">Sens!$G$4345-Sens!$G$4349-Sens!$G$4350</f>
        <v>-61.4268850873731</v>
      </c>
      <c r="H4351" s="47" t="n">
        <f aca="false">Sens!$H$4345-Sens!$H$4349-Sens!$H$4350</f>
        <v>-45.5736791707205</v>
      </c>
      <c r="I4351" s="47" t="n">
        <f aca="false">Sens!$I$4345-Sens!$I$4349-Sens!$I$4350</f>
        <v>-1.4830281379955</v>
      </c>
      <c r="J4351" s="47" t="n">
        <f aca="false">Sens!$J$4345-Sens!$J$4349-Sens!$J$4350</f>
        <v>43.8401188017893</v>
      </c>
      <c r="K4351" s="47" t="n">
        <f aca="false">Sens!$K$4345-Sens!$K$4349-Sens!$K$4350</f>
        <v>88.0164240189993</v>
      </c>
      <c r="L4351" s="47" t="n">
        <f aca="false">Sens!$L$4345-Sens!$L$4349-Sens!$L$4350</f>
        <v>100.492770282891</v>
      </c>
      <c r="M4351" s="47" t="n">
        <f aca="false">Sens!$M$4345-Sens!$M$4349-Sens!$M$4350</f>
        <v>91.3140248670291</v>
      </c>
      <c r="N4351" s="13"/>
      <c r="O4351" s="13"/>
    </row>
    <row r="4352" customFormat="false" ht="17.15" hidden="false" customHeight="false" outlineLevel="0" collapsed="false">
      <c r="A4352" s="5" t="s">
        <v>741</v>
      </c>
      <c r="B4352" s="0" t="s">
        <v>73</v>
      </c>
      <c r="C4352" s="38" t="n">
        <f aca="false">dps*Sens!$C$4333</f>
        <v>0</v>
      </c>
      <c r="D4352" s="38" t="n">
        <f aca="false">dps*Sens!$D$4333</f>
        <v>0</v>
      </c>
      <c r="E4352" s="38" t="n">
        <f aca="false">dps*Sens!$E$4333</f>
        <v>0</v>
      </c>
      <c r="F4352" s="38" t="n">
        <f aca="false">0</f>
        <v>0</v>
      </c>
      <c r="G4352" s="38" t="n">
        <f aca="false">dps*Sens!$G$4333</f>
        <v>0</v>
      </c>
      <c r="H4352" s="38" t="n">
        <f aca="false">dps*Sens!$H$4333</f>
        <v>0</v>
      </c>
      <c r="I4352" s="38" t="n">
        <f aca="false">dps*Sens!$I$4333</f>
        <v>0</v>
      </c>
      <c r="J4352" s="38" t="n">
        <f aca="false">dps*Sens!$J$4333</f>
        <v>0</v>
      </c>
      <c r="K4352" s="38" t="n">
        <f aca="false">dps*Sens!$K$4333</f>
        <v>0</v>
      </c>
      <c r="L4352" s="38" t="n">
        <f aca="false">dps*Sens!$L$4333</f>
        <v>0</v>
      </c>
      <c r="M4352" s="38" t="n">
        <f aca="false">dps*Sens!$M$4333</f>
        <v>0</v>
      </c>
      <c r="P4352" s="8" t="s">
        <v>742</v>
      </c>
    </row>
    <row r="4353" customFormat="false" ht="17.15" hidden="false" customHeight="false" outlineLevel="0" collapsed="false">
      <c r="A4353" s="5" t="s">
        <v>743</v>
      </c>
      <c r="B4353" s="0" t="s">
        <v>73</v>
      </c>
      <c r="C4353" s="38" t="n">
        <f aca="false">0</f>
        <v>0</v>
      </c>
      <c r="D4353" s="38" t="n">
        <f aca="false">0</f>
        <v>0</v>
      </c>
      <c r="E4353" s="38" t="n">
        <f aca="false">0</f>
        <v>0</v>
      </c>
      <c r="F4353" s="38" t="n">
        <f aca="false">0</f>
        <v>0</v>
      </c>
      <c r="G4353" s="38" t="n">
        <f aca="false">0</f>
        <v>0</v>
      </c>
      <c r="H4353" s="38" t="n">
        <f aca="false">0</f>
        <v>0</v>
      </c>
      <c r="I4353" s="38" t="n">
        <f aca="false">0</f>
        <v>0</v>
      </c>
      <c r="J4353" s="38" t="n">
        <f aca="false">0</f>
        <v>0</v>
      </c>
      <c r="K4353" s="38" t="n">
        <f aca="false">0</f>
        <v>0</v>
      </c>
      <c r="L4353" s="38" t="n">
        <f aca="false">0</f>
        <v>0</v>
      </c>
      <c r="M4353" s="38" t="n">
        <f aca="false">0</f>
        <v>0</v>
      </c>
      <c r="P4353" s="8" t="s">
        <v>744</v>
      </c>
    </row>
    <row r="4354" customFormat="false" ht="15" hidden="false" customHeight="false" outlineLevel="0" collapsed="false">
      <c r="A4354" s="3" t="s">
        <v>745</v>
      </c>
      <c r="B4354" s="8" t="s">
        <v>73</v>
      </c>
      <c r="C4354" s="38" t="n">
        <f aca="false">Sens!$C$4351-Sens!$C$4352</f>
        <v>36.176</v>
      </c>
      <c r="D4354" s="38" t="n">
        <f aca="false">Sens!$D$4351-Sens!$D$4352</f>
        <v>9.63700000000002</v>
      </c>
      <c r="E4354" s="38" t="n">
        <f aca="false">Sens!$E$4351-Sens!$E$4352</f>
        <v>-25.691</v>
      </c>
      <c r="F4354" s="38" t="n">
        <f aca="false">Sens!$F$4351-Sens!$F$4352</f>
        <v>-35.7358850873731</v>
      </c>
      <c r="G4354" s="38" t="n">
        <f aca="false">Sens!$G$4351-Sens!$G$4352</f>
        <v>-61.4268850873731</v>
      </c>
      <c r="H4354" s="38" t="n">
        <f aca="false">Sens!$H$4351-Sens!$H$4352</f>
        <v>-45.5736791707205</v>
      </c>
      <c r="I4354" s="38" t="n">
        <f aca="false">Sens!$I$4351-Sens!$I$4352</f>
        <v>-1.4830281379955</v>
      </c>
      <c r="J4354" s="38" t="n">
        <f aca="false">Sens!$J$4351-Sens!$J$4352</f>
        <v>43.8401188017893</v>
      </c>
      <c r="K4354" s="38" t="n">
        <f aca="false">Sens!$K$4351-Sens!$K$4352</f>
        <v>88.0164240189993</v>
      </c>
      <c r="L4354" s="38" t="n">
        <f aca="false">Sens!$L$4351-Sens!$L$4352</f>
        <v>100.492770282891</v>
      </c>
      <c r="M4354" s="38" t="n">
        <f aca="false">Sens!$M$4351-Sens!$M$4352</f>
        <v>91.3140248670291</v>
      </c>
    </row>
    <row r="4355" customFormat="false" ht="17.15" hidden="false" customHeight="false" outlineLevel="0" collapsed="false">
      <c r="A4355" s="5" t="s">
        <v>746</v>
      </c>
      <c r="B4355" s="0" t="s">
        <v>73</v>
      </c>
      <c r="E4355" s="38" t="n">
        <f aca="false">Q!$P$53</f>
        <v>39.767</v>
      </c>
      <c r="F4355" s="38" t="n">
        <f aca="false">inv_2h26</f>
        <v>21.3</v>
      </c>
      <c r="G4355" s="38" t="n">
        <f aca="false">Sens!$E$4355+Sens!$F$4355</f>
        <v>61.067</v>
      </c>
      <c r="H4355" s="41" t="n">
        <v>0</v>
      </c>
      <c r="I4355" s="41" t="n">
        <v>0</v>
      </c>
      <c r="J4355" s="41" t="n">
        <v>0</v>
      </c>
      <c r="K4355" s="41" t="n">
        <v>0</v>
      </c>
      <c r="L4355" s="41" t="n">
        <v>0</v>
      </c>
      <c r="M4355" s="41" t="n">
        <v>0</v>
      </c>
    </row>
    <row r="4356" customFormat="false" ht="17.15" hidden="false" customHeight="false" outlineLevel="0" collapsed="false">
      <c r="A4356" s="5" t="s">
        <v>747</v>
      </c>
      <c r="B4356" s="0" t="s">
        <v>73</v>
      </c>
      <c r="F4356" s="38" t="n">
        <f aca="false">iss_2h26</f>
        <v>29.25</v>
      </c>
      <c r="G4356" s="38" t="n">
        <f aca="false">Sens!$F$4356</f>
        <v>29.25</v>
      </c>
      <c r="H4356" s="41" t="n">
        <v>0</v>
      </c>
      <c r="I4356" s="41" t="n">
        <v>0</v>
      </c>
      <c r="J4356" s="41" t="n">
        <v>0</v>
      </c>
      <c r="K4356" s="41" t="n">
        <v>0</v>
      </c>
      <c r="L4356" s="41" t="n">
        <v>0</v>
      </c>
      <c r="M4356" s="41" t="n">
        <v>0</v>
      </c>
    </row>
    <row r="4357" customFormat="false" ht="17.15" hidden="false" customHeight="false" outlineLevel="0" collapsed="false">
      <c r="A4357" s="5" t="s">
        <v>748</v>
      </c>
      <c r="B4357" s="0" t="s">
        <v>73</v>
      </c>
      <c r="F4357" s="38" t="n">
        <f aca="false">cash_q2</f>
        <v>122.988</v>
      </c>
      <c r="G4357" s="38" t="n">
        <f aca="false">cash_q2</f>
        <v>122.988</v>
      </c>
      <c r="H4357" s="38" t="n">
        <f aca="false">Sens!$G$4360</f>
        <v>95.2021149126269</v>
      </c>
      <c r="I4357" s="38" t="n">
        <f aca="false">Sens!$H$4360</f>
        <v>50</v>
      </c>
      <c r="J4357" s="38" t="n">
        <f aca="false">Sens!$I$4360</f>
        <v>50</v>
      </c>
      <c r="K4357" s="38" t="n">
        <f aca="false">Sens!$J$4360</f>
        <v>93.8401188017893</v>
      </c>
      <c r="L4357" s="38" t="n">
        <f aca="false">Sens!$K$4360</f>
        <v>181.856542820789</v>
      </c>
      <c r="M4357" s="38" t="n">
        <f aca="false">Sens!$L$4360</f>
        <v>282.349313103679</v>
      </c>
    </row>
    <row r="4358" customFormat="false" ht="15" hidden="false" customHeight="false" outlineLevel="0" collapsed="false">
      <c r="A4358" s="5" t="s">
        <v>749</v>
      </c>
      <c r="B4358" s="0" t="s">
        <v>73</v>
      </c>
      <c r="F4358" s="38" t="n">
        <f aca="false">Sens!$F$4357+Sens!$F$4354-Sens!$F$4353-Sens!$F$4355+Sens!$F$4356</f>
        <v>95.2021149126269</v>
      </c>
      <c r="H4358" s="38" t="n">
        <f aca="false">Sens!$H$4357+Sens!$H$4354-Sens!$H$4353-Sens!$H$4355+Sens!$H$4356</f>
        <v>49.6284357419064</v>
      </c>
      <c r="I4358" s="38" t="n">
        <f aca="false">Sens!$I$4357+Sens!$I$4354-Sens!$I$4353-Sens!$I$4355+Sens!$I$4356</f>
        <v>48.5169718620045</v>
      </c>
      <c r="J4358" s="38" t="n">
        <f aca="false">Sens!$J$4357+Sens!$J$4354-Sens!$J$4353-Sens!$J$4355+Sens!$J$4356</f>
        <v>93.8401188017893</v>
      </c>
      <c r="K4358" s="38" t="n">
        <f aca="false">Sens!$K$4357+Sens!$K$4354-Sens!$K$4353-Sens!$K$4355+Sens!$K$4356</f>
        <v>181.856542820789</v>
      </c>
      <c r="L4358" s="38" t="n">
        <f aca="false">Sens!$L$4357+Sens!$L$4354-Sens!$L$4353-Sens!$L$4355+Sens!$L$4356</f>
        <v>282.349313103679</v>
      </c>
      <c r="M4358" s="38" t="n">
        <f aca="false">Sens!$M$4357+Sens!$M$4354-Sens!$M$4353-Sens!$M$4355+Sens!$M$4356</f>
        <v>373.663337970708</v>
      </c>
    </row>
    <row r="4359" customFormat="false" ht="17.15" hidden="false" customHeight="false" outlineLevel="0" collapsed="false">
      <c r="A4359" s="5" t="s">
        <v>750</v>
      </c>
      <c r="B4359" s="0" t="s">
        <v>73</v>
      </c>
      <c r="F4359" s="38" t="n">
        <f aca="false">MAX(0,min_cash-Sens!$F$4358)</f>
        <v>0</v>
      </c>
      <c r="G4359" s="38" t="n">
        <f aca="false">Sens!$F$4359</f>
        <v>0</v>
      </c>
      <c r="H4359" s="38" t="n">
        <f aca="false">MAX(0,min_cash-Sens!$H$4358)</f>
        <v>0.371564258093606</v>
      </c>
      <c r="I4359" s="38" t="n">
        <f aca="false">MAX(0,min_cash-Sens!$I$4358)</f>
        <v>1.4830281379955</v>
      </c>
      <c r="J4359" s="38" t="n">
        <f aca="false">MAX(0,min_cash-Sens!$J$4358)</f>
        <v>0</v>
      </c>
      <c r="K4359" s="38" t="n">
        <f aca="false">MAX(0,min_cash-Sens!$K$4358)</f>
        <v>0</v>
      </c>
      <c r="L4359" s="38" t="n">
        <f aca="false">MAX(0,min_cash-Sens!$L$4358)</f>
        <v>0</v>
      </c>
      <c r="M4359" s="38" t="n">
        <f aca="false">MAX(0,min_cash-Sens!$M$4358)</f>
        <v>0</v>
      </c>
      <c r="P4359" s="5" t="s">
        <v>751</v>
      </c>
    </row>
    <row r="4360" customFormat="false" ht="15" hidden="false" customHeight="false" outlineLevel="0" collapsed="false">
      <c r="A4360" s="5" t="s">
        <v>752</v>
      </c>
      <c r="B4360" s="0" t="s">
        <v>73</v>
      </c>
      <c r="D4360" s="38" t="n">
        <f aca="false">Q!$E$61</f>
        <v>123.029</v>
      </c>
      <c r="E4360" s="38" t="n">
        <f aca="false">Q!$M$61</f>
        <v>122.988</v>
      </c>
      <c r="F4360" s="38" t="n">
        <f aca="false">Sens!$F$4358+Sens!$F$4359</f>
        <v>95.2021149126269</v>
      </c>
      <c r="G4360" s="38" t="n">
        <f aca="false">Sens!$F$4360</f>
        <v>95.2021149126269</v>
      </c>
      <c r="H4360" s="38" t="n">
        <f aca="false">Sens!$H$4358+Sens!$H$4359</f>
        <v>50</v>
      </c>
      <c r="I4360" s="38" t="n">
        <f aca="false">Sens!$I$4358+Sens!$I$4359</f>
        <v>50</v>
      </c>
      <c r="J4360" s="38" t="n">
        <f aca="false">Sens!$J$4358+Sens!$J$4359</f>
        <v>93.8401188017893</v>
      </c>
      <c r="K4360" s="38" t="n">
        <f aca="false">Sens!$K$4358+Sens!$K$4359</f>
        <v>181.856542820789</v>
      </c>
      <c r="L4360" s="38" t="n">
        <f aca="false">Sens!$L$4358+Sens!$L$4359</f>
        <v>282.349313103679</v>
      </c>
      <c r="M4360" s="38" t="n">
        <f aca="false">Sens!$M$4358+Sens!$M$4359</f>
        <v>373.663337970708</v>
      </c>
    </row>
    <row r="4361" customFormat="false" ht="15" hidden="false" customHeight="false" outlineLevel="0" collapsed="false">
      <c r="A4361" s="5" t="s">
        <v>753</v>
      </c>
      <c r="B4361" s="0" t="s">
        <v>73</v>
      </c>
      <c r="D4361" s="38" t="n">
        <f aca="false">Q!$E$62</f>
        <v>68.836</v>
      </c>
      <c r="E4361" s="38" t="n">
        <f aca="false">Q!$M$62</f>
        <v>132.995</v>
      </c>
      <c r="F4361" s="38" t="n">
        <f aca="false">debt_q2+Sens!$F$4356+Sens!$F$4359</f>
        <v>162.245</v>
      </c>
      <c r="G4361" s="38" t="n">
        <f aca="false">Sens!$F$4361</f>
        <v>162.245</v>
      </c>
      <c r="H4361" s="38" t="n">
        <f aca="false">Sens!$G$4361+Sens!$H$4359</f>
        <v>162.616564258094</v>
      </c>
      <c r="I4361" s="38" t="n">
        <f aca="false">Sens!$H$4361+Sens!$I$4359</f>
        <v>164.099592396089</v>
      </c>
      <c r="J4361" s="38" t="n">
        <f aca="false">Sens!$I$4361+Sens!$J$4359</f>
        <v>164.099592396089</v>
      </c>
      <c r="K4361" s="38" t="n">
        <f aca="false">Sens!$J$4361+Sens!$K$4359</f>
        <v>164.099592396089</v>
      </c>
      <c r="L4361" s="38" t="n">
        <f aca="false">Sens!$K$4361+Sens!$L$4359</f>
        <v>164.099592396089</v>
      </c>
      <c r="M4361" s="38" t="n">
        <f aca="false">Sens!$L$4361+Sens!$M$4359</f>
        <v>164.099592396089</v>
      </c>
    </row>
    <row r="4362" customFormat="false" ht="15" hidden="false" customHeight="false" outlineLevel="0" collapsed="false">
      <c r="A4362" s="5" t="s">
        <v>754</v>
      </c>
      <c r="B4362" s="0" t="s">
        <v>73</v>
      </c>
      <c r="D4362" s="38" t="n">
        <f aca="false">Sens!$D$4361-Sens!$D$4360</f>
        <v>-54.193</v>
      </c>
      <c r="E4362" s="38" t="n">
        <f aca="false">Sens!$E$4361-Sens!$E$4360</f>
        <v>10.007</v>
      </c>
      <c r="F4362" s="38" t="n">
        <f aca="false">Sens!$F$4361-Sens!$F$4360</f>
        <v>67.0428850873731</v>
      </c>
      <c r="G4362" s="38" t="n">
        <f aca="false">Sens!$G$4361-Sens!$G$4360</f>
        <v>67.0428850873731</v>
      </c>
      <c r="H4362" s="38" t="n">
        <f aca="false">Sens!$H$4361-Sens!$H$4360</f>
        <v>112.616564258094</v>
      </c>
      <c r="I4362" s="38" t="n">
        <f aca="false">Sens!$I$4361-Sens!$I$4360</f>
        <v>114.099592396089</v>
      </c>
      <c r="J4362" s="38" t="n">
        <f aca="false">Sens!$J$4361-Sens!$J$4360</f>
        <v>70.2594735942998</v>
      </c>
      <c r="K4362" s="38" t="n">
        <f aca="false">Sens!$K$4361-Sens!$K$4360</f>
        <v>-17.7569504246995</v>
      </c>
      <c r="L4362" s="38" t="n">
        <f aca="false">Sens!$L$4361-Sens!$L$4360</f>
        <v>-118.24972070759</v>
      </c>
      <c r="M4362" s="38" t="n">
        <f aca="false">Sens!$M$4361-Sens!$M$4360</f>
        <v>-209.563745574619</v>
      </c>
    </row>
    <row r="4363" customFormat="false" ht="17.15" hidden="false" customHeight="false" outlineLevel="0" collapsed="false">
      <c r="A4363" s="5" t="s">
        <v>755</v>
      </c>
      <c r="B4363" s="0" t="s">
        <v>73</v>
      </c>
      <c r="F4363" s="38" t="n">
        <f aca="false">debt_q2*kd_book*0.5+iss_2h26*kd_new*0.25</f>
        <v>3.24888964316061</v>
      </c>
      <c r="H4363" s="38" t="n">
        <f aca="false">debt_q2*kd_book+(Sens!$G$4361-debt_q2)*kd_new</f>
        <v>7.42354178632123</v>
      </c>
      <c r="I4363" s="38" t="n">
        <f aca="false">debt_q2*kd_book+(Sens!$H$4361-debt_q2)*kd_new</f>
        <v>7.44706180385855</v>
      </c>
      <c r="J4363" s="38" t="n">
        <f aca="false">debt_q2*kd_book+(Sens!$I$4361-debt_q2)*kd_new</f>
        <v>7.54093748499367</v>
      </c>
      <c r="K4363" s="38" t="n">
        <f aca="false">debt_q2*kd_book+(Sens!$J$4361-debt_q2)*kd_new</f>
        <v>7.54093748499367</v>
      </c>
      <c r="L4363" s="38" t="n">
        <f aca="false">debt_q2*kd_book+(Sens!$K$4361-debt_q2)*kd_new</f>
        <v>7.54093748499367</v>
      </c>
      <c r="M4363" s="38" t="n">
        <f aca="false">debt_q2*kd_book+(Sens!$L$4361-debt_q2)*kd_new</f>
        <v>7.54093748499367</v>
      </c>
    </row>
    <row r="4364" customFormat="false" ht="17.15" hidden="false" customHeight="false" outlineLevel="0" collapsed="false">
      <c r="A4364" s="5" t="s">
        <v>756</v>
      </c>
      <c r="B4364" s="0" t="s">
        <v>73</v>
      </c>
      <c r="F4364" s="38" t="n">
        <f aca="false">cash_q2*y_cash*0.5</f>
        <v>2.59</v>
      </c>
      <c r="H4364" s="38" t="n">
        <f aca="false">Sens!$G$4360*y_cash</f>
        <v>4.00971603121774</v>
      </c>
      <c r="I4364" s="38" t="n">
        <f aca="false">Sens!$H$4360*y_cash</f>
        <v>2.10589651022864</v>
      </c>
      <c r="J4364" s="38" t="n">
        <f aca="false">Sens!$I$4360*y_cash</f>
        <v>2.10589651022864</v>
      </c>
      <c r="K4364" s="38" t="n">
        <f aca="false">Sens!$J$4360*y_cash</f>
        <v>3.95235157408258</v>
      </c>
      <c r="L4364" s="38" t="n">
        <f aca="false">Sens!$K$4360*y_cash</f>
        <v>7.65942117777088</v>
      </c>
      <c r="M4364" s="38" t="n">
        <f aca="false">Sens!$L$4360*y_cash</f>
        <v>11.8919686626098</v>
      </c>
    </row>
    <row r="4365" customFormat="false" ht="17.15" hidden="false" customHeight="false" outlineLevel="0" collapsed="false">
      <c r="A4365" s="46" t="s">
        <v>757</v>
      </c>
      <c r="B4365" s="13" t="s">
        <v>73</v>
      </c>
      <c r="C4365" s="13"/>
      <c r="D4365" s="13"/>
      <c r="E4365" s="13"/>
      <c r="F4365" s="13"/>
      <c r="G4365" s="47" t="n">
        <f aca="false">SUM(Sens!$G$4354:$K$4354)</f>
        <v>23.3729504246995</v>
      </c>
      <c r="H4365" s="13"/>
      <c r="I4365" s="13"/>
      <c r="J4365" s="13"/>
      <c r="K4365" s="13"/>
      <c r="L4365" s="13"/>
      <c r="M4365" s="13"/>
      <c r="N4365" s="13"/>
      <c r="O4365" s="13"/>
    </row>
    <row r="4366" customFormat="false" ht="17.15" hidden="false" customHeight="false" outlineLevel="0" collapsed="false">
      <c r="A4366" s="0" t="s">
        <v>724</v>
      </c>
      <c r="B4366" s="0" t="s">
        <v>73</v>
      </c>
      <c r="G4366" s="38" t="n">
        <f aca="false">SUM(Sens!$G$4359:$K$4359)</f>
        <v>1.8545923960891</v>
      </c>
    </row>
    <row r="4369" customFormat="false" ht="19.4" hidden="false" customHeight="false" outlineLevel="0" collapsed="false">
      <c r="A4369" s="31" t="s">
        <v>1139</v>
      </c>
    </row>
    <row r="4370" customFormat="false" ht="17.15" hidden="false" customHeight="false" outlineLevel="0" collapsed="false">
      <c r="A4370" s="6" t="s">
        <v>16</v>
      </c>
      <c r="B4370" s="6" t="s">
        <v>17</v>
      </c>
      <c r="C4370" s="20" t="s">
        <v>457</v>
      </c>
      <c r="D4370" s="20" t="s">
        <v>458</v>
      </c>
      <c r="E4370" s="20" t="s">
        <v>540</v>
      </c>
      <c r="F4370" s="20" t="s">
        <v>541</v>
      </c>
      <c r="G4370" s="20" t="s">
        <v>542</v>
      </c>
      <c r="H4370" s="20" t="s">
        <v>543</v>
      </c>
      <c r="I4370" s="20" t="s">
        <v>544</v>
      </c>
      <c r="J4370" s="20" t="s">
        <v>545</v>
      </c>
      <c r="K4370" s="20" t="s">
        <v>546</v>
      </c>
      <c r="L4370" s="20" t="s">
        <v>547</v>
      </c>
      <c r="M4370" s="20" t="s">
        <v>548</v>
      </c>
      <c r="N4370" s="20" t="s">
        <v>549</v>
      </c>
      <c r="O4370" s="20" t="s">
        <v>550</v>
      </c>
      <c r="P4370" s="6" t="s">
        <v>23</v>
      </c>
      <c r="R4370" s="20" t="n">
        <v>2023</v>
      </c>
      <c r="S4370" s="20" t="n">
        <v>2024</v>
      </c>
      <c r="T4370" s="20" t="n">
        <v>2025</v>
      </c>
      <c r="U4370" s="20" t="n">
        <v>2026</v>
      </c>
      <c r="V4370" s="20" t="n">
        <v>2027</v>
      </c>
      <c r="W4370" s="20" t="n">
        <v>2028</v>
      </c>
      <c r="X4370" s="20" t="n">
        <v>2029</v>
      </c>
      <c r="Y4370" s="20" t="n">
        <v>2030</v>
      </c>
      <c r="Z4370" s="20" t="n">
        <v>2031</v>
      </c>
      <c r="AA4370" s="20" t="n">
        <v>2032</v>
      </c>
    </row>
    <row r="4371" customFormat="false" ht="17.15" hidden="false" customHeight="false" outlineLevel="0" collapsed="false">
      <c r="A4371" s="1" t="s">
        <v>852</v>
      </c>
    </row>
    <row r="4372" customFormat="false" ht="17.15" hidden="false" customHeight="false" outlineLevel="0" collapsed="false">
      <c r="A4372" s="0" t="s">
        <v>853</v>
      </c>
      <c r="B4372" s="0" t="s">
        <v>73</v>
      </c>
      <c r="H4372" s="38" t="n">
        <f aca="false">Sens!$H$4308*(1-tax)</f>
        <v>113.218947752369</v>
      </c>
      <c r="I4372" s="38" t="n">
        <f aca="false">Sens!$I$4308*(1-tax)</f>
        <v>135.21290964491</v>
      </c>
      <c r="J4372" s="38" t="n">
        <f aca="false">Sens!$J$4308*(1-tax)</f>
        <v>155.087788649257</v>
      </c>
      <c r="K4372" s="38" t="n">
        <f aca="false">Sens!$K$4308*(1-tax)</f>
        <v>171.547984187274</v>
      </c>
      <c r="L4372" s="38" t="n">
        <f aca="false">Sens!$L$4308*(1-tax)</f>
        <v>188.181707880863</v>
      </c>
      <c r="M4372" s="38" t="n">
        <f aca="false">Sens!$M$4308*(1-tax)</f>
        <v>205.417886710441</v>
      </c>
    </row>
    <row r="4373" customFormat="false" ht="15" hidden="false" customHeight="false" outlineLevel="0" collapsed="false">
      <c r="A4373" s="5" t="s">
        <v>854</v>
      </c>
      <c r="B4373" s="0" t="s">
        <v>73</v>
      </c>
      <c r="H4373" s="38" t="n">
        <f aca="false">Sens!$H$4320</f>
        <v>87.6845218193838</v>
      </c>
      <c r="I4373" s="38" t="n">
        <f aca="false">Sens!$I$4320</f>
        <v>122.294769708638</v>
      </c>
      <c r="J4373" s="38" t="n">
        <f aca="false">Sens!$J$4320</f>
        <v>157.133962573221</v>
      </c>
      <c r="K4373" s="38" t="n">
        <f aca="false">Sens!$K$4320</f>
        <v>191.350633353599</v>
      </c>
      <c r="L4373" s="38" t="n">
        <f aca="false">Sens!$L$4320</f>
        <v>223.909238335354</v>
      </c>
      <c r="M4373" s="38" t="n">
        <f aca="false">Sens!$M$4320</f>
        <v>257.576319867276</v>
      </c>
    </row>
    <row r="4374" customFormat="false" ht="15" hidden="false" customHeight="false" outlineLevel="0" collapsed="false">
      <c r="A4374" s="5" t="s">
        <v>855</v>
      </c>
      <c r="B4374" s="0" t="s">
        <v>73</v>
      </c>
      <c r="H4374" s="38" t="n">
        <f aca="false">Sens!$H$4349</f>
        <v>277.870120501355</v>
      </c>
      <c r="I4374" s="38" t="n">
        <f aca="false">Sens!$I$4349</f>
        <v>293.934464585378</v>
      </c>
      <c r="J4374" s="38" t="n">
        <f aca="false">Sens!$J$4349</f>
        <v>308.06904811359</v>
      </c>
      <c r="K4374" s="38" t="n">
        <f aca="false">Sens!$K$4349</f>
        <v>320.385735318248</v>
      </c>
      <c r="L4374" s="38" t="n">
        <f aca="false">Sens!$L$4349</f>
        <v>364.65641921833</v>
      </c>
      <c r="M4374" s="38" t="n">
        <f aca="false">Sens!$M$4349</f>
        <v>432.943173024858</v>
      </c>
    </row>
    <row r="4375" customFormat="false" ht="15" hidden="false" customHeight="false" outlineLevel="0" collapsed="false">
      <c r="A4375" s="5" t="s">
        <v>856</v>
      </c>
      <c r="B4375" s="0" t="s">
        <v>73</v>
      </c>
      <c r="H4375" s="38" t="n">
        <f aca="false">Sens!$H$4350</f>
        <v>1.6</v>
      </c>
      <c r="I4375" s="38" t="n">
        <f aca="false">Sens!$I$4350</f>
        <v>1.6</v>
      </c>
      <c r="J4375" s="38" t="n">
        <f aca="false">Sens!$J$4350</f>
        <v>1.6</v>
      </c>
      <c r="K4375" s="38" t="n">
        <f aca="false">Sens!$K$4350</f>
        <v>1.6</v>
      </c>
      <c r="L4375" s="38" t="n">
        <f aca="false">Sens!$L$4350</f>
        <v>1.6</v>
      </c>
      <c r="M4375" s="38" t="n">
        <f aca="false">Sens!$M$4350</f>
        <v>1.6</v>
      </c>
    </row>
    <row r="4376" customFormat="false" ht="15" hidden="false" customHeight="false" outlineLevel="0" collapsed="false">
      <c r="A4376" s="5" t="s">
        <v>857</v>
      </c>
      <c r="B4376" s="0" t="s">
        <v>73</v>
      </c>
      <c r="H4376" s="38" t="n">
        <f aca="false">Sens!$H$4344</f>
        <v>11.6369707537667</v>
      </c>
      <c r="I4376" s="38" t="n">
        <f aca="false">Sens!$I$4344</f>
        <v>13.3082502961262</v>
      </c>
      <c r="J4376" s="38" t="n">
        <f aca="false">Sens!$J$4344</f>
        <v>14.8747965344332</v>
      </c>
      <c r="K4376" s="38" t="n">
        <f aca="false">Sens!$K$4344</f>
        <v>16.2687901804328</v>
      </c>
      <c r="L4376" s="38" t="n">
        <f aca="false">Sens!$L$4344</f>
        <v>17.7280727627002</v>
      </c>
      <c r="M4376" s="38" t="n">
        <f aca="false">Sens!$M$4344</f>
        <v>19.2574690270319</v>
      </c>
    </row>
    <row r="4377" customFormat="false" ht="17.15" hidden="false" customHeight="false" outlineLevel="0" collapsed="false">
      <c r="A4377" s="1" t="s">
        <v>858</v>
      </c>
      <c r="B4377" s="8" t="s">
        <v>73</v>
      </c>
      <c r="H4377" s="38" t="n">
        <f aca="false">Sens!$H$4372+Sens!$H$4373-Sens!$H$4374-Sens!$H$4375+Sens!$H$4376</f>
        <v>-66.9296801758361</v>
      </c>
      <c r="I4377" s="38" t="n">
        <f aca="false">Sens!$I$4372+Sens!$I$4373-Sens!$I$4374-Sens!$I$4375+Sens!$I$4376</f>
        <v>-24.7185349357046</v>
      </c>
      <c r="J4377" s="38" t="n">
        <f aca="false">Sens!$J$4372+Sens!$J$4373-Sens!$J$4374-Sens!$J$4375+Sens!$J$4376</f>
        <v>17.4274996433206</v>
      </c>
      <c r="K4377" s="38" t="n">
        <f aca="false">Sens!$K$4372+Sens!$K$4373-Sens!$K$4374-Sens!$K$4375+Sens!$K$4376</f>
        <v>57.1816724030581</v>
      </c>
      <c r="L4377" s="38" t="n">
        <f aca="false">Sens!$L$4372+Sens!$L$4373-Sens!$L$4374-Sens!$L$4375+Sens!$L$4376</f>
        <v>63.562599760587</v>
      </c>
      <c r="M4377" s="38" t="n">
        <f aca="false">Sens!$M$4372+Sens!$M$4373-Sens!$M$4374-Sens!$M$4375+Sens!$M$4376</f>
        <v>47.7085025798914</v>
      </c>
    </row>
    <row r="4378" customFormat="false" ht="15" hidden="false" customHeight="false" outlineLevel="0" collapsed="false">
      <c r="A4378" s="5" t="s">
        <v>859</v>
      </c>
      <c r="B4378" s="0" t="s">
        <v>57</v>
      </c>
      <c r="H4378" s="51" t="n">
        <f aca="false">1/(1+wacc)^(2027-2026-0.5)</f>
        <v>0.942858177653364</v>
      </c>
      <c r="I4378" s="51" t="n">
        <f aca="false">1/(1+wacc)^(2028-2026-0.5)</f>
        <v>0.838183517758688</v>
      </c>
      <c r="J4378" s="51" t="n">
        <f aca="false">1/(1+wacc)^(2029-2026-0.5)</f>
        <v>0.745129677074952</v>
      </c>
      <c r="K4378" s="51" t="n">
        <f aca="false">1/(1+wacc)^(2030-2026-0.5)</f>
        <v>0.662406530186232</v>
      </c>
      <c r="L4378" s="51" t="n">
        <f aca="false">1/(1+wacc)^(2031-2026-0.5)</f>
        <v>0.588867179409399</v>
      </c>
      <c r="M4378" s="51" t="n">
        <f aca="false">1/(1+wacc)^(2032-2026-0.5)</f>
        <v>0.52349205387225</v>
      </c>
    </row>
    <row r="4379" customFormat="false" ht="15" hidden="false" customHeight="false" outlineLevel="0" collapsed="false">
      <c r="A4379" s="5" t="s">
        <v>860</v>
      </c>
      <c r="B4379" s="0" t="s">
        <v>73</v>
      </c>
      <c r="H4379" s="38" t="n">
        <f aca="false">Sens!$H$4377*Sens!$H$4378</f>
        <v>-63.1051962815113</v>
      </c>
      <c r="I4379" s="38" t="n">
        <f aca="false">Sens!$I$4377*Sens!$I$4378</f>
        <v>-20.7186685662499</v>
      </c>
      <c r="J4379" s="38" t="n">
        <f aca="false">Sens!$J$4377*Sens!$J$4378</f>
        <v>12.9857471814513</v>
      </c>
      <c r="K4379" s="38" t="n">
        <f aca="false">Sens!$K$4377*Sens!$K$4378</f>
        <v>37.8775132067555</v>
      </c>
      <c r="L4379" s="38" t="n">
        <f aca="false">Sens!$L$4377*Sens!$L$4378</f>
        <v>37.4299288369454</v>
      </c>
      <c r="M4379" s="38" t="n">
        <f aca="false">Sens!$M$4377*Sens!$M$4378</f>
        <v>24.9750220027169</v>
      </c>
    </row>
    <row r="4380" customFormat="false" ht="15" hidden="false" customHeight="false" outlineLevel="0" collapsed="false">
      <c r="A4380" s="5" t="s">
        <v>861</v>
      </c>
      <c r="B4380" s="0" t="s">
        <v>73</v>
      </c>
      <c r="C4380" s="38" t="n">
        <f aca="false">SUM(Sens!$H$4379:$M$4379)</f>
        <v>29.4443463801079</v>
      </c>
    </row>
    <row r="4381" customFormat="false" ht="17.15" hidden="false" customHeight="false" outlineLevel="0" collapsed="false">
      <c r="A4381" s="5" t="s">
        <v>862</v>
      </c>
      <c r="B4381" s="0" t="s">
        <v>73</v>
      </c>
      <c r="C4381" s="38" t="n">
        <f aca="false">Sens!$M$4372*(1+tg)*(1-tg/ronic)/(wacc-tg)</f>
        <v>1694.23262209557</v>
      </c>
    </row>
    <row r="4382" customFormat="false" ht="15" hidden="false" customHeight="false" outlineLevel="0" collapsed="false">
      <c r="A4382" s="5" t="s">
        <v>863</v>
      </c>
      <c r="B4382" s="0" t="s">
        <v>73</v>
      </c>
      <c r="C4382" s="38" t="n">
        <f aca="false">Sens!$C$4381/(1+wacc)^6</f>
        <v>836.237243423827</v>
      </c>
    </row>
    <row r="4383" customFormat="false" ht="17.15" hidden="false" customHeight="false" outlineLevel="0" collapsed="false">
      <c r="A4383" s="5" t="s">
        <v>864</v>
      </c>
      <c r="B4383" s="0" t="s">
        <v>73</v>
      </c>
      <c r="C4383" s="38" t="n">
        <f aca="false">Sens!$C$4380+Sens!$C$4382</f>
        <v>865.681589803935</v>
      </c>
    </row>
    <row r="4384" customFormat="false" ht="17.15" hidden="false" customHeight="false" outlineLevel="0" collapsed="false">
      <c r="A4384" s="5" t="s">
        <v>865</v>
      </c>
      <c r="B4384" s="0" t="s">
        <v>52</v>
      </c>
      <c r="C4384" s="12" t="n">
        <f aca="false">Sens!$C$4382/Sens!$C$4383</f>
        <v>0.965987094184622</v>
      </c>
    </row>
    <row r="4385" customFormat="false" ht="17.15" hidden="false" customHeight="false" outlineLevel="0" collapsed="false">
      <c r="A4385" s="5" t="s">
        <v>866</v>
      </c>
      <c r="B4385" s="0" t="s">
        <v>73</v>
      </c>
      <c r="C4385" s="38" t="n">
        <f aca="false">Sens!$G$4362</f>
        <v>67.0428850873731</v>
      </c>
    </row>
    <row r="4386" customFormat="false" ht="17.15" hidden="false" customHeight="false" outlineLevel="0" collapsed="false">
      <c r="A4386" s="5" t="s">
        <v>867</v>
      </c>
      <c r="B4386" s="0" t="s">
        <v>73</v>
      </c>
      <c r="C4386" s="38" t="n">
        <f aca="false">(ant_val*ant_sh+oai_val*oai_sh)*(1-liq_disc)</f>
        <v>178.944</v>
      </c>
    </row>
    <row r="4387" customFormat="false" ht="15" hidden="false" customHeight="false" outlineLevel="0" collapsed="false">
      <c r="A4387" s="5" t="s">
        <v>868</v>
      </c>
      <c r="B4387" s="0" t="s">
        <v>73</v>
      </c>
      <c r="C4387" s="38" t="n">
        <f aca="false">Sens!$C$4383-Sens!$C$4385+Sens!$C$4386</f>
        <v>977.582704716562</v>
      </c>
    </row>
    <row r="4388" customFormat="false" ht="17.15" hidden="false" customHeight="false" outlineLevel="0" collapsed="false">
      <c r="A4388" s="5" t="s">
        <v>869</v>
      </c>
      <c r="B4388" s="0" t="s">
        <v>27</v>
      </c>
      <c r="C4388" s="30" t="n">
        <f aca="false">Sens!$C$4387/sh_val</f>
        <v>88.6269153096242</v>
      </c>
    </row>
    <row r="4389" customFormat="false" ht="17.15" hidden="false" customHeight="false" outlineLevel="0" collapsed="false">
      <c r="A4389" s="1" t="s">
        <v>870</v>
      </c>
      <c r="B4389" s="8" t="s">
        <v>27</v>
      </c>
      <c r="C4389" s="30" t="n">
        <f aca="false">Sens!$C$4388*(1+ke)^tp_yf</f>
        <v>97.8835464264075</v>
      </c>
    </row>
    <row r="4390" customFormat="false" ht="17.15" hidden="false" customHeight="false" outlineLevel="0" collapsed="false">
      <c r="A4390" s="3" t="s">
        <v>871</v>
      </c>
    </row>
    <row r="4391" customFormat="false" ht="17.15" hidden="false" customHeight="false" outlineLevel="0" collapsed="false">
      <c r="A4391" s="5" t="s">
        <v>872</v>
      </c>
      <c r="B4391" s="0" t="s">
        <v>73</v>
      </c>
      <c r="C4391" s="38" t="n">
        <f aca="false">0.25*Sens!$H$4321+0.75*Sens!$I$4321</f>
        <v>57.5541093268329</v>
      </c>
    </row>
    <row r="4392" customFormat="false" ht="15" hidden="false" customHeight="false" outlineLevel="0" collapsed="false">
      <c r="A4392" s="5" t="s">
        <v>873</v>
      </c>
      <c r="B4392" s="0" t="s">
        <v>57</v>
      </c>
      <c r="C4392" s="30" t="n">
        <f aca="false">m_ads*m_x</f>
        <v>9.11</v>
      </c>
    </row>
    <row r="4393" customFormat="false" ht="17.15" hidden="false" customHeight="false" outlineLevel="0" collapsed="false">
      <c r="A4393" s="5" t="s">
        <v>874</v>
      </c>
      <c r="B4393" s="0" t="s">
        <v>73</v>
      </c>
      <c r="C4393" s="38" t="n">
        <f aca="false">Sens!$C$4391*Sens!$C$4392</f>
        <v>524.317935967448</v>
      </c>
    </row>
    <row r="4394" customFormat="false" ht="17.15" hidden="false" customHeight="false" outlineLevel="0" collapsed="false">
      <c r="A4394" s="5" t="s">
        <v>875</v>
      </c>
      <c r="B4394" s="0" t="s">
        <v>73</v>
      </c>
      <c r="C4394" s="38" t="n">
        <f aca="false">0.25*Sens!$H$4322+0.75*Sens!$I$4322</f>
        <v>33.1782275816798</v>
      </c>
    </row>
    <row r="4395" customFormat="false" ht="15" hidden="false" customHeight="false" outlineLevel="0" collapsed="false">
      <c r="A4395" s="5" t="s">
        <v>876</v>
      </c>
      <c r="B4395" s="0" t="s">
        <v>57</v>
      </c>
      <c r="C4395" s="30" t="n">
        <f aca="false">m_retail*m_x</f>
        <v>17.72</v>
      </c>
    </row>
    <row r="4396" customFormat="false" ht="17.15" hidden="false" customHeight="false" outlineLevel="0" collapsed="false">
      <c r="A4396" s="5" t="s">
        <v>877</v>
      </c>
      <c r="B4396" s="0" t="s">
        <v>73</v>
      </c>
      <c r="C4396" s="38" t="n">
        <f aca="false">Sens!$C$4394*Sens!$C$4395</f>
        <v>587.918192747366</v>
      </c>
    </row>
    <row r="4397" customFormat="false" ht="17.15" hidden="false" customHeight="false" outlineLevel="0" collapsed="false">
      <c r="A4397" s="0" t="s">
        <v>878</v>
      </c>
      <c r="B4397" s="0" t="s">
        <v>73</v>
      </c>
      <c r="C4397" s="38" t="n">
        <f aca="false">0.25*Sens!$H$4323+0.75*Sens!$I$4323</f>
        <v>107.575398943098</v>
      </c>
    </row>
    <row r="4398" customFormat="false" ht="17.15" hidden="false" customHeight="false" outlineLevel="0" collapsed="false">
      <c r="A4398" s="0" t="s">
        <v>879</v>
      </c>
      <c r="B4398" s="0" t="s">
        <v>57</v>
      </c>
      <c r="C4398" s="30" t="n">
        <f aca="false">m_cloud*m_x</f>
        <v>13.82</v>
      </c>
    </row>
    <row r="4399" customFormat="false" ht="17.15" hidden="false" customHeight="false" outlineLevel="0" collapsed="false">
      <c r="A4399" s="0" t="s">
        <v>880</v>
      </c>
      <c r="B4399" s="0" t="s">
        <v>73</v>
      </c>
      <c r="C4399" s="38" t="n">
        <f aca="false">Sens!$C$4397*Sens!$C$4398</f>
        <v>1486.69201339361</v>
      </c>
    </row>
    <row r="4400" customFormat="false" ht="17.15" hidden="false" customHeight="false" outlineLevel="0" collapsed="false">
      <c r="A4400" s="0" t="s">
        <v>881</v>
      </c>
      <c r="B4400" s="0" t="s">
        <v>73</v>
      </c>
      <c r="C4400" s="38" t="n">
        <f aca="false">0.25*Sens!$H$4324+0.75*Sens!$I$4324</f>
        <v>72.2947701247864</v>
      </c>
    </row>
    <row r="4401" customFormat="false" ht="17.15" hidden="false" customHeight="false" outlineLevel="0" collapsed="false">
      <c r="A4401" s="0" t="s">
        <v>882</v>
      </c>
      <c r="B4401" s="0" t="s">
        <v>57</v>
      </c>
      <c r="C4401" s="30" t="n">
        <f aca="false">m_ai</f>
        <v>6</v>
      </c>
    </row>
    <row r="4402" customFormat="false" ht="17.15" hidden="false" customHeight="false" outlineLevel="0" collapsed="false">
      <c r="A4402" s="0" t="s">
        <v>883</v>
      </c>
      <c r="B4402" s="0" t="s">
        <v>73</v>
      </c>
      <c r="C4402" s="38" t="n">
        <f aca="false">Sens!$C$4400*Sens!$C$4401</f>
        <v>433.768620748718</v>
      </c>
    </row>
    <row r="4403" customFormat="false" ht="17.15" hidden="false" customHeight="false" outlineLevel="0" collapsed="false">
      <c r="A4403" s="5" t="s">
        <v>884</v>
      </c>
      <c r="B4403" s="0" t="s">
        <v>73</v>
      </c>
      <c r="C4403" s="38" t="n">
        <f aca="false">Sens!$C$4393+Sens!$C$4396+Sens!$C$4399+Sens!$C$4402</f>
        <v>3032.69676285714</v>
      </c>
    </row>
    <row r="4404" customFormat="false" ht="17.15" hidden="false" customHeight="false" outlineLevel="0" collapsed="false">
      <c r="A4404" s="5" t="s">
        <v>885</v>
      </c>
      <c r="B4404" s="0" t="s">
        <v>73</v>
      </c>
      <c r="C4404" s="38" t="n">
        <f aca="false">Sens!$H$4362</f>
        <v>112.616564258094</v>
      </c>
    </row>
    <row r="4405" customFormat="false" ht="15" hidden="false" customHeight="false" outlineLevel="0" collapsed="false">
      <c r="A4405" s="5" t="s">
        <v>886</v>
      </c>
      <c r="B4405" s="0" t="s">
        <v>73</v>
      </c>
      <c r="C4405" s="38" t="n">
        <f aca="false">Sens!$C$4403-Sens!$C$4404+Sens!$C$4386</f>
        <v>3099.02419859905</v>
      </c>
    </row>
    <row r="4406" customFormat="false" ht="15" hidden="false" customHeight="false" outlineLevel="0" collapsed="false">
      <c r="A4406" s="3" t="s">
        <v>887</v>
      </c>
      <c r="B4406" s="8" t="s">
        <v>27</v>
      </c>
      <c r="C4406" s="30" t="n">
        <f aca="false">Sens!$C$4405/sh_val</f>
        <v>280.95521112083</v>
      </c>
    </row>
    <row r="4407" customFormat="false" ht="17.15" hidden="false" customHeight="false" outlineLevel="0" collapsed="false">
      <c r="A4407" s="46" t="s">
        <v>888</v>
      </c>
      <c r="B4407" s="13" t="s">
        <v>27</v>
      </c>
      <c r="C4407" s="43" t="n">
        <f aca="false">w_dcf*Sens!$C$4389+(1-w_dcf)*Sens!$C$4406</f>
        <v>189.419378773619</v>
      </c>
      <c r="D4407" s="13"/>
      <c r="E4407" s="13"/>
      <c r="F4407" s="13"/>
      <c r="G4407" s="13"/>
      <c r="H4407" s="13"/>
      <c r="I4407" s="13"/>
      <c r="J4407" s="13"/>
      <c r="K4407" s="13"/>
      <c r="L4407" s="13"/>
      <c r="M4407" s="13"/>
      <c r="N4407" s="13"/>
      <c r="O4407" s="13"/>
    </row>
    <row r="4408" customFormat="false" ht="17.15" hidden="false" customHeight="false" outlineLevel="0" collapsed="false">
      <c r="A4408" s="5" t="s">
        <v>889</v>
      </c>
      <c r="B4408" s="0" t="s">
        <v>27</v>
      </c>
      <c r="C4408" s="30" t="n">
        <f aca="false">0.45*Sens!$C$4389+0.55*Sens!$C$4406</f>
        <v>198.57296200834</v>
      </c>
    </row>
    <row r="4411" customFormat="false" ht="19.4" hidden="false" customHeight="false" outlineLevel="0" collapsed="false">
      <c r="A4411" s="31" t="s">
        <v>1140</v>
      </c>
    </row>
    <row r="4412" customFormat="false" ht="17.15" hidden="false" customHeight="false" outlineLevel="0" collapsed="false">
      <c r="A4412" s="6" t="s">
        <v>16</v>
      </c>
      <c r="B4412" s="6" t="s">
        <v>17</v>
      </c>
      <c r="C4412" s="20" t="s">
        <v>457</v>
      </c>
      <c r="D4412" s="20" t="s">
        <v>458</v>
      </c>
      <c r="E4412" s="20" t="s">
        <v>540</v>
      </c>
      <c r="F4412" s="20" t="s">
        <v>541</v>
      </c>
      <c r="G4412" s="20" t="s">
        <v>542</v>
      </c>
      <c r="H4412" s="20" t="s">
        <v>543</v>
      </c>
      <c r="I4412" s="20" t="s">
        <v>544</v>
      </c>
      <c r="J4412" s="20" t="s">
        <v>545</v>
      </c>
      <c r="K4412" s="20" t="s">
        <v>546</v>
      </c>
      <c r="L4412" s="20" t="s">
        <v>547</v>
      </c>
      <c r="M4412" s="20" t="s">
        <v>548</v>
      </c>
      <c r="N4412" s="20" t="s">
        <v>549</v>
      </c>
      <c r="O4412" s="20" t="s">
        <v>550</v>
      </c>
      <c r="P4412" s="6" t="s">
        <v>23</v>
      </c>
      <c r="R4412" s="20" t="n">
        <v>2023</v>
      </c>
      <c r="S4412" s="20" t="n">
        <v>2024</v>
      </c>
      <c r="T4412" s="20" t="n">
        <v>2025</v>
      </c>
      <c r="U4412" s="20" t="n">
        <v>2026</v>
      </c>
      <c r="V4412" s="20" t="n">
        <v>2027</v>
      </c>
      <c r="W4412" s="20" t="n">
        <v>2028</v>
      </c>
      <c r="X4412" s="20" t="n">
        <v>2029</v>
      </c>
      <c r="Y4412" s="20" t="n">
        <v>2030</v>
      </c>
      <c r="Z4412" s="20" t="n">
        <v>2031</v>
      </c>
      <c r="AA4412" s="20" t="n">
        <v>2032</v>
      </c>
    </row>
    <row r="4413" customFormat="false" ht="17.15" hidden="false" customHeight="false" outlineLevel="0" collapsed="false">
      <c r="A4413" s="1" t="s">
        <v>621</v>
      </c>
    </row>
    <row r="4414" customFormat="false" ht="17.15" hidden="false" customHeight="false" outlineLevel="0" collapsed="false">
      <c r="A4414" s="0" t="s">
        <v>479</v>
      </c>
      <c r="B4414" s="0" t="s">
        <v>73</v>
      </c>
      <c r="C4414" s="38" t="n">
        <f aca="false">Q!$D$10</f>
        <v>247.029</v>
      </c>
      <c r="D4414" s="38" t="n">
        <f aca="false">Q!$E$10</f>
        <v>269.287</v>
      </c>
      <c r="E4414" s="38" t="n">
        <f aca="false">Q!$P$10</f>
        <v>134.686</v>
      </c>
      <c r="F4414" s="38" t="n">
        <f aca="false">Sens!$O$4414*(1+Sens!$F$4415)-pd_amt*Q!$O$10/(Q!$O$10+Q!$O$12)</f>
        <v>160.728085930082</v>
      </c>
      <c r="G4414" s="38" t="n">
        <f aca="false">Sens!$E$4414+Sens!$F$4414</f>
        <v>295.414085930082</v>
      </c>
      <c r="H4414" s="38" t="n">
        <f aca="false">Sens!$G$4414*(1+Sens!$H$4415)</f>
        <v>320.828163943375</v>
      </c>
      <c r="I4414" s="38" t="n">
        <f aca="false">Sens!$H$4414*(1+Sens!$I$4415)</f>
        <v>344.575578072228</v>
      </c>
      <c r="J4414" s="38" t="n">
        <f aca="false">Sens!$I$4414*(1+Sens!$J$4415)</f>
        <v>365.942555779681</v>
      </c>
      <c r="K4414" s="38" t="n">
        <f aca="false">Sens!$J$4414*(1+Sens!$K$4415)</f>
        <v>384.239683568665</v>
      </c>
      <c r="L4414" s="38" t="n">
        <f aca="false">Sens!$K$4414*(1+Sens!$L$4415)</f>
        <v>403.451667747098</v>
      </c>
      <c r="M4414" s="38" t="n">
        <f aca="false">Sens!$L$4414*(1+Sens!$M$4415)</f>
        <v>423.624251134453</v>
      </c>
      <c r="N4414" s="38" t="n">
        <f aca="false">Q!$N$10</f>
        <v>118.892</v>
      </c>
      <c r="O4414" s="38" t="n">
        <f aca="false">Q!$O$10</f>
        <v>150.395</v>
      </c>
      <c r="P4414" s="8" t="s">
        <v>622</v>
      </c>
    </row>
    <row r="4415" customFormat="false" ht="17.15" hidden="false" customHeight="false" outlineLevel="0" collapsed="false">
      <c r="A4415" s="0" t="s">
        <v>623</v>
      </c>
      <c r="B4415" s="0" t="s">
        <v>52</v>
      </c>
      <c r="E4415" s="12" t="n">
        <f aca="false">Sens!$E$4414/Sens!$N$4414-1</f>
        <v>0.132843252699929</v>
      </c>
      <c r="F4415" s="12" t="n">
        <f aca="false">Sens!$O$4414/(Q!$F$10+Q!$G$10)-1</f>
        <v>0.0980382135842941</v>
      </c>
      <c r="G4415" s="12" t="n">
        <f aca="false">Sens!$G$4414/Sens!$D$4414-1</f>
        <v>0.0970231980380869</v>
      </c>
      <c r="H4415" s="12" t="n">
        <f aca="false">Sens!$F$4415+(g_os-Sens!$F$4415)*1/4</f>
        <v>0.0860286601882206</v>
      </c>
      <c r="I4415" s="12" t="n">
        <f aca="false">Sens!$F$4415+(g_os-Sens!$F$4415)*2/4</f>
        <v>0.074019106792147</v>
      </c>
      <c r="J4415" s="12" t="n">
        <f aca="false">Sens!$F$4415+(g_os-Sens!$F$4415)*3/4</f>
        <v>0.0620095533960735</v>
      </c>
      <c r="K4415" s="12" t="n">
        <f aca="false">Sens!$F$4415+(g_os-Sens!$F$4415)*4/4</f>
        <v>0.05</v>
      </c>
      <c r="L4415" s="12" t="n">
        <f aca="false">g_os</f>
        <v>0.05</v>
      </c>
      <c r="M4415" s="12" t="n">
        <f aca="false">g_os</f>
        <v>0.05</v>
      </c>
      <c r="P4415" s="8" t="s">
        <v>624</v>
      </c>
    </row>
    <row r="4416" customFormat="false" ht="17.15" hidden="false" customHeight="false" outlineLevel="0" collapsed="false">
      <c r="A4416" s="0" t="s">
        <v>480</v>
      </c>
      <c r="B4416" s="0" t="s">
        <v>73</v>
      </c>
      <c r="C4416" s="38" t="n">
        <f aca="false">Q!$D$11</f>
        <v>21.215</v>
      </c>
      <c r="D4416" s="38" t="n">
        <f aca="false">Q!$E$11</f>
        <v>22.561</v>
      </c>
      <c r="E4416" s="38" t="n">
        <f aca="false">Q!$P$11</f>
        <v>11.579</v>
      </c>
      <c r="F4416" s="38" t="n">
        <f aca="false">Sens!$O$4416*(1+Sens!$F$4417)</f>
        <v>12.0952613121125</v>
      </c>
      <c r="G4416" s="38" t="n">
        <f aca="false">Sens!$E$4416+Sens!$F$4416</f>
        <v>23.6742613121125</v>
      </c>
      <c r="H4416" s="38" t="n">
        <f aca="false">Sens!$G$4416*(1+Sens!$H$4417)</f>
        <v>24.8803243963206</v>
      </c>
      <c r="I4416" s="38" t="n">
        <f aca="false">Sens!$H$4416*(1+Sens!$I$4417)</f>
        <v>25.9741308664154</v>
      </c>
      <c r="J4416" s="38" t="n">
        <f aca="false">Sens!$I$4416*(1+Sens!$J$4417)</f>
        <v>26.9346894124267</v>
      </c>
      <c r="K4416" s="38" t="n">
        <f aca="false">Sens!$J$4416*(1+Sens!$K$4417)</f>
        <v>27.7427300947995</v>
      </c>
      <c r="L4416" s="38" t="n">
        <f aca="false">Sens!$K$4416*(1+Sens!$L$4417)</f>
        <v>28.5750119976435</v>
      </c>
      <c r="M4416" s="38" t="n">
        <f aca="false">Sens!$L$4416*(1+Sens!$M$4417)</f>
        <v>29.4322623575728</v>
      </c>
      <c r="N4416" s="38" t="n">
        <f aca="false">Q!$N$11</f>
        <v>11.128</v>
      </c>
      <c r="O4416" s="38" t="n">
        <f aca="false">Q!$O$11</f>
        <v>11.433</v>
      </c>
      <c r="P4416" s="8" t="s">
        <v>622</v>
      </c>
    </row>
    <row r="4417" customFormat="false" ht="17.15" hidden="false" customHeight="false" outlineLevel="0" collapsed="false">
      <c r="A4417" s="0" t="s">
        <v>625</v>
      </c>
      <c r="B4417" s="0" t="s">
        <v>52</v>
      </c>
      <c r="E4417" s="12" t="n">
        <f aca="false">Sens!$E$4416/Sens!$N$4416-1</f>
        <v>0.0405283968368082</v>
      </c>
      <c r="F4417" s="12" t="n">
        <f aca="false">Sens!$O$4416/(Q!$F$11+Q!$G$11)-1</f>
        <v>0.0579254187100955</v>
      </c>
      <c r="G4417" s="12" t="n">
        <f aca="false">Sens!$G$4416/Sens!$D$4416-1</f>
        <v>0.0493445021103904</v>
      </c>
      <c r="H4417" s="12" t="n">
        <f aca="false">Sens!$F$4417+(g_ps-Sens!$F$4417)*1/4</f>
        <v>0.0509440640325716</v>
      </c>
      <c r="I4417" s="12" t="n">
        <f aca="false">Sens!$F$4417+(g_ps-Sens!$F$4417)*2/4</f>
        <v>0.0439627093550477</v>
      </c>
      <c r="J4417" s="12" t="n">
        <f aca="false">Sens!$F$4417+(g_ps-Sens!$F$4417)*3/4</f>
        <v>0.0369813546775239</v>
      </c>
      <c r="K4417" s="12" t="n">
        <f aca="false">Sens!$F$4417+(g_ps-Sens!$F$4417)*4/4</f>
        <v>0.03</v>
      </c>
      <c r="L4417" s="12" t="n">
        <f aca="false">g_ps</f>
        <v>0.03</v>
      </c>
      <c r="M4417" s="12" t="n">
        <f aca="false">g_ps</f>
        <v>0.03</v>
      </c>
      <c r="P4417" s="8" t="s">
        <v>626</v>
      </c>
    </row>
    <row r="4418" customFormat="false" ht="17.15" hidden="false" customHeight="false" outlineLevel="0" collapsed="false">
      <c r="A4418" s="0" t="s">
        <v>481</v>
      </c>
      <c r="B4418" s="0" t="s">
        <v>73</v>
      </c>
      <c r="C4418" s="38" t="n">
        <f aca="false">Q!$D$12</f>
        <v>156.146</v>
      </c>
      <c r="D4418" s="38" t="n">
        <f aca="false">Q!$E$12</f>
        <v>172.162</v>
      </c>
      <c r="E4418" s="38" t="n">
        <f aca="false">Q!$P$12</f>
        <v>88.358</v>
      </c>
      <c r="F4418" s="38" t="n">
        <f aca="false">Sens!$O$4418*(1+Sens!$F$4419)-pd_amt*Q!$O$12/(Q!$O$10+Q!$O$12)</f>
        <v>103.62028337149</v>
      </c>
      <c r="G4418" s="38" t="n">
        <f aca="false">Sens!$E$4418+Sens!$F$4418</f>
        <v>191.97828337149</v>
      </c>
      <c r="H4418" s="38" t="n">
        <f aca="false">Sens!$G$4418*(1+Sens!$H$4419)</f>
        <v>212.128608444755</v>
      </c>
      <c r="I4418" s="38" t="n">
        <f aca="false">Sens!$H$4418*(1+Sens!$I$4419)</f>
        <v>231.92183134134</v>
      </c>
      <c r="J4418" s="38" t="n">
        <f aca="false">Sens!$I$4418*(1+Sens!$J$4419)</f>
        <v>250.859136487863</v>
      </c>
      <c r="K4418" s="38" t="n">
        <f aca="false">Sens!$J$4418*(1+Sens!$K$4419)</f>
        <v>268.419276042014</v>
      </c>
      <c r="L4418" s="38" t="n">
        <f aca="false">Sens!$K$4418*(1+Sens!$L$4419)</f>
        <v>287.208625364954</v>
      </c>
      <c r="M4418" s="38" t="n">
        <f aca="false">Sens!$L$4418*(1+Sens!$M$4419)</f>
        <v>307.313229140501</v>
      </c>
      <c r="N4418" s="38" t="n">
        <f aca="false">Q!$N$12</f>
        <v>76.86</v>
      </c>
      <c r="O4418" s="38" t="n">
        <f aca="false">Q!$O$12</f>
        <v>95.302</v>
      </c>
      <c r="P4418" s="8" t="s">
        <v>622</v>
      </c>
    </row>
    <row r="4419" customFormat="false" ht="17.15" hidden="false" customHeight="false" outlineLevel="0" collapsed="false">
      <c r="A4419" s="0" t="s">
        <v>627</v>
      </c>
      <c r="B4419" s="0" t="s">
        <v>52</v>
      </c>
      <c r="E4419" s="12" t="n">
        <f aca="false">Sens!$E$4418/Sens!$N$4418-1</f>
        <v>0.1495966692688</v>
      </c>
      <c r="F4419" s="12" t="n">
        <f aca="false">Sens!$O$4418/(Q!$F$12+Q!$G$12)-1</f>
        <v>0.11661530890813</v>
      </c>
      <c r="G4419" s="12" t="n">
        <f aca="false">Sens!$G$4418/Sens!$D$4418-1</f>
        <v>0.115102539303041</v>
      </c>
      <c r="H4419" s="12" t="n">
        <f aca="false">Sens!$F$4419+(g_sp-Sens!$F$4419)*1/4</f>
        <v>0.104961481681098</v>
      </c>
      <c r="I4419" s="12" t="n">
        <f aca="false">Sens!$F$4419+(g_sp-Sens!$F$4419)*2/4</f>
        <v>0.0933076544540651</v>
      </c>
      <c r="J4419" s="12" t="n">
        <f aca="false">Sens!$F$4419+(g_sp-Sens!$F$4419)*3/4</f>
        <v>0.0816538272270325</v>
      </c>
      <c r="K4419" s="12" t="n">
        <f aca="false">Sens!$F$4419+(g_sp-Sens!$F$4419)*4/4</f>
        <v>0.07</v>
      </c>
      <c r="L4419" s="12" t="n">
        <f aca="false">g_sp</f>
        <v>0.07</v>
      </c>
      <c r="M4419" s="12" t="n">
        <f aca="false">g_sp</f>
        <v>0.07</v>
      </c>
      <c r="P4419" s="8" t="s">
        <v>628</v>
      </c>
    </row>
    <row r="4420" customFormat="false" ht="17.15" hidden="false" customHeight="false" outlineLevel="0" collapsed="false">
      <c r="A4420" s="0" t="s">
        <v>482</v>
      </c>
      <c r="B4420" s="0" t="s">
        <v>73</v>
      </c>
      <c r="C4420" s="38" t="n">
        <f aca="false">Q!$D$13</f>
        <v>56.214</v>
      </c>
      <c r="D4420" s="38" t="n">
        <f aca="false">Q!$E$13</f>
        <v>68.635</v>
      </c>
      <c r="E4420" s="38" t="n">
        <f aca="false">Q!$P$13</f>
        <v>37.052</v>
      </c>
      <c r="F4420" s="38" t="n">
        <f aca="false">Sens!$O$4420*(1+Sens!$F$4421)</f>
        <v>48.1533381827382</v>
      </c>
      <c r="G4420" s="38" t="n">
        <f aca="false">Sens!$E$4420+Sens!$F$4420</f>
        <v>85.2053381827382</v>
      </c>
      <c r="H4420" s="38" t="n">
        <f aca="false">Sens!$G$4420*(1+Sens!$H$4421)</f>
        <v>102.29336185894</v>
      </c>
      <c r="I4420" s="38" t="n">
        <f aca="false">Sens!$H$4420*(1+Sens!$I$4421)</f>
        <v>119.379837585241</v>
      </c>
      <c r="J4420" s="38" t="n">
        <f aca="false">Sens!$I$4420*(1+Sens!$J$4421)</f>
        <v>135.319079048844</v>
      </c>
      <c r="K4420" s="38" t="n">
        <f aca="false">Sens!$J$4420*(1+Sens!$K$4421)</f>
        <v>148.850986953729</v>
      </c>
      <c r="L4420" s="38" t="n">
        <f aca="false">Sens!$K$4420*(1+Sens!$L$4421)</f>
        <v>163.736085649102</v>
      </c>
      <c r="M4420" s="38" t="n">
        <f aca="false">Sens!$L$4420*(1+Sens!$M$4421)</f>
        <v>180.109694214012</v>
      </c>
      <c r="N4420" s="38" t="n">
        <f aca="false">Q!$N$13</f>
        <v>29.615</v>
      </c>
      <c r="O4420" s="38" t="n">
        <f aca="false">Q!$O$13</f>
        <v>39.02</v>
      </c>
      <c r="P4420" s="8" t="s">
        <v>622</v>
      </c>
    </row>
    <row r="4421" customFormat="false" ht="17.15" hidden="false" customHeight="false" outlineLevel="0" collapsed="false">
      <c r="A4421" s="0" t="s">
        <v>629</v>
      </c>
      <c r="B4421" s="0" t="s">
        <v>52</v>
      </c>
      <c r="E4421" s="12" t="n">
        <f aca="false">Sens!$E$4420/Sens!$N$4420-1</f>
        <v>0.25112274185379</v>
      </c>
      <c r="F4421" s="12" t="n">
        <f aca="false">Sens!$O$4420/(Q!$F$13+Q!$G$13)-1</f>
        <v>0.234068123596572</v>
      </c>
      <c r="G4421" s="12" t="n">
        <f aca="false">Sens!$G$4420/Sens!$D$4420-1</f>
        <v>0.241426942270536</v>
      </c>
      <c r="H4421" s="12" t="n">
        <f aca="false">Sens!$F$4421+(g_ad-Sens!$F$4421)*1/4</f>
        <v>0.200551092697429</v>
      </c>
      <c r="I4421" s="12" t="n">
        <f aca="false">Sens!$F$4421+(g_ad-Sens!$F$4421)*2/4</f>
        <v>0.167034061798286</v>
      </c>
      <c r="J4421" s="12" t="n">
        <f aca="false">Sens!$F$4421+(g_ad-Sens!$F$4421)*3/4</f>
        <v>0.133517030899143</v>
      </c>
      <c r="K4421" s="12" t="n">
        <f aca="false">Sens!$F$4421+(g_ad-Sens!$F$4421)*4/4</f>
        <v>0.1</v>
      </c>
      <c r="L4421" s="12" t="n">
        <f aca="false">g_ad</f>
        <v>0.1</v>
      </c>
      <c r="M4421" s="12" t="n">
        <f aca="false">g_ad</f>
        <v>0.1</v>
      </c>
      <c r="P4421" s="8" t="s">
        <v>630</v>
      </c>
    </row>
    <row r="4422" customFormat="false" ht="17.15" hidden="false" customHeight="false" outlineLevel="0" collapsed="false">
      <c r="A4422" s="0" t="s">
        <v>483</v>
      </c>
      <c r="B4422" s="0" t="s">
        <v>73</v>
      </c>
      <c r="C4422" s="38" t="n">
        <f aca="false">Q!$D$14</f>
        <v>44.374</v>
      </c>
      <c r="D4422" s="38" t="n">
        <f aca="false">Q!$E$14</f>
        <v>49.619</v>
      </c>
      <c r="E4422" s="38" t="n">
        <f aca="false">Q!$P$14</f>
        <v>27.157</v>
      </c>
      <c r="F4422" s="38" t="n">
        <f aca="false">Sens!$O$4422*(1+Sens!$F$4423)</f>
        <v>28.9776360923374</v>
      </c>
      <c r="G4422" s="38" t="n">
        <f aca="false">Sens!$E$4422+Sens!$F$4422</f>
        <v>56.1346360923374</v>
      </c>
      <c r="H4422" s="38" t="n">
        <f aca="false">Sens!$G$4422*(1+Sens!$H$4423)</f>
        <v>62.4937078946075</v>
      </c>
      <c r="I4422" s="38" t="n">
        <f aca="false">Sens!$H$4422*(1+Sens!$I$4423)</f>
        <v>68.6715233062498</v>
      </c>
      <c r="J4422" s="38" t="n">
        <f aca="false">Sens!$I$4422*(1+Sens!$J$4423)</f>
        <v>74.4692882949818</v>
      </c>
      <c r="K4422" s="38" t="n">
        <f aca="false">Sens!$J$4422*(1+Sens!$K$4423)</f>
        <v>79.6821384756306</v>
      </c>
      <c r="L4422" s="38" t="n">
        <f aca="false">Sens!$K$4422*(1+Sens!$L$4423)</f>
        <v>85.2598881689247</v>
      </c>
      <c r="M4422" s="38" t="n">
        <f aca="false">Sens!$L$4422*(1+Sens!$M$4423)</f>
        <v>91.2280803407494</v>
      </c>
      <c r="N4422" s="38" t="n">
        <f aca="false">Q!$N$14</f>
        <v>23.923</v>
      </c>
      <c r="O4422" s="38" t="n">
        <f aca="false">Q!$O$14</f>
        <v>25.696</v>
      </c>
      <c r="P4422" s="8" t="s">
        <v>622</v>
      </c>
    </row>
    <row r="4423" customFormat="false" ht="17.15" hidden="false" customHeight="false" outlineLevel="0" collapsed="false">
      <c r="A4423" s="0" t="s">
        <v>631</v>
      </c>
      <c r="B4423" s="0" t="s">
        <v>52</v>
      </c>
      <c r="E4423" s="12" t="n">
        <f aca="false">Sens!$E$4422/Sens!$N$4422-1</f>
        <v>0.135183714417088</v>
      </c>
      <c r="F4423" s="12" t="n">
        <f aca="false">Sens!$O$4422/(Q!$F$14+Q!$G$14)-1</f>
        <v>0.127709997366804</v>
      </c>
      <c r="G4423" s="12" t="n">
        <f aca="false">Sens!$G$4422/Sens!$D$4422-1</f>
        <v>0.131313329416905</v>
      </c>
      <c r="H4423" s="12" t="n">
        <f aca="false">Sens!$F$4423+(g_sub-Sens!$F$4423)*1/4</f>
        <v>0.113282498025103</v>
      </c>
      <c r="I4423" s="12" t="n">
        <f aca="false">Sens!$F$4423+(g_sub-Sens!$F$4423)*2/4</f>
        <v>0.0988549986834021</v>
      </c>
      <c r="J4423" s="12" t="n">
        <f aca="false">Sens!$F$4423+(g_sub-Sens!$F$4423)*3/4</f>
        <v>0.084427499341701</v>
      </c>
      <c r="K4423" s="12" t="n">
        <f aca="false">Sens!$F$4423+(g_sub-Sens!$F$4423)*4/4</f>
        <v>0.07</v>
      </c>
      <c r="L4423" s="12" t="n">
        <f aca="false">g_sub</f>
        <v>0.07</v>
      </c>
      <c r="M4423" s="12" t="n">
        <f aca="false">g_sub</f>
        <v>0.07</v>
      </c>
      <c r="P4423" s="8" t="s">
        <v>632</v>
      </c>
    </row>
    <row r="4424" customFormat="false" ht="17.15" hidden="false" customHeight="false" outlineLevel="0" collapsed="false">
      <c r="A4424" s="0" t="s">
        <v>484</v>
      </c>
      <c r="B4424" s="0" t="s">
        <v>73</v>
      </c>
      <c r="C4424" s="38" t="n">
        <f aca="false">Q!$D$15</f>
        <v>5.425</v>
      </c>
      <c r="D4424" s="38" t="n">
        <f aca="false">Q!$E$15</f>
        <v>5.935</v>
      </c>
      <c r="E4424" s="38" t="n">
        <f aca="false">Q!$P$15</f>
        <v>3.474</v>
      </c>
      <c r="F4424" s="38" t="n">
        <f aca="false">Sens!$O$4424*(1+Sens!$F$4425)</f>
        <v>3.36182431966931</v>
      </c>
      <c r="G4424" s="38" t="n">
        <f aca="false">Sens!$E$4424+Sens!$F$4424</f>
        <v>6.83582431966931</v>
      </c>
      <c r="H4424" s="38" t="n">
        <f aca="false">Sens!$G$4424*(1+Sens!$H$4425)</f>
        <v>7.31157108370141</v>
      </c>
      <c r="I4424" s="38" t="n">
        <f aca="false">Sens!$H$4424*(1+Sens!$I$4425)</f>
        <v>7.77266852639815</v>
      </c>
      <c r="J4424" s="38" t="n">
        <f aca="false">Sens!$I$4424*(1+Sens!$J$4425)</f>
        <v>8.2120733019884</v>
      </c>
      <c r="K4424" s="38" t="n">
        <f aca="false">Sens!$J$4424*(1+Sens!$K$4425)</f>
        <v>8.62267696708783</v>
      </c>
      <c r="L4424" s="38" t="n">
        <f aca="false">Sens!$K$4424*(1+Sens!$L$4425)</f>
        <v>9.05381081544222</v>
      </c>
      <c r="M4424" s="38" t="n">
        <f aca="false">Sens!$L$4424*(1+Sens!$M$4425)</f>
        <v>9.50650135621433</v>
      </c>
      <c r="N4424" s="38" t="n">
        <f aca="false">Q!$N$15</f>
        <v>2.811</v>
      </c>
      <c r="O4424" s="38" t="n">
        <f aca="false">Q!$O$15</f>
        <v>3.124</v>
      </c>
      <c r="P4424" s="8" t="s">
        <v>622</v>
      </c>
    </row>
    <row r="4425" customFormat="false" ht="17.15" hidden="false" customHeight="false" outlineLevel="0" collapsed="false">
      <c r="A4425" s="0" t="s">
        <v>633</v>
      </c>
      <c r="B4425" s="0" t="s">
        <v>52</v>
      </c>
      <c r="E4425" s="12" t="n">
        <f aca="false">Sens!$E$4424/Sens!$N$4424-1</f>
        <v>0.235859124866596</v>
      </c>
      <c r="F4425" s="12" t="n">
        <f aca="false">Sens!$O$4424/(Q!$F$15+Q!$G$15)-1</f>
        <v>0.0761281433000345</v>
      </c>
      <c r="G4425" s="12" t="n">
        <f aca="false">Sens!$G$4424/Sens!$D$4424-1</f>
        <v>0.151781688234087</v>
      </c>
      <c r="H4425" s="12" t="n">
        <f aca="false">Sens!$F$4425+(g_ot-Sens!$F$4425)*1/4</f>
        <v>0.0695961074750259</v>
      </c>
      <c r="I4425" s="12" t="n">
        <f aca="false">Sens!$F$4425+(g_ot-Sens!$F$4425)*2/4</f>
        <v>0.0630640716500172</v>
      </c>
      <c r="J4425" s="12" t="n">
        <f aca="false">Sens!$F$4425+(g_ot-Sens!$F$4425)*3/4</f>
        <v>0.0565320358250086</v>
      </c>
      <c r="K4425" s="12" t="n">
        <f aca="false">Sens!$F$4425+(g_ot-Sens!$F$4425)*4/4</f>
        <v>0.05</v>
      </c>
      <c r="L4425" s="12" t="n">
        <f aca="false">g_ot</f>
        <v>0.05</v>
      </c>
      <c r="M4425" s="12" t="n">
        <f aca="false">g_ot</f>
        <v>0.05</v>
      </c>
      <c r="P4425" s="8" t="s">
        <v>634</v>
      </c>
    </row>
    <row r="4426" customFormat="false" ht="17.15" hidden="false" customHeight="false" outlineLevel="0" collapsed="false">
      <c r="A4426" s="3" t="s">
        <v>635</v>
      </c>
      <c r="B4426" s="8" t="s">
        <v>73</v>
      </c>
      <c r="C4426" s="38" t="n">
        <f aca="false">Sens!$C$4414+Sens!$C$4416+Sens!$C$4418+Sens!$C$4420+Sens!$C$4422+Sens!$C$4424</f>
        <v>530.403</v>
      </c>
      <c r="D4426" s="38" t="n">
        <f aca="false">Sens!$D$4414+Sens!$D$4416+Sens!$D$4418+Sens!$D$4420+Sens!$D$4422+Sens!$D$4424</f>
        <v>588.199</v>
      </c>
      <c r="E4426" s="38" t="n">
        <f aca="false">Sens!$E$4414+Sens!$E$4416+Sens!$E$4418+Sens!$E$4420+Sens!$E$4422+Sens!$E$4424</f>
        <v>302.306</v>
      </c>
      <c r="F4426" s="38" t="n">
        <f aca="false">Sens!$F$4414+Sens!$F$4416+Sens!$F$4418+Sens!$F$4420+Sens!$F$4422+Sens!$F$4424</f>
        <v>356.93642920843</v>
      </c>
      <c r="G4426" s="38" t="n">
        <f aca="false">Sens!$G$4414+Sens!$G$4416+Sens!$G$4418+Sens!$G$4420+Sens!$G$4422+Sens!$G$4424</f>
        <v>659.24242920843</v>
      </c>
      <c r="H4426" s="38" t="n">
        <f aca="false">Sens!$H$4414+Sens!$H$4416+Sens!$H$4418+Sens!$H$4420+Sens!$H$4422+Sens!$H$4424</f>
        <v>729.935737621701</v>
      </c>
      <c r="I4426" s="38" t="n">
        <f aca="false">Sens!$I$4414+Sens!$I$4416+Sens!$I$4418+Sens!$I$4420+Sens!$I$4422+Sens!$I$4424</f>
        <v>798.295569697873</v>
      </c>
      <c r="J4426" s="38" t="n">
        <f aca="false">Sens!$J$4414+Sens!$J$4416+Sens!$J$4418+Sens!$J$4420+Sens!$J$4422+Sens!$J$4424</f>
        <v>861.736822325785</v>
      </c>
      <c r="K4426" s="38" t="n">
        <f aca="false">Sens!$K$4414+Sens!$K$4416+Sens!$K$4418+Sens!$K$4420+Sens!$K$4422+Sens!$K$4424</f>
        <v>917.557492101925</v>
      </c>
      <c r="L4426" s="38" t="n">
        <f aca="false">Sens!$L$4414+Sens!$L$4416+Sens!$L$4418+Sens!$L$4420+Sens!$L$4422+Sens!$L$4424</f>
        <v>977.285089743165</v>
      </c>
      <c r="M4426" s="38" t="n">
        <f aca="false">Sens!$M$4414+Sens!$M$4416+Sens!$M$4418+Sens!$M$4420+Sens!$M$4422+Sens!$M$4424</f>
        <v>1041.2140185435</v>
      </c>
      <c r="N4426" s="38" t="n">
        <f aca="false">Sens!$N$4414+Sens!$N$4416+Sens!$N$4418+Sens!$N$4420+Sens!$N$4422+Sens!$N$4424</f>
        <v>263.229</v>
      </c>
      <c r="O4426" s="38" t="n">
        <f aca="false">Sens!$O$4414+Sens!$O$4416+Sens!$O$4418+Sens!$O$4420+Sens!$O$4422+Sens!$O$4424</f>
        <v>324.97</v>
      </c>
    </row>
    <row r="4427" customFormat="false" ht="17.15" hidden="false" customHeight="false" outlineLevel="0" collapsed="false">
      <c r="A4427" s="5" t="s">
        <v>636</v>
      </c>
      <c r="B4427" s="0" t="s">
        <v>52</v>
      </c>
      <c r="C4427" s="12" t="n">
        <f aca="false">Q!$D$5/(Q!$D$5+Q!$D$6)</f>
        <v>0.730570905519011</v>
      </c>
      <c r="D4427" s="12" t="n">
        <f aca="false">Q!$E$5/(Q!$E$5+Q!$E$6)</f>
        <v>0.724763217890544</v>
      </c>
      <c r="E4427" s="12" t="n">
        <f aca="false">Q!$P$5/(Q!$P$5+Q!$P$6)</f>
        <v>0.728797972914861</v>
      </c>
      <c r="F4427" s="12" t="n">
        <f aca="false">Sens!$O$4427</f>
        <v>0.718066283041511</v>
      </c>
      <c r="G4427" s="12" t="n">
        <f aca="false">Sens!$G$4428/Sens!$G$4426</f>
        <v>0.722987468473627</v>
      </c>
      <c r="H4427" s="12" t="n">
        <f aca="false">Sens!$G$4427</f>
        <v>0.722987468473627</v>
      </c>
      <c r="I4427" s="12" t="n">
        <f aca="false">Sens!$G$4427</f>
        <v>0.722987468473627</v>
      </c>
      <c r="J4427" s="12" t="n">
        <f aca="false">Sens!$G$4427</f>
        <v>0.722987468473627</v>
      </c>
      <c r="K4427" s="12" t="n">
        <f aca="false">Sens!$G$4427</f>
        <v>0.722987468473627</v>
      </c>
      <c r="L4427" s="12" t="n">
        <f aca="false">Sens!$G$4427</f>
        <v>0.722987468473627</v>
      </c>
      <c r="M4427" s="12" t="n">
        <f aca="false">Sens!$G$4427</f>
        <v>0.722987468473627</v>
      </c>
      <c r="N4427" s="12" t="n">
        <f aca="false">Q!$N$5/(Q!$N$5+Q!$N$6)</f>
        <v>0.733030935041352</v>
      </c>
      <c r="O4427" s="12" t="n">
        <f aca="false">Q!$O$5/(Q!$O$5+Q!$O$6)</f>
        <v>0.718066283041511</v>
      </c>
      <c r="P4427" s="8" t="s">
        <v>637</v>
      </c>
    </row>
    <row r="4428" customFormat="false" ht="17.15" hidden="false" customHeight="false" outlineLevel="0" collapsed="false">
      <c r="A4428" s="1" t="s">
        <v>472</v>
      </c>
      <c r="B4428" s="8" t="s">
        <v>73</v>
      </c>
      <c r="C4428" s="38" t="n">
        <f aca="false">Q!$D$5</f>
        <v>387.497</v>
      </c>
      <c r="D4428" s="38" t="n">
        <f aca="false">Q!$E$5</f>
        <v>426.305</v>
      </c>
      <c r="E4428" s="38" t="n">
        <f aca="false">Q!$P$5</f>
        <v>220.32</v>
      </c>
      <c r="F4428" s="38" t="n">
        <f aca="false">Sens!$F$4426*Sens!$F$4427</f>
        <v>256.304015003807</v>
      </c>
      <c r="G4428" s="38" t="n">
        <f aca="false">Sens!$E$4428+Sens!$F$4428</f>
        <v>476.624015003807</v>
      </c>
      <c r="H4428" s="38" t="n">
        <f aca="false">Sens!$H$4426*Sens!$H$4427</f>
        <v>527.734391091543</v>
      </c>
      <c r="I4428" s="38" t="n">
        <f aca="false">Sens!$I$4426*Sens!$I$4427</f>
        <v>577.157693029577</v>
      </c>
      <c r="J4428" s="38" t="n">
        <f aca="false">Sens!$J$4426*Sens!$J$4427</f>
        <v>623.024923663827</v>
      </c>
      <c r="K4428" s="38" t="n">
        <f aca="false">Sens!$K$4426*Sens!$K$4427</f>
        <v>663.382568393781</v>
      </c>
      <c r="L4428" s="38" t="n">
        <f aca="false">Sens!$L$4426*Sens!$L$4427</f>
        <v>706.564873010432</v>
      </c>
      <c r="M4428" s="38" t="n">
        <f aca="false">Sens!$M$4426*Sens!$M$4427</f>
        <v>752.784687406019</v>
      </c>
      <c r="N4428" s="38" t="n">
        <f aca="false">Q!$N$5</f>
        <v>192.955</v>
      </c>
      <c r="O4428" s="38" t="n">
        <f aca="false">Q!$O$5</f>
        <v>233.35</v>
      </c>
      <c r="P4428" s="5" t="s">
        <v>638</v>
      </c>
    </row>
    <row r="4429" customFormat="false" ht="17.15" hidden="false" customHeight="false" outlineLevel="0" collapsed="false">
      <c r="A4429" s="1" t="s">
        <v>475</v>
      </c>
      <c r="B4429" s="8" t="s">
        <v>73</v>
      </c>
      <c r="C4429" s="38" t="n">
        <f aca="false">Q!$D$6</f>
        <v>142.906</v>
      </c>
      <c r="D4429" s="38" t="n">
        <f aca="false">Q!$E$6</f>
        <v>161.894</v>
      </c>
      <c r="E4429" s="38" t="n">
        <f aca="false">Q!$P$6</f>
        <v>81.986</v>
      </c>
      <c r="F4429" s="38" t="n">
        <f aca="false">Sens!$F$4426*(1-Sens!$F$4427)</f>
        <v>100.632414204623</v>
      </c>
      <c r="G4429" s="38" t="n">
        <f aca="false">Sens!$E$4429+Sens!$F$4429</f>
        <v>182.618414204623</v>
      </c>
      <c r="H4429" s="38" t="n">
        <f aca="false">Sens!$H$4426*(1-Sens!$H$4427)</f>
        <v>202.201346530158</v>
      </c>
      <c r="I4429" s="38" t="n">
        <f aca="false">Sens!$I$4426*(1-Sens!$I$4427)</f>
        <v>221.137876668296</v>
      </c>
      <c r="J4429" s="38" t="n">
        <f aca="false">Sens!$J$4426*(1-Sens!$J$4427)</f>
        <v>238.711898661958</v>
      </c>
      <c r="K4429" s="38" t="n">
        <f aca="false">Sens!$K$4426*(1-Sens!$K$4427)</f>
        <v>254.174923708144</v>
      </c>
      <c r="L4429" s="38" t="n">
        <f aca="false">Sens!$L$4426*(1-Sens!$L$4427)</f>
        <v>270.720216732733</v>
      </c>
      <c r="M4429" s="38" t="n">
        <f aca="false">Sens!$M$4426*(1-Sens!$M$4427)</f>
        <v>288.429331137484</v>
      </c>
      <c r="N4429" s="38" t="n">
        <f aca="false">Q!$N$6</f>
        <v>70.274</v>
      </c>
      <c r="O4429" s="38" t="n">
        <f aca="false">Q!$O$6</f>
        <v>91.62</v>
      </c>
      <c r="P4429" s="5" t="s">
        <v>639</v>
      </c>
    </row>
    <row r="4430" customFormat="false" ht="17.15" hidden="false" customHeight="false" outlineLevel="0" collapsed="false">
      <c r="A4430" s="5" t="s">
        <v>640</v>
      </c>
      <c r="B4430" s="0" t="s">
        <v>73</v>
      </c>
      <c r="C4430" s="38" t="n">
        <f aca="false">Sens!$C$4420*Sens!$C$4427</f>
        <v>41.0683128828457</v>
      </c>
      <c r="D4430" s="38" t="n">
        <f aca="false">Sens!$D$4420*Sens!$D$4427</f>
        <v>49.7441234599175</v>
      </c>
      <c r="E4430" s="38" t="n">
        <f aca="false">Sens!$E$4420*Sens!$E$4427</f>
        <v>27.0034224924414</v>
      </c>
      <c r="F4430" s="38" t="n">
        <f aca="false">Sens!$F$4420*Sens!$F$4427</f>
        <v>34.5772885649197</v>
      </c>
      <c r="G4430" s="38" t="n">
        <f aca="false">Sens!$G$4420*Sens!$G$4427</f>
        <v>61.6023917531772</v>
      </c>
      <c r="H4430" s="38" t="n">
        <f aca="false">Sens!$H$4420*Sens!$H$4427</f>
        <v>73.9568187320519</v>
      </c>
      <c r="I4430" s="38" t="n">
        <f aca="false">Sens!$I$4420*Sens!$I$4427</f>
        <v>86.3101265625461</v>
      </c>
      <c r="J4430" s="38" t="n">
        <f aca="false">Sens!$J$4420*Sens!$J$4427</f>
        <v>97.8339983977065</v>
      </c>
      <c r="K4430" s="38" t="n">
        <f aca="false">Sens!$K$4420*Sens!$K$4427</f>
        <v>107.617398237477</v>
      </c>
      <c r="L4430" s="38" t="n">
        <f aca="false">Sens!$L$4420*Sens!$L$4427</f>
        <v>118.379138061225</v>
      </c>
      <c r="M4430" s="38" t="n">
        <f aca="false">Sens!$M$4420*Sens!$M$4427</f>
        <v>130.217051867347</v>
      </c>
      <c r="N4430" s="38" t="n">
        <f aca="false">Sens!$N$4420*Sens!$N$4427</f>
        <v>21.7087111412496</v>
      </c>
      <c r="O4430" s="38" t="n">
        <f aca="false">Sens!$O$4420*Sens!$O$4427</f>
        <v>28.0189463642798</v>
      </c>
      <c r="P4430" s="5" t="s">
        <v>641</v>
      </c>
    </row>
    <row r="4431" customFormat="false" ht="15" hidden="false" customHeight="false" outlineLevel="0" collapsed="false">
      <c r="A4431" s="5" t="s">
        <v>642</v>
      </c>
      <c r="B4431" s="0" t="s">
        <v>73</v>
      </c>
      <c r="C4431" s="38" t="n">
        <f aca="false">Sens!$C$4420-Sens!$C$4430</f>
        <v>15.1456871171543</v>
      </c>
      <c r="D4431" s="38" t="n">
        <f aca="false">Sens!$D$4420-Sens!$D$4430</f>
        <v>18.8908765400825</v>
      </c>
      <c r="E4431" s="38" t="n">
        <f aca="false">Sens!$E$4420-Sens!$E$4430</f>
        <v>10.0485775075586</v>
      </c>
      <c r="F4431" s="38" t="n">
        <f aca="false">Sens!$F$4420-Sens!$F$4430</f>
        <v>13.5760496178185</v>
      </c>
      <c r="G4431" s="38" t="n">
        <f aca="false">Sens!$G$4420-Sens!$G$4430</f>
        <v>23.6029464295611</v>
      </c>
      <c r="H4431" s="38" t="n">
        <f aca="false">Sens!$H$4420-Sens!$H$4430</f>
        <v>28.3365431268884</v>
      </c>
      <c r="I4431" s="38" t="n">
        <f aca="false">Sens!$I$4420-Sens!$I$4430</f>
        <v>33.0697110226949</v>
      </c>
      <c r="J4431" s="38" t="n">
        <f aca="false">Sens!$J$4420-Sens!$J$4430</f>
        <v>37.4850806511378</v>
      </c>
      <c r="K4431" s="38" t="n">
        <f aca="false">Sens!$K$4420-Sens!$K$4430</f>
        <v>41.2335887162515</v>
      </c>
      <c r="L4431" s="38" t="n">
        <f aca="false">Sens!$L$4420-Sens!$L$4430</f>
        <v>45.3569475878767</v>
      </c>
      <c r="M4431" s="38" t="n">
        <f aca="false">Sens!$M$4420-Sens!$M$4430</f>
        <v>49.8926423466644</v>
      </c>
      <c r="N4431" s="38" t="n">
        <f aca="false">Sens!$N$4420-Sens!$N$4430</f>
        <v>7.90628885875037</v>
      </c>
      <c r="O4431" s="38" t="n">
        <f aca="false">Sens!$O$4420-Sens!$O$4430</f>
        <v>11.0010536357202</v>
      </c>
    </row>
    <row r="4432" customFormat="false" ht="19.4" hidden="false" customHeight="false" outlineLevel="0" collapsed="false">
      <c r="A4432" s="31" t="s">
        <v>1141</v>
      </c>
    </row>
    <row r="4433" customFormat="false" ht="17.15" hidden="false" customHeight="false" outlineLevel="0" collapsed="false">
      <c r="A4433" s="6" t="s">
        <v>16</v>
      </c>
      <c r="B4433" s="6" t="s">
        <v>17</v>
      </c>
      <c r="C4433" s="20" t="s">
        <v>457</v>
      </c>
      <c r="D4433" s="20" t="s">
        <v>458</v>
      </c>
      <c r="E4433" s="20" t="s">
        <v>540</v>
      </c>
      <c r="F4433" s="20" t="s">
        <v>541</v>
      </c>
      <c r="G4433" s="20" t="s">
        <v>542</v>
      </c>
      <c r="H4433" s="20" t="s">
        <v>543</v>
      </c>
      <c r="I4433" s="20" t="s">
        <v>544</v>
      </c>
      <c r="J4433" s="20" t="s">
        <v>545</v>
      </c>
      <c r="K4433" s="20" t="s">
        <v>546</v>
      </c>
      <c r="L4433" s="20" t="s">
        <v>547</v>
      </c>
      <c r="M4433" s="20" t="s">
        <v>548</v>
      </c>
      <c r="N4433" s="20" t="s">
        <v>549</v>
      </c>
      <c r="O4433" s="20" t="s">
        <v>550</v>
      </c>
      <c r="P4433" s="6" t="s">
        <v>23</v>
      </c>
      <c r="R4433" s="20" t="n">
        <v>2023</v>
      </c>
      <c r="S4433" s="20" t="n">
        <v>2024</v>
      </c>
      <c r="T4433" s="20" t="n">
        <v>2025</v>
      </c>
      <c r="U4433" s="20" t="n">
        <v>2026</v>
      </c>
      <c r="V4433" s="20" t="n">
        <v>2027</v>
      </c>
      <c r="W4433" s="20" t="n">
        <v>2028</v>
      </c>
      <c r="X4433" s="20" t="n">
        <v>2029</v>
      </c>
      <c r="Y4433" s="20" t="n">
        <v>2030</v>
      </c>
      <c r="Z4433" s="20" t="n">
        <v>2031</v>
      </c>
      <c r="AA4433" s="20" t="n">
        <v>2032</v>
      </c>
    </row>
    <row r="4434" customFormat="false" ht="17.15" hidden="false" customHeight="false" outlineLevel="0" collapsed="false">
      <c r="A4434" s="1" t="s">
        <v>551</v>
      </c>
    </row>
    <row r="4435" customFormat="false" ht="17.15" hidden="false" customHeight="false" outlineLevel="0" collapsed="false">
      <c r="A4435" s="14" t="s">
        <v>552</v>
      </c>
      <c r="B4435" s="13" t="s">
        <v>108</v>
      </c>
      <c r="C4435" s="32" t="n">
        <f aca="false">mw_ye24</f>
        <v>360</v>
      </c>
      <c r="D4435" s="32" t="n">
        <f aca="false">mw_ye25</f>
        <v>1440</v>
      </c>
      <c r="E4435" s="32" t="n">
        <f aca="false">mw_open</f>
        <v>2080</v>
      </c>
      <c r="F4435" s="32" t="n">
        <f aca="false">Sens!$E$4435+pace_B*0.5</f>
        <v>3897.15</v>
      </c>
      <c r="G4435" s="32" t="n">
        <f aca="false">Sens!$F$4435</f>
        <v>3897.15</v>
      </c>
      <c r="H4435" s="32" t="n">
        <f aca="false">Sens!$G$4435+pace_B</f>
        <v>7531.45</v>
      </c>
      <c r="I4435" s="32" t="n">
        <f aca="false">Sens!$H$4435+pace_B</f>
        <v>11165.75</v>
      </c>
      <c r="J4435" s="32" t="n">
        <f aca="false">Sens!$I$4435+pace_B</f>
        <v>14800.05</v>
      </c>
      <c r="K4435" s="32" t="n">
        <f aca="false">Sens!$J$4435+pace_B</f>
        <v>18434.35</v>
      </c>
      <c r="L4435" s="32" t="n">
        <f aca="false">Sens!$K$4435+pace_B</f>
        <v>22068.65</v>
      </c>
      <c r="M4435" s="32" t="n">
        <f aca="false">Sens!$L$4435+pace_B</f>
        <v>25702.95</v>
      </c>
      <c r="N4435" s="32" t="n">
        <f aca="false">(mw_ye24+mw_ye25)/2</f>
        <v>900</v>
      </c>
      <c r="O4435" s="32" t="n">
        <f aca="false">mw_ye25</f>
        <v>1440</v>
      </c>
      <c r="P4435" s="5" t="s">
        <v>553</v>
      </c>
    </row>
    <row r="4436" customFormat="false" ht="17.15" hidden="false" customHeight="false" outlineLevel="0" collapsed="false">
      <c r="A4436" s="5" t="s">
        <v>554</v>
      </c>
      <c r="B4436" s="0" t="s">
        <v>108</v>
      </c>
      <c r="C4436" s="33" t="n">
        <f aca="false">(mw_ye23+mw_ye24)/2</f>
        <v>240</v>
      </c>
      <c r="D4436" s="33" t="n">
        <f aca="false">(Sens!$C$4435+Sens!$D$4435)/2</f>
        <v>900</v>
      </c>
      <c r="E4436" s="33" t="n">
        <f aca="false">(Sens!$D$4435+Sens!$E$4435)/2</f>
        <v>1760</v>
      </c>
      <c r="F4436" s="33" t="n">
        <f aca="false">(Sens!$E$4435+Sens!$F$4435)/2</f>
        <v>2988.575</v>
      </c>
      <c r="G4436" s="33" t="n">
        <f aca="false">(Sens!$E$4436+Sens!$F$4436)/2</f>
        <v>2374.2875</v>
      </c>
      <c r="H4436" s="33" t="n">
        <f aca="false">(Sens!$G$4435+Sens!$H$4435)/2</f>
        <v>5714.3</v>
      </c>
      <c r="I4436" s="33" t="n">
        <f aca="false">(Sens!$H$4435+Sens!$I$4435)/2</f>
        <v>9348.6</v>
      </c>
      <c r="J4436" s="33" t="n">
        <f aca="false">(Sens!$I$4435+Sens!$J$4435)/2</f>
        <v>12982.9</v>
      </c>
      <c r="K4436" s="33" t="n">
        <f aca="false">(Sens!$J$4435+Sens!$K$4435)/2</f>
        <v>16617.2</v>
      </c>
      <c r="L4436" s="33" t="n">
        <f aca="false">(Sens!$K$4435+Sens!$L$4435)/2</f>
        <v>20251.5</v>
      </c>
      <c r="M4436" s="33" t="n">
        <f aca="false">(Sens!$L$4435+Sens!$M$4435)/2</f>
        <v>23885.8</v>
      </c>
      <c r="N4436" s="33" t="n">
        <f aca="false">(Sens!$C$4435+Sens!$N$4435)/2</f>
        <v>630</v>
      </c>
      <c r="O4436" s="33" t="n">
        <f aca="false">(Sens!$N$4435+Sens!$O$4435)/2</f>
        <v>1170</v>
      </c>
    </row>
    <row r="4437" customFormat="false" ht="15" hidden="false" customHeight="false" outlineLevel="0" collapsed="false">
      <c r="A4437" s="5" t="s">
        <v>555</v>
      </c>
      <c r="B4437" s="5" t="s">
        <v>102</v>
      </c>
      <c r="C4437" s="34" t="n">
        <v>1</v>
      </c>
      <c r="D4437" s="34" t="n">
        <v>1</v>
      </c>
      <c r="E4437" s="34" t="n">
        <v>0.5</v>
      </c>
      <c r="F4437" s="34" t="n">
        <v>0.5</v>
      </c>
      <c r="G4437" s="34" t="n">
        <v>1</v>
      </c>
      <c r="H4437" s="34" t="n">
        <v>1</v>
      </c>
      <c r="I4437" s="34" t="n">
        <v>1</v>
      </c>
      <c r="J4437" s="34" t="n">
        <v>1</v>
      </c>
      <c r="K4437" s="34" t="n">
        <v>1</v>
      </c>
      <c r="L4437" s="34" t="n">
        <v>1</v>
      </c>
      <c r="M4437" s="34" t="n">
        <v>1</v>
      </c>
      <c r="N4437" s="34" t="n">
        <v>0.5</v>
      </c>
      <c r="O4437" s="34" t="n">
        <v>0.5</v>
      </c>
    </row>
    <row r="4438" customFormat="false" ht="17.15" hidden="false" customHeight="false" outlineLevel="0" collapsed="false">
      <c r="A4438" s="5" t="s">
        <v>556</v>
      </c>
      <c r="B4438" s="0" t="s">
        <v>108</v>
      </c>
      <c r="C4438" s="33" t="n">
        <f aca="false">Sens!$C$4435-mw_ye23</f>
        <v>240</v>
      </c>
      <c r="D4438" s="33" t="n">
        <f aca="false">Sens!$D$4435-Sens!$C$4435</f>
        <v>1080</v>
      </c>
      <c r="E4438" s="33" t="n">
        <f aca="false">Sens!$E$4435-Sens!$D$4435</f>
        <v>640</v>
      </c>
      <c r="F4438" s="33" t="n">
        <f aca="false">Sens!$F$4435-Sens!$E$4435</f>
        <v>1817.15</v>
      </c>
      <c r="G4438" s="33" t="n">
        <f aca="false">Sens!$E$4438+Sens!$F$4438</f>
        <v>2457.15</v>
      </c>
      <c r="H4438" s="33" t="n">
        <f aca="false">Sens!$H$4435-Sens!$G$4435</f>
        <v>3634.3</v>
      </c>
      <c r="I4438" s="33" t="n">
        <f aca="false">Sens!$I$4435-Sens!$H$4435</f>
        <v>3634.3</v>
      </c>
      <c r="J4438" s="33" t="n">
        <f aca="false">Sens!$J$4435-Sens!$I$4435</f>
        <v>3634.3</v>
      </c>
      <c r="K4438" s="33" t="n">
        <f aca="false">Sens!$K$4435-Sens!$J$4435</f>
        <v>3634.3</v>
      </c>
      <c r="L4438" s="33" t="n">
        <f aca="false">Sens!$L$4435-Sens!$K$4435</f>
        <v>3634.3</v>
      </c>
      <c r="M4438" s="33" t="n">
        <f aca="false">Sens!$M$4435-Sens!$L$4435</f>
        <v>3634.3</v>
      </c>
      <c r="N4438" s="33" t="n">
        <f aca="false">Sens!$N$4435-Sens!$C$4435</f>
        <v>540</v>
      </c>
      <c r="O4438" s="33" t="n">
        <f aca="false">Sens!$O$4435-Sens!$N$4435</f>
        <v>540</v>
      </c>
    </row>
    <row r="4439" customFormat="false" ht="17.15" hidden="false" customHeight="false" outlineLevel="0" collapsed="false">
      <c r="A4439" s="5" t="s">
        <v>557</v>
      </c>
      <c r="B4439" s="0" t="s">
        <v>108</v>
      </c>
      <c r="C4439" s="33" t="n">
        <f aca="false">Sens!$C$4438/ext_sh</f>
        <v>300</v>
      </c>
      <c r="D4439" s="33" t="n">
        <f aca="false">Sens!$D$4438/ext_sh</f>
        <v>1350</v>
      </c>
      <c r="E4439" s="33" t="n">
        <f aca="false">Sens!$E$4438/ext_sh</f>
        <v>800</v>
      </c>
      <c r="F4439" s="33" t="n">
        <f aca="false">Sens!$F$4438/ext_sh</f>
        <v>2271.4375</v>
      </c>
      <c r="G4439" s="33" t="n">
        <f aca="false">Sens!$G$4438/ext_sh</f>
        <v>3071.4375</v>
      </c>
      <c r="H4439" s="33" t="n">
        <f aca="false">Sens!$H$4438/ext_sh</f>
        <v>4542.875</v>
      </c>
      <c r="I4439" s="33" t="n">
        <f aca="false">Sens!$I$4438/ext_sh</f>
        <v>4542.875</v>
      </c>
      <c r="J4439" s="33" t="n">
        <f aca="false">Sens!$J$4438/ext_sh</f>
        <v>4542.875</v>
      </c>
      <c r="K4439" s="33" t="n">
        <f aca="false">Sens!$K$4438/ext_sh</f>
        <v>4542.875</v>
      </c>
      <c r="L4439" s="33" t="n">
        <f aca="false">Sens!$L$4438/ext_sh</f>
        <v>4542.875</v>
      </c>
      <c r="M4439" s="33" t="n">
        <f aca="false">Sens!$M$4438/ext_sh</f>
        <v>4542.875</v>
      </c>
      <c r="N4439" s="33" t="n">
        <f aca="false">Sens!$N$4438/ext_sh</f>
        <v>675</v>
      </c>
      <c r="O4439" s="33" t="n">
        <f aca="false">Sens!$O$4438/ext_sh</f>
        <v>675</v>
      </c>
      <c r="P4439" s="8" t="s">
        <v>558</v>
      </c>
      <c r="R4439" s="33" t="n">
        <f aca="false">mw_ye23/ext_sh</f>
        <v>150</v>
      </c>
      <c r="S4439" s="33" t="n">
        <f aca="false">Sens!$C$4439</f>
        <v>300</v>
      </c>
      <c r="T4439" s="33" t="n">
        <f aca="false">Sens!$D$4439</f>
        <v>1350</v>
      </c>
      <c r="U4439" s="33" t="n">
        <f aca="false">Sens!$G$4439</f>
        <v>3071.4375</v>
      </c>
      <c r="V4439" s="33" t="n">
        <f aca="false">Sens!$H$4439</f>
        <v>4542.875</v>
      </c>
      <c r="W4439" s="33" t="n">
        <f aca="false">Sens!$I$4439</f>
        <v>4542.875</v>
      </c>
      <c r="X4439" s="33" t="n">
        <f aca="false">Sens!$J$4439</f>
        <v>4542.875</v>
      </c>
      <c r="Y4439" s="33" t="n">
        <f aca="false">Sens!$K$4439</f>
        <v>4542.875</v>
      </c>
      <c r="Z4439" s="33" t="n">
        <f aca="false">Sens!$L$4439</f>
        <v>4542.875</v>
      </c>
      <c r="AA4439" s="33" t="n">
        <f aca="false">Sens!$M$4439</f>
        <v>4542.875</v>
      </c>
    </row>
    <row r="4440" customFormat="false" ht="17.15" hidden="false" customHeight="false" outlineLevel="0" collapsed="false">
      <c r="A4440" s="1" t="s">
        <v>559</v>
      </c>
    </row>
    <row r="4441" customFormat="false" ht="17.15" hidden="false" customHeight="false" outlineLevel="0" collapsed="false">
      <c r="A4441" s="0" t="s">
        <v>560</v>
      </c>
      <c r="B4441" s="0" t="s">
        <v>52</v>
      </c>
      <c r="F4441" s="35" t="n">
        <f aca="false">na_vr26</f>
        <v>0</v>
      </c>
      <c r="G4441" s="35" t="n">
        <f aca="false">na_vr26</f>
        <v>0</v>
      </c>
      <c r="H4441" s="35" t="n">
        <f aca="false">na_vr27</f>
        <v>0.5</v>
      </c>
      <c r="I4441" s="35" t="n">
        <f aca="false">na_vr28</f>
        <v>1</v>
      </c>
      <c r="J4441" s="35" t="n">
        <f aca="false">na_vr28</f>
        <v>1</v>
      </c>
      <c r="K4441" s="35" t="n">
        <f aca="false">na_vr28</f>
        <v>1</v>
      </c>
      <c r="L4441" s="35" t="n">
        <f aca="false">na_vr28</f>
        <v>1</v>
      </c>
      <c r="M4441" s="35" t="n">
        <f aca="false">na_vr28</f>
        <v>1</v>
      </c>
    </row>
    <row r="4442" customFormat="false" ht="17.15" hidden="false" customHeight="false" outlineLevel="0" collapsed="false">
      <c r="A4442" s="5" t="s">
        <v>561</v>
      </c>
      <c r="B4442" s="0" t="s">
        <v>151</v>
      </c>
      <c r="F4442" s="36" t="n">
        <f aca="false">cust_sh*tk_he_gb300*cf_chip+(1-cust_sh)*((1-Sens!$F$4441)*tk_he_gb300+Sens!$F$4441*tk_he_vr200)</f>
        <v>10.8864110021101</v>
      </c>
      <c r="G4442" s="36" t="n">
        <f aca="false">cust_sh*tk_he_gb300*cf_chip+(1-cust_sh)*((1-Sens!$G$4441)*tk_he_gb300+Sens!$G$4441*tk_he_vr200)</f>
        <v>10.8864110021101</v>
      </c>
      <c r="H4442" s="36" t="n">
        <f aca="false">cust_sh*tk_he_gb300*cf_chip+(1-cust_sh)*((1-Sens!$H$4441)*tk_he_gb300+Sens!$H$4441*tk_he_vr200)</f>
        <v>11.2211760027286</v>
      </c>
      <c r="I4442" s="36" t="n">
        <f aca="false">cust_sh*tk_he_gb300*cf_chip+(1-cust_sh)*((1-Sens!$I$4441)*tk_he_gb300+Sens!$I$4441*tk_he_vr200)</f>
        <v>11.5559410033471</v>
      </c>
      <c r="J4442" s="36" t="n">
        <f aca="false">cust_sh*tk_he_gb300*cf_chip+(1-cust_sh)*((1-Sens!$J$4441)*tk_he_gb300+Sens!$J$4441*tk_he_vr200)</f>
        <v>11.5559410033471</v>
      </c>
      <c r="K4442" s="36" t="n">
        <f aca="false">cust_sh*tk_he_gb300*cf_chip+(1-cust_sh)*((1-Sens!$K$4441)*tk_he_gb300+Sens!$K$4441*tk_he_vr200)</f>
        <v>11.5559410033471</v>
      </c>
      <c r="L4442" s="36" t="n">
        <f aca="false">cust_sh*tk_he_gb300*cf_chip+(1-cust_sh)*((1-Sens!$L$4441)*tk_he_gb300+Sens!$L$4441*tk_he_vr200)</f>
        <v>11.5559410033471</v>
      </c>
      <c r="M4442" s="36" t="n">
        <f aca="false">cust_sh*tk_he_gb300*cf_chip+(1-cust_sh)*((1-Sens!$M$4441)*tk_he_gb300+Sens!$M$4441*tk_he_vr200)</f>
        <v>11.5559410033471</v>
      </c>
    </row>
    <row r="4443" customFormat="false" ht="17.15" hidden="false" customHeight="false" outlineLevel="0" collapsed="false">
      <c r="A4443" s="5" t="s">
        <v>562</v>
      </c>
      <c r="B4443" s="0" t="s">
        <v>151</v>
      </c>
      <c r="F4443" s="36" t="n">
        <f aca="false">cust_sh*tk_ox_gb300+(1-cust_sh)*((1-Sens!$F$4441)*tk_ox_gb300+Sens!$F$4441*tk_ox_vr200)</f>
        <v>1.98263481314457</v>
      </c>
      <c r="G4443" s="36" t="n">
        <f aca="false">cust_sh*tk_ox_gb300+(1-cust_sh)*((1-Sens!$G$4441)*tk_ox_gb300+Sens!$G$4441*tk_ox_vr200)</f>
        <v>1.98263481314457</v>
      </c>
      <c r="H4443" s="36" t="n">
        <f aca="false">cust_sh*tk_ox_gb300+(1-cust_sh)*((1-Sens!$H$4441)*tk_ox_gb300+Sens!$H$4441*tk_ox_vr200)</f>
        <v>2.01034999693694</v>
      </c>
      <c r="I4443" s="36" t="n">
        <f aca="false">cust_sh*tk_ox_gb300+(1-cust_sh)*((1-Sens!$I$4441)*tk_ox_gb300+Sens!$I$4441*tk_ox_vr200)</f>
        <v>2.0380651807293</v>
      </c>
      <c r="J4443" s="36" t="n">
        <f aca="false">cust_sh*tk_ox_gb300+(1-cust_sh)*((1-Sens!$J$4441)*tk_ox_gb300+Sens!$J$4441*tk_ox_vr200)</f>
        <v>2.0380651807293</v>
      </c>
      <c r="K4443" s="36" t="n">
        <f aca="false">cust_sh*tk_ox_gb300+(1-cust_sh)*((1-Sens!$K$4441)*tk_ox_gb300+Sens!$K$4441*tk_ox_vr200)</f>
        <v>2.0380651807293</v>
      </c>
      <c r="L4443" s="36" t="n">
        <f aca="false">cust_sh*tk_ox_gb300+(1-cust_sh)*((1-Sens!$L$4441)*tk_ox_gb300+Sens!$L$4441*tk_ox_vr200)</f>
        <v>2.0380651807293</v>
      </c>
      <c r="M4443" s="36" t="n">
        <f aca="false">cust_sh*tk_ox_gb300+(1-cust_sh)*((1-Sens!$M$4441)*tk_ox_gb300+Sens!$M$4441*tk_ox_vr200)</f>
        <v>2.0380651807293</v>
      </c>
    </row>
    <row r="4444" customFormat="false" ht="17.15" hidden="false" customHeight="false" outlineLevel="0" collapsed="false">
      <c r="A4444" s="5" t="s">
        <v>563</v>
      </c>
      <c r="B4444" s="0" t="s">
        <v>170</v>
      </c>
      <c r="F4444" s="36" t="n">
        <f aca="false">cust_sh*tk_cx_gb300*cf_cx+(1-cust_sh)*((1-Sens!$F$4441)*tk_cx_gb300+Sens!$F$4441*tk_cx_vr200)</f>
        <v>32.237224</v>
      </c>
      <c r="G4444" s="36" t="n">
        <f aca="false">cust_sh*tk_cx_gb300*cf_cx+(1-cust_sh)*((1-Sens!$G$4441)*tk_cx_gb300+Sens!$G$4441*tk_cx_vr200)</f>
        <v>32.237224</v>
      </c>
      <c r="H4444" s="36" t="n">
        <f aca="false">cust_sh*tk_cx_gb300*cf_cx+(1-cust_sh)*((1-Sens!$H$4441)*tk_cx_gb300+Sens!$H$4441*tk_cx_vr200)</f>
        <v>33.574506</v>
      </c>
      <c r="I4444" s="36" t="n">
        <f aca="false">cust_sh*tk_cx_gb300*cf_cx+(1-cust_sh)*((1-Sens!$I$4441)*tk_cx_gb300+Sens!$I$4441*tk_cx_vr200)</f>
        <v>34.911788</v>
      </c>
      <c r="J4444" s="36" t="n">
        <f aca="false">cust_sh*tk_cx_gb300*cf_cx+(1-cust_sh)*((1-Sens!$J$4441)*tk_cx_gb300+Sens!$J$4441*tk_cx_vr200)</f>
        <v>34.911788</v>
      </c>
      <c r="K4444" s="36" t="n">
        <f aca="false">cust_sh*tk_cx_gb300*cf_cx+(1-cust_sh)*((1-Sens!$K$4441)*tk_cx_gb300+Sens!$K$4441*tk_cx_vr200)</f>
        <v>34.911788</v>
      </c>
      <c r="L4444" s="36" t="n">
        <f aca="false">cust_sh*tk_cx_gb300*cf_cx+(1-cust_sh)*((1-Sens!$L$4441)*tk_cx_gb300+Sens!$L$4441*tk_cx_vr200)</f>
        <v>34.911788</v>
      </c>
      <c r="M4444" s="36" t="n">
        <f aca="false">cust_sh*tk_cx_gb300*cf_cx+(1-cust_sh)*((1-Sens!$M$4441)*tk_cx_gb300+Sens!$M$4441*tk_cx_vr200)</f>
        <v>34.911788</v>
      </c>
    </row>
    <row r="4445" customFormat="false" ht="17.15" hidden="false" customHeight="false" outlineLevel="0" collapsed="false">
      <c r="A4445" s="5" t="s">
        <v>564</v>
      </c>
      <c r="B4445" s="0" t="s">
        <v>108</v>
      </c>
      <c r="F4445" s="33" t="n">
        <f aca="false">Sens!$F$4435-mw_open</f>
        <v>1817.15</v>
      </c>
      <c r="G4445" s="33" t="n">
        <f aca="false">Sens!$F$4445</f>
        <v>1817.15</v>
      </c>
      <c r="H4445" s="33" t="n">
        <f aca="false">Sens!$H$4435-mw_open</f>
        <v>5451.45</v>
      </c>
      <c r="I4445" s="33" t="n">
        <f aca="false">Sens!$I$4435-mw_open</f>
        <v>9085.75</v>
      </c>
      <c r="J4445" s="33" t="n">
        <f aca="false">Sens!$J$4435-mw_open</f>
        <v>12720.05</v>
      </c>
      <c r="K4445" s="33" t="n">
        <f aca="false">Sens!$K$4435-mw_open</f>
        <v>16354.35</v>
      </c>
      <c r="L4445" s="33" t="n">
        <f aca="false">Sens!$L$4435-mw_open</f>
        <v>19988.65</v>
      </c>
      <c r="M4445" s="33" t="n">
        <f aca="false">Sens!$M$4435-mw_open</f>
        <v>23622.95</v>
      </c>
    </row>
    <row r="4446" customFormat="false" ht="17.15" hidden="false" customHeight="false" outlineLevel="0" collapsed="false">
      <c r="A4446" s="0" t="s">
        <v>565</v>
      </c>
      <c r="B4446" s="0" t="s">
        <v>566</v>
      </c>
      <c r="F4446" s="33" t="n">
        <f aca="false">Sens!$F$4438*Sens!$F$4442</f>
        <v>19782.2417524844</v>
      </c>
      <c r="G4446" s="33" t="n">
        <f aca="false">Sens!$F$4446</f>
        <v>19782.2417524844</v>
      </c>
      <c r="H4446" s="33" t="n">
        <f aca="false">Sens!$G$4446+Sens!$H$4438*Sens!$H$4442</f>
        <v>60563.3616992009</v>
      </c>
      <c r="I4446" s="33" t="n">
        <f aca="false">Sens!$H$4446+Sens!$I$4438*Sens!$I$4442</f>
        <v>102561.118087665</v>
      </c>
      <c r="J4446" s="33" t="n">
        <f aca="false">Sens!$I$4446+Sens!$J$4438*Sens!$J$4442</f>
        <v>144558.87447613</v>
      </c>
      <c r="K4446" s="33" t="n">
        <f aca="false">Sens!$J$4446+Sens!$K$4438*Sens!$K$4442</f>
        <v>186556.630864594</v>
      </c>
      <c r="L4446" s="33" t="n">
        <f aca="false">Sens!$K$4446+Sens!$L$4438*Sens!$L$4442</f>
        <v>228554.387253058</v>
      </c>
      <c r="M4446" s="33" t="n">
        <f aca="false">Sens!$L$4446+Sens!$M$4438*Sens!$M$4442</f>
        <v>270552.143641523</v>
      </c>
    </row>
    <row r="4447" customFormat="false" ht="17.15" hidden="false" customHeight="false" outlineLevel="0" collapsed="false">
      <c r="A4447" s="0" t="s">
        <v>567</v>
      </c>
      <c r="B4447" s="0" t="s">
        <v>566</v>
      </c>
      <c r="F4447" s="33" t="n">
        <f aca="false">Sens!$F$4438*Sens!$F$4443</f>
        <v>3602.74485070566</v>
      </c>
      <c r="G4447" s="33" t="n">
        <f aca="false">Sens!$F$4447</f>
        <v>3602.74485070566</v>
      </c>
      <c r="H4447" s="33" t="n">
        <f aca="false">Sens!$G$4447+Sens!$H$4438*Sens!$H$4443</f>
        <v>10908.9598445736</v>
      </c>
      <c r="I4447" s="33" t="n">
        <f aca="false">Sens!$H$4447+Sens!$I$4438*Sens!$I$4443</f>
        <v>18315.9001308981</v>
      </c>
      <c r="J4447" s="33" t="n">
        <f aca="false">Sens!$I$4447+Sens!$J$4438*Sens!$J$4443</f>
        <v>25722.8404172225</v>
      </c>
      <c r="K4447" s="33" t="n">
        <f aca="false">Sens!$J$4447+Sens!$K$4438*Sens!$K$4443</f>
        <v>33129.780703547</v>
      </c>
      <c r="L4447" s="33" t="n">
        <f aca="false">Sens!$K$4447+Sens!$L$4438*Sens!$L$4443</f>
        <v>40536.7209898715</v>
      </c>
      <c r="M4447" s="33" t="n">
        <f aca="false">Sens!$L$4447+Sens!$M$4438*Sens!$M$4443</f>
        <v>47943.661276196</v>
      </c>
    </row>
    <row r="4448" customFormat="false" ht="17.15" hidden="false" customHeight="false" outlineLevel="0" collapsed="false">
      <c r="A4448" s="5" t="s">
        <v>568</v>
      </c>
      <c r="B4448" s="0" t="s">
        <v>151</v>
      </c>
      <c r="F4448" s="36" t="n">
        <f aca="false">IF(Sens!$F$4445&gt;0,Sens!$F$4446/Sens!$F$4445,Sens!$F$4442)</f>
        <v>10.8864110021101</v>
      </c>
      <c r="G4448" s="36" t="n">
        <f aca="false">IF(Sens!$G$4445&gt;0,Sens!$G$4446/Sens!$G$4445,Sens!$G$4442)</f>
        <v>10.8864110021101</v>
      </c>
      <c r="H4448" s="36" t="n">
        <f aca="false">IF(Sens!$H$4445&gt;0,Sens!$H$4446/Sens!$H$4445,Sens!$H$4442)</f>
        <v>11.1095876691891</v>
      </c>
      <c r="I4448" s="36" t="n">
        <f aca="false">IF(Sens!$I$4445&gt;0,Sens!$I$4446/Sens!$I$4445,Sens!$I$4442)</f>
        <v>11.2881290028523</v>
      </c>
      <c r="J4448" s="36" t="n">
        <f aca="false">IF(Sens!$J$4445&gt;0,Sens!$J$4446/Sens!$J$4445,Sens!$J$4442)</f>
        <v>11.3646467172794</v>
      </c>
      <c r="K4448" s="36" t="n">
        <f aca="false">IF(Sens!$K$4445&gt;0,Sens!$K$4446/Sens!$K$4445,Sens!$K$4442)</f>
        <v>11.4071565586278</v>
      </c>
      <c r="L4448" s="36" t="n">
        <f aca="false">IF(Sens!$L$4445&gt;0,Sens!$L$4446/Sens!$L$4445,Sens!$L$4442)</f>
        <v>11.4342082758495</v>
      </c>
      <c r="M4448" s="36" t="n">
        <f aca="false">IF(Sens!$M$4445&gt;0,Sens!$M$4446/Sens!$M$4445,Sens!$M$4442)</f>
        <v>11.4529363877722</v>
      </c>
    </row>
    <row r="4449" customFormat="false" ht="17.15" hidden="false" customHeight="false" outlineLevel="0" collapsed="false">
      <c r="A4449" s="5" t="s">
        <v>569</v>
      </c>
      <c r="B4449" s="0" t="s">
        <v>151</v>
      </c>
      <c r="F4449" s="36" t="n">
        <f aca="false">IF(Sens!$F$4445&gt;0,Sens!$F$4447/Sens!$F$4445,Sens!$F$4443)</f>
        <v>1.98263481314457</v>
      </c>
      <c r="G4449" s="36" t="n">
        <f aca="false">IF(Sens!$G$4445&gt;0,Sens!$G$4447/Sens!$G$4445,Sens!$G$4443)</f>
        <v>1.98263481314457</v>
      </c>
      <c r="H4449" s="36" t="n">
        <f aca="false">IF(Sens!$H$4445&gt;0,Sens!$H$4447/Sens!$H$4445,Sens!$H$4443)</f>
        <v>2.00111160233948</v>
      </c>
      <c r="I4449" s="36" t="n">
        <f aca="false">IF(Sens!$I$4445&gt;0,Sens!$I$4447/Sens!$I$4445,Sens!$I$4443)</f>
        <v>2.01589303369541</v>
      </c>
      <c r="J4449" s="36" t="n">
        <f aca="false">IF(Sens!$J$4445&gt;0,Sens!$J$4447/Sens!$J$4445,Sens!$J$4443)</f>
        <v>2.02222793284795</v>
      </c>
      <c r="K4449" s="36" t="n">
        <f aca="false">IF(Sens!$K$4445&gt;0,Sens!$K$4447/Sens!$K$4445,Sens!$K$4443)</f>
        <v>2.02574732126603</v>
      </c>
      <c r="L4449" s="36" t="n">
        <f aca="false">IF(Sens!$L$4445&gt;0,Sens!$L$4447/Sens!$L$4445,Sens!$L$4443)</f>
        <v>2.02798693207753</v>
      </c>
      <c r="M4449" s="36" t="n">
        <f aca="false">IF(Sens!$M$4445&gt;0,Sens!$M$4447/Sens!$M$4445,Sens!$M$4443)</f>
        <v>2.02953743187011</v>
      </c>
    </row>
    <row r="4450" customFormat="false" ht="17.15" hidden="false" customHeight="false" outlineLevel="0" collapsed="false">
      <c r="A4450" s="14" t="s">
        <v>570</v>
      </c>
      <c r="B4450" s="13" t="s">
        <v>151</v>
      </c>
      <c r="C4450" s="13"/>
      <c r="D4450" s="13"/>
      <c r="E4450" s="13"/>
      <c r="F4450" s="37" t="n">
        <f aca="false">Sens!$F$4448*k_B</f>
        <v>10.7987645808025</v>
      </c>
      <c r="G4450" s="37" t="n">
        <f aca="false">Sens!$G$4448*k_B</f>
        <v>10.7987645808025</v>
      </c>
      <c r="H4450" s="37" t="n">
        <f aca="false">Sens!$H$4448*k_B</f>
        <v>11.0201444540452</v>
      </c>
      <c r="I4450" s="37" t="n">
        <f aca="false">Sens!$I$4448*k_B</f>
        <v>11.1972483526393</v>
      </c>
      <c r="J4450" s="37" t="n">
        <f aca="false">Sens!$J$4448*k_B</f>
        <v>11.2731500234653</v>
      </c>
      <c r="K4450" s="37" t="n">
        <f aca="false">Sens!$K$4448*k_B</f>
        <v>11.3153176183687</v>
      </c>
      <c r="L4450" s="37" t="n">
        <f aca="false">Sens!$L$4448*k_B</f>
        <v>11.3421515423981</v>
      </c>
      <c r="M4450" s="37" t="n">
        <f aca="false">Sens!$M$4448*k_B</f>
        <v>11.3607288744184</v>
      </c>
      <c r="N4450" s="13"/>
      <c r="O4450" s="13"/>
      <c r="P4450" s="5" t="s">
        <v>571</v>
      </c>
    </row>
    <row r="4451" customFormat="false" ht="17.15" hidden="false" customHeight="false" outlineLevel="0" collapsed="false">
      <c r="A4451" s="5" t="s">
        <v>572</v>
      </c>
      <c r="B4451" s="0" t="s">
        <v>108</v>
      </c>
      <c r="F4451" s="33" t="n">
        <f aca="false">Sens!$F$4445/2</f>
        <v>908.575</v>
      </c>
      <c r="H4451" s="33" t="n">
        <f aca="false">(Sens!$G$4445+Sens!$H$4445)/2</f>
        <v>3634.3</v>
      </c>
      <c r="I4451" s="33" t="n">
        <f aca="false">(Sens!$H$4445+Sens!$I$4445)/2</f>
        <v>7268.6</v>
      </c>
      <c r="J4451" s="33" t="n">
        <f aca="false">(Sens!$I$4445+Sens!$J$4445)/2</f>
        <v>10902.9</v>
      </c>
      <c r="K4451" s="33" t="n">
        <f aca="false">(Sens!$J$4445+Sens!$K$4445)/2</f>
        <v>14537.2</v>
      </c>
      <c r="L4451" s="33" t="n">
        <f aca="false">(Sens!$K$4445+Sens!$L$4445)/2</f>
        <v>18171.5</v>
      </c>
      <c r="M4451" s="33" t="n">
        <f aca="false">(Sens!$L$4445+Sens!$M$4445)/2</f>
        <v>21805.8</v>
      </c>
    </row>
    <row r="4452" customFormat="false" ht="17.15" hidden="false" customHeight="false" outlineLevel="0" collapsed="false">
      <c r="A4452" s="1" t="s">
        <v>573</v>
      </c>
    </row>
    <row r="4453" customFormat="false" ht="17.15" hidden="false" customHeight="false" outlineLevel="0" collapsed="false">
      <c r="A4453" s="1" t="s">
        <v>574</v>
      </c>
      <c r="B4453" s="8" t="s">
        <v>73</v>
      </c>
      <c r="C4453" s="38" t="n">
        <f aca="false">Sens!$C$4436*rpm_open*Sens!$C$4437/1000</f>
        <v>2.32100535697364</v>
      </c>
      <c r="D4453" s="38" t="n">
        <f aca="false">Sens!$D$4436*rpm_open*Sens!$D$4437/1000</f>
        <v>8.70377008865116</v>
      </c>
      <c r="E4453" s="38" t="n">
        <f aca="false">Sens!$E$4436*rpm_open*Sens!$E$4437/1000</f>
        <v>8.51035297557002</v>
      </c>
      <c r="F4453" s="38" t="n">
        <f aca="false">(mw_open*rpm_open+Sens!$F$4451*Sens!$F$4450)*Sens!$F$4437/1000</f>
        <v>14.9634336447205</v>
      </c>
      <c r="G4453" s="38" t="n">
        <f aca="false">Sens!$E$4453+Sens!$F$4453</f>
        <v>23.4737866202905</v>
      </c>
      <c r="H4453" s="38" t="n">
        <f aca="false">(mw_open*rpm_open+Sens!$H$4451*Sens!$H$4450)/1000</f>
        <v>60.1658907497746</v>
      </c>
      <c r="I4453" s="38" t="n">
        <f aca="false">(mw_open*rpm_open+Sens!$I$4451*Sens!$I$4450)/1000</f>
        <v>101.503699136432</v>
      </c>
      <c r="J4453" s="38" t="n">
        <f aca="false">(mw_open*rpm_open+Sens!$J$4451*Sens!$J$4450)/1000</f>
        <v>143.025407151278</v>
      </c>
      <c r="K4453" s="38" t="n">
        <f aca="false">(mw_open*rpm_open+Sens!$K$4451*Sens!$K$4450)/1000</f>
        <v>184.608415042187</v>
      </c>
      <c r="L4453" s="38" t="n">
        <f aca="false">(mw_open*rpm_open+Sens!$L$4451*Sens!$L$4450)/1000</f>
        <v>226.219286513125</v>
      </c>
      <c r="M4453" s="38" t="n">
        <f aca="false">(mw_open*rpm_open+Sens!$M$4451*Sens!$M$4450)/1000</f>
        <v>267.845161450232</v>
      </c>
      <c r="N4453" s="38" t="n">
        <f aca="false">Sens!$N$4436*rpm_open*Sens!$N$4437/1000</f>
        <v>3.04631953102791</v>
      </c>
      <c r="O4453" s="38" t="n">
        <f aca="false">Sens!$O$4436*rpm_open*Sens!$O$4437/1000</f>
        <v>5.65745055762326</v>
      </c>
      <c r="P4453" s="5" t="s">
        <v>575</v>
      </c>
    </row>
    <row r="4454" customFormat="false" ht="17.15" hidden="false" customHeight="false" outlineLevel="0" collapsed="false">
      <c r="A4454" s="5" t="s">
        <v>576</v>
      </c>
      <c r="B4454" s="0" t="s">
        <v>151</v>
      </c>
      <c r="C4454" s="36" t="n">
        <f aca="false">Sens!$C$4453*1000/(Sens!$C$4436*Sens!$C$4437)</f>
        <v>9.67085565405685</v>
      </c>
      <c r="D4454" s="36" t="n">
        <f aca="false">Sens!$D$4453*1000/(Sens!$D$4436*Sens!$D$4437)</f>
        <v>9.67085565405685</v>
      </c>
      <c r="E4454" s="36" t="n">
        <f aca="false">Sens!$E$4453*1000/(Sens!$E$4436*Sens!$E$4437)</f>
        <v>9.67085565405685</v>
      </c>
      <c r="F4454" s="36" t="n">
        <f aca="false">Sens!$F$4453*1000/(Sens!$F$4436*Sens!$F$4437)</f>
        <v>10.0137581588017</v>
      </c>
      <c r="G4454" s="36" t="n">
        <f aca="false">Sens!$G$4453*1000/(Sens!$G$4436*Sens!$G$4437)</f>
        <v>9.88666562928478</v>
      </c>
      <c r="H4454" s="36" t="n">
        <f aca="false">Sens!$H$4453*1000/(Sens!$H$4436*Sens!$H$4437)</f>
        <v>10.5290045586992</v>
      </c>
      <c r="I4454" s="36" t="n">
        <f aca="false">Sens!$I$4453*1000/(Sens!$I$4436*Sens!$I$4437)</f>
        <v>10.8576363451674</v>
      </c>
      <c r="J4454" s="36" t="n">
        <f aca="false">Sens!$J$4453*1000/(Sens!$J$4436*Sens!$J$4437)</f>
        <v>11.0164452588619</v>
      </c>
      <c r="K4454" s="36" t="n">
        <f aca="false">Sens!$K$4453*1000/(Sens!$K$4436*Sens!$K$4437)</f>
        <v>11.1094778327388</v>
      </c>
      <c r="L4454" s="36" t="n">
        <f aca="false">Sens!$L$4453*1000/(Sens!$L$4436*Sens!$L$4437)</f>
        <v>11.1704953466718</v>
      </c>
      <c r="M4454" s="36" t="n">
        <f aca="false">Sens!$M$4453*1000/(Sens!$M$4436*Sens!$M$4437)</f>
        <v>11.2135729785158</v>
      </c>
      <c r="N4454" s="36" t="n">
        <f aca="false">Sens!$N$4453*1000/(Sens!$N$4436*Sens!$N$4437)</f>
        <v>9.67085565405685</v>
      </c>
      <c r="O4454" s="36" t="n">
        <f aca="false">Sens!$O$4453*1000/(Sens!$O$4436*Sens!$O$4437)</f>
        <v>9.67085565405685</v>
      </c>
    </row>
    <row r="4455" customFormat="false" ht="17.15" hidden="false" customHeight="false" outlineLevel="0" collapsed="false">
      <c r="A4455" s="0" t="s">
        <v>577</v>
      </c>
      <c r="B4455" s="0" t="s">
        <v>73</v>
      </c>
      <c r="C4455" s="38" t="n">
        <f aca="false">Sens!$C$4436/ext_sh*(ox_open+rent_mw)*Sens!$C$4437/1000</f>
        <v>0.642569210675032</v>
      </c>
      <c r="D4455" s="38" t="n">
        <f aca="false">Sens!$D$4436/ext_sh*(ox_open+rent_mw)*Sens!$D$4437/1000</f>
        <v>2.40963454003137</v>
      </c>
      <c r="E4455" s="38" t="n">
        <f aca="false">Sens!$E$4436/ext_sh*(ox_open+rent_mw)*Sens!$E$4437/1000</f>
        <v>2.35608710580845</v>
      </c>
      <c r="F4455" s="38" t="n">
        <f aca="false">((mw_open*ox_open+Sens!$F$4451*Sens!$F$4449)/ext_sh+Sens!$F$4436/ext_sh*rent_mw)*Sens!$F$4437/1000</f>
        <v>4.05421991106232</v>
      </c>
      <c r="G4455" s="38" t="n">
        <f aca="false">Sens!$E$4455+Sens!$F$4455</f>
        <v>6.41030701687077</v>
      </c>
      <c r="H4455" s="38" t="n">
        <f aca="false">((mw_open*ox_open+Sens!$H$4451*Sens!$H$4449)/ext_sh+Sens!$H$4436/ext_sh*rent_mw)*Sens!$H$4437/1000</f>
        <v>15.8108975546616</v>
      </c>
      <c r="I4455" s="38" t="n">
        <f aca="false">((mw_open*ox_open+Sens!$I$4451*Sens!$I$4449)/ext_sh+Sens!$I$4436/ext_sh*rent_mw)*Sens!$I$4437/1000</f>
        <v>26.1871623400817</v>
      </c>
      <c r="J4455" s="38" t="n">
        <f aca="false">((mw_open*ox_open+Sens!$J$4451*Sens!$J$4449)/ext_sh+Sens!$J$4436/ext_sh*rent_mw)*Sens!$J$4437/1000</f>
        <v>36.5826128954935</v>
      </c>
      <c r="K4455" s="38" t="n">
        <f aca="false">((mw_open*ox_open+Sens!$K$4451*Sens!$K$4449)/ext_sh+Sens!$K$4436/ext_sh*rent_mw)*Sens!$K$4437/1000</f>
        <v>46.9844587075692</v>
      </c>
      <c r="L4455" s="38" t="n">
        <f aca="false">((mw_open*ox_open+Sens!$L$4451*Sens!$L$4449)/ext_sh+Sens!$L$4436/ext_sh*rent_mw)*Sens!$L$4437/1000</f>
        <v>57.3892114544922</v>
      </c>
      <c r="M4455" s="38" t="n">
        <f aca="false">((mw_open*ox_open+Sens!$M$4451*Sens!$M$4449)/ext_sh+Sens!$M$4436/ext_sh*rent_mw)*Sens!$M$4437/1000</f>
        <v>67.7955294740252</v>
      </c>
      <c r="N4455" s="38" t="n">
        <f aca="false">Sens!$N$4436/ext_sh*(ox_open+rent_mw)*Sens!$N$4437/1000</f>
        <v>0.84337208901098</v>
      </c>
      <c r="O4455" s="38" t="n">
        <f aca="false">Sens!$O$4436/ext_sh*(ox_open+rent_mw)*Sens!$O$4437/1000</f>
        <v>1.56626245102039</v>
      </c>
    </row>
    <row r="4456" customFormat="false" ht="17.15" hidden="false" customHeight="false" outlineLevel="0" collapsed="false">
      <c r="A4456" s="0" t="s">
        <v>578</v>
      </c>
      <c r="B4456" s="0" t="s">
        <v>73</v>
      </c>
      <c r="C4456" s="38" t="n">
        <f aca="false">Q!$D$7</f>
        <v>107.556</v>
      </c>
      <c r="D4456" s="38" t="n">
        <f aca="false">Q!$E$7</f>
        <v>128.725</v>
      </c>
      <c r="E4456" s="38" t="n">
        <f aca="false">Q!$P$7</f>
        <v>79.819</v>
      </c>
      <c r="N4456" s="38" t="n">
        <f aca="false">Q!$N$7</f>
        <v>60.14</v>
      </c>
      <c r="O4456" s="38" t="n">
        <f aca="false">Q!$O$7</f>
        <v>68.585</v>
      </c>
    </row>
    <row r="4457" customFormat="false" ht="17.15" hidden="false" customHeight="false" outlineLevel="0" collapsed="false">
      <c r="A4457" s="1" t="s">
        <v>579</v>
      </c>
      <c r="B4457" s="8" t="s">
        <v>73</v>
      </c>
      <c r="C4457" s="38" t="n">
        <f aca="false">Sens!$C$4456-Sens!$C$4453</f>
        <v>105.234994643026</v>
      </c>
      <c r="D4457" s="38" t="n">
        <f aca="false">Sens!$D$4456-Sens!$D$4453</f>
        <v>120.021229911349</v>
      </c>
      <c r="E4457" s="38" t="n">
        <f aca="false">Sens!$E$4456-Sens!$E$4453</f>
        <v>71.30864702443</v>
      </c>
      <c r="F4457" s="38" t="n">
        <f aca="false">Sens!$O$4457*(1+Sens!$F$4458)</f>
        <v>78.5950104186653</v>
      </c>
      <c r="G4457" s="38" t="n">
        <f aca="false">Sens!$E$4457+Sens!$F$4457</f>
        <v>149.903657443095</v>
      </c>
      <c r="H4457" s="38" t="n">
        <f aca="false">Sens!$G$4457*(1+Sens!$H$4458)</f>
        <v>180.893560768142</v>
      </c>
      <c r="I4457" s="38" t="n">
        <f aca="false">Sens!$H$4457*(1+Sens!$I$4458)</f>
        <v>210.64839721501</v>
      </c>
      <c r="J4457" s="38" t="n">
        <f aca="false">Sens!$I$4457*(1+Sens!$J$4458)</f>
        <v>236.398909446495</v>
      </c>
      <c r="K4457" s="38" t="n">
        <f aca="false">Sens!$J$4457*(1+Sens!$K$4458)</f>
        <v>255.310822202215</v>
      </c>
      <c r="L4457" s="38" t="n">
        <f aca="false">Sens!$K$4457*(1+Sens!$L$4458)</f>
        <v>275.735687978392</v>
      </c>
      <c r="M4457" s="38" t="n">
        <f aca="false">Sens!$L$4457*(1+Sens!$M$4458)</f>
        <v>297.794543016663</v>
      </c>
      <c r="N4457" s="38" t="n">
        <f aca="false">Sens!$N$4456-Sens!$N$4453</f>
        <v>57.0936804689721</v>
      </c>
      <c r="O4457" s="38" t="n">
        <f aca="false">Sens!$O$4456-Sens!$O$4453</f>
        <v>62.9275494423768</v>
      </c>
      <c r="P4457" s="5" t="s">
        <v>580</v>
      </c>
    </row>
    <row r="4458" customFormat="false" ht="17.15" hidden="false" customHeight="false" outlineLevel="0" collapsed="false">
      <c r="A4458" s="0" t="s">
        <v>581</v>
      </c>
      <c r="B4458" s="0" t="s">
        <v>52</v>
      </c>
      <c r="E4458" s="12" t="n">
        <f aca="false">Sens!$E$4457/Sens!$N$4457-1</f>
        <v>0.248976181579029</v>
      </c>
      <c r="F4458" s="12" t="n">
        <f aca="false">Sens!$E$4458</f>
        <v>0.248976181579029</v>
      </c>
      <c r="G4458" s="12" t="n">
        <f aca="false">Sens!$G$4457/Sens!$D$4457-1</f>
        <v>0.248976181579029</v>
      </c>
      <c r="H4458" s="12" t="n">
        <f aca="false">Sens!$E$4458+(g_awso_lt-Sens!$E$4458)*1/4</f>
        <v>0.206732136184272</v>
      </c>
      <c r="I4458" s="12" t="n">
        <f aca="false">Sens!$E$4458+(g_awso_lt-Sens!$E$4458)*2/4</f>
        <v>0.164488090789515</v>
      </c>
      <c r="J4458" s="12" t="n">
        <f aca="false">Sens!$E$4458+(g_awso_lt-Sens!$E$4458)*3/4</f>
        <v>0.122244045394757</v>
      </c>
      <c r="K4458" s="12" t="n">
        <f aca="false">Sens!$E$4458+(g_awso_lt-Sens!$E$4458)*4/4</f>
        <v>0.08</v>
      </c>
      <c r="L4458" s="12" t="n">
        <f aca="false">g_awso_lt</f>
        <v>0.08</v>
      </c>
      <c r="M4458" s="12" t="n">
        <f aca="false">g_awso_lt</f>
        <v>0.08</v>
      </c>
      <c r="P4458" s="8" t="s">
        <v>582</v>
      </c>
    </row>
    <row r="4459" customFormat="false" ht="17.15" hidden="false" customHeight="false" outlineLevel="0" collapsed="false">
      <c r="A4459" s="1" t="s">
        <v>583</v>
      </c>
    </row>
    <row r="4460" customFormat="false" ht="17.15" hidden="false" customHeight="false" outlineLevel="0" collapsed="false">
      <c r="A4460" s="0" t="s">
        <v>584</v>
      </c>
      <c r="B4460" s="0" t="s">
        <v>73</v>
      </c>
      <c r="F4460" s="38" t="n">
        <f aca="false">cx_rt*Sens!$F$4426+cx_awso*Sens!$F$4457</f>
        <v>36.8045765066526</v>
      </c>
    </row>
    <row r="4461" customFormat="false" ht="17.15" hidden="false" customHeight="false" outlineLevel="0" collapsed="false">
      <c r="A4461" s="0" t="s">
        <v>585</v>
      </c>
      <c r="B4461" s="0" t="s">
        <v>52</v>
      </c>
      <c r="C4461" s="12" t="n">
        <f aca="false">tk_cx_h100/(tk_cx_h100+tk_fac*(1-colo_sh))</f>
        <v>0.730756458006641</v>
      </c>
      <c r="D4461" s="12" t="n">
        <f aca="false">tk_cx_h100/(tk_cx_h100+tk_fac*(1-colo_sh))</f>
        <v>0.730756458006641</v>
      </c>
      <c r="E4461" s="12" t="n">
        <f aca="false">Sens!$F$4461</f>
        <v>0.760792334328868</v>
      </c>
      <c r="F4461" s="12" t="n">
        <f aca="false">Sens!$F$4444/(Sens!$F$4444+tk_fac*(1-colo_sh))</f>
        <v>0.760792334328868</v>
      </c>
      <c r="G4461" s="12" t="n">
        <f aca="false">Sens!$G$4444/(Sens!$G$4444+tk_fac*(1-colo_sh))</f>
        <v>0.760792334328868</v>
      </c>
      <c r="H4461" s="12" t="n">
        <f aca="false">Sens!$H$4444/(Sens!$H$4444+tk_fac*(1-colo_sh))</f>
        <v>0.768110668862996</v>
      </c>
      <c r="I4461" s="12" t="n">
        <f aca="false">Sens!$I$4444/(Sens!$I$4444+tk_fac*(1-colo_sh))</f>
        <v>0.77499450139483</v>
      </c>
      <c r="J4461" s="12" t="n">
        <f aca="false">Sens!$J$4444/(Sens!$J$4444+tk_fac*(1-colo_sh))</f>
        <v>0.77499450139483</v>
      </c>
      <c r="K4461" s="12" t="n">
        <f aca="false">Sens!$K$4444/(Sens!$K$4444+tk_fac*(1-colo_sh))</f>
        <v>0.77499450139483</v>
      </c>
      <c r="L4461" s="12" t="n">
        <f aca="false">Sens!$L$4444/(Sens!$L$4444+tk_fac*(1-colo_sh))</f>
        <v>0.77499450139483</v>
      </c>
      <c r="M4461" s="12" t="n">
        <f aca="false">Sens!$M$4444/(Sens!$M$4444+tk_fac*(1-colo_sh))</f>
        <v>0.77499450139483</v>
      </c>
    </row>
    <row r="4462" customFormat="false" ht="17.15" hidden="false" customHeight="false" outlineLevel="0" collapsed="false">
      <c r="A4462" s="1" t="s">
        <v>586</v>
      </c>
      <c r="B4462" s="8" t="s">
        <v>73</v>
      </c>
      <c r="C4462" s="38" t="n">
        <f aca="false">Q!$D$46-cx_rt*Q!$D$16-cx_awso*Sens!$C$4457</f>
        <v>25.2781053077374</v>
      </c>
      <c r="D4462" s="38" t="n">
        <f aca="false">Q!$E$46-cx_rt*Q!$E$16-cx_awso*Sens!$D$4457</f>
        <v>69.5686316310026</v>
      </c>
      <c r="E4462" s="38" t="n">
        <f aca="false">Q!$P$46-cx_rt*Q!$P$16-cx_awso*Sens!$E$4457</f>
        <v>64.1899206485108</v>
      </c>
      <c r="F4462" s="38" t="n">
        <f aca="false">MAX(Sens!$F$4439*(Sens!$F$4444+tk_fac*(1-colo_sh))/1000,capex_g26-Q!$P$46-Sens!$F$4460)</f>
        <v>96.2481299895</v>
      </c>
      <c r="G4462" s="38" t="n">
        <f aca="false">Sens!$E$4462+Sens!$F$4462</f>
        <v>160.438050638011</v>
      </c>
      <c r="H4462" s="38" t="n">
        <f aca="false">Sens!$H$4439*(Sens!$H$4444+tk_fac*(1-colo_sh))/1000+Sens!$H$4463</f>
        <v>198.57136494475</v>
      </c>
      <c r="I4462" s="38" t="n">
        <f aca="false">Sens!$I$4439*(Sens!$I$4444+tk_fac*(1-colo_sh))/1000+Sens!$I$4463</f>
        <v>204.6464699105</v>
      </c>
      <c r="J4462" s="38" t="n">
        <f aca="false">Sens!$J$4439*(Sens!$J$4444+tk_fac*(1-colo_sh))/1000+Sens!$J$4463</f>
        <v>209.8832381105</v>
      </c>
      <c r="K4462" s="38" t="n">
        <f aca="false">Sens!$K$4439*(Sens!$K$4444+tk_fac*(1-colo_sh))/1000+Sens!$K$4463</f>
        <v>215.1200063105</v>
      </c>
      <c r="L4462" s="38" t="n">
        <f aca="false">Sens!$L$4439*(Sens!$L$4444+tk_fac*(1-colo_sh))/1000+Sens!$L$4463</f>
        <v>251.7773837105</v>
      </c>
      <c r="M4462" s="38" t="n">
        <f aca="false">Sens!$M$4439*(Sens!$M$4444+tk_fac*(1-colo_sh))/1000+Sens!$M$4463</f>
        <v>311.87584476575</v>
      </c>
      <c r="P4462" s="5" t="s">
        <v>587</v>
      </c>
      <c r="R4462" s="38" t="n">
        <f aca="false">Q!$C$46-cx_rt*Q!$C$16-cx_awso*(Q!$C$7-mw_ye23/2*rpm_open/1000)</f>
        <v>1.50429979529945</v>
      </c>
      <c r="S4462" s="38" t="n">
        <f aca="false">Sens!$C$4462</f>
        <v>25.2781053077374</v>
      </c>
      <c r="T4462" s="38" t="n">
        <f aca="false">Sens!$D$4462</f>
        <v>69.5686316310026</v>
      </c>
      <c r="U4462" s="38" t="n">
        <f aca="false">Sens!$G$4462</f>
        <v>160.438050638011</v>
      </c>
      <c r="V4462" s="38" t="n">
        <f aca="false">Sens!$H$4462</f>
        <v>198.57136494475</v>
      </c>
      <c r="W4462" s="38" t="n">
        <f aca="false">Sens!$I$4462</f>
        <v>204.6464699105</v>
      </c>
      <c r="X4462" s="38" t="n">
        <f aca="false">Sens!$J$4462</f>
        <v>209.8832381105</v>
      </c>
      <c r="Y4462" s="38" t="n">
        <f aca="false">Sens!$K$4462</f>
        <v>215.1200063105</v>
      </c>
      <c r="Z4462" s="38" t="n">
        <f aca="false">Sens!$L$4462</f>
        <v>251.7773837105</v>
      </c>
      <c r="AA4462" s="38" t="n">
        <f aca="false">Sens!$M$4462</f>
        <v>311.87584476575</v>
      </c>
    </row>
    <row r="4463" customFormat="false" ht="17.15" hidden="false" customHeight="false" outlineLevel="0" collapsed="false">
      <c r="A4463" s="0" t="s">
        <v>588</v>
      </c>
      <c r="B4463" s="0" t="s">
        <v>73</v>
      </c>
      <c r="H4463" s="38" t="n">
        <f aca="false">SUMPRODUCT(--(Sens!$R$4433:$AA$4433=2027-tk_life),Sens!$R$4439:$AA$4439)*Sens!$H$4444/1000</f>
        <v>0</v>
      </c>
      <c r="I4463" s="38" t="n">
        <f aca="false">SUMPRODUCT(--(Sens!$R$4433:$AA$4433=2028-tk_life),Sens!$R$4439:$AA$4439)*Sens!$I$4444/1000</f>
        <v>0</v>
      </c>
      <c r="J4463" s="38" t="n">
        <f aca="false">SUMPRODUCT(--(Sens!$R$4433:$AA$4433=2029-tk_life),Sens!$R$4439:$AA$4439)*Sens!$J$4444/1000</f>
        <v>5.2367682</v>
      </c>
      <c r="K4463" s="38" t="n">
        <f aca="false">SUMPRODUCT(--(Sens!$R$4433:$AA$4433=2030-tk_life),Sens!$R$4439:$AA$4439)*Sens!$K$4444/1000</f>
        <v>10.4735364</v>
      </c>
      <c r="L4463" s="38" t="n">
        <f aca="false">SUMPRODUCT(--(Sens!$R$4433:$AA$4433=2031-tk_life),Sens!$R$4439:$AA$4439)*Sens!$L$4444/1000</f>
        <v>47.1309138</v>
      </c>
      <c r="M4463" s="38" t="n">
        <f aca="false">SUMPRODUCT(--(Sens!$R$4433:$AA$4433=2032-tk_life),Sens!$R$4439:$AA$4439)*Sens!$M$4444/1000</f>
        <v>107.22937485525</v>
      </c>
    </row>
    <row r="4464" customFormat="false" ht="17.15" hidden="false" customHeight="false" outlineLevel="0" collapsed="false">
      <c r="A4464" s="5" t="s">
        <v>589</v>
      </c>
      <c r="B4464" s="0" t="s">
        <v>73</v>
      </c>
      <c r="C4464" s="38" t="n">
        <f aca="false">Sens!$C$4462*Sens!$C$4461</f>
        <v>18.472138699801</v>
      </c>
      <c r="D4464" s="38" t="n">
        <f aca="false">Sens!$D$4462*Sens!$D$4461</f>
        <v>50.8377268390402</v>
      </c>
      <c r="E4464" s="38" t="n">
        <f aca="false">Sens!$E$4462*Sens!$E$4461</f>
        <v>48.8351995705653</v>
      </c>
      <c r="F4464" s="38" t="n">
        <f aca="false">Sens!$F$4462*Sens!$F$4461</f>
        <v>73.2248394895</v>
      </c>
      <c r="G4464" s="38" t="n">
        <f aca="false">Sens!$E$4464+Sens!$F$4464</f>
        <v>122.060039060065</v>
      </c>
      <c r="H4464" s="38" t="n">
        <f aca="false">(Sens!$H$4462-Sens!$H$4463)*Sens!$H$4461+Sens!$H$4463</f>
        <v>152.52478394475</v>
      </c>
      <c r="I4464" s="38" t="n">
        <f aca="false">(Sens!$I$4462-Sens!$I$4463)*Sens!$I$4461+Sens!$I$4463</f>
        <v>158.5998889105</v>
      </c>
      <c r="J4464" s="38" t="n">
        <f aca="false">(Sens!$J$4462-Sens!$J$4463)*Sens!$J$4461+Sens!$J$4463</f>
        <v>163.8366571105</v>
      </c>
      <c r="K4464" s="38" t="n">
        <f aca="false">(Sens!$K$4462-Sens!$K$4463)*Sens!$K$4461+Sens!$K$4463</f>
        <v>169.0734253105</v>
      </c>
      <c r="L4464" s="38" t="n">
        <f aca="false">(Sens!$L$4462-Sens!$L$4463)*Sens!$L$4461+Sens!$L$4463</f>
        <v>205.7308027105</v>
      </c>
      <c r="M4464" s="38" t="n">
        <f aca="false">(Sens!$M$4462-Sens!$M$4463)*Sens!$M$4461+Sens!$M$4463</f>
        <v>265.82926376575</v>
      </c>
      <c r="R4464" s="38" t="n">
        <f aca="false">Sens!$R$4462*Sens!$C$4461</f>
        <v>1.09927679019314</v>
      </c>
      <c r="S4464" s="38" t="n">
        <f aca="false">Sens!$C$4464</f>
        <v>18.472138699801</v>
      </c>
      <c r="T4464" s="38" t="n">
        <f aca="false">Sens!$D$4464</f>
        <v>50.8377268390402</v>
      </c>
      <c r="U4464" s="38" t="n">
        <f aca="false">Sens!$G$4464</f>
        <v>122.060039060065</v>
      </c>
      <c r="V4464" s="38" t="n">
        <f aca="false">Sens!$H$4464</f>
        <v>152.52478394475</v>
      </c>
      <c r="W4464" s="38" t="n">
        <f aca="false">Sens!$I$4464</f>
        <v>158.5998889105</v>
      </c>
      <c r="X4464" s="38" t="n">
        <f aca="false">Sens!$J$4464</f>
        <v>163.8366571105</v>
      </c>
      <c r="Y4464" s="38" t="n">
        <f aca="false">Sens!$K$4464</f>
        <v>169.0734253105</v>
      </c>
      <c r="Z4464" s="38" t="n">
        <f aca="false">Sens!$L$4464</f>
        <v>205.7308027105</v>
      </c>
      <c r="AA4464" s="38" t="n">
        <f aca="false">Sens!$M$4464</f>
        <v>265.82926376575</v>
      </c>
    </row>
    <row r="4465" customFormat="false" ht="15" hidden="false" customHeight="false" outlineLevel="0" collapsed="false">
      <c r="A4465" s="5" t="s">
        <v>590</v>
      </c>
      <c r="B4465" s="0" t="s">
        <v>73</v>
      </c>
      <c r="C4465" s="38" t="n">
        <f aca="false">Sens!$C$4462-Sens!$C$4464</f>
        <v>6.80596660793636</v>
      </c>
      <c r="D4465" s="38" t="n">
        <f aca="false">Sens!$D$4462-Sens!$D$4464</f>
        <v>18.7309047919624</v>
      </c>
      <c r="E4465" s="38" t="n">
        <f aca="false">Sens!$E$4462-Sens!$E$4464</f>
        <v>15.3547210779455</v>
      </c>
      <c r="F4465" s="38" t="n">
        <f aca="false">Sens!$F$4462-Sens!$F$4464</f>
        <v>23.0232905</v>
      </c>
      <c r="G4465" s="38" t="n">
        <f aca="false">Sens!$G$4462-Sens!$G$4464</f>
        <v>38.3780115779455</v>
      </c>
      <c r="H4465" s="38" t="n">
        <f aca="false">Sens!$H$4462-Sens!$H$4464</f>
        <v>46.046581</v>
      </c>
      <c r="I4465" s="38" t="n">
        <f aca="false">Sens!$I$4462-Sens!$I$4464</f>
        <v>46.046581</v>
      </c>
      <c r="J4465" s="38" t="n">
        <f aca="false">Sens!$J$4462-Sens!$J$4464</f>
        <v>46.046581</v>
      </c>
      <c r="K4465" s="38" t="n">
        <f aca="false">Sens!$K$4462-Sens!$K$4464</f>
        <v>46.046581</v>
      </c>
      <c r="L4465" s="38" t="n">
        <f aca="false">Sens!$L$4462-Sens!$L$4464</f>
        <v>46.046581</v>
      </c>
      <c r="M4465" s="38" t="n">
        <f aca="false">Sens!$M$4462-Sens!$M$4464</f>
        <v>46.046581</v>
      </c>
      <c r="R4465" s="38" t="n">
        <f aca="false">Sens!$R$4462-Sens!$R$4464</f>
        <v>0.405023005106309</v>
      </c>
      <c r="S4465" s="38" t="n">
        <f aca="false">Sens!$S$4462-Sens!$S$4464</f>
        <v>6.80596660793636</v>
      </c>
      <c r="T4465" s="38" t="n">
        <f aca="false">Sens!$T$4462-Sens!$T$4464</f>
        <v>18.7309047919624</v>
      </c>
      <c r="U4465" s="38" t="n">
        <f aca="false">Sens!$U$4462-Sens!$U$4464</f>
        <v>38.3780115779455</v>
      </c>
      <c r="V4465" s="38" t="n">
        <f aca="false">Sens!$V$4462-Sens!$V$4464</f>
        <v>46.046581</v>
      </c>
      <c r="W4465" s="38" t="n">
        <f aca="false">Sens!$W$4462-Sens!$W$4464</f>
        <v>46.046581</v>
      </c>
      <c r="X4465" s="38" t="n">
        <f aca="false">Sens!$X$4462-Sens!$X$4464</f>
        <v>46.046581</v>
      </c>
      <c r="Y4465" s="38" t="n">
        <f aca="false">Sens!$Y$4462-Sens!$Y$4464</f>
        <v>46.046581</v>
      </c>
      <c r="Z4465" s="38" t="n">
        <f aca="false">Sens!$Z$4462-Sens!$Z$4464</f>
        <v>46.046581</v>
      </c>
      <c r="AA4465" s="38" t="n">
        <f aca="false">Sens!$AA$4462-Sens!$AA$4464</f>
        <v>46.046581</v>
      </c>
    </row>
    <row r="4466" customFormat="false" ht="17.15" hidden="false" customHeight="false" outlineLevel="0" collapsed="false">
      <c r="A4466" s="0" t="s">
        <v>591</v>
      </c>
      <c r="B4466" s="0" t="s">
        <v>52</v>
      </c>
      <c r="C4466" s="12" t="n">
        <f aca="false">Sens!$C$4462/Sens!$C$4578</f>
        <v>0.325505489553393</v>
      </c>
      <c r="D4466" s="12" t="n">
        <f aca="false">Sens!$D$4462/Sens!$D$4578</f>
        <v>0.54214956071542</v>
      </c>
      <c r="E4466" s="12" t="n">
        <f aca="false">Sens!$E$4462/Sens!$E$4578</f>
        <v>0.666492790452817</v>
      </c>
      <c r="F4466" s="12" t="n">
        <f aca="false">Sens!$F$4462/Sens!$F$4578</f>
        <v>0.723383481058938</v>
      </c>
      <c r="G4466" s="12" t="n">
        <f aca="false">Sens!$G$4462/Sens!$G$4578</f>
        <v>0.699494931364102</v>
      </c>
      <c r="H4466" s="12" t="n">
        <f aca="false">Sens!$H$4462/Sens!$H$4578</f>
        <v>0.714619350171483</v>
      </c>
      <c r="I4466" s="12" t="n">
        <f aca="false">Sens!$I$4462/Sens!$I$4578</f>
        <v>0.696231624961614</v>
      </c>
      <c r="J4466" s="12" t="n">
        <f aca="false">Sens!$J$4462/Sens!$J$4578</f>
        <v>0.681286352509885</v>
      </c>
      <c r="K4466" s="12" t="n">
        <f aca="false">Sens!$K$4462/Sens!$K$4578</f>
        <v>0.671440649805508</v>
      </c>
      <c r="L4466" s="12" t="n">
        <f aca="false">Sens!$L$4462/Sens!$L$4578</f>
        <v>0.6904509846562</v>
      </c>
      <c r="M4466" s="12" t="n">
        <f aca="false">Sens!$M$4462/Sens!$M$4578</f>
        <v>0.720362080285865</v>
      </c>
    </row>
    <row r="4467" customFormat="false" ht="17.15" hidden="false" customHeight="false" outlineLevel="0" collapsed="false">
      <c r="A4467" s="0" t="s">
        <v>592</v>
      </c>
      <c r="B4467" s="0" t="s">
        <v>73</v>
      </c>
      <c r="C4467" s="38" t="n">
        <f aca="false">Sens!$S$4467</f>
        <v>0.183212798365523</v>
      </c>
      <c r="D4467" s="38" t="n">
        <f aca="false">Sens!$T$4467</f>
        <v>3.2619025816657</v>
      </c>
      <c r="E4467" s="38" t="n">
        <f aca="false">Sens!$G$4467/2</f>
        <v>5.86742852741953</v>
      </c>
      <c r="F4467" s="38" t="n">
        <f aca="false">Sens!$G$4467/2</f>
        <v>5.86742852741953</v>
      </c>
      <c r="G4467" s="38" t="n">
        <f aca="false">Sens!$U$4467</f>
        <v>11.7348570548391</v>
      </c>
      <c r="H4467" s="38" t="n">
        <f aca="false">Sens!$V$4467</f>
        <v>32.0781968981833</v>
      </c>
      <c r="I4467" s="38" t="n">
        <f aca="false">Sens!$W$4467</f>
        <v>57.4989942223083</v>
      </c>
      <c r="J4467" s="38" t="n">
        <f aca="false">Sens!$X$4467</f>
        <v>83.932309040725</v>
      </c>
      <c r="K4467" s="38" t="n">
        <f aca="false">Sens!$Y$4467</f>
        <v>111.055205760776</v>
      </c>
      <c r="L4467" s="38" t="n">
        <f aca="false">Sens!$Z$4467</f>
        <v>136.155420195893</v>
      </c>
      <c r="M4467" s="38" t="n">
        <f aca="false">Sens!$AA$4467</f>
        <v>161.970932841136</v>
      </c>
      <c r="N4467" s="38" t="n">
        <f aca="false">Sens!$D$4467/2</f>
        <v>1.63095129083285</v>
      </c>
      <c r="O4467" s="38" t="n">
        <f aca="false">Sens!$D$4467/2</f>
        <v>1.63095129083285</v>
      </c>
      <c r="R4467" s="38" t="n">
        <f aca="false">SUMPRODUCT(--(Sens!$R$4433:$AA$4433&lt;Sens!R$4433),--(Sens!$R$4433:$AA$4433&gt;=Sens!R$4433-tk_life),Sens!$R$4464:$AA$4464)/tk_life</f>
        <v>0</v>
      </c>
      <c r="S4467" s="38" t="n">
        <f aca="false">SUMPRODUCT(--(Sens!$R$4433:$AA$4433&lt;Sens!S$4433),--(Sens!$R$4433:$AA$4433&gt;=Sens!S$4433-tk_life),Sens!$R$4464:$AA$4464)/tk_life</f>
        <v>0.183212798365523</v>
      </c>
      <c r="T4467" s="38" t="n">
        <f aca="false">SUMPRODUCT(--(Sens!$R$4433:$AA$4433&lt;Sens!T$4433),--(Sens!$R$4433:$AA$4433&gt;=Sens!T$4433-tk_life),Sens!$R$4464:$AA$4464)/tk_life</f>
        <v>3.2619025816657</v>
      </c>
      <c r="U4467" s="38" t="n">
        <f aca="false">SUMPRODUCT(--(Sens!$R$4433:$AA$4433&lt;Sens!U$4433),--(Sens!$R$4433:$AA$4433&gt;=Sens!U$4433-tk_life),Sens!$R$4464:$AA$4464)/tk_life</f>
        <v>11.7348570548391</v>
      </c>
      <c r="V4467" s="38" t="n">
        <f aca="false">SUMPRODUCT(--(Sens!$R$4433:$AA$4433&lt;Sens!V$4433),--(Sens!$R$4433:$AA$4433&gt;=Sens!V$4433-tk_life),Sens!$R$4464:$AA$4464)/tk_life</f>
        <v>32.0781968981833</v>
      </c>
      <c r="W4467" s="38" t="n">
        <f aca="false">SUMPRODUCT(--(Sens!$R$4433:$AA$4433&lt;Sens!W$4433),--(Sens!$R$4433:$AA$4433&gt;=Sens!W$4433-tk_life),Sens!$R$4464:$AA$4464)/tk_life</f>
        <v>57.4989942223083</v>
      </c>
      <c r="X4467" s="38" t="n">
        <f aca="false">SUMPRODUCT(--(Sens!$R$4433:$AA$4433&lt;Sens!X$4433),--(Sens!$R$4433:$AA$4433&gt;=Sens!X$4433-tk_life),Sens!$R$4464:$AA$4464)/tk_life</f>
        <v>83.932309040725</v>
      </c>
      <c r="Y4467" s="38" t="n">
        <f aca="false">SUMPRODUCT(--(Sens!$R$4433:$AA$4433&lt;Sens!Y$4433),--(Sens!$R$4433:$AA$4433&gt;=Sens!Y$4433-tk_life),Sens!$R$4464:$AA$4464)/tk_life</f>
        <v>111.055205760776</v>
      </c>
      <c r="Z4467" s="38" t="n">
        <f aca="false">SUMPRODUCT(--(Sens!$R$4433:$AA$4433&lt;Sens!Z$4433),--(Sens!$R$4433:$AA$4433&gt;=Sens!Z$4433-tk_life),Sens!$R$4464:$AA$4464)/tk_life</f>
        <v>136.155420195893</v>
      </c>
      <c r="AA4467" s="38" t="n">
        <f aca="false">SUMPRODUCT(--(Sens!$R$4433:$AA$4433&lt;Sens!AA$4433),--(Sens!$R$4433:$AA$4433&gt;=Sens!AA$4433-tk_life),Sens!$R$4464:$AA$4464)/tk_life</f>
        <v>161.970932841136</v>
      </c>
    </row>
    <row r="4468" customFormat="false" ht="17.15" hidden="false" customHeight="false" outlineLevel="0" collapsed="false">
      <c r="A4468" s="0" t="s">
        <v>593</v>
      </c>
      <c r="B4468" s="0" t="s">
        <v>73</v>
      </c>
      <c r="C4468" s="38" t="n">
        <f aca="false">Sens!$S$4468</f>
        <v>0.0202511502553155</v>
      </c>
      <c r="D4468" s="38" t="n">
        <f aca="false">Sens!$T$4468</f>
        <v>0.360549480652134</v>
      </c>
      <c r="E4468" s="38" t="n">
        <f aca="false">Sens!$G$4468/2</f>
        <v>0.648547360125127</v>
      </c>
      <c r="F4468" s="38" t="n">
        <f aca="false">Sens!$G$4468/2</f>
        <v>0.648547360125127</v>
      </c>
      <c r="G4468" s="38" t="n">
        <f aca="false">Sens!$U$4468</f>
        <v>1.29709472025025</v>
      </c>
      <c r="H4468" s="38" t="n">
        <f aca="false">Sens!$V$4468</f>
        <v>3.21599529914753</v>
      </c>
      <c r="I4468" s="38" t="n">
        <f aca="false">Sens!$W$4468</f>
        <v>5.51832434914753</v>
      </c>
      <c r="J4468" s="38" t="n">
        <f aca="false">Sens!$X$4468</f>
        <v>7.82065339914753</v>
      </c>
      <c r="K4468" s="38" t="n">
        <f aca="false">Sens!$Y$4468</f>
        <v>10.1229824491475</v>
      </c>
      <c r="L4468" s="38" t="n">
        <f aca="false">Sens!$Z$4468</f>
        <v>12.4253114991475</v>
      </c>
      <c r="M4468" s="38" t="n">
        <f aca="false">Sens!$AA$4468</f>
        <v>14.7276405491475</v>
      </c>
      <c r="N4468" s="38" t="n">
        <f aca="false">Sens!$D$4468/2</f>
        <v>0.180274740326067</v>
      </c>
      <c r="O4468" s="38" t="n">
        <f aca="false">Sens!$D$4468/2</f>
        <v>0.180274740326067</v>
      </c>
      <c r="R4468" s="38" t="n">
        <f aca="false">SUMPRODUCT(--(Sens!$R$4433:$AA$4433&lt;Sens!R$4433),Sens!$R$4465:$AA$4465)/fac_life</f>
        <v>0</v>
      </c>
      <c r="S4468" s="38" t="n">
        <f aca="false">SUMPRODUCT(--(Sens!$R$4433:$AA$4433&lt;Sens!S$4433),Sens!$R$4465:$AA$4465)/fac_life</f>
        <v>0.0202511502553155</v>
      </c>
      <c r="T4468" s="38" t="n">
        <f aca="false">SUMPRODUCT(--(Sens!$R$4433:$AA$4433&lt;Sens!T$4433),Sens!$R$4465:$AA$4465)/fac_life</f>
        <v>0.360549480652134</v>
      </c>
      <c r="U4468" s="38" t="n">
        <f aca="false">SUMPRODUCT(--(Sens!$R$4433:$AA$4433&lt;Sens!U$4433),Sens!$R$4465:$AA$4465)/fac_life</f>
        <v>1.29709472025025</v>
      </c>
      <c r="V4468" s="38" t="n">
        <f aca="false">SUMPRODUCT(--(Sens!$R$4433:$AA$4433&lt;Sens!V$4433),Sens!$R$4465:$AA$4465)/fac_life</f>
        <v>3.21599529914753</v>
      </c>
      <c r="W4468" s="38" t="n">
        <f aca="false">SUMPRODUCT(--(Sens!$R$4433:$AA$4433&lt;Sens!W$4433),Sens!$R$4465:$AA$4465)/fac_life</f>
        <v>5.51832434914753</v>
      </c>
      <c r="X4468" s="38" t="n">
        <f aca="false">SUMPRODUCT(--(Sens!$R$4433:$AA$4433&lt;Sens!X$4433),Sens!$R$4465:$AA$4465)/fac_life</f>
        <v>7.82065339914753</v>
      </c>
      <c r="Y4468" s="38" t="n">
        <f aca="false">SUMPRODUCT(--(Sens!$R$4433:$AA$4433&lt;Sens!Y$4433),Sens!$R$4465:$AA$4465)/fac_life</f>
        <v>10.1229824491475</v>
      </c>
      <c r="Z4468" s="38" t="n">
        <f aca="false">SUMPRODUCT(--(Sens!$R$4433:$AA$4433&lt;Sens!Z$4433),Sens!$R$4465:$AA$4465)/fac_life</f>
        <v>12.4253114991475</v>
      </c>
      <c r="AA4468" s="38" t="n">
        <f aca="false">SUMPRODUCT(--(Sens!$R$4433:$AA$4433&lt;Sens!AA$4433),Sens!$R$4465:$AA$4465)/fac_life</f>
        <v>14.7276405491475</v>
      </c>
    </row>
    <row r="4469" customFormat="false" ht="17.15" hidden="false" customHeight="false" outlineLevel="0" collapsed="false">
      <c r="A4469" s="1" t="s">
        <v>594</v>
      </c>
      <c r="B4469" s="8" t="s">
        <v>73</v>
      </c>
      <c r="C4469" s="38" t="n">
        <f aca="false">Sens!$C$4467+Sens!$C$4468</f>
        <v>0.203463948620839</v>
      </c>
      <c r="D4469" s="38" t="n">
        <f aca="false">Sens!$D$4467+Sens!$D$4468</f>
        <v>3.62245206231783</v>
      </c>
      <c r="E4469" s="38" t="n">
        <f aca="false">Sens!$E$4467+Sens!$E$4468</f>
        <v>6.51597588754466</v>
      </c>
      <c r="F4469" s="38" t="n">
        <f aca="false">Sens!$F$4467+Sens!$F$4468</f>
        <v>6.51597588754466</v>
      </c>
      <c r="G4469" s="38" t="n">
        <f aca="false">Sens!$G$4467+Sens!$G$4468</f>
        <v>13.0319517750893</v>
      </c>
      <c r="H4469" s="38" t="n">
        <f aca="false">Sens!$H$4467+Sens!$H$4468</f>
        <v>35.2941921973308</v>
      </c>
      <c r="I4469" s="38" t="n">
        <f aca="false">Sens!$I$4467+Sens!$I$4468</f>
        <v>63.0173185714558</v>
      </c>
      <c r="J4469" s="38" t="n">
        <f aca="false">Sens!$J$4467+Sens!$J$4468</f>
        <v>91.7529624398725</v>
      </c>
      <c r="K4469" s="38" t="n">
        <f aca="false">Sens!$K$4467+Sens!$K$4468</f>
        <v>121.178188209924</v>
      </c>
      <c r="L4469" s="38" t="n">
        <f aca="false">Sens!$L$4467+Sens!$L$4468</f>
        <v>148.58073169504</v>
      </c>
      <c r="M4469" s="38" t="n">
        <f aca="false">Sens!$M$4467+Sens!$M$4468</f>
        <v>176.698573390283</v>
      </c>
      <c r="N4469" s="38" t="n">
        <f aca="false">Sens!$N$4467+Sens!$N$4468</f>
        <v>1.81122603115892</v>
      </c>
      <c r="O4469" s="38" t="n">
        <f aca="false">Sens!$O$4467+Sens!$O$4468</f>
        <v>1.81122603115892</v>
      </c>
      <c r="R4469" s="38" t="n">
        <f aca="false">Sens!$R$4467+Sens!$R$4468</f>
        <v>0</v>
      </c>
      <c r="S4469" s="38" t="n">
        <f aca="false">Sens!$S$4467+Sens!$S$4468</f>
        <v>0.203463948620839</v>
      </c>
      <c r="T4469" s="38" t="n">
        <f aca="false">Sens!$T$4467+Sens!$T$4468</f>
        <v>3.62245206231783</v>
      </c>
      <c r="U4469" s="38" t="n">
        <f aca="false">Sens!$U$4467+Sens!$U$4468</f>
        <v>13.0319517750893</v>
      </c>
      <c r="V4469" s="38" t="n">
        <f aca="false">Sens!$V$4467+Sens!$V$4468</f>
        <v>35.2941921973308</v>
      </c>
      <c r="W4469" s="38" t="n">
        <f aca="false">Sens!$W$4467+Sens!$W$4468</f>
        <v>63.0173185714558</v>
      </c>
      <c r="X4469" s="38" t="n">
        <f aca="false">Sens!$X$4467+Sens!$X$4468</f>
        <v>91.7529624398725</v>
      </c>
      <c r="Y4469" s="38" t="n">
        <f aca="false">Sens!$Y$4467+Sens!$Y$4468</f>
        <v>121.178188209924</v>
      </c>
      <c r="Z4469" s="38" t="n">
        <f aca="false">Sens!$Z$4467+Sens!$Z$4468</f>
        <v>148.58073169504</v>
      </c>
      <c r="AA4469" s="38" t="n">
        <f aca="false">Sens!$AA$4467+Sens!$AA$4468</f>
        <v>176.698573390283</v>
      </c>
    </row>
    <row r="4470" customFormat="false" ht="17.15" hidden="false" customHeight="false" outlineLevel="0" collapsed="false">
      <c r="A4470" s="0" t="s">
        <v>595</v>
      </c>
      <c r="B4470" s="0" t="s">
        <v>73</v>
      </c>
      <c r="C4470" s="38" t="n">
        <f aca="false">Sens!$S$4470</f>
        <v>26.578941154416</v>
      </c>
      <c r="D4470" s="38" t="n">
        <f aca="false">Sens!$T$4470</f>
        <v>92.5251207231008</v>
      </c>
      <c r="G4470" s="38" t="n">
        <f aca="false">Sens!$U$4470</f>
        <v>239.931219586022</v>
      </c>
      <c r="H4470" s="38" t="n">
        <f aca="false">Sens!$V$4470</f>
        <v>403.208392333442</v>
      </c>
      <c r="I4470" s="38" t="n">
        <f aca="false">Sens!$W$4470</f>
        <v>544.837543672486</v>
      </c>
      <c r="J4470" s="38" t="n">
        <f aca="false">Sens!$X$4470</f>
        <v>662.967819343113</v>
      </c>
      <c r="K4470" s="38" t="n">
        <f aca="false">Sens!$Y$4470</f>
        <v>756.90963744369</v>
      </c>
      <c r="L4470" s="38" t="n">
        <f aca="false">Sens!$Z$4470</f>
        <v>860.10628945915</v>
      </c>
      <c r="M4470" s="38" t="n">
        <f aca="false">Sens!$AA$4470</f>
        <v>995.283560834616</v>
      </c>
      <c r="R4470" s="38" t="n">
        <f aca="false">SUM(Sens!$R$4462:$R$4462)-SUM(Sens!$R$4469:$R$4469)</f>
        <v>1.50429979529945</v>
      </c>
      <c r="S4470" s="38" t="n">
        <f aca="false">SUM(Sens!$R$4462:$S$4462)-SUM(Sens!$R$4469:$S$4469)</f>
        <v>26.578941154416</v>
      </c>
      <c r="T4470" s="38" t="n">
        <f aca="false">SUM(Sens!$R$4462:$T$4462)-SUM(Sens!$R$4469:$T$4469)</f>
        <v>92.5251207231008</v>
      </c>
      <c r="U4470" s="38" t="n">
        <f aca="false">SUM(Sens!$R$4462:$U$4462)-SUM(Sens!$R$4469:$U$4469)</f>
        <v>239.931219586022</v>
      </c>
      <c r="V4470" s="38" t="n">
        <f aca="false">SUM(Sens!$R$4462:$V$4462)-SUM(Sens!$R$4469:$V$4469)</f>
        <v>403.208392333442</v>
      </c>
      <c r="W4470" s="38" t="n">
        <f aca="false">SUM(Sens!$R$4462:$W$4462)-SUM(Sens!$R$4469:$W$4469)</f>
        <v>544.837543672486</v>
      </c>
      <c r="X4470" s="38" t="n">
        <f aca="false">SUM(Sens!$R$4462:$X$4462)-SUM(Sens!$R$4469:$X$4469)</f>
        <v>662.967819343113</v>
      </c>
      <c r="Y4470" s="38" t="n">
        <f aca="false">SUM(Sens!$R$4462:$Y$4462)-SUM(Sens!$R$4469:$Y$4469)</f>
        <v>756.90963744369</v>
      </c>
      <c r="Z4470" s="38" t="n">
        <f aca="false">SUM(Sens!$R$4462:$Z$4462)-SUM(Sens!$R$4469:$Z$4469)</f>
        <v>860.10628945915</v>
      </c>
      <c r="AA4470" s="38" t="n">
        <f aca="false">SUM(Sens!$R$4462:$AA$4462)-SUM(Sens!$R$4469:$AA$4469)</f>
        <v>995.283560834616</v>
      </c>
    </row>
    <row r="4471" customFormat="false" ht="17.15" hidden="false" customHeight="false" outlineLevel="0" collapsed="false">
      <c r="A4471" s="1" t="s">
        <v>596</v>
      </c>
    </row>
    <row r="4472" customFormat="false" ht="17.15" hidden="false" customHeight="false" outlineLevel="0" collapsed="false">
      <c r="A4472" s="0" t="s">
        <v>597</v>
      </c>
      <c r="B4472" s="0" t="s">
        <v>73</v>
      </c>
      <c r="C4472" s="38" t="n">
        <f aca="false">Sens!$C$4453-ext_sh*Sens!$C$4455</f>
        <v>1.80694998843362</v>
      </c>
      <c r="D4472" s="38" t="n">
        <f aca="false">Sens!$D$4453-ext_sh*Sens!$D$4455</f>
        <v>6.77606245662607</v>
      </c>
      <c r="E4472" s="38" t="n">
        <f aca="false">Sens!$E$4453-ext_sh*Sens!$E$4455</f>
        <v>6.62548329092326</v>
      </c>
      <c r="F4472" s="38" t="n">
        <f aca="false">Sens!$F$4453-ext_sh*Sens!$F$4455</f>
        <v>11.7200577158706</v>
      </c>
      <c r="G4472" s="38" t="n">
        <f aca="false">Sens!$G$4453-ext_sh*Sens!$G$4455</f>
        <v>18.3455410067939</v>
      </c>
      <c r="H4472" s="38" t="n">
        <f aca="false">Sens!$H$4453-ext_sh*Sens!$H$4455</f>
        <v>47.5171727060453</v>
      </c>
      <c r="I4472" s="38" t="n">
        <f aca="false">Sens!$I$4453-ext_sh*Sens!$I$4455</f>
        <v>80.5539692643667</v>
      </c>
      <c r="J4472" s="38" t="n">
        <f aca="false">Sens!$J$4453-ext_sh*Sens!$J$4455</f>
        <v>113.759316834883</v>
      </c>
      <c r="K4472" s="38" t="n">
        <f aca="false">Sens!$K$4453-ext_sh*Sens!$K$4455</f>
        <v>147.020848076132</v>
      </c>
      <c r="L4472" s="38" t="n">
        <f aca="false">Sens!$L$4453-ext_sh*Sens!$L$4455</f>
        <v>180.307917349531</v>
      </c>
      <c r="M4472" s="38" t="n">
        <f aca="false">Sens!$M$4453-ext_sh*Sens!$M$4455</f>
        <v>213.608737871012</v>
      </c>
      <c r="N4472" s="38" t="n">
        <f aca="false">Sens!$N$4453-ext_sh*Sens!$N$4455</f>
        <v>2.37162185981912</v>
      </c>
      <c r="O4472" s="38" t="n">
        <f aca="false">Sens!$O$4453-ext_sh*Sens!$O$4455</f>
        <v>4.40444059680694</v>
      </c>
    </row>
    <row r="4473" customFormat="false" ht="17.15" hidden="false" customHeight="false" outlineLevel="0" collapsed="false">
      <c r="A4473" s="1" t="s">
        <v>598</v>
      </c>
      <c r="B4473" s="8" t="s">
        <v>73</v>
      </c>
      <c r="C4473" s="38" t="n">
        <f aca="false">Sens!$C$4472-ext_sh*Sens!$C$4469</f>
        <v>1.64417882953695</v>
      </c>
      <c r="D4473" s="38" t="n">
        <f aca="false">Sens!$D$4472-ext_sh*Sens!$D$4469</f>
        <v>3.8781008067718</v>
      </c>
      <c r="E4473" s="38" t="n">
        <f aca="false">Sens!$E$4472-ext_sh*Sens!$E$4469</f>
        <v>1.41270258088753</v>
      </c>
      <c r="F4473" s="38" t="n">
        <f aca="false">Sens!$F$4472-ext_sh*Sens!$F$4469</f>
        <v>6.50727700583486</v>
      </c>
      <c r="G4473" s="38" t="n">
        <f aca="false">Sens!$G$4472-ext_sh*Sens!$G$4469</f>
        <v>7.9199795867224</v>
      </c>
      <c r="H4473" s="38" t="n">
        <f aca="false">Sens!$H$4472-ext_sh*Sens!$H$4469</f>
        <v>19.2818189481807</v>
      </c>
      <c r="I4473" s="38" t="n">
        <f aca="false">Sens!$I$4472-ext_sh*Sens!$I$4469</f>
        <v>30.140114407202</v>
      </c>
      <c r="J4473" s="38" t="n">
        <f aca="false">Sens!$J$4472-ext_sh*Sens!$J$4469</f>
        <v>40.3569468829854</v>
      </c>
      <c r="K4473" s="38" t="n">
        <f aca="false">Sens!$K$4472-ext_sh*Sens!$K$4469</f>
        <v>50.0782975081929</v>
      </c>
      <c r="L4473" s="38" t="n">
        <f aca="false">Sens!$L$4472-ext_sh*Sens!$L$4469</f>
        <v>61.443331993499</v>
      </c>
      <c r="M4473" s="38" t="n">
        <f aca="false">Sens!$M$4472-ext_sh*Sens!$M$4469</f>
        <v>72.2498791587849</v>
      </c>
      <c r="N4473" s="38" t="n">
        <f aca="false">Sens!$N$4472-ext_sh*Sens!$N$4469</f>
        <v>0.92264103489199</v>
      </c>
      <c r="O4473" s="38" t="n">
        <f aca="false">Sens!$O$4472-ext_sh*Sens!$O$4469</f>
        <v>2.95545977187981</v>
      </c>
    </row>
    <row r="4474" customFormat="false" ht="17.15" hidden="false" customHeight="false" outlineLevel="0" collapsed="false">
      <c r="A4474" s="0" t="s">
        <v>599</v>
      </c>
      <c r="B4474" s="0" t="s">
        <v>52</v>
      </c>
      <c r="C4474" s="12" t="n">
        <f aca="false">Sens!$C$4473/Sens!$C$4453</f>
        <v>0.708390794789371</v>
      </c>
      <c r="D4474" s="12" t="n">
        <f aca="false">Sens!$D$4473/Sens!$D$4453</f>
        <v>0.445565630441968</v>
      </c>
      <c r="E4474" s="12" t="n">
        <f aca="false">Sens!$E$4473/Sens!$E$4453</f>
        <v>0.165998118402711</v>
      </c>
      <c r="F4474" s="12" t="n">
        <f aca="false">Sens!$F$4473/Sens!$F$4453</f>
        <v>0.434878595403858</v>
      </c>
      <c r="G4474" s="12" t="n">
        <f aca="false">Sens!$G$4473/Sens!$G$4453</f>
        <v>0.3373967615381</v>
      </c>
      <c r="H4474" s="12" t="n">
        <f aca="false">Sens!$H$4473/Sens!$H$4453</f>
        <v>0.320477578041224</v>
      </c>
      <c r="I4474" s="12" t="n">
        <f aca="false">Sens!$I$4473/Sens!$I$4453</f>
        <v>0.296936118226494</v>
      </c>
      <c r="J4474" s="12" t="n">
        <f aca="false">Sens!$J$4473/Sens!$J$4453</f>
        <v>0.282166278613001</v>
      </c>
      <c r="K4474" s="12" t="n">
        <f aca="false">Sens!$K$4473/Sens!$K$4453</f>
        <v>0.271267685694333</v>
      </c>
      <c r="L4474" s="12" t="n">
        <f aca="false">Sens!$L$4473/Sens!$L$4453</f>
        <v>0.27160960915653</v>
      </c>
      <c r="M4474" s="12" t="n">
        <f aca="false">Sens!$M$4473/Sens!$M$4453</f>
        <v>0.26974494804234</v>
      </c>
      <c r="N4474" s="12" t="n">
        <f aca="false">Sens!$N$4473/Sens!$N$4453</f>
        <v>0.302870734830849</v>
      </c>
      <c r="O4474" s="12" t="n">
        <f aca="false">Sens!$O$4473/Sens!$O$4453</f>
        <v>0.52240134346334</v>
      </c>
    </row>
    <row r="4475" customFormat="false" ht="17.15" hidden="false" customHeight="false" outlineLevel="0" collapsed="false">
      <c r="A4475" s="5" t="s">
        <v>600</v>
      </c>
      <c r="B4475" s="0" t="s">
        <v>73</v>
      </c>
      <c r="C4475" s="38" t="n">
        <f aca="false">rd2*(1-ext_sh)/ext_sh*Sens!$C$4436*he_open*Sens!$C$4437/1000</f>
        <v>0</v>
      </c>
      <c r="D4475" s="38" t="n">
        <f aca="false">rd2*(1-ext_sh)/ext_sh*Sens!$D$4436*he_open*Sens!$D$4437/1000</f>
        <v>0</v>
      </c>
      <c r="E4475" s="38" t="n">
        <f aca="false">rd2*(1-ext_sh)/ext_sh*Sens!$E$4436*he_open*Sens!$E$4437/1000</f>
        <v>0</v>
      </c>
      <c r="F4475" s="38" t="n">
        <f aca="false">rd2*(1-ext_sh)/ext_sh*(mw_open*he_open+Sens!$F$4451*Sens!$F$4448)*Sens!$F$4437/1000</f>
        <v>0</v>
      </c>
      <c r="G4475" s="38" t="n">
        <f aca="false">Sens!$E$4475+Sens!$F$4475</f>
        <v>0</v>
      </c>
      <c r="H4475" s="38" t="n">
        <f aca="false">rd2*(1-ext_sh)/ext_sh*(mw_open*he_open+Sens!$H$4451*Sens!$H$4448)*Sens!$H$4437/1000</f>
        <v>0</v>
      </c>
      <c r="I4475" s="38" t="n">
        <f aca="false">rd2*(1-ext_sh)/ext_sh*(mw_open*he_open+Sens!$I$4451*Sens!$I$4448)*Sens!$I$4437/1000</f>
        <v>0</v>
      </c>
      <c r="J4475" s="38" t="n">
        <f aca="false">rd2*(1-ext_sh)/ext_sh*(mw_open*he_open+Sens!$J$4451*Sens!$J$4448)*Sens!$J$4437/1000</f>
        <v>0</v>
      </c>
      <c r="K4475" s="38" t="n">
        <f aca="false">rd2*(1-ext_sh)/ext_sh*(mw_open*he_open+Sens!$K$4451*Sens!$K$4448)*Sens!$K$4437/1000</f>
        <v>0</v>
      </c>
      <c r="L4475" s="38" t="n">
        <f aca="false">rd2*(1-ext_sh)/ext_sh*(mw_open*he_open+Sens!$L$4451*Sens!$L$4448)*Sens!$L$4437/1000</f>
        <v>0</v>
      </c>
      <c r="M4475" s="38" t="n">
        <f aca="false">rd2*(1-ext_sh)/ext_sh*(mw_open*he_open+Sens!$M$4451*Sens!$M$4448)*Sens!$M$4437/1000</f>
        <v>0</v>
      </c>
      <c r="N4475" s="38" t="n">
        <f aca="false">rd2*(1-ext_sh)/ext_sh*Sens!$N$4436*he_open*Sens!$N$4437/1000</f>
        <v>0</v>
      </c>
      <c r="O4475" s="38" t="n">
        <f aca="false">rd2*(1-ext_sh)/ext_sh*Sens!$O$4436*he_open*Sens!$O$4437/1000</f>
        <v>0</v>
      </c>
      <c r="P4475" s="8" t="s">
        <v>601</v>
      </c>
    </row>
    <row r="4476" customFormat="false" ht="17.15" hidden="false" customHeight="false" outlineLevel="0" collapsed="false">
      <c r="A4476" s="5" t="s">
        <v>602</v>
      </c>
      <c r="B4476" s="0" t="s">
        <v>73</v>
      </c>
      <c r="C4476" s="38" t="n">
        <f aca="false">(1-ext_sh)*(Sens!$C$4455+Sens!$C$4469)-Sens!$C$4475</f>
        <v>0.169206631859174</v>
      </c>
      <c r="D4476" s="38" t="n">
        <f aca="false">(1-ext_sh)*(Sens!$D$4455+Sens!$D$4469)-Sens!$D$4475</f>
        <v>1.20641732046984</v>
      </c>
      <c r="E4476" s="38" t="n">
        <f aca="false">(1-ext_sh)*(Sens!$E$4455+Sens!$E$4469)-Sens!$E$4475</f>
        <v>1.77441259867062</v>
      </c>
      <c r="F4476" s="38" t="n">
        <f aca="false">(1-ext_sh)*(Sens!$F$4455+Sens!$F$4469)-Sens!$F$4475</f>
        <v>2.1140391597214</v>
      </c>
      <c r="G4476" s="38" t="n">
        <f aca="false">(1-ext_sh)*(Sens!$G$4455+Sens!$G$4469)-Sens!$G$4475</f>
        <v>3.88845175839202</v>
      </c>
      <c r="H4476" s="38" t="n">
        <f aca="false">(1-ext_sh)*(Sens!$H$4455+Sens!$H$4469)-Sens!$H$4475</f>
        <v>10.2210179503985</v>
      </c>
      <c r="I4476" s="38" t="n">
        <f aca="false">(1-ext_sh)*(Sens!$I$4455+Sens!$I$4469)-Sens!$I$4475</f>
        <v>17.8408961823075</v>
      </c>
      <c r="J4476" s="38" t="n">
        <f aca="false">(1-ext_sh)*(Sens!$J$4455+Sens!$J$4469)-Sens!$J$4475</f>
        <v>25.6671150670732</v>
      </c>
      <c r="K4476" s="38" t="n">
        <f aca="false">(1-ext_sh)*(Sens!$K$4455+Sens!$K$4469)-Sens!$K$4475</f>
        <v>33.6325293834986</v>
      </c>
      <c r="L4476" s="38" t="n">
        <f aca="false">(1-ext_sh)*(Sens!$L$4455+Sens!$L$4469)-Sens!$L$4475</f>
        <v>41.1939886299065</v>
      </c>
      <c r="M4476" s="38" t="n">
        <f aca="false">(1-ext_sh)*(Sens!$M$4455+Sens!$M$4469)-Sens!$M$4475</f>
        <v>48.8988205728617</v>
      </c>
      <c r="N4476" s="38" t="n">
        <f aca="false">(1-ext_sh)*(Sens!$N$4455+Sens!$N$4469)-Sens!$N$4475</f>
        <v>0.530919624033979</v>
      </c>
      <c r="O4476" s="38" t="n">
        <f aca="false">(1-ext_sh)*(Sens!$O$4455+Sens!$O$4469)-Sens!$O$4475</f>
        <v>0.675497696435861</v>
      </c>
    </row>
    <row r="4477" customFormat="false" ht="17.15" hidden="false" customHeight="false" outlineLevel="0" collapsed="false">
      <c r="A4477" s="0" t="s">
        <v>603</v>
      </c>
      <c r="B4477" s="0" t="s">
        <v>73</v>
      </c>
      <c r="C4477" s="38" t="n">
        <f aca="false">Q!$D$24</f>
        <v>39.834</v>
      </c>
      <c r="D4477" s="38" t="n">
        <f aca="false">Q!$E$24</f>
        <v>45.606</v>
      </c>
      <c r="E4477" s="38" t="n">
        <f aca="false">Q!$P$24</f>
        <v>30.782</v>
      </c>
      <c r="N4477" s="38" t="n">
        <f aca="false">Q!$N$24</f>
        <v>21.707</v>
      </c>
      <c r="O4477" s="38" t="n">
        <f aca="false">Q!$O$24</f>
        <v>23.899</v>
      </c>
    </row>
    <row r="4478" customFormat="false" ht="17.15" hidden="false" customHeight="false" outlineLevel="0" collapsed="false">
      <c r="A4478" s="0" t="s">
        <v>604</v>
      </c>
      <c r="B4478" s="0" t="s">
        <v>73</v>
      </c>
      <c r="C4478" s="38" t="n">
        <f aca="false">Sens!$C$4477-Sens!$C$4473</f>
        <v>38.1898211704631</v>
      </c>
      <c r="D4478" s="38" t="n">
        <f aca="false">Sens!$D$4477-Sens!$D$4473</f>
        <v>41.7278991932282</v>
      </c>
      <c r="E4478" s="38" t="n">
        <f aca="false">Sens!$E$4477-Sens!$E$4473</f>
        <v>29.3692974191125</v>
      </c>
      <c r="F4478" s="38" t="n">
        <f aca="false">Sens!$F$4457*Sens!$F$4479</f>
        <v>29.458060516894</v>
      </c>
      <c r="G4478" s="38" t="n">
        <f aca="false">Sens!$E$4478+Sens!$F$4478</f>
        <v>58.8273579360065</v>
      </c>
      <c r="H4478" s="38" t="n">
        <f aca="false">Sens!$H$4457*Sens!$H$4479</f>
        <v>67.8004040185081</v>
      </c>
      <c r="I4478" s="38" t="n">
        <f aca="false">Sens!$I$4457*Sens!$I$4479</f>
        <v>78.9527630302702</v>
      </c>
      <c r="J4478" s="38" t="n">
        <f aca="false">Sens!$J$4457*Sens!$J$4479</f>
        <v>88.6042681781841</v>
      </c>
      <c r="K4478" s="38" t="n">
        <f aca="false">Sens!$K$4457*Sens!$K$4479</f>
        <v>95.6926096324389</v>
      </c>
      <c r="L4478" s="38" t="n">
        <f aca="false">Sens!$L$4457*Sens!$L$4479</f>
        <v>103.348018403034</v>
      </c>
      <c r="M4478" s="38" t="n">
        <f aca="false">Sens!$M$4457*Sens!$M$4479</f>
        <v>111.615859875277</v>
      </c>
      <c r="N4478" s="38" t="n">
        <f aca="false">Sens!$N$4477-Sens!$N$4473</f>
        <v>20.784358965108</v>
      </c>
      <c r="O4478" s="38" t="n">
        <f aca="false">Sens!$O$4477-Sens!$O$4473</f>
        <v>20.9435402281202</v>
      </c>
      <c r="P4478" s="5" t="s">
        <v>605</v>
      </c>
    </row>
    <row r="4479" customFormat="false" ht="17.15" hidden="false" customHeight="false" outlineLevel="0" collapsed="false">
      <c r="A4479" s="0" t="s">
        <v>606</v>
      </c>
      <c r="B4479" s="0" t="s">
        <v>52</v>
      </c>
      <c r="C4479" s="12" t="n">
        <f aca="false">Sens!$C$4478/Sens!$C$4457</f>
        <v>0.362900395443635</v>
      </c>
      <c r="D4479" s="12" t="n">
        <f aca="false">Sens!$D$4478/Sens!$D$4457</f>
        <v>0.34767098474203</v>
      </c>
      <c r="E4479" s="12" t="n">
        <f aca="false">Sens!$E$4478/Sens!$E$4457</f>
        <v>0.411861655558416</v>
      </c>
      <c r="F4479" s="12" t="n">
        <f aca="false">(Sens!$O$4478+Sens!$E$4478)/(Sens!$O$4457+Sens!$E$4457)</f>
        <v>0.37480827803158</v>
      </c>
      <c r="G4479" s="12" t="n">
        <f aca="false">Sens!$G$4478/Sens!$G$4457</f>
        <v>0.392434440489471</v>
      </c>
      <c r="H4479" s="12" t="n">
        <f aca="false">Sens!$F$4479</f>
        <v>0.37480827803158</v>
      </c>
      <c r="I4479" s="12" t="n">
        <f aca="false">Sens!$F$4479</f>
        <v>0.37480827803158</v>
      </c>
      <c r="J4479" s="12" t="n">
        <f aca="false">Sens!$F$4479</f>
        <v>0.37480827803158</v>
      </c>
      <c r="K4479" s="12" t="n">
        <f aca="false">Sens!$F$4479</f>
        <v>0.37480827803158</v>
      </c>
      <c r="L4479" s="12" t="n">
        <f aca="false">Sens!$F$4479</f>
        <v>0.37480827803158</v>
      </c>
      <c r="M4479" s="12" t="n">
        <f aca="false">Sens!$F$4479</f>
        <v>0.37480827803158</v>
      </c>
      <c r="N4479" s="12" t="n">
        <f aca="false">Sens!$N$4478/Sens!$N$4457</f>
        <v>0.364039571356823</v>
      </c>
      <c r="O4479" s="12" t="n">
        <f aca="false">Sens!$O$4478/Sens!$O$4457</f>
        <v>0.332819892300086</v>
      </c>
      <c r="P4479" s="8" t="s">
        <v>607</v>
      </c>
    </row>
    <row r="4480" customFormat="false" ht="17.15" hidden="false" customHeight="false" outlineLevel="0" collapsed="false">
      <c r="A4480" s="0" t="s">
        <v>608</v>
      </c>
      <c r="B4480" s="0" t="s">
        <v>52</v>
      </c>
      <c r="D4480" s="12" t="n">
        <f aca="false">(Q!$E$31-ext_sh*Sens!$D$4469)/Sens!$D$4457</f>
        <v>0.154572973163571</v>
      </c>
    </row>
    <row r="4481" customFormat="false" ht="17.15" hidden="false" customHeight="false" outlineLevel="0" collapsed="false">
      <c r="A4481" s="0" t="s">
        <v>609</v>
      </c>
      <c r="B4481" s="0" t="s">
        <v>73</v>
      </c>
      <c r="C4481" s="38" t="n">
        <f aca="false">Q!$D$31</f>
        <v>13.32</v>
      </c>
      <c r="D4481" s="38" t="n">
        <f aca="false">Q!$E$31</f>
        <v>21.45</v>
      </c>
      <c r="E4481" s="38" t="n">
        <f aca="false">Q!$P$31</f>
        <v>15.353</v>
      </c>
      <c r="F4481" s="38" t="n">
        <f aca="false">ext_sh*Sens!$F$4469+Sens!$D$4480*Sens!$F$4457</f>
        <v>17.3614451462707</v>
      </c>
      <c r="G4481" s="38" t="n">
        <f aca="false">Sens!$E$4481+Sens!$F$4481</f>
        <v>32.7144451462707</v>
      </c>
      <c r="H4481" s="38" t="n">
        <f aca="false">ext_sh*Sens!$H$4469+Sens!$D$4480*Sens!$H$4457</f>
        <v>56.1966092719415</v>
      </c>
      <c r="I4481" s="38" t="n">
        <f aca="false">ext_sh*Sens!$I$4469+Sens!$D$4480*Sens!$I$4457</f>
        <v>82.9744039068297</v>
      </c>
      <c r="J4481" s="38" t="n">
        <f aca="false">ext_sh*Sens!$J$4469+Sens!$D$4480*Sens!$J$4457</f>
        <v>109.943252237669</v>
      </c>
      <c r="K4481" s="38" t="n">
        <f aca="false">ext_sh*Sens!$K$4469+Sens!$D$4480*Sens!$K$4457</f>
        <v>136.406703436571</v>
      </c>
      <c r="L4481" s="38" t="n">
        <f aca="false">ext_sh*Sens!$L$4469+Sens!$D$4480*Sens!$L$4457</f>
        <v>161.485870454155</v>
      </c>
      <c r="M4481" s="38" t="n">
        <f aca="false">ext_sh*Sens!$M$4469+Sens!$D$4480*Sens!$M$4457</f>
        <v>187.389846618199</v>
      </c>
      <c r="N4481" s="38" t="n">
        <f aca="false">Q!$N$31</f>
        <v>9.234</v>
      </c>
      <c r="O4481" s="38" t="n">
        <f aca="false">Q!$O$31</f>
        <v>12.216</v>
      </c>
    </row>
    <row r="4482" customFormat="false" ht="17.15" hidden="false" customHeight="false" outlineLevel="0" collapsed="false">
      <c r="A4482" s="1" t="s">
        <v>610</v>
      </c>
    </row>
    <row r="4483" customFormat="false" ht="17.15" hidden="false" customHeight="false" outlineLevel="0" collapsed="false">
      <c r="A4483" s="14" t="s">
        <v>611</v>
      </c>
      <c r="B4483" s="13" t="s">
        <v>52</v>
      </c>
      <c r="C4483" s="13"/>
      <c r="D4483" s="13"/>
      <c r="E4483" s="13"/>
      <c r="F4483" s="13"/>
      <c r="G4483" s="16" t="n">
        <f aca="false">Sens!$G$4473*(1-tax)/(ext_sh*(Sens!$D$4470+Sens!$G$4470)/2)</f>
        <v>0.0492184452944045</v>
      </c>
      <c r="H4483" s="16" t="n">
        <f aca="false">Sens!$H$4473*(1-tax)/(ext_sh*(Sens!$G$4470+Sens!$H$4470)/2)</f>
        <v>0.0619414246858107</v>
      </c>
      <c r="I4483" s="16" t="n">
        <f aca="false">Sens!$I$4473*(1-tax)/(ext_sh*(Sens!$H$4470+Sens!$I$4470)/2)</f>
        <v>0.0656831488051666</v>
      </c>
      <c r="J4483" s="16" t="n">
        <f aca="false">Sens!$J$4473*(1-tax)/(ext_sh*(Sens!$I$4470+Sens!$J$4470)/2)</f>
        <v>0.0690334849962116</v>
      </c>
      <c r="K4483" s="16" t="n">
        <f aca="false">Sens!$K$4473*(1-tax)/(ext_sh*(Sens!$J$4470+Sens!$K$4470)/2)</f>
        <v>0.0728680488295485</v>
      </c>
      <c r="L4483" s="16" t="n">
        <f aca="false">Sens!$L$4473*(1-tax)/(ext_sh*(Sens!$K$4470+Sens!$L$4470)/2)</f>
        <v>0.0785052878122331</v>
      </c>
      <c r="M4483" s="16" t="n">
        <f aca="false">Sens!$M$4473*(1-tax)/(ext_sh*(Sens!$L$4470+Sens!$M$4470)/2)</f>
        <v>0.0804526580722741</v>
      </c>
      <c r="N4483" s="13"/>
      <c r="O4483" s="13"/>
      <c r="P4483" s="8" t="s">
        <v>612</v>
      </c>
    </row>
    <row r="4484" customFormat="false" ht="17.15" hidden="false" customHeight="false" outlineLevel="0" collapsed="false">
      <c r="A4484" s="5" t="s">
        <v>613</v>
      </c>
      <c r="B4484" s="0" t="s">
        <v>57</v>
      </c>
      <c r="H4484" s="36" t="n">
        <f aca="false">Sens!$H$4453*1000/(mw_open*he_open+Sens!$H$4451*Sens!$H$4448)</f>
        <v>0.991949006767191</v>
      </c>
      <c r="I4484" s="36" t="n">
        <f aca="false">Sens!$I$4453*1000/(mw_open*he_open+Sens!$I$4451*Sens!$I$4448)</f>
        <v>0.991949006767191</v>
      </c>
      <c r="J4484" s="36" t="n">
        <f aca="false">Sens!$J$4453*1000/(mw_open*he_open+Sens!$J$4451*Sens!$J$4448)</f>
        <v>0.991949006767191</v>
      </c>
      <c r="K4484" s="36" t="n">
        <f aca="false">Sens!$K$4453*1000/(mw_open*he_open+Sens!$K$4451*Sens!$K$4448)</f>
        <v>0.991949006767191</v>
      </c>
      <c r="L4484" s="36" t="n">
        <f aca="false">Sens!$L$4453*1000/(mw_open*he_open+Sens!$L$4451*Sens!$L$4448)</f>
        <v>0.991949006767191</v>
      </c>
      <c r="M4484" s="36" t="n">
        <f aca="false">Sens!$M$4453*1000/(mw_open*he_open+Sens!$M$4451*Sens!$M$4448)</f>
        <v>0.991949006767192</v>
      </c>
    </row>
    <row r="4485" customFormat="false" ht="17.15" hidden="false" customHeight="false" outlineLevel="0" collapsed="false">
      <c r="A4485" s="5" t="s">
        <v>614</v>
      </c>
      <c r="B4485" s="0" t="s">
        <v>57</v>
      </c>
      <c r="H4485" s="36" t="n">
        <f aca="false">Sens!$H$4484*(Sens!$H$4453+(wacc-0.01)*ext_sh*(Sens!$G$4470+Sens!$H$4470)/2/(1-tax)-Sens!$H$4473)/Sens!$H$4453</f>
        <v>1.26365585717752</v>
      </c>
      <c r="I4485" s="36" t="n">
        <f aca="false">Sens!$I$4484*(Sens!$I$4453+(wacc-0.01)*ext_sh*(Sens!$H$4470+Sens!$I$4470)/2/(1-tax)-Sens!$I$4473)/Sens!$I$4453</f>
        <v>1.21257666847439</v>
      </c>
      <c r="J4485" s="36" t="n">
        <f aca="false">Sens!$J$4484*(Sens!$J$4453+(wacc-0.01)*ext_sh*(Sens!$I$4470+Sens!$J$4470)/2/(1-tax)-Sens!$J$4473)/Sens!$J$4453</f>
        <v>1.17784370568221</v>
      </c>
      <c r="K4485" s="36" t="n">
        <f aca="false">Sens!$K$4484*(Sens!$K$4453+(wacc-0.01)*ext_sh*(Sens!$J$4470+Sens!$K$4470)/2/(1-tax)-Sens!$K$4473)/Sens!$K$4453</f>
        <v>1.14709891134438</v>
      </c>
      <c r="L4485" s="36" t="n">
        <f aca="false">Sens!$L$4484*(Sens!$L$4453+(wacc-0.01)*ext_sh*(Sens!$K$4470+Sens!$L$4470)/2/(1-tax)-Sens!$L$4473)/Sens!$L$4453</f>
        <v>1.11679307873026</v>
      </c>
      <c r="M4485" s="36" t="n">
        <f aca="false">Sens!$M$4484*(Sens!$M$4453+(wacc-0.01)*ext_sh*(Sens!$L$4470+Sens!$M$4470)/2/(1-tax)-Sens!$M$4473)/Sens!$M$4453</f>
        <v>1.10645821434404</v>
      </c>
    </row>
    <row r="4486" customFormat="false" ht="17.15" hidden="false" customHeight="false" outlineLevel="0" collapsed="false">
      <c r="A4486" s="5" t="s">
        <v>615</v>
      </c>
      <c r="B4486" s="0" t="s">
        <v>52</v>
      </c>
      <c r="C4486" s="12" t="n">
        <f aca="false">Sens!$C$4454/tk_pq</f>
        <v>0.195316432429398</v>
      </c>
      <c r="D4486" s="12" t="n">
        <f aca="false">Sens!$D$4454/tk_pq</f>
        <v>0.195316432429398</v>
      </c>
      <c r="E4486" s="12" t="n">
        <f aca="false">Sens!$E$4454/tk_pq</f>
        <v>0.195316432429398</v>
      </c>
      <c r="F4486" s="12" t="n">
        <f aca="false">Sens!$F$4454/tk_pq</f>
        <v>0.202241827274866</v>
      </c>
      <c r="G4486" s="12" t="n">
        <f aca="false">Sens!$G$4454/tk_pq</f>
        <v>0.199675016194063</v>
      </c>
      <c r="H4486" s="12" t="n">
        <f aca="false">Sens!$H$4454/tk_pq</f>
        <v>0.212647947710325</v>
      </c>
      <c r="I4486" s="12" t="n">
        <f aca="false">Sens!$I$4454/tk_pq</f>
        <v>0.219285125475351</v>
      </c>
      <c r="J4486" s="12" t="n">
        <f aca="false">Sens!$J$4454/tk_pq</f>
        <v>0.222492493217189</v>
      </c>
      <c r="K4486" s="12" t="n">
        <f aca="false">Sens!$K$4454/tk_pq</f>
        <v>0.224371415939166</v>
      </c>
      <c r="L4486" s="12" t="n">
        <f aca="false">Sens!$L$4454/tk_pq</f>
        <v>0.225603749825993</v>
      </c>
      <c r="M4486" s="12" t="n">
        <f aca="false">Sens!$M$4454/tk_pq</f>
        <v>0.22647376274628</v>
      </c>
      <c r="N4486" s="12" t="n">
        <f aca="false">Sens!$N$4454/tk_pq</f>
        <v>0.195316432429398</v>
      </c>
      <c r="O4486" s="12" t="n">
        <f aca="false">Sens!$O$4454/tk_pq</f>
        <v>0.195316432429398</v>
      </c>
      <c r="P4486" s="5" t="s">
        <v>616</v>
      </c>
    </row>
    <row r="4489" customFormat="false" ht="17.15" hidden="false" customHeight="false" outlineLevel="0" collapsed="false">
      <c r="A4489" s="1" t="s">
        <v>643</v>
      </c>
    </row>
    <row r="4490" customFormat="false" ht="17.15" hidden="false" customHeight="false" outlineLevel="0" collapsed="false">
      <c r="A4490" s="0" t="s">
        <v>644</v>
      </c>
      <c r="B4490" s="0" t="s">
        <v>73</v>
      </c>
      <c r="C4490" s="38" t="n">
        <f aca="false">Sens!$C$4453</f>
        <v>2.32100535697364</v>
      </c>
      <c r="D4490" s="38" t="n">
        <f aca="false">Sens!$D$4453</f>
        <v>8.70377008865116</v>
      </c>
      <c r="E4490" s="38" t="n">
        <f aca="false">Sens!$E$4453</f>
        <v>8.51035297557002</v>
      </c>
      <c r="F4490" s="38" t="n">
        <f aca="false">Sens!$F$4453</f>
        <v>14.9634336447205</v>
      </c>
      <c r="G4490" s="38" t="n">
        <f aca="false">Sens!$G$4453</f>
        <v>23.4737866202905</v>
      </c>
      <c r="H4490" s="38" t="n">
        <f aca="false">Sens!$H$4453</f>
        <v>60.1658907497746</v>
      </c>
      <c r="I4490" s="38" t="n">
        <f aca="false">Sens!$I$4453</f>
        <v>101.503699136432</v>
      </c>
      <c r="J4490" s="38" t="n">
        <f aca="false">Sens!$J$4453</f>
        <v>143.025407151278</v>
      </c>
      <c r="K4490" s="38" t="n">
        <f aca="false">Sens!$K$4453</f>
        <v>184.608415042187</v>
      </c>
      <c r="L4490" s="38" t="n">
        <f aca="false">Sens!$L$4453</f>
        <v>226.219286513125</v>
      </c>
      <c r="M4490" s="38" t="n">
        <f aca="false">Sens!$M$4453</f>
        <v>267.845161450232</v>
      </c>
      <c r="N4490" s="38" t="n">
        <f aca="false">Sens!$N$4453</f>
        <v>3.04631953102791</v>
      </c>
      <c r="O4490" s="38" t="n">
        <f aca="false">Sens!$O$4453</f>
        <v>5.65745055762326</v>
      </c>
      <c r="P4490" s="8" t="s">
        <v>645</v>
      </c>
    </row>
    <row r="4491" customFormat="false" ht="17.15" hidden="false" customHeight="false" outlineLevel="0" collapsed="false">
      <c r="A4491" s="0" t="s">
        <v>646</v>
      </c>
      <c r="B4491" s="0" t="s">
        <v>73</v>
      </c>
      <c r="C4491" s="38" t="n">
        <f aca="false">Sens!$C$4457</f>
        <v>105.234994643026</v>
      </c>
      <c r="D4491" s="38" t="n">
        <f aca="false">Sens!$D$4457</f>
        <v>120.021229911349</v>
      </c>
      <c r="E4491" s="38" t="n">
        <f aca="false">Sens!$E$4457</f>
        <v>71.30864702443</v>
      </c>
      <c r="F4491" s="38" t="n">
        <f aca="false">Sens!$F$4457</f>
        <v>78.5950104186653</v>
      </c>
      <c r="G4491" s="38" t="n">
        <f aca="false">Sens!$G$4457</f>
        <v>149.903657443095</v>
      </c>
      <c r="H4491" s="38" t="n">
        <f aca="false">Sens!$H$4457</f>
        <v>180.893560768142</v>
      </c>
      <c r="I4491" s="38" t="n">
        <f aca="false">Sens!$I$4457</f>
        <v>210.64839721501</v>
      </c>
      <c r="J4491" s="38" t="n">
        <f aca="false">Sens!$J$4457</f>
        <v>236.398909446495</v>
      </c>
      <c r="K4491" s="38" t="n">
        <f aca="false">Sens!$K$4457</f>
        <v>255.310822202215</v>
      </c>
      <c r="L4491" s="38" t="n">
        <f aca="false">Sens!$L$4457</f>
        <v>275.735687978392</v>
      </c>
      <c r="M4491" s="38" t="n">
        <f aca="false">Sens!$M$4457</f>
        <v>297.794543016663</v>
      </c>
      <c r="N4491" s="38" t="n">
        <f aca="false">Sens!$N$4457</f>
        <v>57.0936804689721</v>
      </c>
      <c r="O4491" s="38" t="n">
        <f aca="false">Sens!$O$4457</f>
        <v>62.9275494423768</v>
      </c>
      <c r="P4491" s="8" t="s">
        <v>645</v>
      </c>
    </row>
    <row r="4492" customFormat="false" ht="17.15" hidden="false" customHeight="false" outlineLevel="0" collapsed="false">
      <c r="A4492" s="1" t="s">
        <v>476</v>
      </c>
      <c r="B4492" s="8" t="s">
        <v>73</v>
      </c>
      <c r="C4492" s="38" t="n">
        <f aca="false">Q!$D$7</f>
        <v>107.556</v>
      </c>
      <c r="D4492" s="38" t="n">
        <f aca="false">Q!$E$7</f>
        <v>128.725</v>
      </c>
      <c r="E4492" s="38" t="n">
        <f aca="false">Q!$P$7</f>
        <v>79.819</v>
      </c>
      <c r="F4492" s="38" t="n">
        <f aca="false">Sens!$F$4490+Sens!$F$4491</f>
        <v>93.5584440633857</v>
      </c>
      <c r="G4492" s="38" t="n">
        <f aca="false">Sens!$G$4490+Sens!$G$4491</f>
        <v>173.377444063386</v>
      </c>
      <c r="H4492" s="38" t="n">
        <f aca="false">Sens!$H$4490+Sens!$H$4491</f>
        <v>241.059451517916</v>
      </c>
      <c r="I4492" s="38" t="n">
        <f aca="false">Sens!$I$4490+Sens!$I$4491</f>
        <v>312.152096351442</v>
      </c>
      <c r="J4492" s="38" t="n">
        <f aca="false">Sens!$J$4490+Sens!$J$4491</f>
        <v>379.424316597773</v>
      </c>
      <c r="K4492" s="38" t="n">
        <f aca="false">Sens!$K$4490+Sens!$K$4491</f>
        <v>439.919237244402</v>
      </c>
      <c r="L4492" s="38" t="n">
        <f aca="false">Sens!$L$4490+Sens!$L$4491</f>
        <v>501.954974491517</v>
      </c>
      <c r="M4492" s="38" t="n">
        <f aca="false">Sens!$M$4490+Sens!$M$4491</f>
        <v>565.639704466895</v>
      </c>
      <c r="N4492" s="38" t="n">
        <f aca="false">Q!$N$7</f>
        <v>60.14</v>
      </c>
      <c r="O4492" s="38" t="n">
        <f aca="false">Q!$O$7</f>
        <v>68.585</v>
      </c>
      <c r="P4492" s="5" t="s">
        <v>647</v>
      </c>
    </row>
    <row r="4493" customFormat="false" ht="15" hidden="false" customHeight="false" outlineLevel="0" collapsed="false">
      <c r="A4493" s="3" t="s">
        <v>648</v>
      </c>
      <c r="B4493" s="8" t="s">
        <v>73</v>
      </c>
      <c r="C4493" s="38" t="n">
        <f aca="false">Q!$D$8</f>
        <v>637.959</v>
      </c>
      <c r="D4493" s="38" t="n">
        <f aca="false">Q!$E$8</f>
        <v>716.924</v>
      </c>
      <c r="E4493" s="38" t="n">
        <f aca="false">Q!$P$8</f>
        <v>382.125</v>
      </c>
      <c r="F4493" s="38" t="n">
        <f aca="false">Sens!$F$4426+Sens!$F$4492</f>
        <v>450.494873271816</v>
      </c>
      <c r="G4493" s="38" t="n">
        <f aca="false">Sens!$G$4426+Sens!$G$4492</f>
        <v>832.619873271816</v>
      </c>
      <c r="H4493" s="38" t="n">
        <f aca="false">Sens!$H$4426+Sens!$H$4492</f>
        <v>970.995189139617</v>
      </c>
      <c r="I4493" s="38" t="n">
        <f aca="false">Sens!$I$4426+Sens!$I$4492</f>
        <v>1110.44766604932</v>
      </c>
      <c r="J4493" s="38" t="n">
        <f aca="false">Sens!$J$4426+Sens!$J$4492</f>
        <v>1241.16113892356</v>
      </c>
      <c r="K4493" s="38" t="n">
        <f aca="false">Sens!$K$4426+Sens!$K$4492</f>
        <v>1357.47672934633</v>
      </c>
      <c r="L4493" s="38" t="n">
        <f aca="false">Sens!$L$4426+Sens!$L$4492</f>
        <v>1479.24006423468</v>
      </c>
      <c r="M4493" s="38" t="n">
        <f aca="false">Sens!$M$4426+Sens!$M$4492</f>
        <v>1606.8537230104</v>
      </c>
      <c r="N4493" s="38" t="n">
        <f aca="false">Q!$N$8</f>
        <v>323.369</v>
      </c>
      <c r="O4493" s="38" t="n">
        <f aca="false">Q!$O$8</f>
        <v>393.555</v>
      </c>
    </row>
    <row r="4494" customFormat="false" ht="17.15" hidden="false" customHeight="false" outlineLevel="0" collapsed="false">
      <c r="A4494" s="24" t="s">
        <v>656</v>
      </c>
      <c r="B4494" s="25" t="s">
        <v>73</v>
      </c>
      <c r="C4494" s="39" t="n">
        <f aca="false">Sens!$C$4426-(Sens!$C$4428+Sens!$C$4429)</f>
        <v>0</v>
      </c>
      <c r="D4494" s="39" t="n">
        <f aca="false">Sens!$D$4426-(Sens!$D$4428+Sens!$D$4429)</f>
        <v>0</v>
      </c>
      <c r="E4494" s="39" t="n">
        <f aca="false">Sens!$E$4426-(Sens!$E$4428+Sens!$E$4429)</f>
        <v>0</v>
      </c>
      <c r="F4494" s="39" t="n">
        <f aca="false">Sens!$F$4426-(Sens!$F$4428+Sens!$F$4429)</f>
        <v>0</v>
      </c>
      <c r="G4494" s="39" t="n">
        <f aca="false">Sens!$G$4426-(Sens!$G$4428+Sens!$G$4429)</f>
        <v>0</v>
      </c>
      <c r="H4494" s="39" t="n">
        <f aca="false">Sens!$H$4426-(Sens!$H$4428+Sens!$H$4429)</f>
        <v>0</v>
      </c>
      <c r="I4494" s="39" t="n">
        <f aca="false">Sens!$I$4426-(Sens!$I$4428+Sens!$I$4429)</f>
        <v>0</v>
      </c>
      <c r="J4494" s="39" t="n">
        <f aca="false">Sens!$J$4426-(Sens!$J$4428+Sens!$J$4429)</f>
        <v>0</v>
      </c>
      <c r="K4494" s="39" t="n">
        <f aca="false">Sens!$K$4426-(Sens!$K$4428+Sens!$K$4429)</f>
        <v>0</v>
      </c>
      <c r="L4494" s="39" t="n">
        <f aca="false">Sens!$L$4426-(Sens!$L$4428+Sens!$L$4429)</f>
        <v>0</v>
      </c>
      <c r="M4494" s="39" t="n">
        <f aca="false">Sens!$M$4426-(Sens!$M$4428+Sens!$M$4429)</f>
        <v>0</v>
      </c>
      <c r="N4494" s="39" t="n">
        <f aca="false">Sens!$N$4426-(Sens!$N$4428+Sens!$N$4429)</f>
        <v>0</v>
      </c>
      <c r="O4494" s="39" t="n">
        <f aca="false">Sens!$O$4426-(Sens!$O$4428+Sens!$O$4429)</f>
        <v>0</v>
      </c>
    </row>
    <row r="4495" customFormat="false" ht="17.15" hidden="false" customHeight="false" outlineLevel="0" collapsed="false">
      <c r="A4495" s="24" t="s">
        <v>657</v>
      </c>
      <c r="B4495" s="25" t="s">
        <v>73</v>
      </c>
      <c r="C4495" s="39" t="n">
        <f aca="false">Sens!$C$4490+Sens!$C$4491-Sens!$C$4492</f>
        <v>0</v>
      </c>
      <c r="D4495" s="39" t="n">
        <f aca="false">Sens!$D$4490+Sens!$D$4491-Sens!$D$4492</f>
        <v>0</v>
      </c>
      <c r="E4495" s="39" t="n">
        <f aca="false">Sens!$E$4490+Sens!$E$4491-Sens!$E$4492</f>
        <v>0</v>
      </c>
      <c r="F4495" s="39" t="n">
        <f aca="false">Sens!$F$4490+Sens!$F$4491-Sens!$F$4492</f>
        <v>0</v>
      </c>
      <c r="G4495" s="39" t="n">
        <f aca="false">Sens!$G$4490+Sens!$G$4491-Sens!$G$4492</f>
        <v>0</v>
      </c>
      <c r="H4495" s="39" t="n">
        <f aca="false">Sens!$H$4490+Sens!$H$4491-Sens!$H$4492</f>
        <v>0</v>
      </c>
      <c r="I4495" s="39" t="n">
        <f aca="false">Sens!$I$4490+Sens!$I$4491-Sens!$I$4492</f>
        <v>0</v>
      </c>
      <c r="J4495" s="39" t="n">
        <f aca="false">Sens!$J$4490+Sens!$J$4491-Sens!$J$4492</f>
        <v>0</v>
      </c>
      <c r="K4495" s="39" t="n">
        <f aca="false">Sens!$K$4490+Sens!$K$4491-Sens!$K$4492</f>
        <v>0</v>
      </c>
      <c r="L4495" s="39" t="n">
        <f aca="false">Sens!$L$4490+Sens!$L$4491-Sens!$L$4492</f>
        <v>0</v>
      </c>
      <c r="M4495" s="39" t="n">
        <f aca="false">Sens!$M$4490+Sens!$M$4491-Sens!$M$4492</f>
        <v>0</v>
      </c>
      <c r="N4495" s="39" t="n">
        <f aca="false">Sens!$N$4490+Sens!$N$4491-Sens!$N$4492</f>
        <v>0</v>
      </c>
      <c r="O4495" s="39" t="n">
        <f aca="false">Sens!$O$4490+Sens!$O$4491-Sens!$O$4492</f>
        <v>0</v>
      </c>
    </row>
    <row r="4496" customFormat="false" ht="17.15" hidden="false" customHeight="false" outlineLevel="0" collapsed="false">
      <c r="A4496" s="24" t="s">
        <v>658</v>
      </c>
      <c r="B4496" s="25" t="s">
        <v>73</v>
      </c>
      <c r="C4496" s="39" t="n">
        <f aca="false">Sens!$C$4428+Sens!$C$4429+Sens!$C$4492-Sens!$C$4493</f>
        <v>0</v>
      </c>
      <c r="D4496" s="39" t="n">
        <f aca="false">Sens!$D$4428+Sens!$D$4429+Sens!$D$4492-Sens!$D$4493</f>
        <v>0</v>
      </c>
      <c r="E4496" s="39" t="n">
        <f aca="false">Sens!$E$4428+Sens!$E$4429+Sens!$E$4492-Sens!$E$4493</f>
        <v>0</v>
      </c>
      <c r="F4496" s="39" t="n">
        <f aca="false">Sens!$F$4428+Sens!$F$4429+Sens!$F$4492-Sens!$F$4493</f>
        <v>0</v>
      </c>
      <c r="G4496" s="39" t="n">
        <f aca="false">Sens!$G$4428+Sens!$G$4429+Sens!$G$4492-Sens!$G$4493</f>
        <v>0</v>
      </c>
      <c r="H4496" s="39" t="n">
        <f aca="false">Sens!$H$4428+Sens!$H$4429+Sens!$H$4492-Sens!$H$4493</f>
        <v>0</v>
      </c>
      <c r="I4496" s="39" t="n">
        <f aca="false">Sens!$I$4428+Sens!$I$4429+Sens!$I$4492-Sens!$I$4493</f>
        <v>0</v>
      </c>
      <c r="J4496" s="39" t="n">
        <f aca="false">Sens!$J$4428+Sens!$J$4429+Sens!$J$4492-Sens!$J$4493</f>
        <v>0</v>
      </c>
      <c r="K4496" s="39" t="n">
        <f aca="false">Sens!$K$4428+Sens!$K$4429+Sens!$K$4492-Sens!$K$4493</f>
        <v>0</v>
      </c>
      <c r="L4496" s="39" t="n">
        <f aca="false">Sens!$L$4428+Sens!$L$4429+Sens!$L$4492-Sens!$L$4493</f>
        <v>0</v>
      </c>
      <c r="M4496" s="39" t="n">
        <f aca="false">Sens!$M$4428+Sens!$M$4429+Sens!$M$4492-Sens!$M$4493</f>
        <v>0</v>
      </c>
      <c r="N4496" s="39" t="n">
        <f aca="false">Sens!$N$4428+Sens!$N$4429+Sens!$N$4492-Sens!$N$4493</f>
        <v>0</v>
      </c>
      <c r="O4496" s="39" t="n">
        <f aca="false">Sens!$O$4428+Sens!$O$4429+Sens!$O$4492-Sens!$O$4493</f>
        <v>0</v>
      </c>
    </row>
    <row r="4497" customFormat="false" ht="15" hidden="false" customHeight="false" outlineLevel="0" collapsed="false">
      <c r="A4497" s="5" t="s">
        <v>652</v>
      </c>
      <c r="B4497" s="0" t="s">
        <v>52</v>
      </c>
      <c r="G4497" s="12" t="n">
        <f aca="false">Sens!$G$4493/Sens!$D$4493-1</f>
        <v>0.161378156222718</v>
      </c>
      <c r="H4497" s="12" t="n">
        <f aca="false">Sens!$H$4493/Sens!$G$4493-1</f>
        <v>0.166192665236357</v>
      </c>
      <c r="I4497" s="12" t="n">
        <f aca="false">Sens!$I$4493/Sens!$H$4493-1</f>
        <v>0.143618092519351</v>
      </c>
      <c r="J4497" s="12" t="n">
        <f aca="false">Sens!$J$4493/Sens!$I$4493-1</f>
        <v>0.117712411733268</v>
      </c>
      <c r="K4497" s="12" t="n">
        <f aca="false">Sens!$K$4493/Sens!$J$4493-1</f>
        <v>0.0937151404237868</v>
      </c>
      <c r="L4497" s="12" t="n">
        <f aca="false">Sens!$L$4493/Sens!$K$4493-1</f>
        <v>0.0896982852494186</v>
      </c>
      <c r="M4497" s="12" t="n">
        <f aca="false">Sens!$M$4493/Sens!$L$4493-1</f>
        <v>0.0862697420528154</v>
      </c>
    </row>
    <row r="4498" customFormat="false" ht="17.15" hidden="false" customHeight="false" outlineLevel="0" collapsed="false">
      <c r="A4498" s="0" t="s">
        <v>653</v>
      </c>
      <c r="B4498" s="0" t="s">
        <v>52</v>
      </c>
      <c r="C4498" s="12" t="n">
        <f aca="false">Sens!$C$4492/Sens!$C$4493</f>
        <v>0.168593906504964</v>
      </c>
      <c r="D4498" s="12" t="n">
        <f aca="false">Sens!$D$4492/Sens!$D$4493</f>
        <v>0.179551807444025</v>
      </c>
      <c r="E4498" s="12" t="n">
        <f aca="false">Sens!$E$4492/Sens!$E$4493</f>
        <v>0.208881910369643</v>
      </c>
      <c r="F4498" s="12" t="n">
        <f aca="false">Sens!$F$4492/Sens!$F$4493</f>
        <v>0.207679264769203</v>
      </c>
      <c r="G4498" s="12" t="n">
        <f aca="false">Sens!$G$4492/Sens!$G$4493</f>
        <v>0.208231210458731</v>
      </c>
      <c r="H4498" s="12" t="n">
        <f aca="false">Sens!$H$4492/Sens!$H$4493</f>
        <v>0.248260191414043</v>
      </c>
      <c r="I4498" s="12" t="n">
        <f aca="false">Sens!$I$4492/Sens!$I$4493</f>
        <v>0.28110473450946</v>
      </c>
      <c r="J4498" s="12" t="n">
        <f aca="false">Sens!$J$4492/Sens!$J$4493</f>
        <v>0.30570109287086</v>
      </c>
      <c r="K4498" s="12" t="n">
        <f aca="false">Sens!$K$4492/Sens!$K$4493</f>
        <v>0.324071291782835</v>
      </c>
      <c r="L4498" s="12" t="n">
        <f aca="false">Sens!$L$4492/Sens!$L$4493</f>
        <v>0.339333003903741</v>
      </c>
      <c r="M4498" s="12" t="n">
        <f aca="false">Sens!$M$4492/Sens!$M$4493</f>
        <v>0.3520169237354</v>
      </c>
      <c r="N4498" s="12" t="n">
        <f aca="false">Sens!$N$4492/Sens!$N$4493</f>
        <v>0.185979484737251</v>
      </c>
      <c r="O4498" s="12" t="n">
        <f aca="false">Sens!$O$4492/Sens!$O$4493</f>
        <v>0.174270432341096</v>
      </c>
    </row>
    <row r="4499" customFormat="false" ht="17.15" hidden="false" customHeight="false" outlineLevel="0" collapsed="false">
      <c r="A4499" s="0" t="s">
        <v>654</v>
      </c>
      <c r="B4499" s="0" t="s">
        <v>52</v>
      </c>
      <c r="C4499" s="12" t="n">
        <f aca="false">Sens!$C$4490/Sens!$C$4492</f>
        <v>0.0215795060896058</v>
      </c>
      <c r="D4499" s="12" t="n">
        <f aca="false">Sens!$D$4490/Sens!$D$4492</f>
        <v>0.0676152269462122</v>
      </c>
      <c r="E4499" s="12" t="n">
        <f aca="false">Sens!$E$4490/Sens!$E$4492</f>
        <v>0.106620641395783</v>
      </c>
      <c r="F4499" s="12" t="n">
        <f aca="false">Sens!$F$4490/Sens!$F$4492</f>
        <v>0.159936751776064</v>
      </c>
      <c r="G4499" s="12" t="n">
        <f aca="false">Sens!$G$4490/Sens!$G$4492</f>
        <v>0.135391237003751</v>
      </c>
      <c r="H4499" s="12" t="n">
        <f aca="false">Sens!$H$4490/Sens!$H$4492</f>
        <v>0.249589428545194</v>
      </c>
      <c r="I4499" s="12" t="n">
        <f aca="false">Sens!$I$4490/Sens!$I$4492</f>
        <v>0.325173850577483</v>
      </c>
      <c r="J4499" s="12" t="n">
        <f aca="false">Sens!$J$4490/Sens!$J$4492</f>
        <v>0.376953718817392</v>
      </c>
      <c r="K4499" s="12" t="n">
        <f aca="false">Sens!$K$4490/Sens!$K$4492</f>
        <v>0.419641605578676</v>
      </c>
      <c r="L4499" s="12" t="n">
        <f aca="false">Sens!$L$4490/Sens!$L$4492</f>
        <v>0.450676451094615</v>
      </c>
      <c r="M4499" s="12" t="n">
        <f aca="false">Sens!$M$4490/Sens!$M$4492</f>
        <v>0.473526096798086</v>
      </c>
      <c r="N4499" s="12" t="n">
        <f aca="false">Sens!$N$4490/Sens!$N$4492</f>
        <v>0.0506537999838362</v>
      </c>
      <c r="O4499" s="12" t="n">
        <f aca="false">Sens!$O$4490/Sens!$O$4492</f>
        <v>0.0824881615167056</v>
      </c>
    </row>
    <row r="4502" customFormat="false" ht="19.4" hidden="false" customHeight="false" outlineLevel="0" collapsed="false">
      <c r="A4502" s="31" t="s">
        <v>1142</v>
      </c>
    </row>
    <row r="4503" customFormat="false" ht="17.15" hidden="false" customHeight="false" outlineLevel="0" collapsed="false">
      <c r="A4503" s="6" t="s">
        <v>16</v>
      </c>
      <c r="B4503" s="6" t="s">
        <v>17</v>
      </c>
      <c r="C4503" s="20" t="s">
        <v>457</v>
      </c>
      <c r="D4503" s="20" t="s">
        <v>458</v>
      </c>
      <c r="E4503" s="20" t="s">
        <v>540</v>
      </c>
      <c r="F4503" s="20" t="s">
        <v>541</v>
      </c>
      <c r="G4503" s="20" t="s">
        <v>542</v>
      </c>
      <c r="H4503" s="20" t="s">
        <v>543</v>
      </c>
      <c r="I4503" s="20" t="s">
        <v>544</v>
      </c>
      <c r="J4503" s="20" t="s">
        <v>545</v>
      </c>
      <c r="K4503" s="20" t="s">
        <v>546</v>
      </c>
      <c r="L4503" s="20" t="s">
        <v>547</v>
      </c>
      <c r="M4503" s="20" t="s">
        <v>548</v>
      </c>
      <c r="N4503" s="20" t="s">
        <v>549</v>
      </c>
      <c r="O4503" s="20" t="s">
        <v>550</v>
      </c>
      <c r="P4503" s="6" t="s">
        <v>23</v>
      </c>
      <c r="R4503" s="20" t="n">
        <v>2023</v>
      </c>
      <c r="S4503" s="20" t="n">
        <v>2024</v>
      </c>
      <c r="T4503" s="20" t="n">
        <v>2025</v>
      </c>
      <c r="U4503" s="20" t="n">
        <v>2026</v>
      </c>
      <c r="V4503" s="20" t="n">
        <v>2027</v>
      </c>
      <c r="W4503" s="20" t="n">
        <v>2028</v>
      </c>
      <c r="X4503" s="20" t="n">
        <v>2029</v>
      </c>
      <c r="Y4503" s="20" t="n">
        <v>2030</v>
      </c>
      <c r="Z4503" s="20" t="n">
        <v>2031</v>
      </c>
      <c r="AA4503" s="20" t="n">
        <v>2032</v>
      </c>
    </row>
    <row r="4504" customFormat="false" ht="17.15" hidden="false" customHeight="false" outlineLevel="0" collapsed="false">
      <c r="A4504" s="1" t="s">
        <v>669</v>
      </c>
    </row>
    <row r="4505" customFormat="false" ht="15" hidden="false" customHeight="false" outlineLevel="0" collapsed="false">
      <c r="A4505" s="0" t="s">
        <v>479</v>
      </c>
      <c r="B4505" s="0" t="s">
        <v>73</v>
      </c>
      <c r="C4505" s="38" t="n">
        <f aca="false">Sens!$C$4414</f>
        <v>247.029</v>
      </c>
      <c r="D4505" s="38" t="n">
        <f aca="false">Sens!$D$4414</f>
        <v>269.287</v>
      </c>
      <c r="E4505" s="38" t="n">
        <f aca="false">Sens!$E$4414</f>
        <v>134.686</v>
      </c>
      <c r="F4505" s="38" t="n">
        <f aca="false">Sens!$F$4414</f>
        <v>160.728085930082</v>
      </c>
      <c r="G4505" s="38" t="n">
        <f aca="false">Sens!$G$4414</f>
        <v>295.414085930082</v>
      </c>
      <c r="H4505" s="38" t="n">
        <f aca="false">Sens!$H$4414</f>
        <v>320.828163943375</v>
      </c>
      <c r="I4505" s="38" t="n">
        <f aca="false">Sens!$I$4414</f>
        <v>344.575578072228</v>
      </c>
      <c r="J4505" s="38" t="n">
        <f aca="false">Sens!$J$4414</f>
        <v>365.942555779681</v>
      </c>
      <c r="K4505" s="38" t="n">
        <f aca="false">Sens!$K$4414</f>
        <v>384.239683568665</v>
      </c>
      <c r="L4505" s="38" t="n">
        <f aca="false">Sens!$L$4414</f>
        <v>403.451667747098</v>
      </c>
      <c r="M4505" s="38" t="n">
        <f aca="false">Sens!$M$4414</f>
        <v>423.624251134453</v>
      </c>
      <c r="N4505" s="38" t="n">
        <f aca="false">Sens!$N$4414</f>
        <v>118.892</v>
      </c>
      <c r="O4505" s="38" t="n">
        <f aca="false">Sens!$O$4414</f>
        <v>150.395</v>
      </c>
    </row>
    <row r="4506" customFormat="false" ht="15" hidden="false" customHeight="false" outlineLevel="0" collapsed="false">
      <c r="A4506" s="0" t="s">
        <v>480</v>
      </c>
      <c r="B4506" s="0" t="s">
        <v>73</v>
      </c>
      <c r="C4506" s="38" t="n">
        <f aca="false">Sens!$C$4416</f>
        <v>21.215</v>
      </c>
      <c r="D4506" s="38" t="n">
        <f aca="false">Sens!$D$4416</f>
        <v>22.561</v>
      </c>
      <c r="E4506" s="38" t="n">
        <f aca="false">Sens!$E$4416</f>
        <v>11.579</v>
      </c>
      <c r="F4506" s="38" t="n">
        <f aca="false">Sens!$F$4416</f>
        <v>12.0952613121125</v>
      </c>
      <c r="G4506" s="38" t="n">
        <f aca="false">Sens!$G$4416</f>
        <v>23.6742613121125</v>
      </c>
      <c r="H4506" s="38" t="n">
        <f aca="false">Sens!$H$4416</f>
        <v>24.8803243963206</v>
      </c>
      <c r="I4506" s="38" t="n">
        <f aca="false">Sens!$I$4416</f>
        <v>25.9741308664154</v>
      </c>
      <c r="J4506" s="38" t="n">
        <f aca="false">Sens!$J$4416</f>
        <v>26.9346894124267</v>
      </c>
      <c r="K4506" s="38" t="n">
        <f aca="false">Sens!$K$4416</f>
        <v>27.7427300947995</v>
      </c>
      <c r="L4506" s="38" t="n">
        <f aca="false">Sens!$L$4416</f>
        <v>28.5750119976435</v>
      </c>
      <c r="M4506" s="38" t="n">
        <f aca="false">Sens!$M$4416</f>
        <v>29.4322623575728</v>
      </c>
      <c r="N4506" s="38" t="n">
        <f aca="false">Sens!$N$4416</f>
        <v>11.128</v>
      </c>
      <c r="O4506" s="38" t="n">
        <f aca="false">Sens!$O$4416</f>
        <v>11.433</v>
      </c>
    </row>
    <row r="4507" customFormat="false" ht="15" hidden="false" customHeight="false" outlineLevel="0" collapsed="false">
      <c r="A4507" s="0" t="s">
        <v>481</v>
      </c>
      <c r="B4507" s="0" t="s">
        <v>73</v>
      </c>
      <c r="C4507" s="38" t="n">
        <f aca="false">Sens!$C$4418</f>
        <v>156.146</v>
      </c>
      <c r="D4507" s="38" t="n">
        <f aca="false">Sens!$D$4418</f>
        <v>172.162</v>
      </c>
      <c r="E4507" s="38" t="n">
        <f aca="false">Sens!$E$4418</f>
        <v>88.358</v>
      </c>
      <c r="F4507" s="38" t="n">
        <f aca="false">Sens!$F$4418</f>
        <v>103.62028337149</v>
      </c>
      <c r="G4507" s="38" t="n">
        <f aca="false">Sens!$G$4418</f>
        <v>191.97828337149</v>
      </c>
      <c r="H4507" s="38" t="n">
        <f aca="false">Sens!$H$4418</f>
        <v>212.128608444755</v>
      </c>
      <c r="I4507" s="38" t="n">
        <f aca="false">Sens!$I$4418</f>
        <v>231.92183134134</v>
      </c>
      <c r="J4507" s="38" t="n">
        <f aca="false">Sens!$J$4418</f>
        <v>250.859136487863</v>
      </c>
      <c r="K4507" s="38" t="n">
        <f aca="false">Sens!$K$4418</f>
        <v>268.419276042014</v>
      </c>
      <c r="L4507" s="38" t="n">
        <f aca="false">Sens!$L$4418</f>
        <v>287.208625364954</v>
      </c>
      <c r="M4507" s="38" t="n">
        <f aca="false">Sens!$M$4418</f>
        <v>307.313229140501</v>
      </c>
      <c r="N4507" s="38" t="n">
        <f aca="false">Sens!$N$4418</f>
        <v>76.86</v>
      </c>
      <c r="O4507" s="38" t="n">
        <f aca="false">Sens!$O$4418</f>
        <v>95.302</v>
      </c>
    </row>
    <row r="4508" customFormat="false" ht="15" hidden="false" customHeight="false" outlineLevel="0" collapsed="false">
      <c r="A4508" s="0" t="s">
        <v>482</v>
      </c>
      <c r="B4508" s="0" t="s">
        <v>73</v>
      </c>
      <c r="C4508" s="38" t="n">
        <f aca="false">Sens!$C$4420</f>
        <v>56.214</v>
      </c>
      <c r="D4508" s="38" t="n">
        <f aca="false">Sens!$D$4420</f>
        <v>68.635</v>
      </c>
      <c r="E4508" s="38" t="n">
        <f aca="false">Sens!$E$4420</f>
        <v>37.052</v>
      </c>
      <c r="F4508" s="38" t="n">
        <f aca="false">Sens!$F$4420</f>
        <v>48.1533381827382</v>
      </c>
      <c r="G4508" s="38" t="n">
        <f aca="false">Sens!$G$4420</f>
        <v>85.2053381827382</v>
      </c>
      <c r="H4508" s="38" t="n">
        <f aca="false">Sens!$H$4420</f>
        <v>102.29336185894</v>
      </c>
      <c r="I4508" s="38" t="n">
        <f aca="false">Sens!$I$4420</f>
        <v>119.379837585241</v>
      </c>
      <c r="J4508" s="38" t="n">
        <f aca="false">Sens!$J$4420</f>
        <v>135.319079048844</v>
      </c>
      <c r="K4508" s="38" t="n">
        <f aca="false">Sens!$K$4420</f>
        <v>148.850986953729</v>
      </c>
      <c r="L4508" s="38" t="n">
        <f aca="false">Sens!$L$4420</f>
        <v>163.736085649102</v>
      </c>
      <c r="M4508" s="38" t="n">
        <f aca="false">Sens!$M$4420</f>
        <v>180.109694214012</v>
      </c>
      <c r="N4508" s="38" t="n">
        <f aca="false">Sens!$N$4420</f>
        <v>29.615</v>
      </c>
      <c r="O4508" s="38" t="n">
        <f aca="false">Sens!$O$4420</f>
        <v>39.02</v>
      </c>
    </row>
    <row r="4509" customFormat="false" ht="15" hidden="false" customHeight="false" outlineLevel="0" collapsed="false">
      <c r="A4509" s="0" t="s">
        <v>483</v>
      </c>
      <c r="B4509" s="0" t="s">
        <v>73</v>
      </c>
      <c r="C4509" s="38" t="n">
        <f aca="false">Sens!$C$4422</f>
        <v>44.374</v>
      </c>
      <c r="D4509" s="38" t="n">
        <f aca="false">Sens!$D$4422</f>
        <v>49.619</v>
      </c>
      <c r="E4509" s="38" t="n">
        <f aca="false">Sens!$E$4422</f>
        <v>27.157</v>
      </c>
      <c r="F4509" s="38" t="n">
        <f aca="false">Sens!$F$4422</f>
        <v>28.9776360923374</v>
      </c>
      <c r="G4509" s="38" t="n">
        <f aca="false">Sens!$G$4422</f>
        <v>56.1346360923374</v>
      </c>
      <c r="H4509" s="38" t="n">
        <f aca="false">Sens!$H$4422</f>
        <v>62.4937078946075</v>
      </c>
      <c r="I4509" s="38" t="n">
        <f aca="false">Sens!$I$4422</f>
        <v>68.6715233062498</v>
      </c>
      <c r="J4509" s="38" t="n">
        <f aca="false">Sens!$J$4422</f>
        <v>74.4692882949818</v>
      </c>
      <c r="K4509" s="38" t="n">
        <f aca="false">Sens!$K$4422</f>
        <v>79.6821384756306</v>
      </c>
      <c r="L4509" s="38" t="n">
        <f aca="false">Sens!$L$4422</f>
        <v>85.2598881689247</v>
      </c>
      <c r="M4509" s="38" t="n">
        <f aca="false">Sens!$M$4422</f>
        <v>91.2280803407494</v>
      </c>
      <c r="N4509" s="38" t="n">
        <f aca="false">Sens!$N$4422</f>
        <v>23.923</v>
      </c>
      <c r="O4509" s="38" t="n">
        <f aca="false">Sens!$O$4422</f>
        <v>25.696</v>
      </c>
    </row>
    <row r="4510" customFormat="false" ht="15" hidden="false" customHeight="false" outlineLevel="0" collapsed="false">
      <c r="A4510" s="0" t="s">
        <v>484</v>
      </c>
      <c r="B4510" s="0" t="s">
        <v>73</v>
      </c>
      <c r="C4510" s="38" t="n">
        <f aca="false">Sens!$C$4424</f>
        <v>5.425</v>
      </c>
      <c r="D4510" s="38" t="n">
        <f aca="false">Sens!$D$4424</f>
        <v>5.935</v>
      </c>
      <c r="E4510" s="38" t="n">
        <f aca="false">Sens!$E$4424</f>
        <v>3.474</v>
      </c>
      <c r="F4510" s="38" t="n">
        <f aca="false">Sens!$F$4424</f>
        <v>3.36182431966931</v>
      </c>
      <c r="G4510" s="38" t="n">
        <f aca="false">Sens!$G$4424</f>
        <v>6.83582431966931</v>
      </c>
      <c r="H4510" s="38" t="n">
        <f aca="false">Sens!$H$4424</f>
        <v>7.31157108370141</v>
      </c>
      <c r="I4510" s="38" t="n">
        <f aca="false">Sens!$I$4424</f>
        <v>7.77266852639815</v>
      </c>
      <c r="J4510" s="38" t="n">
        <f aca="false">Sens!$J$4424</f>
        <v>8.2120733019884</v>
      </c>
      <c r="K4510" s="38" t="n">
        <f aca="false">Sens!$K$4424</f>
        <v>8.62267696708783</v>
      </c>
      <c r="L4510" s="38" t="n">
        <f aca="false">Sens!$L$4424</f>
        <v>9.05381081544222</v>
      </c>
      <c r="M4510" s="38" t="n">
        <f aca="false">Sens!$M$4424</f>
        <v>9.50650135621433</v>
      </c>
      <c r="N4510" s="38" t="n">
        <f aca="false">Sens!$N$4424</f>
        <v>2.811</v>
      </c>
      <c r="O4510" s="38" t="n">
        <f aca="false">Sens!$O$4424</f>
        <v>3.124</v>
      </c>
    </row>
    <row r="4511" customFormat="false" ht="17.15" hidden="false" customHeight="false" outlineLevel="0" collapsed="false">
      <c r="A4511" s="0" t="s">
        <v>670</v>
      </c>
      <c r="B4511" s="0" t="s">
        <v>73</v>
      </c>
      <c r="C4511" s="38" t="n">
        <f aca="false">Sens!$C$4492</f>
        <v>107.556</v>
      </c>
      <c r="D4511" s="38" t="n">
        <f aca="false">Sens!$D$4492</f>
        <v>128.725</v>
      </c>
      <c r="E4511" s="38" t="n">
        <f aca="false">Sens!$E$4492</f>
        <v>79.819</v>
      </c>
      <c r="F4511" s="38" t="n">
        <f aca="false">Sens!$F$4492</f>
        <v>93.5584440633857</v>
      </c>
      <c r="G4511" s="38" t="n">
        <f aca="false">Sens!$G$4492</f>
        <v>173.377444063386</v>
      </c>
      <c r="H4511" s="38" t="n">
        <f aca="false">Sens!$H$4492</f>
        <v>241.059451517916</v>
      </c>
      <c r="I4511" s="38" t="n">
        <f aca="false">Sens!$I$4492</f>
        <v>312.152096351442</v>
      </c>
      <c r="J4511" s="38" t="n">
        <f aca="false">Sens!$J$4492</f>
        <v>379.424316597773</v>
      </c>
      <c r="K4511" s="38" t="n">
        <f aca="false">Sens!$K$4492</f>
        <v>439.919237244402</v>
      </c>
      <c r="L4511" s="38" t="n">
        <f aca="false">Sens!$L$4492</f>
        <v>501.954974491517</v>
      </c>
      <c r="M4511" s="38" t="n">
        <f aca="false">Sens!$M$4492</f>
        <v>565.639704466895</v>
      </c>
      <c r="N4511" s="38" t="n">
        <f aca="false">Sens!$N$4492</f>
        <v>60.14</v>
      </c>
      <c r="O4511" s="38" t="n">
        <f aca="false">Sens!$O$4492</f>
        <v>68.585</v>
      </c>
    </row>
    <row r="4512" customFormat="false" ht="15" hidden="false" customHeight="false" outlineLevel="0" collapsed="false">
      <c r="A4512" s="1" t="s">
        <v>472</v>
      </c>
      <c r="B4512" s="8" t="s">
        <v>73</v>
      </c>
      <c r="C4512" s="38" t="n">
        <f aca="false">Sens!$C$4428</f>
        <v>387.497</v>
      </c>
      <c r="D4512" s="38" t="n">
        <f aca="false">Sens!$D$4428</f>
        <v>426.305</v>
      </c>
      <c r="E4512" s="38" t="n">
        <f aca="false">Sens!$E$4428</f>
        <v>220.32</v>
      </c>
      <c r="F4512" s="38" t="n">
        <f aca="false">Sens!$F$4428</f>
        <v>256.304015003807</v>
      </c>
      <c r="G4512" s="38" t="n">
        <f aca="false">Sens!$G$4428</f>
        <v>476.624015003807</v>
      </c>
      <c r="H4512" s="38" t="n">
        <f aca="false">Sens!$H$4428</f>
        <v>527.734391091543</v>
      </c>
      <c r="I4512" s="38" t="n">
        <f aca="false">Sens!$I$4428</f>
        <v>577.157693029577</v>
      </c>
      <c r="J4512" s="38" t="n">
        <f aca="false">Sens!$J$4428</f>
        <v>623.024923663827</v>
      </c>
      <c r="K4512" s="38" t="n">
        <f aca="false">Sens!$K$4428</f>
        <v>663.382568393781</v>
      </c>
      <c r="L4512" s="38" t="n">
        <f aca="false">Sens!$L$4428</f>
        <v>706.564873010432</v>
      </c>
      <c r="M4512" s="38" t="n">
        <f aca="false">Sens!$M$4428</f>
        <v>752.784687406019</v>
      </c>
      <c r="N4512" s="38" t="n">
        <f aca="false">Sens!$N$4428</f>
        <v>192.955</v>
      </c>
      <c r="O4512" s="38" t="n">
        <f aca="false">Sens!$O$4428</f>
        <v>233.35</v>
      </c>
    </row>
    <row r="4513" customFormat="false" ht="15" hidden="false" customHeight="false" outlineLevel="0" collapsed="false">
      <c r="A4513" s="1" t="s">
        <v>475</v>
      </c>
      <c r="B4513" s="8" t="s">
        <v>73</v>
      </c>
      <c r="C4513" s="38" t="n">
        <f aca="false">Sens!$C$4429</f>
        <v>142.906</v>
      </c>
      <c r="D4513" s="38" t="n">
        <f aca="false">Sens!$D$4429</f>
        <v>161.894</v>
      </c>
      <c r="E4513" s="38" t="n">
        <f aca="false">Sens!$E$4429</f>
        <v>81.986</v>
      </c>
      <c r="F4513" s="38" t="n">
        <f aca="false">Sens!$F$4429</f>
        <v>100.632414204623</v>
      </c>
      <c r="G4513" s="38" t="n">
        <f aca="false">Sens!$G$4429</f>
        <v>182.618414204623</v>
      </c>
      <c r="H4513" s="38" t="n">
        <f aca="false">Sens!$H$4429</f>
        <v>202.201346530158</v>
      </c>
      <c r="I4513" s="38" t="n">
        <f aca="false">Sens!$I$4429</f>
        <v>221.137876668296</v>
      </c>
      <c r="J4513" s="38" t="n">
        <f aca="false">Sens!$J$4429</f>
        <v>238.711898661958</v>
      </c>
      <c r="K4513" s="38" t="n">
        <f aca="false">Sens!$K$4429</f>
        <v>254.174923708144</v>
      </c>
      <c r="L4513" s="38" t="n">
        <f aca="false">Sens!$L$4429</f>
        <v>270.720216732733</v>
      </c>
      <c r="M4513" s="38" t="n">
        <f aca="false">Sens!$M$4429</f>
        <v>288.429331137484</v>
      </c>
      <c r="N4513" s="38" t="n">
        <f aca="false">Sens!$N$4429</f>
        <v>70.274</v>
      </c>
      <c r="O4513" s="38" t="n">
        <f aca="false">Sens!$O$4429</f>
        <v>91.62</v>
      </c>
    </row>
    <row r="4514" customFormat="false" ht="15" hidden="false" customHeight="false" outlineLevel="0" collapsed="false">
      <c r="A4514" s="1" t="s">
        <v>476</v>
      </c>
      <c r="B4514" s="8" t="s">
        <v>73</v>
      </c>
      <c r="C4514" s="38" t="n">
        <f aca="false">Sens!$C$4492</f>
        <v>107.556</v>
      </c>
      <c r="D4514" s="38" t="n">
        <f aca="false">Sens!$D$4492</f>
        <v>128.725</v>
      </c>
      <c r="E4514" s="38" t="n">
        <f aca="false">Sens!$E$4492</f>
        <v>79.819</v>
      </c>
      <c r="F4514" s="38" t="n">
        <f aca="false">Sens!$F$4492</f>
        <v>93.5584440633857</v>
      </c>
      <c r="G4514" s="38" t="n">
        <f aca="false">Sens!$G$4492</f>
        <v>173.377444063386</v>
      </c>
      <c r="H4514" s="38" t="n">
        <f aca="false">Sens!$H$4492</f>
        <v>241.059451517916</v>
      </c>
      <c r="I4514" s="38" t="n">
        <f aca="false">Sens!$I$4492</f>
        <v>312.152096351442</v>
      </c>
      <c r="J4514" s="38" t="n">
        <f aca="false">Sens!$J$4492</f>
        <v>379.424316597773</v>
      </c>
      <c r="K4514" s="38" t="n">
        <f aca="false">Sens!$K$4492</f>
        <v>439.919237244402</v>
      </c>
      <c r="L4514" s="38" t="n">
        <f aca="false">Sens!$L$4492</f>
        <v>501.954974491517</v>
      </c>
      <c r="M4514" s="38" t="n">
        <f aca="false">Sens!$M$4492</f>
        <v>565.639704466895</v>
      </c>
      <c r="N4514" s="38" t="n">
        <f aca="false">Sens!$N$4492</f>
        <v>60.14</v>
      </c>
      <c r="O4514" s="38" t="n">
        <f aca="false">Sens!$O$4492</f>
        <v>68.585</v>
      </c>
    </row>
    <row r="4515" customFormat="false" ht="17.15" hidden="false" customHeight="false" outlineLevel="0" collapsed="false">
      <c r="A4515" s="0" t="s">
        <v>644</v>
      </c>
      <c r="B4515" s="0" t="s">
        <v>73</v>
      </c>
      <c r="C4515" s="38" t="n">
        <f aca="false">Sens!$C$4490</f>
        <v>2.32100535697364</v>
      </c>
      <c r="D4515" s="38" t="n">
        <f aca="false">Sens!$D$4490</f>
        <v>8.70377008865116</v>
      </c>
      <c r="E4515" s="38" t="n">
        <f aca="false">Sens!$E$4490</f>
        <v>8.51035297557002</v>
      </c>
      <c r="F4515" s="38" t="n">
        <f aca="false">Sens!$F$4490</f>
        <v>14.9634336447205</v>
      </c>
      <c r="G4515" s="38" t="n">
        <f aca="false">Sens!$G$4490</f>
        <v>23.4737866202905</v>
      </c>
      <c r="H4515" s="38" t="n">
        <f aca="false">Sens!$H$4490</f>
        <v>60.1658907497746</v>
      </c>
      <c r="I4515" s="38" t="n">
        <f aca="false">Sens!$I$4490</f>
        <v>101.503699136432</v>
      </c>
      <c r="J4515" s="38" t="n">
        <f aca="false">Sens!$J$4490</f>
        <v>143.025407151278</v>
      </c>
      <c r="K4515" s="38" t="n">
        <f aca="false">Sens!$K$4490</f>
        <v>184.608415042187</v>
      </c>
      <c r="L4515" s="38" t="n">
        <f aca="false">Sens!$L$4490</f>
        <v>226.219286513125</v>
      </c>
      <c r="M4515" s="38" t="n">
        <f aca="false">Sens!$M$4490</f>
        <v>267.845161450232</v>
      </c>
      <c r="N4515" s="38" t="n">
        <f aca="false">Sens!$N$4490</f>
        <v>3.04631953102791</v>
      </c>
      <c r="O4515" s="38" t="n">
        <f aca="false">Sens!$O$4490</f>
        <v>5.65745055762326</v>
      </c>
    </row>
    <row r="4516" customFormat="false" ht="17.15" hidden="false" customHeight="false" outlineLevel="0" collapsed="false">
      <c r="A4516" s="0" t="s">
        <v>646</v>
      </c>
      <c r="B4516" s="0" t="s">
        <v>73</v>
      </c>
      <c r="C4516" s="38" t="n">
        <f aca="false">Sens!$C$4491</f>
        <v>105.234994643026</v>
      </c>
      <c r="D4516" s="38" t="n">
        <f aca="false">Sens!$D$4491</f>
        <v>120.021229911349</v>
      </c>
      <c r="E4516" s="38" t="n">
        <f aca="false">Sens!$E$4491</f>
        <v>71.30864702443</v>
      </c>
      <c r="F4516" s="38" t="n">
        <f aca="false">Sens!$F$4491</f>
        <v>78.5950104186653</v>
      </c>
      <c r="G4516" s="38" t="n">
        <f aca="false">Sens!$G$4491</f>
        <v>149.903657443095</v>
      </c>
      <c r="H4516" s="38" t="n">
        <f aca="false">Sens!$H$4491</f>
        <v>180.893560768142</v>
      </c>
      <c r="I4516" s="38" t="n">
        <f aca="false">Sens!$I$4491</f>
        <v>210.64839721501</v>
      </c>
      <c r="J4516" s="38" t="n">
        <f aca="false">Sens!$J$4491</f>
        <v>236.398909446495</v>
      </c>
      <c r="K4516" s="38" t="n">
        <f aca="false">Sens!$K$4491</f>
        <v>255.310822202215</v>
      </c>
      <c r="L4516" s="38" t="n">
        <f aca="false">Sens!$L$4491</f>
        <v>275.735687978392</v>
      </c>
      <c r="M4516" s="38" t="n">
        <f aca="false">Sens!$M$4491</f>
        <v>297.794543016663</v>
      </c>
      <c r="N4516" s="38" t="n">
        <f aca="false">Sens!$N$4491</f>
        <v>57.0936804689721</v>
      </c>
      <c r="O4516" s="38" t="n">
        <f aca="false">Sens!$O$4491</f>
        <v>62.9275494423768</v>
      </c>
    </row>
    <row r="4517" customFormat="false" ht="15" hidden="false" customHeight="false" outlineLevel="0" collapsed="false">
      <c r="A4517" s="3" t="s">
        <v>477</v>
      </c>
      <c r="B4517" s="8" t="s">
        <v>73</v>
      </c>
      <c r="C4517" s="38" t="n">
        <f aca="false">Sens!$C$4493</f>
        <v>637.959</v>
      </c>
      <c r="D4517" s="38" t="n">
        <f aca="false">Sens!$D$4493</f>
        <v>716.924</v>
      </c>
      <c r="E4517" s="38" t="n">
        <f aca="false">Sens!$E$4493</f>
        <v>382.125</v>
      </c>
      <c r="F4517" s="38" t="n">
        <f aca="false">Sens!$F$4493</f>
        <v>450.494873271816</v>
      </c>
      <c r="G4517" s="38" t="n">
        <f aca="false">Sens!$G$4493</f>
        <v>832.619873271816</v>
      </c>
      <c r="H4517" s="38" t="n">
        <f aca="false">Sens!$H$4493</f>
        <v>970.995189139617</v>
      </c>
      <c r="I4517" s="38" t="n">
        <f aca="false">Sens!$I$4493</f>
        <v>1110.44766604932</v>
      </c>
      <c r="J4517" s="38" t="n">
        <f aca="false">Sens!$J$4493</f>
        <v>1241.16113892356</v>
      </c>
      <c r="K4517" s="38" t="n">
        <f aca="false">Sens!$K$4493</f>
        <v>1357.47672934633</v>
      </c>
      <c r="L4517" s="38" t="n">
        <f aca="false">Sens!$L$4493</f>
        <v>1479.24006423468</v>
      </c>
      <c r="M4517" s="38" t="n">
        <f aca="false">Sens!$M$4493</f>
        <v>1606.8537230104</v>
      </c>
      <c r="N4517" s="38" t="n">
        <f aca="false">Sens!$N$4493</f>
        <v>323.369</v>
      </c>
      <c r="O4517" s="38" t="n">
        <f aca="false">Sens!$O$4493</f>
        <v>393.555</v>
      </c>
    </row>
    <row r="4518" customFormat="false" ht="17.15" hidden="false" customHeight="false" outlineLevel="0" collapsed="false">
      <c r="A4518" s="24" t="s">
        <v>656</v>
      </c>
      <c r="B4518" s="25" t="s">
        <v>73</v>
      </c>
      <c r="C4518" s="39" t="n">
        <f aca="false">Sens!$C$4505+Sens!$C$4506+Sens!$C$4507+Sens!$C$4508+Sens!$C$4509+Sens!$C$4510-(Sens!$C$4512+Sens!$C$4513)</f>
        <v>0</v>
      </c>
      <c r="D4518" s="39" t="n">
        <f aca="false">Sens!$D$4505+Sens!$D$4506+Sens!$D$4507+Sens!$D$4508+Sens!$D$4509+Sens!$D$4510-(Sens!$D$4512+Sens!$D$4513)</f>
        <v>0</v>
      </c>
      <c r="E4518" s="39" t="n">
        <f aca="false">Sens!$E$4505+Sens!$E$4506+Sens!$E$4507+Sens!$E$4508+Sens!$E$4509+Sens!$E$4510-(Sens!$E$4512+Sens!$E$4513)</f>
        <v>0</v>
      </c>
      <c r="F4518" s="39" t="n">
        <f aca="false">Sens!$F$4505+Sens!$F$4506+Sens!$F$4507+Sens!$F$4508+Sens!$F$4509+Sens!$F$4510-(Sens!$F$4512+Sens!$F$4513)</f>
        <v>0</v>
      </c>
      <c r="G4518" s="39" t="n">
        <f aca="false">Sens!$G$4505+Sens!$G$4506+Sens!$G$4507+Sens!$G$4508+Sens!$G$4509+Sens!$G$4510-(Sens!$G$4512+Sens!$G$4513)</f>
        <v>0</v>
      </c>
      <c r="H4518" s="39" t="n">
        <f aca="false">Sens!$H$4505+Sens!$H$4506+Sens!$H$4507+Sens!$H$4508+Sens!$H$4509+Sens!$H$4510-(Sens!$H$4512+Sens!$H$4513)</f>
        <v>0</v>
      </c>
      <c r="I4518" s="39" t="n">
        <f aca="false">Sens!$I$4505+Sens!$I$4506+Sens!$I$4507+Sens!$I$4508+Sens!$I$4509+Sens!$I$4510-(Sens!$I$4512+Sens!$I$4513)</f>
        <v>0</v>
      </c>
      <c r="J4518" s="39" t="n">
        <f aca="false">Sens!$J$4505+Sens!$J$4506+Sens!$J$4507+Sens!$J$4508+Sens!$J$4509+Sens!$J$4510-(Sens!$J$4512+Sens!$J$4513)</f>
        <v>0</v>
      </c>
      <c r="K4518" s="39" t="n">
        <f aca="false">Sens!$K$4505+Sens!$K$4506+Sens!$K$4507+Sens!$K$4508+Sens!$K$4509+Sens!$K$4510-(Sens!$K$4512+Sens!$K$4513)</f>
        <v>0</v>
      </c>
      <c r="L4518" s="39" t="n">
        <f aca="false">Sens!$L$4505+Sens!$L$4506+Sens!$L$4507+Sens!$L$4508+Sens!$L$4509+Sens!$L$4510-(Sens!$L$4512+Sens!$L$4513)</f>
        <v>0</v>
      </c>
      <c r="M4518" s="39" t="n">
        <f aca="false">Sens!$M$4505+Sens!$M$4506+Sens!$M$4507+Sens!$M$4508+Sens!$M$4509+Sens!$M$4510-(Sens!$M$4512+Sens!$M$4513)</f>
        <v>0</v>
      </c>
      <c r="N4518" s="39" t="n">
        <f aca="false">Sens!$N$4505+Sens!$N$4506+Sens!$N$4507+Sens!$N$4508+Sens!$N$4509+Sens!$N$4510-(Sens!$N$4512+Sens!$N$4513)</f>
        <v>0</v>
      </c>
      <c r="O4518" s="39" t="n">
        <f aca="false">Sens!$O$4505+Sens!$O$4506+Sens!$O$4507+Sens!$O$4508+Sens!$O$4509+Sens!$O$4510-(Sens!$O$4512+Sens!$O$4513)</f>
        <v>0</v>
      </c>
    </row>
    <row r="4519" customFormat="false" ht="17.15" hidden="false" customHeight="false" outlineLevel="0" collapsed="false">
      <c r="A4519" s="24" t="s">
        <v>657</v>
      </c>
      <c r="B4519" s="25" t="s">
        <v>73</v>
      </c>
      <c r="C4519" s="39" t="n">
        <f aca="false">Sens!$C$4515+Sens!$C$4516-Sens!$C$4514</f>
        <v>0</v>
      </c>
      <c r="D4519" s="39" t="n">
        <f aca="false">Sens!$D$4515+Sens!$D$4516-Sens!$D$4514</f>
        <v>0</v>
      </c>
      <c r="E4519" s="39" t="n">
        <f aca="false">Sens!$E$4515+Sens!$E$4516-Sens!$E$4514</f>
        <v>0</v>
      </c>
      <c r="F4519" s="39" t="n">
        <f aca="false">Sens!$F$4515+Sens!$F$4516-Sens!$F$4514</f>
        <v>0</v>
      </c>
      <c r="G4519" s="39" t="n">
        <f aca="false">Sens!$G$4515+Sens!$G$4516-Sens!$G$4514</f>
        <v>0</v>
      </c>
      <c r="H4519" s="39" t="n">
        <f aca="false">Sens!$H$4515+Sens!$H$4516-Sens!$H$4514</f>
        <v>0</v>
      </c>
      <c r="I4519" s="39" t="n">
        <f aca="false">Sens!$I$4515+Sens!$I$4516-Sens!$I$4514</f>
        <v>0</v>
      </c>
      <c r="J4519" s="39" t="n">
        <f aca="false">Sens!$J$4515+Sens!$J$4516-Sens!$J$4514</f>
        <v>0</v>
      </c>
      <c r="K4519" s="39" t="n">
        <f aca="false">Sens!$K$4515+Sens!$K$4516-Sens!$K$4514</f>
        <v>0</v>
      </c>
      <c r="L4519" s="39" t="n">
        <f aca="false">Sens!$L$4515+Sens!$L$4516-Sens!$L$4514</f>
        <v>0</v>
      </c>
      <c r="M4519" s="39" t="n">
        <f aca="false">Sens!$M$4515+Sens!$M$4516-Sens!$M$4514</f>
        <v>0</v>
      </c>
      <c r="N4519" s="39" t="n">
        <f aca="false">Sens!$N$4515+Sens!$N$4516-Sens!$N$4514</f>
        <v>0</v>
      </c>
      <c r="O4519" s="39" t="n">
        <f aca="false">Sens!$O$4515+Sens!$O$4516-Sens!$O$4514</f>
        <v>0</v>
      </c>
    </row>
    <row r="4520" customFormat="false" ht="17.15" hidden="false" customHeight="false" outlineLevel="0" collapsed="false">
      <c r="A4520" s="24" t="s">
        <v>711</v>
      </c>
      <c r="B4520" s="25" t="s">
        <v>73</v>
      </c>
      <c r="C4520" s="39" t="n">
        <f aca="false">Sens!$C$4505+Sens!$C$4506+Sens!$C$4507+Sens!$C$4508+Sens!$C$4509+Sens!$C$4510+Sens!$C$4511-Sens!$C$4517</f>
        <v>0</v>
      </c>
      <c r="D4520" s="39" t="n">
        <f aca="false">Sens!$D$4505+Sens!$D$4506+Sens!$D$4507+Sens!$D$4508+Sens!$D$4509+Sens!$D$4510+Sens!$D$4511-Sens!$D$4517</f>
        <v>0</v>
      </c>
      <c r="E4520" s="39" t="n">
        <f aca="false">Sens!$E$4505+Sens!$E$4506+Sens!$E$4507+Sens!$E$4508+Sens!$E$4509+Sens!$E$4510+Sens!$E$4511-Sens!$E$4517</f>
        <v>0</v>
      </c>
      <c r="F4520" s="39" t="n">
        <f aca="false">Sens!$F$4505+Sens!$F$4506+Sens!$F$4507+Sens!$F$4508+Sens!$F$4509+Sens!$F$4510+Sens!$F$4511-Sens!$F$4517</f>
        <v>0</v>
      </c>
      <c r="G4520" s="39" t="n">
        <f aca="false">Sens!$G$4505+Sens!$G$4506+Sens!$G$4507+Sens!$G$4508+Sens!$G$4509+Sens!$G$4510+Sens!$G$4511-Sens!$G$4517</f>
        <v>0</v>
      </c>
      <c r="H4520" s="39" t="n">
        <f aca="false">Sens!$H$4505+Sens!$H$4506+Sens!$H$4507+Sens!$H$4508+Sens!$H$4509+Sens!$H$4510+Sens!$H$4511-Sens!$H$4517</f>
        <v>0</v>
      </c>
      <c r="I4520" s="39" t="n">
        <f aca="false">Sens!$I$4505+Sens!$I$4506+Sens!$I$4507+Sens!$I$4508+Sens!$I$4509+Sens!$I$4510+Sens!$I$4511-Sens!$I$4517</f>
        <v>0</v>
      </c>
      <c r="J4520" s="39" t="n">
        <f aca="false">Sens!$J$4505+Sens!$J$4506+Sens!$J$4507+Sens!$J$4508+Sens!$J$4509+Sens!$J$4510+Sens!$J$4511-Sens!$J$4517</f>
        <v>0</v>
      </c>
      <c r="K4520" s="39" t="n">
        <f aca="false">Sens!$K$4505+Sens!$K$4506+Sens!$K$4507+Sens!$K$4508+Sens!$K$4509+Sens!$K$4510+Sens!$K$4511-Sens!$K$4517</f>
        <v>0</v>
      </c>
      <c r="L4520" s="39" t="n">
        <f aca="false">Sens!$L$4505+Sens!$L$4506+Sens!$L$4507+Sens!$L$4508+Sens!$L$4509+Sens!$L$4510+Sens!$L$4511-Sens!$L$4517</f>
        <v>0</v>
      </c>
      <c r="M4520" s="39" t="n">
        <f aca="false">Sens!$M$4505+Sens!$M$4506+Sens!$M$4507+Sens!$M$4508+Sens!$M$4509+Sens!$M$4510+Sens!$M$4511-Sens!$M$4517</f>
        <v>0</v>
      </c>
      <c r="N4520" s="39" t="n">
        <f aca="false">Sens!$N$4505+Sens!$N$4506+Sens!$N$4507+Sens!$N$4508+Sens!$N$4509+Sens!$N$4510+Sens!$N$4511-Sens!$N$4517</f>
        <v>0</v>
      </c>
      <c r="O4520" s="39" t="n">
        <f aca="false">Sens!$O$4505+Sens!$O$4506+Sens!$O$4507+Sens!$O$4508+Sens!$O$4509+Sens!$O$4510+Sens!$O$4511-Sens!$O$4517</f>
        <v>0</v>
      </c>
    </row>
    <row r="4521" customFormat="false" ht="17.15" hidden="false" customHeight="false" outlineLevel="0" collapsed="false">
      <c r="A4521" s="24" t="s">
        <v>658</v>
      </c>
      <c r="B4521" s="25" t="s">
        <v>73</v>
      </c>
      <c r="C4521" s="39" t="n">
        <f aca="false">Sens!$C$4512+Sens!$C$4513+Sens!$C$4514-Sens!$C$4517</f>
        <v>0</v>
      </c>
      <c r="D4521" s="39" t="n">
        <f aca="false">Sens!$D$4512+Sens!$D$4513+Sens!$D$4514-Sens!$D$4517</f>
        <v>0</v>
      </c>
      <c r="E4521" s="39" t="n">
        <f aca="false">Sens!$E$4512+Sens!$E$4513+Sens!$E$4514-Sens!$E$4517</f>
        <v>0</v>
      </c>
      <c r="F4521" s="39" t="n">
        <f aca="false">Sens!$F$4512+Sens!$F$4513+Sens!$F$4514-Sens!$F$4517</f>
        <v>0</v>
      </c>
      <c r="G4521" s="39" t="n">
        <f aca="false">Sens!$G$4512+Sens!$G$4513+Sens!$G$4514-Sens!$G$4517</f>
        <v>0</v>
      </c>
      <c r="H4521" s="39" t="n">
        <f aca="false">Sens!$H$4512+Sens!$H$4513+Sens!$H$4514-Sens!$H$4517</f>
        <v>0</v>
      </c>
      <c r="I4521" s="39" t="n">
        <f aca="false">Sens!$I$4512+Sens!$I$4513+Sens!$I$4514-Sens!$I$4517</f>
        <v>0</v>
      </c>
      <c r="J4521" s="39" t="n">
        <f aca="false">Sens!$J$4512+Sens!$J$4513+Sens!$J$4514-Sens!$J$4517</f>
        <v>0</v>
      </c>
      <c r="K4521" s="39" t="n">
        <f aca="false">Sens!$K$4512+Sens!$K$4513+Sens!$K$4514-Sens!$K$4517</f>
        <v>0</v>
      </c>
      <c r="L4521" s="39" t="n">
        <f aca="false">Sens!$L$4512+Sens!$L$4513+Sens!$L$4514-Sens!$L$4517</f>
        <v>0</v>
      </c>
      <c r="M4521" s="39" t="n">
        <f aca="false">Sens!$M$4512+Sens!$M$4513+Sens!$M$4514-Sens!$M$4517</f>
        <v>0</v>
      </c>
      <c r="N4521" s="39" t="n">
        <f aca="false">Sens!$N$4512+Sens!$N$4513+Sens!$N$4514-Sens!$N$4517</f>
        <v>0</v>
      </c>
      <c r="O4521" s="39" t="n">
        <f aca="false">Sens!$O$4512+Sens!$O$4513+Sens!$O$4514-Sens!$O$4517</f>
        <v>0</v>
      </c>
    </row>
    <row r="4522" customFormat="false" ht="17.15" hidden="false" customHeight="false" outlineLevel="0" collapsed="false">
      <c r="A4522" s="1" t="s">
        <v>672</v>
      </c>
    </row>
    <row r="4523" customFormat="false" ht="17.15" hidden="false" customHeight="false" outlineLevel="0" collapsed="false">
      <c r="A4523" s="0" t="s">
        <v>673</v>
      </c>
      <c r="B4523" s="0" t="s">
        <v>73</v>
      </c>
      <c r="C4523" s="38" t="n">
        <f aca="false">Sens!$C$4430*m_ad</f>
        <v>20.5341564414228</v>
      </c>
      <c r="D4523" s="38" t="n">
        <f aca="false">Sens!$D$4430*m_ad</f>
        <v>24.8720617299587</v>
      </c>
      <c r="E4523" s="38" t="n">
        <f aca="false">Sens!$E$4430*m_ad</f>
        <v>13.5017112462207</v>
      </c>
      <c r="F4523" s="38" t="n">
        <f aca="false">Sens!$F$4430*m_ad</f>
        <v>17.2886442824599</v>
      </c>
      <c r="G4523" s="38" t="n">
        <f aca="false">Sens!$G$4430*m_ad</f>
        <v>30.8011958765886</v>
      </c>
      <c r="H4523" s="38" t="n">
        <f aca="false">Sens!$H$4430*m_ad</f>
        <v>36.978409366026</v>
      </c>
      <c r="I4523" s="38" t="n">
        <f aca="false">Sens!$I$4430*m_ad</f>
        <v>43.155063281273</v>
      </c>
      <c r="J4523" s="38" t="n">
        <f aca="false">Sens!$J$4430*m_ad</f>
        <v>48.9169991988532</v>
      </c>
      <c r="K4523" s="38" t="n">
        <f aca="false">Sens!$K$4430*m_ad</f>
        <v>53.8086991187386</v>
      </c>
      <c r="L4523" s="38" t="n">
        <f aca="false">Sens!$L$4430*m_ad</f>
        <v>59.1895690306124</v>
      </c>
      <c r="M4523" s="38" t="n">
        <f aca="false">Sens!$M$4430*m_ad</f>
        <v>65.1085259336737</v>
      </c>
      <c r="N4523" s="38" t="n">
        <f aca="false">Sens!$N$4430*m_ad</f>
        <v>10.8543555706248</v>
      </c>
      <c r="O4523" s="38" t="n">
        <f aca="false">Sens!$O$4430*m_ad</f>
        <v>14.0094731821399</v>
      </c>
    </row>
    <row r="4524" customFormat="false" ht="17.15" hidden="false" customHeight="false" outlineLevel="0" collapsed="false">
      <c r="A4524" s="0" t="s">
        <v>674</v>
      </c>
      <c r="B4524" s="0" t="s">
        <v>73</v>
      </c>
      <c r="C4524" s="38" t="n">
        <f aca="false">Sens!$C$4428-Sens!$C$4430</f>
        <v>346.428687117154</v>
      </c>
      <c r="D4524" s="38" t="n">
        <f aca="false">Sens!$D$4428-Sens!$D$4430</f>
        <v>376.560876540083</v>
      </c>
      <c r="E4524" s="38" t="n">
        <f aca="false">Sens!$E$4428-Sens!$E$4430</f>
        <v>193.316577507559</v>
      </c>
      <c r="F4524" s="38" t="n">
        <f aca="false">Sens!$F$4428-Sens!$F$4430</f>
        <v>221.726726438887</v>
      </c>
      <c r="G4524" s="38" t="n">
        <f aca="false">Sens!$G$4428-Sens!$G$4430</f>
        <v>415.02162325063</v>
      </c>
      <c r="H4524" s="38" t="n">
        <f aca="false">Sens!$H$4428-Sens!$H$4430</f>
        <v>453.777572359491</v>
      </c>
      <c r="I4524" s="38" t="n">
        <f aca="false">Sens!$I$4428-Sens!$I$4430</f>
        <v>490.847566467031</v>
      </c>
      <c r="J4524" s="38" t="n">
        <f aca="false">Sens!$J$4428-Sens!$J$4430</f>
        <v>525.190925266121</v>
      </c>
      <c r="K4524" s="38" t="n">
        <f aca="false">Sens!$K$4428-Sens!$K$4430</f>
        <v>555.765170156304</v>
      </c>
      <c r="L4524" s="38" t="n">
        <f aca="false">Sens!$L$4428-Sens!$L$4430</f>
        <v>588.185734949207</v>
      </c>
      <c r="M4524" s="38" t="n">
        <f aca="false">Sens!$M$4428-Sens!$M$4430</f>
        <v>622.567635538672</v>
      </c>
      <c r="N4524" s="38" t="n">
        <f aca="false">Sens!$N$4428-Sens!$N$4430</f>
        <v>171.24628885875</v>
      </c>
      <c r="O4524" s="38" t="n">
        <f aca="false">Sens!$O$4428-Sens!$O$4430</f>
        <v>205.33105363572</v>
      </c>
    </row>
    <row r="4525" customFormat="false" ht="17.15" hidden="false" customHeight="false" outlineLevel="0" collapsed="false">
      <c r="A4525" s="0" t="s">
        <v>675</v>
      </c>
      <c r="B4525" s="0" t="s">
        <v>73</v>
      </c>
      <c r="C4525" s="38" t="n">
        <f aca="false">Sens!$C$4476*Sens!$C$4427</f>
        <v>0.123617442257179</v>
      </c>
      <c r="D4525" s="38" t="n">
        <f aca="false">Sens!$D$4476*Sens!$D$4427</f>
        <v>0.874366899302609</v>
      </c>
      <c r="E4525" s="38" t="n">
        <f aca="false">Sens!$E$4476*Sens!$E$4427</f>
        <v>1.29318830502574</v>
      </c>
      <c r="F4525" s="38" t="n">
        <f aca="false">Sens!$F$4476*Sens!$F$4427</f>
        <v>1.51802024162534</v>
      </c>
      <c r="G4525" s="38" t="n">
        <f aca="false">Sens!$G$4476*Sens!$G$4427</f>
        <v>2.81130189308167</v>
      </c>
      <c r="H4525" s="38" t="n">
        <f aca="false">Sens!$H$4476*Sens!$H$4427</f>
        <v>7.38966789318209</v>
      </c>
      <c r="I4525" s="38" t="n">
        <f aca="false">Sens!$I$4476*Sens!$I$4427</f>
        <v>12.8987443661473</v>
      </c>
      <c r="J4525" s="38" t="n">
        <f aca="false">Sens!$J$4476*Sens!$J$4427</f>
        <v>18.5570025453645</v>
      </c>
      <c r="K4525" s="38" t="n">
        <f aca="false">Sens!$K$4476*Sens!$K$4427</f>
        <v>24.3158972773405</v>
      </c>
      <c r="L4525" s="38" t="n">
        <f aca="false">Sens!$L$4476*Sens!$L$4427</f>
        <v>29.7827375558674</v>
      </c>
      <c r="M4525" s="38" t="n">
        <f aca="false">Sens!$M$4476*Sens!$M$4427</f>
        <v>35.3532344973194</v>
      </c>
      <c r="N4525" s="38" t="n">
        <f aca="false">Sens!$N$4476*Sens!$N$4427</f>
        <v>0.389180508437431</v>
      </c>
      <c r="O4525" s="38" t="n">
        <f aca="false">Sens!$O$4476*Sens!$O$4427</f>
        <v>0.485052120082802</v>
      </c>
    </row>
    <row r="4526" customFormat="false" ht="17.15" hidden="false" customHeight="false" outlineLevel="0" collapsed="false">
      <c r="A4526" s="0" t="s">
        <v>676</v>
      </c>
      <c r="B4526" s="0" t="s">
        <v>52</v>
      </c>
      <c r="C4526" s="28" t="n">
        <f aca="false">(Sens!$C$4527-Sens!$C$4523+Sens!$C$4525)/Sens!$C$4524</f>
        <v>0.0131526665379575</v>
      </c>
      <c r="D4526" s="28" t="n">
        <f aca="false">(Sens!$D$4527-Sens!$D$4523+Sens!$D$4525)/Sens!$D$4524</f>
        <v>0.0149280116962589</v>
      </c>
      <c r="E4526" s="28" t="n">
        <f aca="false">(Sens!$E$4527-Sens!$E$4523+Sens!$E$4525)/Sens!$E$4524</f>
        <v>0.0268030663774938</v>
      </c>
      <c r="F4526" s="28" t="n">
        <f aca="false">Sens!$O$4526+(Sens!$E$4526-Sens!$N$4526)</f>
        <v>0.0232379346966962</v>
      </c>
      <c r="G4526" s="28" t="n">
        <f aca="false">(Sens!$G$4527-Sens!$G$4523+Sens!$G$4525)/Sens!$G$4524</f>
        <v>0.0248738876928168</v>
      </c>
      <c r="H4526" s="28" t="n">
        <f aca="false">Sens!$G$4526+step_na</f>
        <v>0.0278738876928168</v>
      </c>
      <c r="I4526" s="28" t="n">
        <f aca="false">Sens!$H$4526+step_na</f>
        <v>0.0308738876928168</v>
      </c>
      <c r="J4526" s="28" t="n">
        <f aca="false">Sens!$I$4526+step_na</f>
        <v>0.0338738876928168</v>
      </c>
      <c r="K4526" s="28" t="n">
        <f aca="false">Sens!$J$4526+step_na</f>
        <v>0.0368738876928168</v>
      </c>
      <c r="L4526" s="28" t="n">
        <f aca="false">Sens!$K$4526</f>
        <v>0.0368738876928168</v>
      </c>
      <c r="M4526" s="28" t="n">
        <f aca="false">Sens!$L$4526</f>
        <v>0.0368738876928168</v>
      </c>
      <c r="N4526" s="28" t="n">
        <f aca="false">(Sens!$N$4527-Sens!$N$4523+Sens!$N$4525)/Sens!$N$4524</f>
        <v>0.0168927744775755</v>
      </c>
      <c r="O4526" s="28" t="n">
        <f aca="false">(Sens!$O$4527-Sens!$O$4523+Sens!$O$4525)/Sens!$O$4524</f>
        <v>0.0133276427967779</v>
      </c>
      <c r="P4526" s="8" t="s">
        <v>677</v>
      </c>
    </row>
    <row r="4527" customFormat="false" ht="17.15" hidden="false" customHeight="false" outlineLevel="0" collapsed="false">
      <c r="A4527" s="1" t="s">
        <v>678</v>
      </c>
      <c r="B4527" s="8" t="s">
        <v>73</v>
      </c>
      <c r="C4527" s="38" t="n">
        <f aca="false">Q!$D$22</f>
        <v>24.967</v>
      </c>
      <c r="D4527" s="38" t="n">
        <f aca="false">Q!$E$22</f>
        <v>29.619</v>
      </c>
      <c r="E4527" s="38" t="n">
        <f aca="false">Q!$P$22</f>
        <v>17.39</v>
      </c>
      <c r="F4527" s="38" t="n">
        <f aca="false">Sens!$F$4523+Sens!$F$4524*Sens!$F$4526-Sens!$F$4525</f>
        <v>20.9230952303336</v>
      </c>
      <c r="G4527" s="38" t="n">
        <f aca="false">Sens!$E$4527+Sens!$F$4527</f>
        <v>38.3130952303336</v>
      </c>
      <c r="H4527" s="38" t="n">
        <f aca="false">Sens!$H$4523+Sens!$H$4524*Sens!$H$4526-Sens!$H$4525</f>
        <v>42.2372865623114</v>
      </c>
      <c r="I4527" s="38" t="n">
        <f aca="false">Sens!$I$4523+Sens!$I$4524*Sens!$I$4526-Sens!$I$4525</f>
        <v>45.4106915565213</v>
      </c>
      <c r="J4527" s="38" t="n">
        <f aca="false">Sens!$J$4523+Sens!$J$4524*Sens!$J$4526-Sens!$J$4525</f>
        <v>48.1502550732398</v>
      </c>
      <c r="K4527" s="38" t="n">
        <f aca="false">Sens!$K$4523+Sens!$K$4524*Sens!$K$4526-Sens!$K$4525</f>
        <v>49.9860243093208</v>
      </c>
      <c r="L4527" s="38" t="n">
        <f aca="false">Sens!$L$4523+Sens!$L$4524*Sens!$L$4526-Sens!$L$4525</f>
        <v>51.095526207779</v>
      </c>
      <c r="M4527" s="38" t="n">
        <f aca="false">Sens!$M$4523+Sens!$M$4524*Sens!$M$4526-Sens!$M$4525</f>
        <v>52.7117805103898</v>
      </c>
      <c r="N4527" s="38" t="n">
        <f aca="false">Q!$N$22</f>
        <v>13.358</v>
      </c>
      <c r="O4527" s="38" t="n">
        <f aca="false">Q!$O$22</f>
        <v>16.261</v>
      </c>
    </row>
    <row r="4528" customFormat="false" ht="17.15" hidden="false" customHeight="false" outlineLevel="0" collapsed="false">
      <c r="A4528" s="0" t="s">
        <v>679</v>
      </c>
      <c r="B4528" s="0" t="s">
        <v>73</v>
      </c>
      <c r="C4528" s="38" t="n">
        <f aca="false">Sens!$C$4431*m_ad</f>
        <v>7.57284355857716</v>
      </c>
      <c r="D4528" s="38" t="n">
        <f aca="false">Sens!$D$4431*m_ad</f>
        <v>9.44543827004127</v>
      </c>
      <c r="E4528" s="38" t="n">
        <f aca="false">Sens!$E$4431*m_ad</f>
        <v>5.02428875377928</v>
      </c>
      <c r="F4528" s="38" t="n">
        <f aca="false">Sens!$F$4431*m_ad</f>
        <v>6.78802480890925</v>
      </c>
      <c r="G4528" s="38" t="n">
        <f aca="false">Sens!$G$4431*m_ad</f>
        <v>11.8014732147805</v>
      </c>
      <c r="H4528" s="38" t="n">
        <f aca="false">Sens!$H$4431*m_ad</f>
        <v>14.1682715634442</v>
      </c>
      <c r="I4528" s="38" t="n">
        <f aca="false">Sens!$I$4431*m_ad</f>
        <v>16.5348555113474</v>
      </c>
      <c r="J4528" s="38" t="n">
        <f aca="false">Sens!$J$4431*m_ad</f>
        <v>18.7425403255689</v>
      </c>
      <c r="K4528" s="38" t="n">
        <f aca="false">Sens!$K$4431*m_ad</f>
        <v>20.6167943581258</v>
      </c>
      <c r="L4528" s="38" t="n">
        <f aca="false">Sens!$L$4431*m_ad</f>
        <v>22.6784737939383</v>
      </c>
      <c r="M4528" s="38" t="n">
        <f aca="false">Sens!$M$4431*m_ad</f>
        <v>24.9463211733322</v>
      </c>
      <c r="N4528" s="38" t="n">
        <f aca="false">Sens!$N$4431*m_ad</f>
        <v>3.95314442937518</v>
      </c>
      <c r="O4528" s="38" t="n">
        <f aca="false">Sens!$O$4431*m_ad</f>
        <v>5.50052681786011</v>
      </c>
    </row>
    <row r="4529" customFormat="false" ht="17.15" hidden="false" customHeight="false" outlineLevel="0" collapsed="false">
      <c r="A4529" s="0" t="s">
        <v>680</v>
      </c>
      <c r="B4529" s="0" t="s">
        <v>73</v>
      </c>
      <c r="C4529" s="38" t="n">
        <f aca="false">Sens!$C$4429-Sens!$C$4431</f>
        <v>127.760312882846</v>
      </c>
      <c r="D4529" s="38" t="n">
        <f aca="false">Sens!$D$4429-Sens!$D$4431</f>
        <v>143.003123459917</v>
      </c>
      <c r="E4529" s="38" t="n">
        <f aca="false">Sens!$E$4429-Sens!$E$4431</f>
        <v>71.9374224924414</v>
      </c>
      <c r="F4529" s="38" t="n">
        <f aca="false">Sens!$F$4429-Sens!$F$4431</f>
        <v>87.0563645868046</v>
      </c>
      <c r="G4529" s="38" t="n">
        <f aca="false">Sens!$G$4429-Sens!$G$4431</f>
        <v>159.015467775062</v>
      </c>
      <c r="H4529" s="38" t="n">
        <f aca="false">Sens!$H$4429-Sens!$H$4431</f>
        <v>173.864803403269</v>
      </c>
      <c r="I4529" s="38" t="n">
        <f aca="false">Sens!$I$4429-Sens!$I$4431</f>
        <v>188.068165645601</v>
      </c>
      <c r="J4529" s="38" t="n">
        <f aca="false">Sens!$J$4429-Sens!$J$4431</f>
        <v>201.22681801082</v>
      </c>
      <c r="K4529" s="38" t="n">
        <f aca="false">Sens!$K$4429-Sens!$K$4431</f>
        <v>212.941334991893</v>
      </c>
      <c r="L4529" s="38" t="n">
        <f aca="false">Sens!$L$4429-Sens!$L$4431</f>
        <v>225.363269144856</v>
      </c>
      <c r="M4529" s="38" t="n">
        <f aca="false">Sens!$M$4429-Sens!$M$4431</f>
        <v>238.536688790819</v>
      </c>
      <c r="N4529" s="38" t="n">
        <f aca="false">Sens!$N$4429-Sens!$N$4431</f>
        <v>62.3677111412496</v>
      </c>
      <c r="O4529" s="38" t="n">
        <f aca="false">Sens!$O$4429-Sens!$O$4431</f>
        <v>80.6189463642798</v>
      </c>
    </row>
    <row r="4530" customFormat="false" ht="17.15" hidden="false" customHeight="false" outlineLevel="0" collapsed="false">
      <c r="A4530" s="0" t="s">
        <v>681</v>
      </c>
      <c r="B4530" s="0" t="s">
        <v>73</v>
      </c>
      <c r="C4530" s="38" t="n">
        <f aca="false">Sens!$C$4476*(1-Sens!$C$4427)</f>
        <v>0.0455891896019953</v>
      </c>
      <c r="D4530" s="38" t="n">
        <f aca="false">Sens!$D$4476*(1-Sens!$D$4427)</f>
        <v>0.332050421167231</v>
      </c>
      <c r="E4530" s="38" t="n">
        <f aca="false">Sens!$E$4476*(1-Sens!$E$4427)</f>
        <v>0.481224293644882</v>
      </c>
      <c r="F4530" s="38" t="n">
        <f aca="false">Sens!$F$4476*(1-Sens!$F$4427)</f>
        <v>0.596018918096053</v>
      </c>
      <c r="G4530" s="38" t="n">
        <f aca="false">Sens!$G$4476*(1-Sens!$G$4427)</f>
        <v>1.07714986531035</v>
      </c>
      <c r="H4530" s="38" t="n">
        <f aca="false">Sens!$H$4476*(1-Sens!$H$4427)</f>
        <v>2.83135005721638</v>
      </c>
      <c r="I4530" s="38" t="n">
        <f aca="false">Sens!$I$4476*(1-Sens!$I$4427)</f>
        <v>4.9421518161602</v>
      </c>
      <c r="J4530" s="38" t="n">
        <f aca="false">Sens!$J$4476*(1-Sens!$J$4427)</f>
        <v>7.11011252170866</v>
      </c>
      <c r="K4530" s="38" t="n">
        <f aca="false">Sens!$K$4476*(1-Sens!$K$4427)</f>
        <v>9.31663210615807</v>
      </c>
      <c r="L4530" s="38" t="n">
        <f aca="false">Sens!$L$4476*(1-Sens!$L$4427)</f>
        <v>11.411251074039</v>
      </c>
      <c r="M4530" s="38" t="n">
        <f aca="false">Sens!$M$4476*(1-Sens!$M$4427)</f>
        <v>13.5455860755423</v>
      </c>
      <c r="N4530" s="38" t="n">
        <f aca="false">Sens!$N$4476*(1-Sens!$N$4427)</f>
        <v>0.141739115596548</v>
      </c>
      <c r="O4530" s="38" t="n">
        <f aca="false">Sens!$O$4476*(1-Sens!$O$4427)</f>
        <v>0.190445576353059</v>
      </c>
    </row>
    <row r="4531" customFormat="false" ht="17.15" hidden="false" customHeight="false" outlineLevel="0" collapsed="false">
      <c r="A4531" s="0" t="s">
        <v>682</v>
      </c>
      <c r="B4531" s="0" t="s">
        <v>52</v>
      </c>
      <c r="C4531" s="28" t="n">
        <f aca="false">(Sens!$C$4532-Sens!$C$4528+Sens!$C$4530)/Sens!$C$4529</f>
        <v>-0.0292364215826579</v>
      </c>
      <c r="D4531" s="28" t="n">
        <f aca="false">(Sens!$D$4532-Sens!$D$4528+Sens!$D$4530)/Sens!$D$4529</f>
        <v>-0.0305125352740778</v>
      </c>
      <c r="E4531" s="28" t="n">
        <f aca="false">(Sens!$E$4532-Sens!$E$4528+Sens!$E$4530)/Sens!$E$4529</f>
        <v>-0.019490056934994</v>
      </c>
      <c r="F4531" s="28" t="n">
        <f aca="false">Sens!$O$4531+(Sens!$E$4531-Sens!$N$4531)</f>
        <v>-0.0367332293992226</v>
      </c>
      <c r="G4531" s="28" t="n">
        <f aca="false">(Sens!$G$4532-Sens!$G$4528+Sens!$G$4530)/Sens!$G$4529</f>
        <v>-0.0288599526442178</v>
      </c>
      <c r="H4531" s="28" t="n">
        <f aca="false">Sens!$G$4531+step_in</f>
        <v>-0.0288599526442178</v>
      </c>
      <c r="I4531" s="28" t="n">
        <f aca="false">Sens!$H$4531+step_in</f>
        <v>-0.0288599526442178</v>
      </c>
      <c r="J4531" s="28" t="n">
        <f aca="false">Sens!$I$4531+step_in</f>
        <v>-0.0288599526442178</v>
      </c>
      <c r="K4531" s="28" t="n">
        <f aca="false">Sens!$J$4531+step_in</f>
        <v>-0.0288599526442178</v>
      </c>
      <c r="L4531" s="28" t="n">
        <f aca="false">Sens!$K$4531</f>
        <v>-0.0288599526442178</v>
      </c>
      <c r="M4531" s="28" t="n">
        <f aca="false">Sens!$L$4531</f>
        <v>-0.0288599526442178</v>
      </c>
      <c r="N4531" s="28" t="n">
        <f aca="false">(Sens!$N$4532-Sens!$N$4528+Sens!$N$4530)/Sens!$N$4529</f>
        <v>-0.02085061789158</v>
      </c>
      <c r="O4531" s="28" t="n">
        <f aca="false">(Sens!$O$4532-Sens!$O$4528+Sens!$O$4530)/Sens!$O$4529</f>
        <v>-0.0380937903558086</v>
      </c>
      <c r="P4531" s="8" t="s">
        <v>677</v>
      </c>
    </row>
    <row r="4532" customFormat="false" ht="17.15" hidden="false" customHeight="false" outlineLevel="0" collapsed="false">
      <c r="A4532" s="1" t="s">
        <v>683</v>
      </c>
      <c r="B4532" s="8" t="s">
        <v>73</v>
      </c>
      <c r="C4532" s="38" t="n">
        <f aca="false">Q!$D$23</f>
        <v>3.792</v>
      </c>
      <c r="D4532" s="38" t="n">
        <f aca="false">Q!$E$23</f>
        <v>4.75</v>
      </c>
      <c r="E4532" s="38" t="n">
        <f aca="false">Q!$P$23</f>
        <v>3.141</v>
      </c>
      <c r="F4532" s="38" t="n">
        <f aca="false">Sens!$F$4528+Sens!$F$4529*Sens!$F$4531-Sens!$F$4530</f>
        <v>2.99414447978375</v>
      </c>
      <c r="G4532" s="38" t="n">
        <f aca="false">Sens!$E$4532+Sens!$F$4532</f>
        <v>6.13514447978375</v>
      </c>
      <c r="H4532" s="38" t="n">
        <f aca="false">Sens!$H$4528+Sens!$H$4529*Sens!$H$4531-Sens!$H$4530</f>
        <v>6.31919151351322</v>
      </c>
      <c r="I4532" s="38" t="n">
        <f aca="false">Sens!$I$4528+Sens!$I$4529*Sens!$I$4531-Sens!$I$4530</f>
        <v>6.16506534077027</v>
      </c>
      <c r="J4532" s="38" t="n">
        <f aca="false">Sens!$J$4528+Sens!$J$4529*Sens!$J$4531-Sens!$J$4530</f>
        <v>5.8250313653213</v>
      </c>
      <c r="K4532" s="38" t="n">
        <f aca="false">Sens!$K$4528+Sens!$K$4529*Sens!$K$4531-Sens!$K$4530</f>
        <v>5.15468540810514</v>
      </c>
      <c r="L4532" s="38" t="n">
        <f aca="false">Sens!$L$4528+Sens!$L$4529*Sens!$L$4531-Sens!$L$4530</f>
        <v>4.76324944463266</v>
      </c>
      <c r="M4532" s="38" t="n">
        <f aca="false">Sens!$M$4528+Sens!$M$4529*Sens!$M$4531-Sens!$M$4530</f>
        <v>4.51657755537829</v>
      </c>
      <c r="N4532" s="38" t="n">
        <f aca="false">Q!$N$23</f>
        <v>2.511</v>
      </c>
      <c r="O4532" s="38" t="n">
        <f aca="false">Q!$O$23</f>
        <v>2.239</v>
      </c>
    </row>
    <row r="4533" customFormat="false" ht="17.15" hidden="false" customHeight="false" outlineLevel="0" collapsed="false">
      <c r="A4533" s="0" t="s">
        <v>684</v>
      </c>
      <c r="B4533" s="0" t="s">
        <v>73</v>
      </c>
      <c r="C4533" s="38" t="n">
        <f aca="false">Sens!$C$4473</f>
        <v>1.64417882953695</v>
      </c>
      <c r="D4533" s="38" t="n">
        <f aca="false">Sens!$D$4473</f>
        <v>3.8781008067718</v>
      </c>
      <c r="E4533" s="38" t="n">
        <f aca="false">Sens!$E$4473</f>
        <v>1.41270258088753</v>
      </c>
      <c r="F4533" s="38" t="n">
        <f aca="false">Sens!$F$4473</f>
        <v>6.50727700583486</v>
      </c>
      <c r="G4533" s="38" t="n">
        <f aca="false">Sens!$G$4473</f>
        <v>7.9199795867224</v>
      </c>
      <c r="H4533" s="38" t="n">
        <f aca="false">Sens!$H$4473</f>
        <v>19.2818189481807</v>
      </c>
      <c r="I4533" s="38" t="n">
        <f aca="false">Sens!$I$4473</f>
        <v>30.140114407202</v>
      </c>
      <c r="J4533" s="38" t="n">
        <f aca="false">Sens!$J$4473</f>
        <v>40.3569468829854</v>
      </c>
      <c r="K4533" s="38" t="n">
        <f aca="false">Sens!$K$4473</f>
        <v>50.0782975081929</v>
      </c>
      <c r="L4533" s="38" t="n">
        <f aca="false">Sens!$L$4473</f>
        <v>61.443331993499</v>
      </c>
      <c r="M4533" s="38" t="n">
        <f aca="false">Sens!$M$4473</f>
        <v>72.2498791587849</v>
      </c>
      <c r="N4533" s="38" t="n">
        <f aca="false">Sens!$N$4473</f>
        <v>0.92264103489199</v>
      </c>
      <c r="O4533" s="38" t="n">
        <f aca="false">Sens!$O$4473</f>
        <v>2.95545977187981</v>
      </c>
    </row>
    <row r="4534" customFormat="false" ht="17.15" hidden="false" customHeight="false" outlineLevel="0" collapsed="false">
      <c r="A4534" s="0" t="s">
        <v>604</v>
      </c>
      <c r="B4534" s="0" t="s">
        <v>73</v>
      </c>
      <c r="C4534" s="38" t="n">
        <f aca="false">Sens!$C$4478</f>
        <v>38.1898211704631</v>
      </c>
      <c r="D4534" s="38" t="n">
        <f aca="false">Sens!$D$4478</f>
        <v>41.7278991932282</v>
      </c>
      <c r="E4534" s="38" t="n">
        <f aca="false">Sens!$E$4478</f>
        <v>29.3692974191125</v>
      </c>
      <c r="F4534" s="38" t="n">
        <f aca="false">Sens!$F$4478</f>
        <v>29.458060516894</v>
      </c>
      <c r="G4534" s="38" t="n">
        <f aca="false">Sens!$G$4478</f>
        <v>58.8273579360065</v>
      </c>
      <c r="H4534" s="38" t="n">
        <f aca="false">Sens!$H$4478</f>
        <v>67.8004040185081</v>
      </c>
      <c r="I4534" s="38" t="n">
        <f aca="false">Sens!$I$4478</f>
        <v>78.9527630302702</v>
      </c>
      <c r="J4534" s="38" t="n">
        <f aca="false">Sens!$J$4478</f>
        <v>88.6042681781841</v>
      </c>
      <c r="K4534" s="38" t="n">
        <f aca="false">Sens!$K$4478</f>
        <v>95.6926096324389</v>
      </c>
      <c r="L4534" s="38" t="n">
        <f aca="false">Sens!$L$4478</f>
        <v>103.348018403034</v>
      </c>
      <c r="M4534" s="38" t="n">
        <f aca="false">Sens!$M$4478</f>
        <v>111.615859875277</v>
      </c>
      <c r="N4534" s="38" t="n">
        <f aca="false">Sens!$N$4478</f>
        <v>20.784358965108</v>
      </c>
      <c r="O4534" s="38" t="n">
        <f aca="false">Sens!$O$4478</f>
        <v>20.9435402281202</v>
      </c>
    </row>
    <row r="4535" customFormat="false" ht="17.15" hidden="false" customHeight="false" outlineLevel="0" collapsed="false">
      <c r="A4535" s="1" t="s">
        <v>685</v>
      </c>
      <c r="B4535" s="8" t="s">
        <v>73</v>
      </c>
      <c r="C4535" s="38" t="n">
        <f aca="false">Q!$D$24</f>
        <v>39.834</v>
      </c>
      <c r="D4535" s="38" t="n">
        <f aca="false">Q!$E$24</f>
        <v>45.606</v>
      </c>
      <c r="E4535" s="38" t="n">
        <f aca="false">Q!$P$24</f>
        <v>30.782</v>
      </c>
      <c r="F4535" s="38" t="n">
        <f aca="false">Sens!$F$4533+Sens!$F$4534</f>
        <v>35.9653375227289</v>
      </c>
      <c r="G4535" s="38" t="n">
        <f aca="false">Sens!$G$4533+Sens!$G$4534</f>
        <v>66.7473375227289</v>
      </c>
      <c r="H4535" s="38" t="n">
        <f aca="false">Sens!$H$4533+Sens!$H$4534</f>
        <v>87.0822229666888</v>
      </c>
      <c r="I4535" s="38" t="n">
        <f aca="false">Sens!$I$4533+Sens!$I$4534</f>
        <v>109.092877437472</v>
      </c>
      <c r="J4535" s="38" t="n">
        <f aca="false">Sens!$J$4533+Sens!$J$4534</f>
        <v>128.96121506117</v>
      </c>
      <c r="K4535" s="38" t="n">
        <f aca="false">Sens!$K$4533+Sens!$K$4534</f>
        <v>145.770907140632</v>
      </c>
      <c r="L4535" s="38" t="n">
        <f aca="false">Sens!$L$4533+Sens!$L$4534</f>
        <v>164.791350396533</v>
      </c>
      <c r="M4535" s="38" t="n">
        <f aca="false">Sens!$M$4533+Sens!$M$4534</f>
        <v>183.865739034062</v>
      </c>
      <c r="N4535" s="38" t="n">
        <f aca="false">Q!$N$24</f>
        <v>21.707</v>
      </c>
      <c r="O4535" s="38" t="n">
        <f aca="false">Q!$O$24</f>
        <v>23.899</v>
      </c>
    </row>
    <row r="4536" customFormat="false" ht="17.15" hidden="false" customHeight="false" outlineLevel="0" collapsed="false">
      <c r="A4536" s="5" t="s">
        <v>686</v>
      </c>
      <c r="B4536" s="0" t="s">
        <v>73</v>
      </c>
      <c r="C4536" s="38" t="n">
        <f aca="false">Q!$D$26</f>
        <v>0</v>
      </c>
      <c r="D4536" s="38" t="n">
        <f aca="false">Q!$E$26</f>
        <v>0</v>
      </c>
      <c r="E4536" s="38" t="n">
        <f aca="false">Q!$P$26</f>
        <v>0</v>
      </c>
      <c r="F4536" s="41" t="n">
        <v>0</v>
      </c>
      <c r="G4536" s="38" t="n">
        <f aca="false">Sens!$E$4536+Sens!$F$4536</f>
        <v>0</v>
      </c>
      <c r="H4536" s="41" t="n">
        <v>0</v>
      </c>
      <c r="I4536" s="41" t="n">
        <v>0</v>
      </c>
      <c r="J4536" s="41" t="n">
        <v>0</v>
      </c>
      <c r="K4536" s="41" t="n">
        <v>0</v>
      </c>
      <c r="L4536" s="41" t="n">
        <v>0</v>
      </c>
      <c r="M4536" s="41" t="n">
        <v>0</v>
      </c>
      <c r="N4536" s="38" t="n">
        <f aca="false">Q!$N$26</f>
        <v>0</v>
      </c>
      <c r="O4536" s="38" t="n">
        <f aca="false">Q!$O$26</f>
        <v>0</v>
      </c>
    </row>
    <row r="4537" customFormat="false" ht="15" hidden="false" customHeight="false" outlineLevel="0" collapsed="false">
      <c r="A4537" s="3" t="s">
        <v>494</v>
      </c>
      <c r="B4537" s="8" t="s">
        <v>73</v>
      </c>
      <c r="C4537" s="38" t="n">
        <f aca="false">Q!$D$25</f>
        <v>68.593</v>
      </c>
      <c r="D4537" s="38" t="n">
        <f aca="false">Q!$E$25</f>
        <v>79.975</v>
      </c>
      <c r="E4537" s="38" t="n">
        <f aca="false">Q!$P$25</f>
        <v>51.313</v>
      </c>
      <c r="F4537" s="38" t="n">
        <f aca="false">Sens!$F$4527+Sens!$F$4532+Sens!$F$4535+Sens!$F$4536</f>
        <v>59.8825772328462</v>
      </c>
      <c r="G4537" s="38" t="n">
        <f aca="false">Sens!$G$4527+Sens!$G$4532+Sens!$G$4535+Sens!$G$4536</f>
        <v>111.195577232846</v>
      </c>
      <c r="H4537" s="38" t="n">
        <f aca="false">Sens!$H$4527+Sens!$H$4532+Sens!$H$4535+Sens!$H$4536</f>
        <v>135.638701042513</v>
      </c>
      <c r="I4537" s="38" t="n">
        <f aca="false">Sens!$I$4527+Sens!$I$4532+Sens!$I$4535+Sens!$I$4536</f>
        <v>160.668634334764</v>
      </c>
      <c r="J4537" s="38" t="n">
        <f aca="false">Sens!$J$4527+Sens!$J$4532+Sens!$J$4535+Sens!$J$4536</f>
        <v>182.936501499731</v>
      </c>
      <c r="K4537" s="38" t="n">
        <f aca="false">Sens!$K$4527+Sens!$K$4532+Sens!$K$4535+Sens!$K$4536</f>
        <v>200.911616858058</v>
      </c>
      <c r="L4537" s="38" t="n">
        <f aca="false">Sens!$L$4527+Sens!$L$4532+Sens!$L$4535+Sens!$L$4536</f>
        <v>220.650126048945</v>
      </c>
      <c r="M4537" s="38" t="n">
        <f aca="false">Sens!$M$4527+Sens!$M$4532+Sens!$M$4535+Sens!$M$4536</f>
        <v>241.09409709983</v>
      </c>
      <c r="N4537" s="38" t="n">
        <f aca="false">Q!$N$25</f>
        <v>37.576</v>
      </c>
      <c r="O4537" s="38" t="n">
        <f aca="false">Q!$O$25</f>
        <v>42.399</v>
      </c>
    </row>
    <row r="4538" customFormat="false" ht="17.15" hidden="false" customHeight="false" outlineLevel="0" collapsed="false">
      <c r="A4538" s="24" t="s">
        <v>712</v>
      </c>
      <c r="B4538" s="25" t="s">
        <v>73</v>
      </c>
      <c r="C4538" s="39" t="n">
        <f aca="false">Sens!$C$4527+Sens!$C$4532+Sens!$C$4535+Sens!$C$4536-Sens!$C$4537</f>
        <v>0</v>
      </c>
      <c r="D4538" s="39" t="n">
        <f aca="false">Sens!$D$4527+Sens!$D$4532+Sens!$D$4535+Sens!$D$4536-Sens!$D$4537</f>
        <v>0</v>
      </c>
      <c r="E4538" s="39" t="n">
        <f aca="false">Sens!$E$4527+Sens!$E$4532+Sens!$E$4535+Sens!$E$4536-Sens!$E$4537</f>
        <v>0</v>
      </c>
      <c r="F4538" s="39" t="n">
        <f aca="false">Sens!$F$4527+Sens!$F$4532+Sens!$F$4535+Sens!$F$4536-Sens!$F$4537</f>
        <v>0</v>
      </c>
      <c r="G4538" s="39" t="n">
        <f aca="false">Sens!$G$4527+Sens!$G$4532+Sens!$G$4535+Sens!$G$4536-Sens!$G$4537</f>
        <v>0</v>
      </c>
      <c r="H4538" s="39" t="n">
        <f aca="false">Sens!$H$4527+Sens!$H$4532+Sens!$H$4535+Sens!$H$4536-Sens!$H$4537</f>
        <v>0</v>
      </c>
      <c r="I4538" s="39" t="n">
        <f aca="false">Sens!$I$4527+Sens!$I$4532+Sens!$I$4535+Sens!$I$4536-Sens!$I$4537</f>
        <v>0</v>
      </c>
      <c r="J4538" s="39" t="n">
        <f aca="false">Sens!$J$4527+Sens!$J$4532+Sens!$J$4535+Sens!$J$4536-Sens!$J$4537</f>
        <v>0</v>
      </c>
      <c r="K4538" s="39" t="n">
        <f aca="false">Sens!$K$4527+Sens!$K$4532+Sens!$K$4535+Sens!$K$4536-Sens!$K$4537</f>
        <v>0</v>
      </c>
      <c r="L4538" s="39" t="n">
        <f aca="false">Sens!$L$4527+Sens!$L$4532+Sens!$L$4535+Sens!$L$4536-Sens!$L$4537</f>
        <v>0</v>
      </c>
      <c r="M4538" s="39" t="n">
        <f aca="false">Sens!$M$4527+Sens!$M$4532+Sens!$M$4535+Sens!$M$4536-Sens!$M$4537</f>
        <v>0</v>
      </c>
      <c r="N4538" s="39" t="n">
        <f aca="false">Sens!$N$4527+Sens!$N$4532+Sens!$N$4535+Sens!$N$4536-Sens!$N$4537</f>
        <v>0</v>
      </c>
      <c r="O4538" s="39" t="n">
        <f aca="false">Sens!$O$4527+Sens!$O$4532+Sens!$O$4535+Sens!$O$4536-Sens!$O$4537</f>
        <v>0</v>
      </c>
    </row>
    <row r="4539" customFormat="false" ht="17.15" hidden="false" customHeight="false" outlineLevel="0" collapsed="false">
      <c r="A4539" s="0" t="s">
        <v>688</v>
      </c>
      <c r="B4539" s="0" t="s">
        <v>52</v>
      </c>
      <c r="C4539" s="12" t="n">
        <f aca="false">Sens!$C$4527/Sens!$C$4512</f>
        <v>0.0644314665661928</v>
      </c>
      <c r="D4539" s="12" t="n">
        <f aca="false">Sens!$D$4527/Sens!$D$4512</f>
        <v>0.0694784250712518</v>
      </c>
      <c r="E4539" s="12" t="n">
        <f aca="false">Sens!$E$4527/Sens!$E$4512</f>
        <v>0.0789306463326071</v>
      </c>
      <c r="F4539" s="12" t="n">
        <f aca="false">Sens!$F$4527/Sens!$F$4512</f>
        <v>0.0816338957078875</v>
      </c>
      <c r="G4539" s="12" t="n">
        <f aca="false">Sens!$G$4527/Sens!$G$4512</f>
        <v>0.080384315570057</v>
      </c>
      <c r="H4539" s="12" t="n">
        <f aca="false">Sens!$H$4527/Sens!$H$4512</f>
        <v>0.080035122355679</v>
      </c>
      <c r="I4539" s="12" t="n">
        <f aca="false">Sens!$I$4527/Sens!$I$4512</f>
        <v>0.0786798687862144</v>
      </c>
      <c r="J4539" s="12" t="n">
        <f aca="false">Sens!$J$4527/Sens!$J$4512</f>
        <v>0.0772846370095153</v>
      </c>
      <c r="K4539" s="12" t="n">
        <f aca="false">Sens!$K$4527/Sens!$K$4512</f>
        <v>0.0753502227686655</v>
      </c>
      <c r="L4539" s="12" t="n">
        <f aca="false">Sens!$L$4527/Sens!$L$4512</f>
        <v>0.0723154067793922</v>
      </c>
      <c r="M4539" s="12" t="n">
        <f aca="false">Sens!$M$4527/Sens!$M$4512</f>
        <v>0.070022386735876</v>
      </c>
      <c r="N4539" s="12" t="n">
        <f aca="false">Sens!$N$4527/Sens!$N$4512</f>
        <v>0.069228576611127</v>
      </c>
      <c r="O4539" s="12" t="n">
        <f aca="false">Sens!$O$4527/Sens!$O$4512</f>
        <v>0.069685022498393</v>
      </c>
    </row>
    <row r="4540" customFormat="false" ht="17.15" hidden="false" customHeight="false" outlineLevel="0" collapsed="false">
      <c r="A4540" s="0" t="s">
        <v>689</v>
      </c>
      <c r="B4540" s="0" t="s">
        <v>52</v>
      </c>
      <c r="C4540" s="12" t="n">
        <f aca="false">Sens!$C$4532/Sens!$C$4513</f>
        <v>0.026534925055631</v>
      </c>
      <c r="D4540" s="12" t="n">
        <f aca="false">Sens!$D$4532/Sens!$D$4513</f>
        <v>0.0293401855535103</v>
      </c>
      <c r="E4540" s="12" t="n">
        <f aca="false">Sens!$E$4532/Sens!$E$4513</f>
        <v>0.03831141902276</v>
      </c>
      <c r="F4540" s="12" t="n">
        <f aca="false">Sens!$F$4532/Sens!$F$4513</f>
        <v>0.0297532808235678</v>
      </c>
      <c r="G4540" s="12" t="n">
        <f aca="false">Sens!$G$4532/Sens!$G$4513</f>
        <v>0.0335954317997163</v>
      </c>
      <c r="H4540" s="12" t="n">
        <f aca="false">Sens!$H$4532/Sens!$H$4513</f>
        <v>0.0312519754292078</v>
      </c>
      <c r="I4540" s="12" t="n">
        <f aca="false">Sens!$I$4532/Sens!$I$4513</f>
        <v>0.0278788303191397</v>
      </c>
      <c r="J4540" s="12" t="n">
        <f aca="false">Sens!$J$4532/Sens!$J$4513</f>
        <v>0.0244019313573061</v>
      </c>
      <c r="K4540" s="12" t="n">
        <f aca="false">Sens!$K$4532/Sens!$K$4513</f>
        <v>0.020280070641524</v>
      </c>
      <c r="L4540" s="12" t="n">
        <f aca="false">Sens!$L$4532/Sens!$L$4513</f>
        <v>0.0175947312030086</v>
      </c>
      <c r="M4540" s="12" t="n">
        <f aca="false">Sens!$M$4532/Sens!$M$4513</f>
        <v>0.0156592172424565</v>
      </c>
      <c r="N4540" s="12" t="n">
        <f aca="false">Sens!$N$4532/Sens!$N$4513</f>
        <v>0.0357315650169337</v>
      </c>
      <c r="O4540" s="12" t="n">
        <f aca="false">Sens!$O$4532/Sens!$O$4513</f>
        <v>0.0244378956559703</v>
      </c>
    </row>
    <row r="4541" customFormat="false" ht="17.15" hidden="false" customHeight="false" outlineLevel="0" collapsed="false">
      <c r="A4541" s="13" t="s">
        <v>690</v>
      </c>
      <c r="B4541" s="13" t="s">
        <v>52</v>
      </c>
      <c r="C4541" s="16" t="n">
        <f aca="false">Sens!$C$4535/Sens!$C$4514</f>
        <v>0.370355907620217</v>
      </c>
      <c r="D4541" s="16" t="n">
        <f aca="false">Sens!$D$4535/Sens!$D$4514</f>
        <v>0.35429015342785</v>
      </c>
      <c r="E4541" s="16" t="n">
        <f aca="false">Sens!$E$4535/Sens!$E$4514</f>
        <v>0.385647527531039</v>
      </c>
      <c r="F4541" s="16" t="n">
        <f aca="false">Sens!$F$4535/Sens!$F$4514</f>
        <v>0.384415729470259</v>
      </c>
      <c r="G4541" s="16" t="n">
        <f aca="false">Sens!$G$4535/Sens!$G$4514</f>
        <v>0.38498282105443</v>
      </c>
      <c r="H4541" s="16" t="n">
        <f aca="false">Sens!$H$4535/Sens!$H$4514</f>
        <v>0.361247909668527</v>
      </c>
      <c r="I4541" s="16" t="n">
        <f aca="false">Sens!$I$4535/Sens!$I$4514</f>
        <v>0.349486287974975</v>
      </c>
      <c r="J4541" s="16" t="n">
        <f aca="false">Sens!$J$4535/Sens!$J$4514</f>
        <v>0.339886531832068</v>
      </c>
      <c r="K4541" s="16" t="n">
        <f aca="false">Sens!$K$4535/Sens!$K$4514</f>
        <v>0.33135833762061</v>
      </c>
      <c r="L4541" s="16" t="n">
        <f aca="false">Sens!$L$4535/Sens!$L$4514</f>
        <v>0.328299068185284</v>
      </c>
      <c r="M4541" s="16" t="n">
        <f aca="false">Sens!$M$4535/Sens!$M$4514</f>
        <v>0.325058049465166</v>
      </c>
      <c r="N4541" s="16" t="n">
        <f aca="false">Sens!$N$4535/Sens!$N$4514</f>
        <v>0.360941137346192</v>
      </c>
      <c r="O4541" s="16" t="n">
        <f aca="false">Sens!$O$4535/Sens!$O$4514</f>
        <v>0.348458117664212</v>
      </c>
    </row>
    <row r="4542" customFormat="false" ht="17.15" hidden="false" customHeight="false" outlineLevel="0" collapsed="false">
      <c r="A4542" s="0" t="s">
        <v>691</v>
      </c>
      <c r="B4542" s="0" t="s">
        <v>52</v>
      </c>
      <c r="C4542" s="12" t="n">
        <f aca="false">Sens!$C$4533/Sens!$C$4515</f>
        <v>0.708390794789371</v>
      </c>
      <c r="D4542" s="12" t="n">
        <f aca="false">Sens!$D$4533/Sens!$D$4515</f>
        <v>0.445565630441968</v>
      </c>
      <c r="E4542" s="12" t="n">
        <f aca="false">Sens!$E$4533/Sens!$E$4515</f>
        <v>0.165998118402711</v>
      </c>
      <c r="F4542" s="12" t="n">
        <f aca="false">Sens!$F$4533/Sens!$F$4515</f>
        <v>0.434878595403858</v>
      </c>
      <c r="G4542" s="12" t="n">
        <f aca="false">Sens!$G$4533/Sens!$G$4515</f>
        <v>0.3373967615381</v>
      </c>
      <c r="H4542" s="12" t="n">
        <f aca="false">Sens!$H$4533/Sens!$H$4515</f>
        <v>0.320477578041224</v>
      </c>
      <c r="I4542" s="12" t="n">
        <f aca="false">Sens!$I$4533/Sens!$I$4515</f>
        <v>0.296936118226494</v>
      </c>
      <c r="J4542" s="12" t="n">
        <f aca="false">Sens!$J$4533/Sens!$J$4515</f>
        <v>0.282166278613001</v>
      </c>
      <c r="K4542" s="12" t="n">
        <f aca="false">Sens!$K$4533/Sens!$K$4515</f>
        <v>0.271267685694333</v>
      </c>
      <c r="L4542" s="12" t="n">
        <f aca="false">Sens!$L$4533/Sens!$L$4515</f>
        <v>0.27160960915653</v>
      </c>
      <c r="M4542" s="12" t="n">
        <f aca="false">Sens!$M$4533/Sens!$M$4515</f>
        <v>0.26974494804234</v>
      </c>
      <c r="N4542" s="12" t="n">
        <f aca="false">Sens!$N$4533/Sens!$N$4515</f>
        <v>0.302870734830849</v>
      </c>
      <c r="O4542" s="12" t="n">
        <f aca="false">Sens!$O$4533/Sens!$O$4515</f>
        <v>0.52240134346334</v>
      </c>
    </row>
    <row r="4543" customFormat="false" ht="15" hidden="false" customHeight="false" outlineLevel="0" collapsed="false">
      <c r="A4543" s="5" t="s">
        <v>692</v>
      </c>
      <c r="B4543" s="0" t="s">
        <v>52</v>
      </c>
      <c r="C4543" s="12" t="n">
        <f aca="false">Sens!$C$4537/Sens!$C$4517</f>
        <v>0.107519448742004</v>
      </c>
      <c r="D4543" s="12" t="n">
        <f aca="false">Sens!$D$4537/Sens!$D$4517</f>
        <v>0.111552967957552</v>
      </c>
      <c r="E4543" s="12" t="n">
        <f aca="false">Sens!$E$4537/Sens!$E$4517</f>
        <v>0.13428328426562</v>
      </c>
      <c r="F4543" s="12" t="n">
        <f aca="false">Sens!$F$4537/Sens!$F$4517</f>
        <v>0.132926212451512</v>
      </c>
      <c r="G4543" s="12" t="n">
        <f aca="false">Sens!$G$4537/Sens!$G$4517</f>
        <v>0.133549030959228</v>
      </c>
      <c r="H4543" s="12" t="n">
        <f aca="false">Sens!$H$4537/Sens!$H$4517</f>
        <v>0.139690394514416</v>
      </c>
      <c r="I4543" s="12" t="n">
        <f aca="false">Sens!$I$4537/Sens!$I$4517</f>
        <v>0.144688164284573</v>
      </c>
      <c r="J4543" s="12" t="n">
        <f aca="false">Sens!$J$4537/Sens!$J$4517</f>
        <v>0.147391419021054</v>
      </c>
      <c r="K4543" s="12" t="n">
        <f aca="false">Sens!$K$4537/Sens!$K$4517</f>
        <v>0.148003728177944</v>
      </c>
      <c r="L4543" s="12" t="n">
        <f aca="false">Sens!$L$4537/Sens!$L$4517</f>
        <v>0.149164514525979</v>
      </c>
      <c r="M4543" s="12" t="n">
        <f aca="false">Sens!$M$4537/Sens!$M$4517</f>
        <v>0.150041098108262</v>
      </c>
      <c r="N4543" s="12" t="n">
        <f aca="false">Sens!$N$4537/Sens!$N$4517</f>
        <v>0.116201614873411</v>
      </c>
      <c r="O4543" s="12" t="n">
        <f aca="false">Sens!$O$4537/Sens!$O$4517</f>
        <v>0.107733353660861</v>
      </c>
    </row>
    <row r="4544" customFormat="false" ht="17.15" hidden="false" customHeight="false" outlineLevel="0" collapsed="false">
      <c r="A4544" s="1" t="s">
        <v>693</v>
      </c>
    </row>
    <row r="4545" customFormat="false" ht="17.15" hidden="false" customHeight="false" outlineLevel="0" collapsed="false">
      <c r="A4545" s="5" t="s">
        <v>694</v>
      </c>
      <c r="B4545" s="0" t="s">
        <v>52</v>
      </c>
      <c r="D4545" s="28" t="n">
        <f aca="false">(Q!$E$29+Q!$E$30-(1-ext_sh)*Sens!$D$4469)/Sens!$D$4426</f>
        <v>0.0334674312393194</v>
      </c>
    </row>
    <row r="4546" customFormat="false" ht="17.15" hidden="false" customHeight="false" outlineLevel="0" collapsed="false">
      <c r="A4546" s="0" t="s">
        <v>498</v>
      </c>
      <c r="B4546" s="0" t="s">
        <v>73</v>
      </c>
      <c r="C4546" s="38" t="n">
        <f aca="false">Q!$D$29</f>
        <v>14.285</v>
      </c>
      <c r="D4546" s="38" t="n">
        <f aca="false">Q!$E$29</f>
        <v>15.503</v>
      </c>
      <c r="E4546" s="38" t="n">
        <f aca="false">Q!$P$29</f>
        <v>8.78</v>
      </c>
      <c r="F4546" s="38" t="n">
        <f aca="false">(Sens!$D$4545*Sens!$F$4426+(1-ext_sh)*Sens!$F$4469)*Sens!$F$4427</f>
        <v>9.51361751569285</v>
      </c>
      <c r="G4546" s="38" t="n">
        <f aca="false">Sens!$E$4546+Sens!$F$4546</f>
        <v>18.2936175156929</v>
      </c>
      <c r="H4546" s="38" t="n">
        <f aca="false">(Sens!$D$4545*Sens!$H$4426+(1-ext_sh)*Sens!$H$4469)*Sens!$H$4427</f>
        <v>22.7653661801943</v>
      </c>
      <c r="I4546" s="38" t="n">
        <f aca="false">(Sens!$D$4545*Sens!$I$4426+(1-ext_sh)*Sens!$I$4469)*Sens!$I$4427</f>
        <v>28.4281317305062</v>
      </c>
      <c r="J4546" s="38" t="n">
        <f aca="false">(Sens!$D$4545*Sens!$J$4426+(1-ext_sh)*Sens!$J$4469)*Sens!$J$4427</f>
        <v>34.1182922009732</v>
      </c>
      <c r="K4546" s="38" t="n">
        <f aca="false">(Sens!$D$4545*Sens!$K$4426+(1-ext_sh)*Sens!$K$4469)*Sens!$K$4427</f>
        <v>39.7237727987046</v>
      </c>
      <c r="L4546" s="38" t="n">
        <f aca="false">(Sens!$D$4545*Sens!$L$4426+(1-ext_sh)*Sens!$L$4469)*Sens!$L$4427</f>
        <v>45.1313127180263</v>
      </c>
      <c r="M4546" s="38" t="n">
        <f aca="false">(Sens!$D$4545*Sens!$M$4426+(1-ext_sh)*Sens!$M$4469)*Sens!$M$4427</f>
        <v>50.743940615442</v>
      </c>
      <c r="N4546" s="38" t="n">
        <f aca="false">Q!$N$29</f>
        <v>7.272</v>
      </c>
      <c r="O4546" s="38" t="n">
        <f aca="false">Q!$O$29</f>
        <v>8.231</v>
      </c>
    </row>
    <row r="4547" customFormat="false" ht="17.15" hidden="false" customHeight="false" outlineLevel="0" collapsed="false">
      <c r="A4547" s="0" t="s">
        <v>500</v>
      </c>
      <c r="B4547" s="0" t="s">
        <v>73</v>
      </c>
      <c r="C4547" s="38" t="n">
        <f aca="false">Q!$D$30</f>
        <v>4.462</v>
      </c>
      <c r="D4547" s="38" t="n">
        <f aca="false">Q!$E$30</f>
        <v>4.907</v>
      </c>
      <c r="E4547" s="38" t="n">
        <f aca="false">Q!$P$30</f>
        <v>2.57</v>
      </c>
      <c r="F4547" s="38" t="n">
        <f aca="false">(Sens!$D$4545*Sens!$F$4426+(1-ext_sh)*Sens!$F$4469)*(1-Sens!$F$4427)</f>
        <v>3.7353230631574</v>
      </c>
      <c r="G4547" s="38" t="n">
        <f aca="false">Sens!$E$4547+Sens!$F$4547</f>
        <v>6.3053230631574</v>
      </c>
      <c r="H4547" s="38" t="n">
        <f aca="false">(Sens!$D$4545*Sens!$H$4426+(1-ext_sh)*Sens!$H$4469)*(1-Sens!$H$4427)</f>
        <v>8.72254636724805</v>
      </c>
      <c r="I4547" s="38" t="n">
        <f aca="false">(Sens!$D$4545*Sens!$I$4426+(1-ext_sh)*Sens!$I$4469)*(1-Sens!$I$4427)</f>
        <v>10.8922340713019</v>
      </c>
      <c r="J4547" s="38" t="n">
        <f aca="false">(Sens!$D$4545*Sens!$J$4426+(1-ext_sh)*Sens!$J$4469)*(1-Sens!$J$4427)</f>
        <v>13.0724181345791</v>
      </c>
      <c r="K4547" s="38" t="n">
        <f aca="false">(Sens!$D$4545*Sens!$K$4426+(1-ext_sh)*Sens!$K$4469)*(1-Sens!$K$4427)</f>
        <v>15.2201571183236</v>
      </c>
      <c r="L4547" s="38" t="n">
        <f aca="false">(Sens!$D$4545*Sens!$L$4426+(1-ext_sh)*Sens!$L$4469)*(1-Sens!$L$4427)</f>
        <v>17.2920551631732</v>
      </c>
      <c r="M4547" s="38" t="n">
        <f aca="false">(Sens!$D$4545*Sens!$M$4426+(1-ext_sh)*Sens!$M$4469)*(1-Sens!$M$4427)</f>
        <v>19.4425326336348</v>
      </c>
      <c r="N4547" s="38" t="n">
        <f aca="false">Q!$N$30</f>
        <v>2.316</v>
      </c>
      <c r="O4547" s="38" t="n">
        <f aca="false">Q!$O$30</f>
        <v>2.591</v>
      </c>
    </row>
    <row r="4548" customFormat="false" ht="17.15" hidden="false" customHeight="false" outlineLevel="0" collapsed="false">
      <c r="A4548" s="0" t="s">
        <v>501</v>
      </c>
      <c r="B4548" s="0" t="s">
        <v>73</v>
      </c>
      <c r="C4548" s="38" t="n">
        <f aca="false">Sens!$C$4481</f>
        <v>13.32</v>
      </c>
      <c r="D4548" s="38" t="n">
        <f aca="false">Sens!$D$4481</f>
        <v>21.45</v>
      </c>
      <c r="E4548" s="38" t="n">
        <f aca="false">Sens!$E$4481</f>
        <v>15.353</v>
      </c>
      <c r="F4548" s="38" t="n">
        <f aca="false">Sens!$F$4481</f>
        <v>17.3614451462707</v>
      </c>
      <c r="G4548" s="38" t="n">
        <f aca="false">Sens!$G$4481</f>
        <v>32.7144451462707</v>
      </c>
      <c r="H4548" s="38" t="n">
        <f aca="false">Sens!$H$4481</f>
        <v>56.1966092719415</v>
      </c>
      <c r="I4548" s="38" t="n">
        <f aca="false">Sens!$I$4481</f>
        <v>82.9744039068297</v>
      </c>
      <c r="J4548" s="38" t="n">
        <f aca="false">Sens!$J$4481</f>
        <v>109.943252237669</v>
      </c>
      <c r="K4548" s="38" t="n">
        <f aca="false">Sens!$K$4481</f>
        <v>136.406703436571</v>
      </c>
      <c r="L4548" s="38" t="n">
        <f aca="false">Sens!$L$4481</f>
        <v>161.485870454155</v>
      </c>
      <c r="M4548" s="38" t="n">
        <f aca="false">Sens!$M$4481</f>
        <v>187.389846618199</v>
      </c>
      <c r="N4548" s="38" t="n">
        <f aca="false">Sens!$N$4481</f>
        <v>9.234</v>
      </c>
      <c r="O4548" s="38" t="n">
        <f aca="false">Sens!$O$4481</f>
        <v>12.216</v>
      </c>
    </row>
    <row r="4549" customFormat="false" ht="17.15" hidden="false" customHeight="false" outlineLevel="0" collapsed="false">
      <c r="A4549" s="5" t="s">
        <v>695</v>
      </c>
      <c r="B4549" s="0" t="s">
        <v>73</v>
      </c>
      <c r="C4549" s="38" t="n">
        <f aca="false">Sens!$C$4546+Sens!$C$4547+Sens!$C$4548</f>
        <v>32.067</v>
      </c>
      <c r="D4549" s="38" t="n">
        <f aca="false">Sens!$D$4546+Sens!$D$4547+Sens!$D$4548</f>
        <v>41.86</v>
      </c>
      <c r="E4549" s="38" t="n">
        <f aca="false">Sens!$E$4546+Sens!$E$4547+Sens!$E$4548</f>
        <v>26.703</v>
      </c>
      <c r="F4549" s="38" t="n">
        <f aca="false">Sens!$F$4546+Sens!$F$4547+Sens!$F$4548</f>
        <v>30.6103857251209</v>
      </c>
      <c r="G4549" s="38" t="n">
        <f aca="false">Sens!$G$4546+Sens!$G$4547+Sens!$G$4548</f>
        <v>57.3133857251209</v>
      </c>
      <c r="H4549" s="38" t="n">
        <f aca="false">Sens!$H$4546+Sens!$H$4547+Sens!$H$4548</f>
        <v>87.6845218193838</v>
      </c>
      <c r="I4549" s="38" t="n">
        <f aca="false">Sens!$I$4546+Sens!$I$4547+Sens!$I$4548</f>
        <v>122.294769708638</v>
      </c>
      <c r="J4549" s="38" t="n">
        <f aca="false">Sens!$J$4546+Sens!$J$4547+Sens!$J$4548</f>
        <v>157.133962573221</v>
      </c>
      <c r="K4549" s="38" t="n">
        <f aca="false">Sens!$K$4546+Sens!$K$4547+Sens!$K$4548</f>
        <v>191.350633353599</v>
      </c>
      <c r="L4549" s="38" t="n">
        <f aca="false">Sens!$L$4546+Sens!$L$4547+Sens!$L$4548</f>
        <v>223.909238335354</v>
      </c>
      <c r="M4549" s="38" t="n">
        <f aca="false">Sens!$M$4546+Sens!$M$4547+Sens!$M$4548</f>
        <v>257.576319867276</v>
      </c>
      <c r="N4549" s="38" t="n">
        <f aca="false">Sens!$N$4546+Sens!$N$4547+Sens!$N$4548</f>
        <v>18.822</v>
      </c>
      <c r="O4549" s="38" t="n">
        <f aca="false">Sens!$O$4546+Sens!$O$4547+Sens!$O$4548</f>
        <v>23.038</v>
      </c>
    </row>
    <row r="4550" customFormat="false" ht="17.15" hidden="false" customHeight="false" outlineLevel="0" collapsed="false">
      <c r="A4550" s="0" t="s">
        <v>696</v>
      </c>
      <c r="B4550" s="0" t="s">
        <v>73</v>
      </c>
      <c r="C4550" s="38" t="n">
        <f aca="false">Sens!$C$4523+Sens!$C$4528</f>
        <v>28.107</v>
      </c>
      <c r="D4550" s="38" t="n">
        <f aca="false">Sens!$D$4523+Sens!$D$4528</f>
        <v>34.3175</v>
      </c>
      <c r="E4550" s="38" t="n">
        <f aca="false">Sens!$E$4523+Sens!$E$4528</f>
        <v>18.526</v>
      </c>
      <c r="F4550" s="38" t="n">
        <f aca="false">Sens!$F$4523+Sens!$F$4528</f>
        <v>24.0766690913691</v>
      </c>
      <c r="G4550" s="38" t="n">
        <f aca="false">Sens!$G$4523+Sens!$G$4528</f>
        <v>42.6026690913691</v>
      </c>
      <c r="H4550" s="38" t="n">
        <f aca="false">Sens!$H$4523+Sens!$H$4528</f>
        <v>51.1466809294702</v>
      </c>
      <c r="I4550" s="38" t="n">
        <f aca="false">Sens!$I$4523+Sens!$I$4528</f>
        <v>59.6899187926205</v>
      </c>
      <c r="J4550" s="38" t="n">
        <f aca="false">Sens!$J$4523+Sens!$J$4528</f>
        <v>67.6595395244221</v>
      </c>
      <c r="K4550" s="38" t="n">
        <f aca="false">Sens!$K$4523+Sens!$K$4528</f>
        <v>74.4254934768643</v>
      </c>
      <c r="L4550" s="38" t="n">
        <f aca="false">Sens!$L$4523+Sens!$L$4528</f>
        <v>81.8680428245508</v>
      </c>
      <c r="M4550" s="38" t="n">
        <f aca="false">Sens!$M$4523+Sens!$M$4528</f>
        <v>90.0548471070059</v>
      </c>
      <c r="N4550" s="38" t="n">
        <f aca="false">Sens!$N$4523+Sens!$N$4528</f>
        <v>14.8075</v>
      </c>
      <c r="O4550" s="38" t="n">
        <f aca="false">Sens!$O$4523+Sens!$O$4528</f>
        <v>19.51</v>
      </c>
    </row>
    <row r="4551" customFormat="false" ht="17.15" hidden="false" customHeight="false" outlineLevel="0" collapsed="false">
      <c r="A4551" s="0" t="s">
        <v>697</v>
      </c>
      <c r="B4551" s="0" t="s">
        <v>73</v>
      </c>
      <c r="C4551" s="38" t="n">
        <f aca="false">Sens!$C$4527+Sens!$C$4532+Sens!$C$4546+Sens!$C$4547-Sens!$C$4550</f>
        <v>19.399</v>
      </c>
      <c r="D4551" s="38" t="n">
        <f aca="false">Sens!$D$4527+Sens!$D$4532+Sens!$D$4546+Sens!$D$4547-Sens!$D$4550</f>
        <v>20.4615</v>
      </c>
      <c r="E4551" s="38" t="n">
        <f aca="false">Sens!$E$4527+Sens!$E$4532+Sens!$E$4546+Sens!$E$4547-Sens!$E$4550</f>
        <v>13.355</v>
      </c>
      <c r="F4551" s="38" t="n">
        <f aca="false">Sens!$F$4527+Sens!$F$4532+Sens!$F$4546+Sens!$F$4547-Sens!$F$4550</f>
        <v>13.0895111975985</v>
      </c>
      <c r="G4551" s="38" t="n">
        <f aca="false">Sens!$G$4527+Sens!$G$4532+Sens!$G$4546+Sens!$G$4547-Sens!$G$4550</f>
        <v>26.4445111975985</v>
      </c>
      <c r="H4551" s="38" t="n">
        <f aca="false">Sens!$H$4527+Sens!$H$4532+Sens!$H$4546+Sens!$H$4547-Sens!$H$4550</f>
        <v>28.8977096937968</v>
      </c>
      <c r="I4551" s="38" t="n">
        <f aca="false">Sens!$I$4527+Sens!$I$4532+Sens!$I$4546+Sens!$I$4547-Sens!$I$4550</f>
        <v>31.2062039064791</v>
      </c>
      <c r="J4551" s="38" t="n">
        <f aca="false">Sens!$J$4527+Sens!$J$4532+Sens!$J$4546+Sens!$J$4547-Sens!$J$4550</f>
        <v>33.5064572496913</v>
      </c>
      <c r="K4551" s="38" t="n">
        <f aca="false">Sens!$K$4527+Sens!$K$4532+Sens!$K$4546+Sens!$K$4547-Sens!$K$4550</f>
        <v>35.6591461575899</v>
      </c>
      <c r="L4551" s="38" t="n">
        <f aca="false">Sens!$L$4527+Sens!$L$4532+Sens!$L$4546+Sens!$L$4547-Sens!$L$4550</f>
        <v>36.4141007090604</v>
      </c>
      <c r="M4551" s="38" t="n">
        <f aca="false">Sens!$M$4527+Sens!$M$4532+Sens!$M$4546+Sens!$M$4547-Sens!$M$4550</f>
        <v>37.359984207839</v>
      </c>
      <c r="N4551" s="38" t="n">
        <f aca="false">Sens!$N$4527+Sens!$N$4532+Sens!$N$4546+Sens!$N$4547-Sens!$N$4550</f>
        <v>10.6495</v>
      </c>
      <c r="O4551" s="38" t="n">
        <f aca="false">Sens!$O$4527+Sens!$O$4532+Sens!$O$4546+Sens!$O$4547-Sens!$O$4550</f>
        <v>9.81200000000001</v>
      </c>
    </row>
    <row r="4552" customFormat="false" ht="17.15" hidden="false" customHeight="false" outlineLevel="0" collapsed="false">
      <c r="A4552" s="0" t="s">
        <v>698</v>
      </c>
      <c r="B4552" s="0" t="s">
        <v>73</v>
      </c>
      <c r="C4552" s="38" t="n">
        <f aca="false">Sens!$C$4534+Sens!$C$4548-ext_sh*Sens!$C$4469</f>
        <v>51.3470500115664</v>
      </c>
      <c r="D4552" s="38" t="n">
        <f aca="false">Sens!$D$4534+Sens!$D$4548-ext_sh*Sens!$D$4469</f>
        <v>60.2799375433739</v>
      </c>
      <c r="E4552" s="38" t="n">
        <f aca="false">Sens!$E$4534+Sens!$E$4548-ext_sh*Sens!$E$4469</f>
        <v>39.5095167090767</v>
      </c>
      <c r="F4552" s="38" t="n">
        <f aca="false">Sens!$F$4534+Sens!$F$4548-ext_sh*Sens!$F$4469</f>
        <v>41.606724953129</v>
      </c>
      <c r="G4552" s="38" t="n">
        <f aca="false">Sens!$G$4534+Sens!$G$4548-ext_sh*Sens!$G$4469</f>
        <v>81.1162416622057</v>
      </c>
      <c r="H4552" s="38" t="n">
        <f aca="false">Sens!$H$4534+Sens!$H$4548-ext_sh*Sens!$H$4469</f>
        <v>95.7616595325849</v>
      </c>
      <c r="I4552" s="38" t="n">
        <f aca="false">Sens!$I$4534+Sens!$I$4548-ext_sh*Sens!$I$4469</f>
        <v>111.513312079935</v>
      </c>
      <c r="J4552" s="38" t="n">
        <f aca="false">Sens!$J$4534+Sens!$J$4548-ext_sh*Sens!$J$4469</f>
        <v>125.145150463955</v>
      </c>
      <c r="K4552" s="38" t="n">
        <f aca="false">Sens!$K$4534+Sens!$K$4548-ext_sh*Sens!$K$4469</f>
        <v>135.156762501071</v>
      </c>
      <c r="L4552" s="38" t="n">
        <f aca="false">Sens!$L$4534+Sens!$L$4548-ext_sh*Sens!$L$4469</f>
        <v>145.969303501157</v>
      </c>
      <c r="M4552" s="38" t="n">
        <f aca="false">Sens!$M$4534+Sens!$M$4548-ext_sh*Sens!$M$4469</f>
        <v>157.646847781249</v>
      </c>
      <c r="N4552" s="38" t="n">
        <f aca="false">Sens!$N$4534+Sens!$N$4548-ext_sh*Sens!$N$4469</f>
        <v>28.5693781401809</v>
      </c>
      <c r="O4552" s="38" t="n">
        <f aca="false">Sens!$O$4534+Sens!$O$4548-ext_sh*Sens!$O$4469</f>
        <v>31.7105594031931</v>
      </c>
    </row>
    <row r="4553" customFormat="false" ht="17.15" hidden="false" customHeight="false" outlineLevel="0" collapsed="false">
      <c r="A4553" s="0" t="s">
        <v>699</v>
      </c>
      <c r="B4553" s="0" t="s">
        <v>73</v>
      </c>
      <c r="C4553" s="38" t="n">
        <f aca="false">Sens!$C$4472</f>
        <v>1.80694998843362</v>
      </c>
      <c r="D4553" s="38" t="n">
        <f aca="false">Sens!$D$4472</f>
        <v>6.77606245662607</v>
      </c>
      <c r="E4553" s="38" t="n">
        <f aca="false">Sens!$E$4472</f>
        <v>6.62548329092326</v>
      </c>
      <c r="F4553" s="38" t="n">
        <f aca="false">Sens!$F$4472</f>
        <v>11.7200577158706</v>
      </c>
      <c r="G4553" s="38" t="n">
        <f aca="false">Sens!$G$4472</f>
        <v>18.3455410067939</v>
      </c>
      <c r="H4553" s="38" t="n">
        <f aca="false">Sens!$H$4472</f>
        <v>47.5171727060453</v>
      </c>
      <c r="I4553" s="38" t="n">
        <f aca="false">Sens!$I$4472</f>
        <v>80.5539692643667</v>
      </c>
      <c r="J4553" s="38" t="n">
        <f aca="false">Sens!$J$4472</f>
        <v>113.759316834883</v>
      </c>
      <c r="K4553" s="38" t="n">
        <f aca="false">Sens!$K$4472</f>
        <v>147.020848076132</v>
      </c>
      <c r="L4553" s="38" t="n">
        <f aca="false">Sens!$L$4472</f>
        <v>180.307917349531</v>
      </c>
      <c r="M4553" s="38" t="n">
        <f aca="false">Sens!$M$4472</f>
        <v>213.608737871012</v>
      </c>
      <c r="N4553" s="38" t="n">
        <f aca="false">Sens!$N$4472</f>
        <v>2.37162185981912</v>
      </c>
      <c r="O4553" s="38" t="n">
        <f aca="false">Sens!$O$4472</f>
        <v>4.40444059680694</v>
      </c>
    </row>
    <row r="4554" customFormat="false" ht="17.15" hidden="false" customHeight="false" outlineLevel="0" collapsed="false">
      <c r="A4554" s="0" t="s">
        <v>700</v>
      </c>
      <c r="B4554" s="0" t="s">
        <v>73</v>
      </c>
      <c r="C4554" s="38" t="n">
        <f aca="false">Sens!$C$4537+Sens!$C$4549</f>
        <v>100.66</v>
      </c>
      <c r="D4554" s="38" t="n">
        <f aca="false">Sens!$D$4537+Sens!$D$4549</f>
        <v>121.835</v>
      </c>
      <c r="E4554" s="38" t="n">
        <f aca="false">Sens!$E$4537+Sens!$E$4549</f>
        <v>78.016</v>
      </c>
      <c r="F4554" s="38" t="n">
        <f aca="false">Sens!$F$4537+Sens!$F$4549</f>
        <v>90.4929629579672</v>
      </c>
      <c r="G4554" s="38" t="n">
        <f aca="false">Sens!$G$4537+Sens!$G$4549</f>
        <v>168.508962957967</v>
      </c>
      <c r="H4554" s="38" t="n">
        <f aca="false">Sens!$H$4537+Sens!$H$4549</f>
        <v>223.323222861897</v>
      </c>
      <c r="I4554" s="38" t="n">
        <f aca="false">Sens!$I$4537+Sens!$I$4549</f>
        <v>282.963404043402</v>
      </c>
      <c r="J4554" s="38" t="n">
        <f aca="false">Sens!$J$4537+Sens!$J$4549</f>
        <v>340.070464072952</v>
      </c>
      <c r="K4554" s="38" t="n">
        <f aca="false">Sens!$K$4537+Sens!$K$4549</f>
        <v>392.262250211657</v>
      </c>
      <c r="L4554" s="38" t="n">
        <f aca="false">Sens!$L$4537+Sens!$L$4549</f>
        <v>444.559364384299</v>
      </c>
      <c r="M4554" s="38" t="n">
        <f aca="false">Sens!$M$4537+Sens!$M$4549</f>
        <v>498.670416967106</v>
      </c>
      <c r="N4554" s="38" t="n">
        <f aca="false">Sens!$N$4537+Sens!$N$4549</f>
        <v>56.398</v>
      </c>
      <c r="O4554" s="38" t="n">
        <f aca="false">Sens!$O$4537+Sens!$O$4549</f>
        <v>65.437</v>
      </c>
    </row>
    <row r="4555" customFormat="false" ht="17.15" hidden="false" customHeight="false" outlineLevel="0" collapsed="false">
      <c r="A4555" s="1" t="s">
        <v>701</v>
      </c>
    </row>
    <row r="4556" customFormat="false" ht="15" hidden="false" customHeight="false" outlineLevel="0" collapsed="false">
      <c r="A4556" s="5" t="s">
        <v>504</v>
      </c>
      <c r="B4556" s="0" t="s">
        <v>73</v>
      </c>
      <c r="C4556" s="38" t="n">
        <f aca="false">Q!$D$34</f>
        <v>2.406</v>
      </c>
      <c r="D4556" s="38" t="n">
        <f aca="false">Q!$E$34</f>
        <v>2.274</v>
      </c>
      <c r="E4556" s="38" t="n">
        <f aca="false">Q!$P$34</f>
        <v>2.114</v>
      </c>
      <c r="F4556" s="38" t="n">
        <f aca="false">Sens!$F$4592</f>
        <v>3.24888964316061</v>
      </c>
      <c r="G4556" s="38" t="n">
        <f aca="false">Sens!$E$4556+Sens!$F$4556</f>
        <v>5.36288964316061</v>
      </c>
      <c r="H4556" s="38" t="n">
        <f aca="false">Sens!$H$4592</f>
        <v>7.42354178632123</v>
      </c>
      <c r="I4556" s="38" t="n">
        <f aca="false">Sens!$I$4592</f>
        <v>7.51827597635917</v>
      </c>
      <c r="J4556" s="38" t="n">
        <f aca="false">Sens!$J$4592</f>
        <v>7.76994062068418</v>
      </c>
      <c r="K4556" s="38" t="n">
        <f aca="false">Sens!$K$4592</f>
        <v>7.76994062068418</v>
      </c>
      <c r="L4556" s="38" t="n">
        <f aca="false">Sens!$L$4592</f>
        <v>7.76994062068418</v>
      </c>
      <c r="M4556" s="38" t="n">
        <f aca="false">Sens!$M$4592</f>
        <v>7.76994062068418</v>
      </c>
      <c r="N4556" s="38" t="n">
        <f aca="false">Q!$N$34</f>
        <v>1.057</v>
      </c>
      <c r="O4556" s="38" t="n">
        <f aca="false">Q!$O$34</f>
        <v>1.217</v>
      </c>
    </row>
    <row r="4557" customFormat="false" ht="15" hidden="false" customHeight="false" outlineLevel="0" collapsed="false">
      <c r="A4557" s="5" t="s">
        <v>702</v>
      </c>
      <c r="B4557" s="0" t="s">
        <v>73</v>
      </c>
      <c r="F4557" s="38" t="n">
        <f aca="false">Sens!$F$4593</f>
        <v>2.59</v>
      </c>
      <c r="H4557" s="38" t="n">
        <f aca="false">Sens!$H$4593</f>
        <v>4.00971603121774</v>
      </c>
      <c r="I4557" s="38" t="n">
        <f aca="false">Sens!$I$4593</f>
        <v>2.10589651022864</v>
      </c>
      <c r="J4557" s="38" t="n">
        <f aca="false">Sens!$J$4593</f>
        <v>2.10589651022864</v>
      </c>
      <c r="K4557" s="38" t="n">
        <f aca="false">Sens!$K$4593</f>
        <v>3.77985822695893</v>
      </c>
      <c r="L4557" s="38" t="n">
        <f aca="false">Sens!$L$4593</f>
        <v>7.24081936505971</v>
      </c>
      <c r="M4557" s="38" t="n">
        <f aca="false">Sens!$M$4593</f>
        <v>11.205150593419</v>
      </c>
    </row>
    <row r="4558" customFormat="false" ht="17.15" hidden="false" customHeight="false" outlineLevel="0" collapsed="false">
      <c r="A4558" s="5" t="s">
        <v>703</v>
      </c>
      <c r="B4558" s="0" t="s">
        <v>73</v>
      </c>
      <c r="C4558" s="38" t="n">
        <f aca="false">Q!$D$39</f>
        <v>2.427</v>
      </c>
      <c r="D4558" s="38" t="n">
        <f aca="false">Q!$E$39</f>
        <v>19.61</v>
      </c>
      <c r="E4558" s="38" t="n">
        <f aca="false">Q!$P$39</f>
        <v>71.492</v>
      </c>
      <c r="F4558" s="41" t="n">
        <v>0</v>
      </c>
      <c r="G4558" s="38" t="n">
        <f aca="false">Sens!$E$4558+Sens!$F$4558</f>
        <v>71.492</v>
      </c>
      <c r="H4558" s="41" t="n">
        <v>0</v>
      </c>
      <c r="I4558" s="41" t="n">
        <v>0</v>
      </c>
      <c r="J4558" s="41" t="n">
        <v>0</v>
      </c>
      <c r="K4558" s="41" t="n">
        <v>0</v>
      </c>
      <c r="L4558" s="41" t="n">
        <v>0</v>
      </c>
      <c r="M4558" s="41" t="n">
        <v>0</v>
      </c>
      <c r="N4558" s="38" t="n">
        <f aca="false">Q!$N$39</f>
        <v>6.017</v>
      </c>
      <c r="O4558" s="38" t="n">
        <f aca="false">Q!$O$39</f>
        <v>13.593</v>
      </c>
      <c r="P4558" s="5" t="s">
        <v>704</v>
      </c>
    </row>
    <row r="4559" customFormat="false" ht="15" hidden="false" customHeight="false" outlineLevel="0" collapsed="false">
      <c r="A4559" s="5" t="s">
        <v>507</v>
      </c>
      <c r="B4559" s="0" t="s">
        <v>73</v>
      </c>
      <c r="C4559" s="38" t="n">
        <f aca="false">Q!$D$36</f>
        <v>68.614</v>
      </c>
      <c r="D4559" s="38" t="n">
        <f aca="false">Q!$E$36</f>
        <v>97.311</v>
      </c>
      <c r="E4559" s="38" t="n">
        <f aca="false">Q!$P$36</f>
        <v>120.691</v>
      </c>
      <c r="F4559" s="38" t="n">
        <f aca="false">Sens!$F$4537-Sens!$F$4556+Sens!$F$4557+Sens!$F$4558</f>
        <v>59.2236875896856</v>
      </c>
      <c r="G4559" s="38" t="n">
        <f aca="false">Sens!$E$4559+Sens!$F$4559</f>
        <v>179.914687589686</v>
      </c>
      <c r="H4559" s="38" t="n">
        <f aca="false">Sens!$H$4537-Sens!$H$4556+Sens!$H$4557+Sens!$H$4558</f>
        <v>132.22487528741</v>
      </c>
      <c r="I4559" s="38" t="n">
        <f aca="false">Sens!$I$4537-Sens!$I$4556+Sens!$I$4557+Sens!$I$4558</f>
        <v>155.256254868633</v>
      </c>
      <c r="J4559" s="38" t="n">
        <f aca="false">Sens!$J$4537-Sens!$J$4556+Sens!$J$4557+Sens!$J$4558</f>
        <v>177.272457389275</v>
      </c>
      <c r="K4559" s="38" t="n">
        <f aca="false">Sens!$K$4537-Sens!$K$4556+Sens!$K$4557+Sens!$K$4558</f>
        <v>196.921534464333</v>
      </c>
      <c r="L4559" s="38" t="n">
        <f aca="false">Sens!$L$4537-Sens!$L$4556+Sens!$L$4557+Sens!$L$4558</f>
        <v>220.12100479332</v>
      </c>
      <c r="M4559" s="38" t="n">
        <f aca="false">Sens!$M$4537-Sens!$M$4556+Sens!$M$4557+Sens!$M$4558</f>
        <v>244.529307072564</v>
      </c>
      <c r="N4559" s="38" t="n">
        <f aca="false">Q!$N$36</f>
        <v>42.536</v>
      </c>
      <c r="O4559" s="38" t="n">
        <f aca="false">Q!$O$36</f>
        <v>54.775</v>
      </c>
    </row>
    <row r="4560" customFormat="false" ht="15" hidden="false" customHeight="false" outlineLevel="0" collapsed="false">
      <c r="A4560" s="5" t="s">
        <v>508</v>
      </c>
      <c r="B4560" s="0" t="s">
        <v>73</v>
      </c>
      <c r="C4560" s="38" t="n">
        <f aca="false">Q!$D$37</f>
        <v>9.265</v>
      </c>
      <c r="D4560" s="38" t="n">
        <f aca="false">Q!$E$37</f>
        <v>19.087</v>
      </c>
      <c r="E4560" s="38" t="n">
        <f aca="false">Q!$P$37</f>
        <v>27.759</v>
      </c>
      <c r="F4560" s="38" t="n">
        <f aca="false">Sens!$F$4559*tax</f>
        <v>10.2803157750071</v>
      </c>
      <c r="G4560" s="38" t="n">
        <f aca="false">Sens!$E$4560+Sens!$F$4560</f>
        <v>38.0393157750071</v>
      </c>
      <c r="H4560" s="38" t="n">
        <f aca="false">Sens!$H$4559*tax</f>
        <v>22.9521923842892</v>
      </c>
      <c r="I4560" s="38" t="n">
        <f aca="false">Sens!$I$4559*tax</f>
        <v>26.9500835063251</v>
      </c>
      <c r="J4560" s="38" t="n">
        <f aca="false">Sens!$J$4559*tax</f>
        <v>30.7717555988633</v>
      </c>
      <c r="K4560" s="38" t="n">
        <f aca="false">Sens!$K$4559*tax</f>
        <v>34.1825313414772</v>
      </c>
      <c r="L4560" s="38" t="n">
        <f aca="false">Sens!$L$4559*tax</f>
        <v>38.209600416393</v>
      </c>
      <c r="M4560" s="38" t="n">
        <f aca="false">Sens!$M$4559*tax</f>
        <v>42.4465040131586</v>
      </c>
      <c r="N4560" s="38" t="n">
        <f aca="false">Q!$N$37</f>
        <v>7.231</v>
      </c>
      <c r="O4560" s="38" t="n">
        <f aca="false">Q!$O$37</f>
        <v>11.856</v>
      </c>
    </row>
    <row r="4561" customFormat="false" ht="15" hidden="false" customHeight="false" outlineLevel="0" collapsed="false">
      <c r="A4561" s="3" t="s">
        <v>509</v>
      </c>
      <c r="B4561" s="8" t="s">
        <v>73</v>
      </c>
      <c r="C4561" s="38" t="n">
        <f aca="false">Q!$D$38</f>
        <v>59.248</v>
      </c>
      <c r="D4561" s="38" t="n">
        <f aca="false">Q!$E$38</f>
        <v>77.67</v>
      </c>
      <c r="E4561" s="38" t="n">
        <f aca="false">Q!$P$38</f>
        <v>92.902</v>
      </c>
      <c r="F4561" s="38" t="n">
        <f aca="false">Sens!$F$4559-Sens!$F$4560</f>
        <v>48.9433718146785</v>
      </c>
      <c r="G4561" s="38" t="n">
        <f aca="false">Sens!$E$4561+Sens!$F$4561</f>
        <v>141.845371814679</v>
      </c>
      <c r="H4561" s="38" t="n">
        <f aca="false">Sens!$H$4559-Sens!$H$4560</f>
        <v>109.272682903121</v>
      </c>
      <c r="I4561" s="38" t="n">
        <f aca="false">Sens!$I$4559-Sens!$I$4560</f>
        <v>128.306171362308</v>
      </c>
      <c r="J4561" s="38" t="n">
        <f aca="false">Sens!$J$4559-Sens!$J$4560</f>
        <v>146.500701790412</v>
      </c>
      <c r="K4561" s="38" t="n">
        <f aca="false">Sens!$K$4559-Sens!$K$4560</f>
        <v>162.739003122855</v>
      </c>
      <c r="L4561" s="38" t="n">
        <f aca="false">Sens!$L$4559-Sens!$L$4560</f>
        <v>181.911404376927</v>
      </c>
      <c r="M4561" s="38" t="n">
        <f aca="false">Sens!$M$4559-Sens!$M$4560</f>
        <v>202.082803059406</v>
      </c>
      <c r="N4561" s="38" t="n">
        <f aca="false">Q!$N$38</f>
        <v>35.291</v>
      </c>
      <c r="O4561" s="38" t="n">
        <f aca="false">Q!$O$38</f>
        <v>42.379</v>
      </c>
    </row>
    <row r="4562" customFormat="false" ht="17.15" hidden="false" customHeight="false" outlineLevel="0" collapsed="false">
      <c r="A4562" s="5" t="s">
        <v>512</v>
      </c>
      <c r="B4562" s="5" t="s">
        <v>33</v>
      </c>
      <c r="C4562" s="22" t="n">
        <f aca="false">Q!$D$41</f>
        <v>10.721</v>
      </c>
      <c r="D4562" s="22" t="n">
        <f aca="false">Q!$E$41</f>
        <v>10.827</v>
      </c>
      <c r="E4562" s="22" t="n">
        <f aca="false">(Q!$L$41+Q!$M$41)/2</f>
        <v>10.8885</v>
      </c>
      <c r="F4562" s="22" t="n">
        <f aca="false">Sens!$G$4562</f>
        <v>10.924806</v>
      </c>
      <c r="G4562" s="22" t="n">
        <f aca="false">Q!$M$41*(1+sh_g*0.25)</f>
        <v>10.924806</v>
      </c>
      <c r="H4562" s="22" t="n">
        <f aca="false">Sens!$G$4562*(1+sh_g)</f>
        <v>11.012204448</v>
      </c>
      <c r="I4562" s="22" t="n">
        <f aca="false">Sens!$H$4562*(1+sh_g)</f>
        <v>11.100302083584</v>
      </c>
      <c r="J4562" s="22" t="n">
        <f aca="false">Sens!$I$4562*(1+sh_g)</f>
        <v>11.1891045002527</v>
      </c>
      <c r="K4562" s="22" t="n">
        <f aca="false">Sens!$J$4562*(1+sh_g)</f>
        <v>11.2786173362547</v>
      </c>
      <c r="L4562" s="22" t="n">
        <f aca="false">Sens!$K$4562*(1+sh_g)</f>
        <v>11.3688462749447</v>
      </c>
      <c r="M4562" s="22" t="n">
        <f aca="false">Sens!$L$4562*(1+sh_g)</f>
        <v>11.4597970451443</v>
      </c>
      <c r="P4562" s="5" t="s">
        <v>705</v>
      </c>
    </row>
    <row r="4563" customFormat="false" ht="17.15" hidden="false" customHeight="false" outlineLevel="0" collapsed="false">
      <c r="A4563" s="42" t="s">
        <v>706</v>
      </c>
      <c r="B4563" s="13" t="s">
        <v>27</v>
      </c>
      <c r="C4563" s="43" t="n">
        <f aca="false">Sens!$C$4561/Sens!$C$4562</f>
        <v>5.52635015390355</v>
      </c>
      <c r="D4563" s="43" t="n">
        <f aca="false">Sens!$D$4561/Sens!$D$4562</f>
        <v>7.1737323358271</v>
      </c>
      <c r="E4563" s="43" t="n">
        <f aca="false">Sens!$E$4561/Sens!$E$4562</f>
        <v>8.53212104513937</v>
      </c>
      <c r="F4563" s="13"/>
      <c r="G4563" s="43" t="n">
        <f aca="false">Sens!$G$4561/Sens!$G$4562</f>
        <v>12.9837886196495</v>
      </c>
      <c r="H4563" s="43" t="n">
        <f aca="false">Sens!$H$4561/Sens!$H$4562</f>
        <v>9.92287088558062</v>
      </c>
      <c r="I4563" s="43" t="n">
        <f aca="false">Sens!$I$4561/Sens!$I$4562</f>
        <v>11.5587999674403</v>
      </c>
      <c r="J4563" s="43" t="n">
        <f aca="false">Sens!$J$4561/Sens!$J$4562</f>
        <v>13.0931569892035</v>
      </c>
      <c r="K4563" s="43" t="n">
        <f aca="false">Sens!$K$4561/Sens!$K$4562</f>
        <v>14.4289852444711</v>
      </c>
      <c r="L4563" s="43" t="n">
        <f aca="false">Sens!$L$4561/Sens!$L$4562</f>
        <v>16.0008676322621</v>
      </c>
      <c r="M4563" s="43" t="n">
        <f aca="false">Sens!$M$4561/Sens!$M$4562</f>
        <v>17.6340647450673</v>
      </c>
      <c r="N4563" s="13"/>
      <c r="O4563" s="13"/>
    </row>
    <row r="4564" customFormat="false" ht="17.15" hidden="false" customHeight="false" outlineLevel="0" collapsed="false">
      <c r="A4564" s="0" t="s">
        <v>707</v>
      </c>
      <c r="B4564" s="0" t="s">
        <v>27</v>
      </c>
      <c r="C4564" s="30" t="n">
        <f aca="false">(Sens!$C$4561-Sens!$C$4558*(1-tax))/Sens!$C$4562</f>
        <v>5.33926775917445</v>
      </c>
      <c r="D4564" s="30" t="n">
        <f aca="false">(Sens!$D$4561-Sens!$D$4558*(1-tax))/Sens!$D$4562</f>
        <v>5.67691812755503</v>
      </c>
      <c r="E4564" s="30" t="n">
        <f aca="false">(Sens!$E$4561-Sens!$E$4558*(1-tax))/Sens!$E$4562</f>
        <v>3.10602057006846</v>
      </c>
      <c r="G4564" s="30" t="n">
        <f aca="false">(Sens!$G$4561-Sens!$G$4558*(1-tax))/Sens!$G$4562</f>
        <v>7.57572050175252</v>
      </c>
      <c r="H4564" s="30" t="n">
        <f aca="false">(Sens!$H$4561-Sens!$H$4558*(1-tax))/Sens!$H$4562</f>
        <v>9.92287088558062</v>
      </c>
      <c r="I4564" s="30" t="n">
        <f aca="false">(Sens!$I$4561-Sens!$I$4558*(1-tax))/Sens!$I$4562</f>
        <v>11.5587999674403</v>
      </c>
      <c r="J4564" s="30" t="n">
        <f aca="false">(Sens!$J$4561-Sens!$J$4558*(1-tax))/Sens!$J$4562</f>
        <v>13.0931569892035</v>
      </c>
      <c r="K4564" s="30" t="n">
        <f aca="false">(Sens!$K$4561-Sens!$K$4558*(1-tax))/Sens!$K$4562</f>
        <v>14.4289852444711</v>
      </c>
      <c r="L4564" s="30" t="n">
        <f aca="false">(Sens!$L$4561-Sens!$L$4558*(1-tax))/Sens!$L$4562</f>
        <v>16.0008676322621</v>
      </c>
      <c r="M4564" s="30" t="n">
        <f aca="false">(Sens!$M$4561-Sens!$M$4558*(1-tax))/Sens!$M$4562</f>
        <v>17.6340647450673</v>
      </c>
      <c r="P4564" s="5" t="s">
        <v>708</v>
      </c>
    </row>
    <row r="4565" customFormat="false" ht="17.15" hidden="false" customHeight="false" outlineLevel="0" collapsed="false">
      <c r="A4565" s="0" t="s">
        <v>709</v>
      </c>
      <c r="B4565" s="0" t="s">
        <v>52</v>
      </c>
      <c r="H4565" s="12" t="n">
        <f aca="false">Sens!$H$4563/Sens!$G$4563-1</f>
        <v>-0.23574919645846</v>
      </c>
      <c r="I4565" s="12" t="n">
        <f aca="false">Sens!$I$4563/Sens!$H$4563-1</f>
        <v>0.164864493423664</v>
      </c>
      <c r="J4565" s="12" t="n">
        <f aca="false">Sens!$J$4563/Sens!$I$4563-1</f>
        <v>0.132743626162345</v>
      </c>
      <c r="K4565" s="12" t="n">
        <f aca="false">Sens!$K$4563/Sens!$J$4563-1</f>
        <v>0.102024917013454</v>
      </c>
      <c r="L4565" s="12" t="n">
        <f aca="false">Sens!$L$4563/Sens!$K$4563-1</f>
        <v>0.108939219297719</v>
      </c>
      <c r="M4565" s="12" t="n">
        <f aca="false">Sens!$M$4563/Sens!$L$4563-1</f>
        <v>0.102069284637555</v>
      </c>
    </row>
    <row r="4568" customFormat="false" ht="19.4" hidden="false" customHeight="false" outlineLevel="0" collapsed="false">
      <c r="A4568" s="31" t="s">
        <v>1143</v>
      </c>
    </row>
    <row r="4569" customFormat="false" ht="17.15" hidden="false" customHeight="false" outlineLevel="0" collapsed="false">
      <c r="A4569" s="6" t="s">
        <v>16</v>
      </c>
      <c r="B4569" s="6" t="s">
        <v>17</v>
      </c>
      <c r="C4569" s="20" t="s">
        <v>457</v>
      </c>
      <c r="D4569" s="20" t="s">
        <v>458</v>
      </c>
      <c r="E4569" s="20" t="s">
        <v>540</v>
      </c>
      <c r="F4569" s="20" t="s">
        <v>541</v>
      </c>
      <c r="G4569" s="20" t="s">
        <v>542</v>
      </c>
      <c r="H4569" s="20" t="s">
        <v>543</v>
      </c>
      <c r="I4569" s="20" t="s">
        <v>544</v>
      </c>
      <c r="J4569" s="20" t="s">
        <v>545</v>
      </c>
      <c r="K4569" s="20" t="s">
        <v>546</v>
      </c>
      <c r="L4569" s="20" t="s">
        <v>547</v>
      </c>
      <c r="M4569" s="20" t="s">
        <v>548</v>
      </c>
      <c r="N4569" s="20" t="s">
        <v>549</v>
      </c>
      <c r="O4569" s="20" t="s">
        <v>550</v>
      </c>
      <c r="P4569" s="6" t="s">
        <v>23</v>
      </c>
      <c r="R4569" s="20" t="n">
        <v>2023</v>
      </c>
      <c r="S4569" s="20" t="n">
        <v>2024</v>
      </c>
      <c r="T4569" s="20" t="n">
        <v>2025</v>
      </c>
      <c r="U4569" s="20" t="n">
        <v>2026</v>
      </c>
      <c r="V4569" s="20" t="n">
        <v>2027</v>
      </c>
      <c r="W4569" s="20" t="n">
        <v>2028</v>
      </c>
      <c r="X4569" s="20" t="n">
        <v>2029</v>
      </c>
      <c r="Y4569" s="20" t="n">
        <v>2030</v>
      </c>
      <c r="Z4569" s="20" t="n">
        <v>2031</v>
      </c>
      <c r="AA4569" s="20" t="n">
        <v>2032</v>
      </c>
    </row>
    <row r="4570" customFormat="false" ht="15" hidden="false" customHeight="false" outlineLevel="0" collapsed="false">
      <c r="A4570" s="5" t="s">
        <v>509</v>
      </c>
      <c r="B4570" s="0" t="s">
        <v>73</v>
      </c>
      <c r="C4570" s="38" t="n">
        <f aca="false">Sens!$C$4561</f>
        <v>59.248</v>
      </c>
      <c r="D4570" s="38" t="n">
        <f aca="false">Sens!$D$4561</f>
        <v>77.67</v>
      </c>
      <c r="E4570" s="38" t="n">
        <f aca="false">Sens!$E$4561</f>
        <v>92.902</v>
      </c>
      <c r="F4570" s="38" t="n">
        <f aca="false">Sens!$F$4561</f>
        <v>48.9433718146785</v>
      </c>
      <c r="G4570" s="38" t="n">
        <f aca="false">Sens!$G$4561</f>
        <v>141.845371814679</v>
      </c>
      <c r="H4570" s="38" t="n">
        <f aca="false">Sens!$H$4561</f>
        <v>109.272682903121</v>
      </c>
      <c r="I4570" s="38" t="n">
        <f aca="false">Sens!$I$4561</f>
        <v>128.306171362308</v>
      </c>
      <c r="J4570" s="38" t="n">
        <f aca="false">Sens!$J$4561</f>
        <v>146.500701790412</v>
      </c>
      <c r="K4570" s="38" t="n">
        <f aca="false">Sens!$K$4561</f>
        <v>162.739003122855</v>
      </c>
      <c r="L4570" s="38" t="n">
        <f aca="false">Sens!$L$4561</f>
        <v>181.911404376927</v>
      </c>
      <c r="M4570" s="38" t="n">
        <f aca="false">Sens!$M$4561</f>
        <v>202.082803059406</v>
      </c>
    </row>
    <row r="4571" customFormat="false" ht="17.15" hidden="false" customHeight="false" outlineLevel="0" collapsed="false">
      <c r="A4571" s="5" t="s">
        <v>731</v>
      </c>
      <c r="B4571" s="0" t="s">
        <v>73</v>
      </c>
      <c r="C4571" s="38" t="n">
        <f aca="false">Sens!$C$4549</f>
        <v>32.067</v>
      </c>
      <c r="D4571" s="38" t="n">
        <f aca="false">Sens!$D$4549</f>
        <v>41.86</v>
      </c>
      <c r="E4571" s="38" t="n">
        <f aca="false">Sens!$E$4549</f>
        <v>26.703</v>
      </c>
      <c r="F4571" s="38" t="n">
        <f aca="false">Sens!$F$4549</f>
        <v>30.6103857251209</v>
      </c>
      <c r="G4571" s="38" t="n">
        <f aca="false">Sens!$G$4549</f>
        <v>57.3133857251209</v>
      </c>
      <c r="H4571" s="38" t="n">
        <f aca="false">Sens!$H$4549</f>
        <v>87.6845218193838</v>
      </c>
      <c r="I4571" s="38" t="n">
        <f aca="false">Sens!$I$4549</f>
        <v>122.294769708638</v>
      </c>
      <c r="J4571" s="38" t="n">
        <f aca="false">Sens!$J$4549</f>
        <v>157.133962573221</v>
      </c>
      <c r="K4571" s="38" t="n">
        <f aca="false">Sens!$K$4549</f>
        <v>191.350633353599</v>
      </c>
      <c r="L4571" s="38" t="n">
        <f aca="false">Sens!$L$4549</f>
        <v>223.909238335354</v>
      </c>
      <c r="M4571" s="38" t="n">
        <f aca="false">Sens!$M$4549</f>
        <v>257.576319867276</v>
      </c>
    </row>
    <row r="4572" customFormat="false" ht="15" hidden="false" customHeight="false" outlineLevel="0" collapsed="false">
      <c r="A4572" s="5" t="s">
        <v>732</v>
      </c>
      <c r="B4572" s="0" t="s">
        <v>73</v>
      </c>
      <c r="C4572" s="38" t="n">
        <f aca="false">Q!$D$48</f>
        <v>22.011</v>
      </c>
      <c r="D4572" s="38" t="n">
        <f aca="false">Q!$E$48</f>
        <v>19.467</v>
      </c>
      <c r="E4572" s="38" t="n">
        <f aca="false">Q!$P$48</f>
        <v>10.07</v>
      </c>
      <c r="F4572" s="38" t="n">
        <f aca="false">sbc_r*Sens!$F$4493</f>
        <v>11.2170714500462</v>
      </c>
      <c r="G4572" s="38" t="n">
        <f aca="false">Sens!$E$4572+Sens!$F$4572</f>
        <v>21.2870714500462</v>
      </c>
      <c r="H4572" s="38" t="n">
        <f aca="false">sbc_r*Sens!$H$4493</f>
        <v>24.1772394325528</v>
      </c>
      <c r="I4572" s="38" t="n">
        <f aca="false">sbc_r*Sens!$I$4493</f>
        <v>27.6495284422397</v>
      </c>
      <c r="J4572" s="38" t="n">
        <f aca="false">sbc_r*Sens!$J$4493</f>
        <v>30.9042211184633</v>
      </c>
      <c r="K4572" s="38" t="n">
        <f aca="false">sbc_r*Sens!$K$4493</f>
        <v>33.8004145402678</v>
      </c>
      <c r="L4572" s="38" t="n">
        <f aca="false">sbc_r*Sens!$L$4493</f>
        <v>36.8322537652494</v>
      </c>
      <c r="M4572" s="38" t="n">
        <f aca="false">sbc_r*Sens!$M$4493</f>
        <v>40.0097627968013</v>
      </c>
    </row>
    <row r="4573" customFormat="false" ht="17.15" hidden="false" customHeight="false" outlineLevel="0" collapsed="false">
      <c r="A4573" s="5" t="s">
        <v>733</v>
      </c>
      <c r="B4573" s="0" t="s">
        <v>73</v>
      </c>
      <c r="C4573" s="38" t="n">
        <f aca="false">Q!$D$44-Sens!$C$4570-Sens!$C$4571-Sens!$C$4572</f>
        <v>2.551</v>
      </c>
      <c r="D4573" s="38" t="n">
        <f aca="false">Q!$E$44-Sens!$D$4570-Sens!$D$4571-Sens!$D$4572</f>
        <v>0.51700000000001</v>
      </c>
      <c r="E4573" s="38" t="n">
        <f aca="false">Q!$P$44-Sens!$E$4570-Sens!$E$4571-Sens!$E$4572</f>
        <v>-58.256</v>
      </c>
      <c r="F4573" s="38" t="n">
        <f aca="false">wc_2h26+oth_r*Sens!$F$4493</f>
        <v>7.34599241893378</v>
      </c>
      <c r="G4573" s="38" t="n">
        <f aca="false">Sens!$E$4573+Sens!$F$4573</f>
        <v>-50.9100075810662</v>
      </c>
      <c r="H4573" s="38" t="n">
        <f aca="false">oth_r*Sens!$H$4493</f>
        <v>11.6369707537667</v>
      </c>
      <c r="I4573" s="38" t="n">
        <f aca="false">oth_r*Sens!$I$4493</f>
        <v>13.3082502961262</v>
      </c>
      <c r="J4573" s="38" t="n">
        <f aca="false">oth_r*Sens!$J$4493</f>
        <v>14.8747965344332</v>
      </c>
      <c r="K4573" s="38" t="n">
        <f aca="false">oth_r*Sens!$K$4493</f>
        <v>16.2687901804328</v>
      </c>
      <c r="L4573" s="38" t="n">
        <f aca="false">oth_r*Sens!$L$4493</f>
        <v>17.7280727627002</v>
      </c>
      <c r="M4573" s="38" t="n">
        <f aca="false">oth_r*Sens!$M$4493</f>
        <v>19.2574690270319</v>
      </c>
      <c r="P4573" s="8" t="s">
        <v>734</v>
      </c>
    </row>
    <row r="4574" customFormat="false" ht="15" hidden="false" customHeight="false" outlineLevel="0" collapsed="false">
      <c r="A4574" s="3" t="s">
        <v>515</v>
      </c>
      <c r="B4574" s="8" t="s">
        <v>73</v>
      </c>
      <c r="C4574" s="38" t="n">
        <f aca="false">Q!$D$44</f>
        <v>115.877</v>
      </c>
      <c r="D4574" s="38" t="n">
        <f aca="false">Q!$E$44</f>
        <v>139.514</v>
      </c>
      <c r="E4574" s="38" t="n">
        <f aca="false">Q!$P$44</f>
        <v>71.419</v>
      </c>
      <c r="F4574" s="38" t="n">
        <f aca="false">Sens!$F$4570+Sens!$F$4571+Sens!$F$4572+Sens!$F$4573</f>
        <v>98.1168214087795</v>
      </c>
      <c r="G4574" s="38" t="n">
        <f aca="false">Sens!$E$4574+Sens!$F$4574</f>
        <v>169.535821408779</v>
      </c>
      <c r="H4574" s="38" t="n">
        <f aca="false">Sens!$H$4570+Sens!$H$4571+Sens!$H$4572+Sens!$H$4573</f>
        <v>232.771414908824</v>
      </c>
      <c r="I4574" s="38" t="n">
        <f aca="false">Sens!$I$4570+Sens!$I$4571+Sens!$I$4572+Sens!$I$4573</f>
        <v>291.558719809312</v>
      </c>
      <c r="J4574" s="38" t="n">
        <f aca="false">Sens!$J$4570+Sens!$J$4571+Sens!$J$4572+Sens!$J$4573</f>
        <v>349.413682016529</v>
      </c>
      <c r="K4574" s="38" t="n">
        <f aca="false">Sens!$K$4570+Sens!$K$4571+Sens!$K$4572+Sens!$K$4573</f>
        <v>404.158841197156</v>
      </c>
      <c r="L4574" s="38" t="n">
        <f aca="false">Sens!$L$4570+Sens!$L$4571+Sens!$L$4572+Sens!$L$4573</f>
        <v>460.380969240231</v>
      </c>
      <c r="M4574" s="38" t="n">
        <f aca="false">Sens!$M$4570+Sens!$M$4571+Sens!$M$4572+Sens!$M$4573</f>
        <v>518.926354750515</v>
      </c>
    </row>
    <row r="4575" customFormat="false" ht="17.15" hidden="false" customHeight="false" outlineLevel="0" collapsed="false">
      <c r="A4575" s="5" t="s">
        <v>735</v>
      </c>
      <c r="B4575" s="0" t="s">
        <v>73</v>
      </c>
      <c r="C4575" s="38" t="n">
        <f aca="false">Sens!$C$4462</f>
        <v>25.2781053077374</v>
      </c>
      <c r="D4575" s="38" t="n">
        <f aca="false">Sens!$D$4462</f>
        <v>69.5686316310026</v>
      </c>
      <c r="E4575" s="38" t="n">
        <f aca="false">Sens!$E$4462</f>
        <v>64.1899206485108</v>
      </c>
      <c r="F4575" s="38" t="n">
        <f aca="false">Sens!$F$4462</f>
        <v>96.2481299895</v>
      </c>
      <c r="G4575" s="38" t="n">
        <f aca="false">Sens!$G$4462</f>
        <v>160.438050638011</v>
      </c>
      <c r="H4575" s="38" t="n">
        <f aca="false">Sens!$H$4462</f>
        <v>198.57136494475</v>
      </c>
      <c r="I4575" s="38" t="n">
        <f aca="false">Sens!$I$4462</f>
        <v>204.6464699105</v>
      </c>
      <c r="J4575" s="38" t="n">
        <f aca="false">Sens!$J$4462</f>
        <v>209.8832381105</v>
      </c>
      <c r="K4575" s="38" t="n">
        <f aca="false">Sens!$K$4462</f>
        <v>215.1200063105</v>
      </c>
      <c r="L4575" s="38" t="n">
        <f aca="false">Sens!$L$4462</f>
        <v>251.7773837105</v>
      </c>
      <c r="M4575" s="38" t="n">
        <f aca="false">Sens!$M$4462</f>
        <v>311.87584476575</v>
      </c>
    </row>
    <row r="4576" customFormat="false" ht="17.15" hidden="false" customHeight="false" outlineLevel="0" collapsed="false">
      <c r="A4576" s="5" t="s">
        <v>736</v>
      </c>
      <c r="B4576" s="0" t="s">
        <v>73</v>
      </c>
      <c r="C4576" s="38" t="n">
        <f aca="false">cx_awso*Sens!$C$4491</f>
        <v>21.0469989286053</v>
      </c>
      <c r="D4576" s="38" t="n">
        <f aca="false">cx_awso*Sens!$D$4491</f>
        <v>24.0042459822698</v>
      </c>
      <c r="E4576" s="38" t="n">
        <f aca="false">cx_awso*Sens!$E$4491</f>
        <v>14.261729404886</v>
      </c>
      <c r="F4576" s="38" t="n">
        <f aca="false">cx_awso*Sens!$F$4491</f>
        <v>15.7190020837331</v>
      </c>
      <c r="G4576" s="38" t="n">
        <f aca="false">Sens!$E$4576+Sens!$F$4576</f>
        <v>29.9807314886191</v>
      </c>
      <c r="H4576" s="38" t="n">
        <f aca="false">cx_awso*Sens!$H$4491</f>
        <v>36.1787121536283</v>
      </c>
      <c r="I4576" s="38" t="n">
        <f aca="false">cx_awso*Sens!$I$4491</f>
        <v>42.1296794430021</v>
      </c>
      <c r="J4576" s="38" t="n">
        <f aca="false">cx_awso*Sens!$J$4491</f>
        <v>47.279781889299</v>
      </c>
      <c r="K4576" s="38" t="n">
        <f aca="false">cx_awso*Sens!$K$4491</f>
        <v>51.0621644404429</v>
      </c>
      <c r="L4576" s="38" t="n">
        <f aca="false">cx_awso*Sens!$L$4491</f>
        <v>55.1471375956783</v>
      </c>
      <c r="M4576" s="38" t="n">
        <f aca="false">cx_awso*Sens!$M$4491</f>
        <v>59.5589086033326</v>
      </c>
    </row>
    <row r="4577" customFormat="false" ht="17.15" hidden="false" customHeight="false" outlineLevel="0" collapsed="false">
      <c r="A4577" s="5" t="s">
        <v>737</v>
      </c>
      <c r="B4577" s="0" t="s">
        <v>73</v>
      </c>
      <c r="C4577" s="38" t="n">
        <f aca="false">Q!$D$46-Sens!$C$4575-Sens!$C$4576</f>
        <v>31.3328957636573</v>
      </c>
      <c r="D4577" s="38" t="n">
        <f aca="false">Q!$E$46-Sens!$D$4575-Sens!$D$4576</f>
        <v>34.7471223867276</v>
      </c>
      <c r="E4577" s="38" t="n">
        <f aca="false">Q!$P$46-Sens!$E$4575-Sens!$E$4576</f>
        <v>17.8583499466032</v>
      </c>
      <c r="F4577" s="38" t="n">
        <f aca="false">cx_rt*Sens!$F$4426</f>
        <v>21.0855744229195</v>
      </c>
      <c r="G4577" s="38" t="n">
        <f aca="false">Sens!$E$4577+Sens!$F$4577</f>
        <v>38.9439243695228</v>
      </c>
      <c r="H4577" s="38" t="n">
        <f aca="false">cx_rt*Sens!$H$4426</f>
        <v>43.1200434029767</v>
      </c>
      <c r="I4577" s="38" t="n">
        <f aca="false">cx_rt*Sens!$I$4426</f>
        <v>47.1583152318763</v>
      </c>
      <c r="J4577" s="38" t="n">
        <f aca="false">cx_rt*Sens!$J$4426</f>
        <v>50.9060281137911</v>
      </c>
      <c r="K4577" s="38" t="n">
        <f aca="false">cx_rt*Sens!$K$4426</f>
        <v>54.2035645673053</v>
      </c>
      <c r="L4577" s="38" t="n">
        <f aca="false">cx_rt*Sens!$L$4426</f>
        <v>57.7318979121519</v>
      </c>
      <c r="M4577" s="38" t="n">
        <f aca="false">cx_rt*Sens!$M$4426</f>
        <v>61.5084196557756</v>
      </c>
    </row>
    <row r="4578" customFormat="false" ht="15" hidden="false" customHeight="false" outlineLevel="0" collapsed="false">
      <c r="A4578" s="3" t="s">
        <v>738</v>
      </c>
      <c r="B4578" s="8" t="s">
        <v>73</v>
      </c>
      <c r="C4578" s="38" t="n">
        <f aca="false">Q!$D$46</f>
        <v>77.658</v>
      </c>
      <c r="D4578" s="38" t="n">
        <f aca="false">Q!$E$46</f>
        <v>128.32</v>
      </c>
      <c r="E4578" s="38" t="n">
        <f aca="false">Q!$P$46</f>
        <v>96.31</v>
      </c>
      <c r="F4578" s="38" t="n">
        <f aca="false">Sens!$F$4575+Sens!$F$4576+Sens!$F$4577</f>
        <v>133.052706496153</v>
      </c>
      <c r="G4578" s="38" t="n">
        <f aca="false">Sens!$E$4578+Sens!$F$4578</f>
        <v>229.362706496153</v>
      </c>
      <c r="H4578" s="38" t="n">
        <f aca="false">Sens!$H$4575+Sens!$H$4576+Sens!$H$4577</f>
        <v>277.870120501355</v>
      </c>
      <c r="I4578" s="38" t="n">
        <f aca="false">Sens!$I$4575+Sens!$I$4576+Sens!$I$4577</f>
        <v>293.934464585378</v>
      </c>
      <c r="J4578" s="38" t="n">
        <f aca="false">Sens!$J$4575+Sens!$J$4576+Sens!$J$4577</f>
        <v>308.06904811359</v>
      </c>
      <c r="K4578" s="38" t="n">
        <f aca="false">Sens!$K$4575+Sens!$K$4576+Sens!$K$4577</f>
        <v>320.385735318248</v>
      </c>
      <c r="L4578" s="38" t="n">
        <f aca="false">Sens!$L$4575+Sens!$L$4576+Sens!$L$4577</f>
        <v>364.65641921833</v>
      </c>
      <c r="M4578" s="38" t="n">
        <f aca="false">Sens!$M$4575+Sens!$M$4576+Sens!$M$4577</f>
        <v>432.943173024858</v>
      </c>
    </row>
    <row r="4579" customFormat="false" ht="17.15" hidden="false" customHeight="false" outlineLevel="0" collapsed="false">
      <c r="A4579" s="5" t="s">
        <v>523</v>
      </c>
      <c r="B4579" s="0" t="s">
        <v>73</v>
      </c>
      <c r="C4579" s="38" t="n">
        <f aca="false">Q!$D$50</f>
        <v>2.043</v>
      </c>
      <c r="D4579" s="38" t="n">
        <f aca="false">Q!$E$50</f>
        <v>1.557</v>
      </c>
      <c r="E4579" s="38" t="n">
        <f aca="false">lease_pr/2</f>
        <v>0.8</v>
      </c>
      <c r="F4579" s="38" t="n">
        <f aca="false">lease_pr/2</f>
        <v>0.8</v>
      </c>
      <c r="G4579" s="38" t="n">
        <f aca="false">Sens!$E$4579+Sens!$F$4579</f>
        <v>1.6</v>
      </c>
      <c r="H4579" s="38" t="n">
        <f aca="false">lease_pr</f>
        <v>1.6</v>
      </c>
      <c r="I4579" s="38" t="n">
        <f aca="false">lease_pr</f>
        <v>1.6</v>
      </c>
      <c r="J4579" s="38" t="n">
        <f aca="false">lease_pr</f>
        <v>1.6</v>
      </c>
      <c r="K4579" s="38" t="n">
        <f aca="false">lease_pr</f>
        <v>1.6</v>
      </c>
      <c r="L4579" s="38" t="n">
        <f aca="false">lease_pr</f>
        <v>1.6</v>
      </c>
      <c r="M4579" s="38" t="n">
        <f aca="false">lease_pr</f>
        <v>1.6</v>
      </c>
      <c r="P4579" s="8" t="s">
        <v>739</v>
      </c>
    </row>
    <row r="4580" customFormat="false" ht="15" hidden="false" customHeight="false" outlineLevel="0" collapsed="false">
      <c r="A4580" s="46" t="s">
        <v>740</v>
      </c>
      <c r="B4580" s="13" t="s">
        <v>73</v>
      </c>
      <c r="C4580" s="47" t="n">
        <f aca="false">Sens!$C$4574-Sens!$C$4578-Sens!$C$4579</f>
        <v>36.176</v>
      </c>
      <c r="D4580" s="47" t="n">
        <f aca="false">Sens!$D$4574-Sens!$D$4578-Sens!$D$4579</f>
        <v>9.63700000000002</v>
      </c>
      <c r="E4580" s="47" t="n">
        <f aca="false">Sens!$E$4574-Sens!$E$4578-Sens!$E$4579</f>
        <v>-25.691</v>
      </c>
      <c r="F4580" s="47" t="n">
        <f aca="false">Sens!$F$4574-Sens!$F$4578-Sens!$F$4579</f>
        <v>-35.7358850873731</v>
      </c>
      <c r="G4580" s="47" t="n">
        <f aca="false">Sens!$G$4574-Sens!$G$4578-Sens!$G$4579</f>
        <v>-61.4268850873731</v>
      </c>
      <c r="H4580" s="47" t="n">
        <f aca="false">Sens!$H$4574-Sens!$H$4578-Sens!$H$4579</f>
        <v>-46.6987055925312</v>
      </c>
      <c r="I4580" s="47" t="n">
        <f aca="false">Sens!$I$4574-Sens!$I$4578-Sens!$I$4579</f>
        <v>-3.97574477606648</v>
      </c>
      <c r="J4580" s="47" t="n">
        <f aca="false">Sens!$J$4574-Sens!$J$4578-Sens!$J$4579</f>
        <v>39.7446339029391</v>
      </c>
      <c r="K4580" s="47" t="n">
        <f aca="false">Sens!$K$4574-Sens!$K$4578-Sens!$K$4579</f>
        <v>82.1731058789073</v>
      </c>
      <c r="L4580" s="47" t="n">
        <f aca="false">Sens!$L$4574-Sens!$L$4578-Sens!$L$4579</f>
        <v>94.1245500219009</v>
      </c>
      <c r="M4580" s="47" t="n">
        <f aca="false">Sens!$M$4574-Sens!$M$4578-Sens!$M$4579</f>
        <v>84.3831817256571</v>
      </c>
      <c r="N4580" s="13"/>
      <c r="O4580" s="13"/>
    </row>
    <row r="4581" customFormat="false" ht="17.15" hidden="false" customHeight="false" outlineLevel="0" collapsed="false">
      <c r="A4581" s="5" t="s">
        <v>741</v>
      </c>
      <c r="B4581" s="0" t="s">
        <v>73</v>
      </c>
      <c r="C4581" s="38" t="n">
        <f aca="false">dps*Sens!$C$4562</f>
        <v>0</v>
      </c>
      <c r="D4581" s="38" t="n">
        <f aca="false">dps*Sens!$D$4562</f>
        <v>0</v>
      </c>
      <c r="E4581" s="38" t="n">
        <f aca="false">dps*Sens!$E$4562</f>
        <v>0</v>
      </c>
      <c r="F4581" s="38" t="n">
        <f aca="false">0</f>
        <v>0</v>
      </c>
      <c r="G4581" s="38" t="n">
        <f aca="false">dps*Sens!$G$4562</f>
        <v>0</v>
      </c>
      <c r="H4581" s="38" t="n">
        <f aca="false">dps*Sens!$H$4562</f>
        <v>0</v>
      </c>
      <c r="I4581" s="38" t="n">
        <f aca="false">dps*Sens!$I$4562</f>
        <v>0</v>
      </c>
      <c r="J4581" s="38" t="n">
        <f aca="false">dps*Sens!$J$4562</f>
        <v>0</v>
      </c>
      <c r="K4581" s="38" t="n">
        <f aca="false">dps*Sens!$K$4562</f>
        <v>0</v>
      </c>
      <c r="L4581" s="38" t="n">
        <f aca="false">dps*Sens!$L$4562</f>
        <v>0</v>
      </c>
      <c r="M4581" s="38" t="n">
        <f aca="false">dps*Sens!$M$4562</f>
        <v>0</v>
      </c>
      <c r="P4581" s="8" t="s">
        <v>742</v>
      </c>
    </row>
    <row r="4582" customFormat="false" ht="17.15" hidden="false" customHeight="false" outlineLevel="0" collapsed="false">
      <c r="A4582" s="5" t="s">
        <v>743</v>
      </c>
      <c r="B4582" s="0" t="s">
        <v>73</v>
      </c>
      <c r="C4582" s="38" t="n">
        <f aca="false">0</f>
        <v>0</v>
      </c>
      <c r="D4582" s="38" t="n">
        <f aca="false">0</f>
        <v>0</v>
      </c>
      <c r="E4582" s="38" t="n">
        <f aca="false">0</f>
        <v>0</v>
      </c>
      <c r="F4582" s="38" t="n">
        <f aca="false">0</f>
        <v>0</v>
      </c>
      <c r="G4582" s="38" t="n">
        <f aca="false">0</f>
        <v>0</v>
      </c>
      <c r="H4582" s="38" t="n">
        <f aca="false">0</f>
        <v>0</v>
      </c>
      <c r="I4582" s="38" t="n">
        <f aca="false">0</f>
        <v>0</v>
      </c>
      <c r="J4582" s="38" t="n">
        <f aca="false">0</f>
        <v>0</v>
      </c>
      <c r="K4582" s="38" t="n">
        <f aca="false">0</f>
        <v>0</v>
      </c>
      <c r="L4582" s="38" t="n">
        <f aca="false">0</f>
        <v>0</v>
      </c>
      <c r="M4582" s="38" t="n">
        <f aca="false">0</f>
        <v>0</v>
      </c>
      <c r="P4582" s="8" t="s">
        <v>744</v>
      </c>
    </row>
    <row r="4583" customFormat="false" ht="15" hidden="false" customHeight="false" outlineLevel="0" collapsed="false">
      <c r="A4583" s="3" t="s">
        <v>745</v>
      </c>
      <c r="B4583" s="8" t="s">
        <v>73</v>
      </c>
      <c r="C4583" s="38" t="n">
        <f aca="false">Sens!$C$4580-Sens!$C$4581</f>
        <v>36.176</v>
      </c>
      <c r="D4583" s="38" t="n">
        <f aca="false">Sens!$D$4580-Sens!$D$4581</f>
        <v>9.63700000000002</v>
      </c>
      <c r="E4583" s="38" t="n">
        <f aca="false">Sens!$E$4580-Sens!$E$4581</f>
        <v>-25.691</v>
      </c>
      <c r="F4583" s="38" t="n">
        <f aca="false">Sens!$F$4580-Sens!$F$4581</f>
        <v>-35.7358850873731</v>
      </c>
      <c r="G4583" s="38" t="n">
        <f aca="false">Sens!$G$4580-Sens!$G$4581</f>
        <v>-61.4268850873731</v>
      </c>
      <c r="H4583" s="38" t="n">
        <f aca="false">Sens!$H$4580-Sens!$H$4581</f>
        <v>-46.6987055925312</v>
      </c>
      <c r="I4583" s="38" t="n">
        <f aca="false">Sens!$I$4580-Sens!$I$4581</f>
        <v>-3.97574477606648</v>
      </c>
      <c r="J4583" s="38" t="n">
        <f aca="false">Sens!$J$4580-Sens!$J$4581</f>
        <v>39.7446339029391</v>
      </c>
      <c r="K4583" s="38" t="n">
        <f aca="false">Sens!$K$4580-Sens!$K$4581</f>
        <v>82.1731058789073</v>
      </c>
      <c r="L4583" s="38" t="n">
        <f aca="false">Sens!$L$4580-Sens!$L$4581</f>
        <v>94.1245500219009</v>
      </c>
      <c r="M4583" s="38" t="n">
        <f aca="false">Sens!$M$4580-Sens!$M$4581</f>
        <v>84.3831817256571</v>
      </c>
    </row>
    <row r="4584" customFormat="false" ht="17.15" hidden="false" customHeight="false" outlineLevel="0" collapsed="false">
      <c r="A4584" s="5" t="s">
        <v>746</v>
      </c>
      <c r="B4584" s="0" t="s">
        <v>73</v>
      </c>
      <c r="E4584" s="38" t="n">
        <f aca="false">Q!$P$53</f>
        <v>39.767</v>
      </c>
      <c r="F4584" s="38" t="n">
        <f aca="false">inv_2h26</f>
        <v>21.3</v>
      </c>
      <c r="G4584" s="38" t="n">
        <f aca="false">Sens!$E$4584+Sens!$F$4584</f>
        <v>61.067</v>
      </c>
      <c r="H4584" s="41" t="n">
        <v>0</v>
      </c>
      <c r="I4584" s="41" t="n">
        <v>0</v>
      </c>
      <c r="J4584" s="41" t="n">
        <v>0</v>
      </c>
      <c r="K4584" s="41" t="n">
        <v>0</v>
      </c>
      <c r="L4584" s="41" t="n">
        <v>0</v>
      </c>
      <c r="M4584" s="41" t="n">
        <v>0</v>
      </c>
    </row>
    <row r="4585" customFormat="false" ht="17.15" hidden="false" customHeight="false" outlineLevel="0" collapsed="false">
      <c r="A4585" s="5" t="s">
        <v>747</v>
      </c>
      <c r="B4585" s="0" t="s">
        <v>73</v>
      </c>
      <c r="F4585" s="38" t="n">
        <f aca="false">iss_2h26</f>
        <v>29.25</v>
      </c>
      <c r="G4585" s="38" t="n">
        <f aca="false">Sens!$F$4585</f>
        <v>29.25</v>
      </c>
      <c r="H4585" s="41" t="n">
        <v>0</v>
      </c>
      <c r="I4585" s="41" t="n">
        <v>0</v>
      </c>
      <c r="J4585" s="41" t="n">
        <v>0</v>
      </c>
      <c r="K4585" s="41" t="n">
        <v>0</v>
      </c>
      <c r="L4585" s="41" t="n">
        <v>0</v>
      </c>
      <c r="M4585" s="41" t="n">
        <v>0</v>
      </c>
    </row>
    <row r="4586" customFormat="false" ht="17.15" hidden="false" customHeight="false" outlineLevel="0" collapsed="false">
      <c r="A4586" s="5" t="s">
        <v>748</v>
      </c>
      <c r="B4586" s="0" t="s">
        <v>73</v>
      </c>
      <c r="F4586" s="38" t="n">
        <f aca="false">cash_q2</f>
        <v>122.988</v>
      </c>
      <c r="G4586" s="38" t="n">
        <f aca="false">cash_q2</f>
        <v>122.988</v>
      </c>
      <c r="H4586" s="38" t="n">
        <f aca="false">Sens!$G$4589</f>
        <v>95.2021149126269</v>
      </c>
      <c r="I4586" s="38" t="n">
        <f aca="false">Sens!$H$4589</f>
        <v>50</v>
      </c>
      <c r="J4586" s="38" t="n">
        <f aca="false">Sens!$I$4589</f>
        <v>50</v>
      </c>
      <c r="K4586" s="38" t="n">
        <f aca="false">Sens!$J$4589</f>
        <v>89.7446339029391</v>
      </c>
      <c r="L4586" s="38" t="n">
        <f aca="false">Sens!$K$4589</f>
        <v>171.917739781846</v>
      </c>
      <c r="M4586" s="38" t="n">
        <f aca="false">Sens!$L$4589</f>
        <v>266.042289803747</v>
      </c>
    </row>
    <row r="4587" customFormat="false" ht="15" hidden="false" customHeight="false" outlineLevel="0" collapsed="false">
      <c r="A4587" s="5" t="s">
        <v>749</v>
      </c>
      <c r="B4587" s="0" t="s">
        <v>73</v>
      </c>
      <c r="F4587" s="38" t="n">
        <f aca="false">Sens!$F$4586+Sens!$F$4583-Sens!$F$4582-Sens!$F$4584+Sens!$F$4585</f>
        <v>95.2021149126269</v>
      </c>
      <c r="H4587" s="38" t="n">
        <f aca="false">Sens!$H$4586+Sens!$H$4583-Sens!$H$4582-Sens!$H$4584+Sens!$H$4585</f>
        <v>48.5034093200957</v>
      </c>
      <c r="I4587" s="38" t="n">
        <f aca="false">Sens!$I$4586+Sens!$I$4583-Sens!$I$4582-Sens!$I$4584+Sens!$I$4585</f>
        <v>46.0242552239335</v>
      </c>
      <c r="J4587" s="38" t="n">
        <f aca="false">Sens!$J$4586+Sens!$J$4583-Sens!$J$4582-Sens!$J$4584+Sens!$J$4585</f>
        <v>89.7446339029391</v>
      </c>
      <c r="K4587" s="38" t="n">
        <f aca="false">Sens!$K$4586+Sens!$K$4583-Sens!$K$4582-Sens!$K$4584+Sens!$K$4585</f>
        <v>171.917739781846</v>
      </c>
      <c r="L4587" s="38" t="n">
        <f aca="false">Sens!$L$4586+Sens!$L$4583-Sens!$L$4582-Sens!$L$4584+Sens!$L$4585</f>
        <v>266.042289803747</v>
      </c>
      <c r="M4587" s="38" t="n">
        <f aca="false">Sens!$M$4586+Sens!$M$4583-Sens!$M$4582-Sens!$M$4584+Sens!$M$4585</f>
        <v>350.425471529404</v>
      </c>
    </row>
    <row r="4588" customFormat="false" ht="17.15" hidden="false" customHeight="false" outlineLevel="0" collapsed="false">
      <c r="A4588" s="5" t="s">
        <v>750</v>
      </c>
      <c r="B4588" s="0" t="s">
        <v>73</v>
      </c>
      <c r="F4588" s="38" t="n">
        <f aca="false">MAX(0,min_cash-Sens!$F$4587)</f>
        <v>0</v>
      </c>
      <c r="G4588" s="38" t="n">
        <f aca="false">Sens!$F$4588</f>
        <v>0</v>
      </c>
      <c r="H4588" s="38" t="n">
        <f aca="false">MAX(0,min_cash-Sens!$H$4587)</f>
        <v>1.49659067990431</v>
      </c>
      <c r="I4588" s="38" t="n">
        <f aca="false">MAX(0,min_cash-Sens!$I$4587)</f>
        <v>3.97574477606648</v>
      </c>
      <c r="J4588" s="38" t="n">
        <f aca="false">MAX(0,min_cash-Sens!$J$4587)</f>
        <v>0</v>
      </c>
      <c r="K4588" s="38" t="n">
        <f aca="false">MAX(0,min_cash-Sens!$K$4587)</f>
        <v>0</v>
      </c>
      <c r="L4588" s="38" t="n">
        <f aca="false">MAX(0,min_cash-Sens!$L$4587)</f>
        <v>0</v>
      </c>
      <c r="M4588" s="38" t="n">
        <f aca="false">MAX(0,min_cash-Sens!$M$4587)</f>
        <v>0</v>
      </c>
      <c r="P4588" s="5" t="s">
        <v>751</v>
      </c>
    </row>
    <row r="4589" customFormat="false" ht="15" hidden="false" customHeight="false" outlineLevel="0" collapsed="false">
      <c r="A4589" s="5" t="s">
        <v>752</v>
      </c>
      <c r="B4589" s="0" t="s">
        <v>73</v>
      </c>
      <c r="D4589" s="38" t="n">
        <f aca="false">Q!$E$61</f>
        <v>123.029</v>
      </c>
      <c r="E4589" s="38" t="n">
        <f aca="false">Q!$M$61</f>
        <v>122.988</v>
      </c>
      <c r="F4589" s="38" t="n">
        <f aca="false">Sens!$F$4587+Sens!$F$4588</f>
        <v>95.2021149126269</v>
      </c>
      <c r="G4589" s="38" t="n">
        <f aca="false">Sens!$F$4589</f>
        <v>95.2021149126269</v>
      </c>
      <c r="H4589" s="38" t="n">
        <f aca="false">Sens!$H$4587+Sens!$H$4588</f>
        <v>50</v>
      </c>
      <c r="I4589" s="38" t="n">
        <f aca="false">Sens!$I$4587+Sens!$I$4588</f>
        <v>50</v>
      </c>
      <c r="J4589" s="38" t="n">
        <f aca="false">Sens!$J$4587+Sens!$J$4588</f>
        <v>89.7446339029391</v>
      </c>
      <c r="K4589" s="38" t="n">
        <f aca="false">Sens!$K$4587+Sens!$K$4588</f>
        <v>171.917739781846</v>
      </c>
      <c r="L4589" s="38" t="n">
        <f aca="false">Sens!$L$4587+Sens!$L$4588</f>
        <v>266.042289803747</v>
      </c>
      <c r="M4589" s="38" t="n">
        <f aca="false">Sens!$M$4587+Sens!$M$4588</f>
        <v>350.425471529404</v>
      </c>
    </row>
    <row r="4590" customFormat="false" ht="15" hidden="false" customHeight="false" outlineLevel="0" collapsed="false">
      <c r="A4590" s="5" t="s">
        <v>753</v>
      </c>
      <c r="B4590" s="0" t="s">
        <v>73</v>
      </c>
      <c r="D4590" s="38" t="n">
        <f aca="false">Q!$E$62</f>
        <v>68.836</v>
      </c>
      <c r="E4590" s="38" t="n">
        <f aca="false">Q!$M$62</f>
        <v>132.995</v>
      </c>
      <c r="F4590" s="38" t="n">
        <f aca="false">debt_q2+Sens!$F$4585+Sens!$F$4588</f>
        <v>162.245</v>
      </c>
      <c r="G4590" s="38" t="n">
        <f aca="false">Sens!$F$4590</f>
        <v>162.245</v>
      </c>
      <c r="H4590" s="38" t="n">
        <f aca="false">Sens!$G$4590+Sens!$H$4588</f>
        <v>163.741590679904</v>
      </c>
      <c r="I4590" s="38" t="n">
        <f aca="false">Sens!$H$4590+Sens!$I$4588</f>
        <v>167.717335455971</v>
      </c>
      <c r="J4590" s="38" t="n">
        <f aca="false">Sens!$I$4590+Sens!$J$4588</f>
        <v>167.717335455971</v>
      </c>
      <c r="K4590" s="38" t="n">
        <f aca="false">Sens!$J$4590+Sens!$K$4588</f>
        <v>167.717335455971</v>
      </c>
      <c r="L4590" s="38" t="n">
        <f aca="false">Sens!$K$4590+Sens!$L$4588</f>
        <v>167.717335455971</v>
      </c>
      <c r="M4590" s="38" t="n">
        <f aca="false">Sens!$L$4590+Sens!$M$4588</f>
        <v>167.717335455971</v>
      </c>
    </row>
    <row r="4591" customFormat="false" ht="15" hidden="false" customHeight="false" outlineLevel="0" collapsed="false">
      <c r="A4591" s="5" t="s">
        <v>754</v>
      </c>
      <c r="B4591" s="0" t="s">
        <v>73</v>
      </c>
      <c r="D4591" s="38" t="n">
        <f aca="false">Sens!$D$4590-Sens!$D$4589</f>
        <v>-54.193</v>
      </c>
      <c r="E4591" s="38" t="n">
        <f aca="false">Sens!$E$4590-Sens!$E$4589</f>
        <v>10.007</v>
      </c>
      <c r="F4591" s="38" t="n">
        <f aca="false">Sens!$F$4590-Sens!$F$4589</f>
        <v>67.0428850873731</v>
      </c>
      <c r="G4591" s="38" t="n">
        <f aca="false">Sens!$G$4590-Sens!$G$4589</f>
        <v>67.0428850873731</v>
      </c>
      <c r="H4591" s="38" t="n">
        <f aca="false">Sens!$H$4590-Sens!$H$4589</f>
        <v>113.741590679904</v>
      </c>
      <c r="I4591" s="38" t="n">
        <f aca="false">Sens!$I$4590-Sens!$I$4589</f>
        <v>117.717335455971</v>
      </c>
      <c r="J4591" s="38" t="n">
        <f aca="false">Sens!$J$4590-Sens!$J$4589</f>
        <v>77.9727015530317</v>
      </c>
      <c r="K4591" s="38" t="n">
        <f aca="false">Sens!$K$4590-Sens!$K$4589</f>
        <v>-4.20040432587558</v>
      </c>
      <c r="L4591" s="38" t="n">
        <f aca="false">Sens!$L$4590-Sens!$L$4589</f>
        <v>-98.3249543477765</v>
      </c>
      <c r="M4591" s="38" t="n">
        <f aca="false">Sens!$M$4590-Sens!$M$4589</f>
        <v>-182.708136073434</v>
      </c>
    </row>
    <row r="4592" customFormat="false" ht="17.15" hidden="false" customHeight="false" outlineLevel="0" collapsed="false">
      <c r="A4592" s="5" t="s">
        <v>755</v>
      </c>
      <c r="B4592" s="0" t="s">
        <v>73</v>
      </c>
      <c r="F4592" s="38" t="n">
        <f aca="false">debt_q2*kd_book*0.5+iss_2h26*kd_new*0.25</f>
        <v>3.24888964316061</v>
      </c>
      <c r="H4592" s="38" t="n">
        <f aca="false">debt_q2*kd_book+(Sens!$G$4590-debt_q2)*kd_new</f>
        <v>7.42354178632123</v>
      </c>
      <c r="I4592" s="38" t="n">
        <f aca="false">debt_q2*kd_book+(Sens!$H$4590-debt_q2)*kd_new</f>
        <v>7.51827597635917</v>
      </c>
      <c r="J4592" s="38" t="n">
        <f aca="false">debt_q2*kd_book+(Sens!$I$4590-debt_q2)*kd_new</f>
        <v>7.76994062068418</v>
      </c>
      <c r="K4592" s="38" t="n">
        <f aca="false">debt_q2*kd_book+(Sens!$J$4590-debt_q2)*kd_new</f>
        <v>7.76994062068418</v>
      </c>
      <c r="L4592" s="38" t="n">
        <f aca="false">debt_q2*kd_book+(Sens!$K$4590-debt_q2)*kd_new</f>
        <v>7.76994062068418</v>
      </c>
      <c r="M4592" s="38" t="n">
        <f aca="false">debt_q2*kd_book+(Sens!$L$4590-debt_q2)*kd_new</f>
        <v>7.76994062068418</v>
      </c>
    </row>
    <row r="4593" customFormat="false" ht="17.15" hidden="false" customHeight="false" outlineLevel="0" collapsed="false">
      <c r="A4593" s="5" t="s">
        <v>756</v>
      </c>
      <c r="B4593" s="0" t="s">
        <v>73</v>
      </c>
      <c r="F4593" s="38" t="n">
        <f aca="false">cash_q2*y_cash*0.5</f>
        <v>2.59</v>
      </c>
      <c r="H4593" s="38" t="n">
        <f aca="false">Sens!$G$4589*y_cash</f>
        <v>4.00971603121774</v>
      </c>
      <c r="I4593" s="38" t="n">
        <f aca="false">Sens!$H$4589*y_cash</f>
        <v>2.10589651022864</v>
      </c>
      <c r="J4593" s="38" t="n">
        <f aca="false">Sens!$I$4589*y_cash</f>
        <v>2.10589651022864</v>
      </c>
      <c r="K4593" s="38" t="n">
        <f aca="false">Sens!$J$4589*y_cash</f>
        <v>3.77985822695893</v>
      </c>
      <c r="L4593" s="38" t="n">
        <f aca="false">Sens!$K$4589*y_cash</f>
        <v>7.24081936505971</v>
      </c>
      <c r="M4593" s="38" t="n">
        <f aca="false">Sens!$L$4589*y_cash</f>
        <v>11.205150593419</v>
      </c>
    </row>
    <row r="4594" customFormat="false" ht="17.15" hidden="false" customHeight="false" outlineLevel="0" collapsed="false">
      <c r="A4594" s="46" t="s">
        <v>757</v>
      </c>
      <c r="B4594" s="13" t="s">
        <v>73</v>
      </c>
      <c r="C4594" s="13"/>
      <c r="D4594" s="13"/>
      <c r="E4594" s="13"/>
      <c r="F4594" s="13"/>
      <c r="G4594" s="47" t="n">
        <f aca="false">SUM(Sens!$G$4583:$K$4583)</f>
        <v>9.81640432587554</v>
      </c>
      <c r="H4594" s="13"/>
      <c r="I4594" s="13"/>
      <c r="J4594" s="13"/>
      <c r="K4594" s="13"/>
      <c r="L4594" s="13"/>
      <c r="M4594" s="13"/>
      <c r="N4594" s="13"/>
      <c r="O4594" s="13"/>
    </row>
    <row r="4595" customFormat="false" ht="17.15" hidden="false" customHeight="false" outlineLevel="0" collapsed="false">
      <c r="A4595" s="0" t="s">
        <v>724</v>
      </c>
      <c r="B4595" s="0" t="s">
        <v>73</v>
      </c>
      <c r="G4595" s="38" t="n">
        <f aca="false">SUM(Sens!$G$4588:$K$4588)</f>
        <v>5.47233545597079</v>
      </c>
    </row>
    <row r="4598" customFormat="false" ht="19.4" hidden="false" customHeight="false" outlineLevel="0" collapsed="false">
      <c r="A4598" s="31" t="s">
        <v>1144</v>
      </c>
    </row>
    <row r="4599" customFormat="false" ht="17.15" hidden="false" customHeight="false" outlineLevel="0" collapsed="false">
      <c r="A4599" s="6" t="s">
        <v>16</v>
      </c>
      <c r="B4599" s="6" t="s">
        <v>17</v>
      </c>
      <c r="C4599" s="20" t="s">
        <v>457</v>
      </c>
      <c r="D4599" s="20" t="s">
        <v>458</v>
      </c>
      <c r="E4599" s="20" t="s">
        <v>540</v>
      </c>
      <c r="F4599" s="20" t="s">
        <v>541</v>
      </c>
      <c r="G4599" s="20" t="s">
        <v>542</v>
      </c>
      <c r="H4599" s="20" t="s">
        <v>543</v>
      </c>
      <c r="I4599" s="20" t="s">
        <v>544</v>
      </c>
      <c r="J4599" s="20" t="s">
        <v>545</v>
      </c>
      <c r="K4599" s="20" t="s">
        <v>546</v>
      </c>
      <c r="L4599" s="20" t="s">
        <v>547</v>
      </c>
      <c r="M4599" s="20" t="s">
        <v>548</v>
      </c>
      <c r="N4599" s="20" t="s">
        <v>549</v>
      </c>
      <c r="O4599" s="20" t="s">
        <v>550</v>
      </c>
      <c r="P4599" s="6" t="s">
        <v>23</v>
      </c>
      <c r="R4599" s="20" t="n">
        <v>2023</v>
      </c>
      <c r="S4599" s="20" t="n">
        <v>2024</v>
      </c>
      <c r="T4599" s="20" t="n">
        <v>2025</v>
      </c>
      <c r="U4599" s="20" t="n">
        <v>2026</v>
      </c>
      <c r="V4599" s="20" t="n">
        <v>2027</v>
      </c>
      <c r="W4599" s="20" t="n">
        <v>2028</v>
      </c>
      <c r="X4599" s="20" t="n">
        <v>2029</v>
      </c>
      <c r="Y4599" s="20" t="n">
        <v>2030</v>
      </c>
      <c r="Z4599" s="20" t="n">
        <v>2031</v>
      </c>
      <c r="AA4599" s="20" t="n">
        <v>2032</v>
      </c>
    </row>
    <row r="4600" customFormat="false" ht="17.15" hidden="false" customHeight="false" outlineLevel="0" collapsed="false">
      <c r="A4600" s="1" t="s">
        <v>852</v>
      </c>
    </row>
    <row r="4601" customFormat="false" ht="17.15" hidden="false" customHeight="false" outlineLevel="0" collapsed="false">
      <c r="A4601" s="0" t="s">
        <v>853</v>
      </c>
      <c r="B4601" s="0" t="s">
        <v>73</v>
      </c>
      <c r="H4601" s="38" t="n">
        <f aca="false">Sens!$H$4537*(1-tax)</f>
        <v>112.093921330558</v>
      </c>
      <c r="I4601" s="38" t="n">
        <f aca="false">Sens!$I$4537*(1-tax)</f>
        <v>132.779045500917</v>
      </c>
      <c r="J4601" s="38" t="n">
        <f aca="false">Sens!$J$4537*(1-tax)</f>
        <v>151.181555485193</v>
      </c>
      <c r="K4601" s="38" t="n">
        <f aca="false">Sens!$K$4537*(1-tax)</f>
        <v>166.036468953087</v>
      </c>
      <c r="L4601" s="38" t="n">
        <f aca="false">Sens!$L$4537*(1-tax)</f>
        <v>182.348678369869</v>
      </c>
      <c r="M4601" s="38" t="n">
        <f aca="false">Sens!$M$4537*(1-tax)</f>
        <v>199.243892383632</v>
      </c>
    </row>
    <row r="4602" customFormat="false" ht="15" hidden="false" customHeight="false" outlineLevel="0" collapsed="false">
      <c r="A4602" s="5" t="s">
        <v>854</v>
      </c>
      <c r="B4602" s="0" t="s">
        <v>73</v>
      </c>
      <c r="H4602" s="38" t="n">
        <f aca="false">Sens!$H$4549</f>
        <v>87.6845218193838</v>
      </c>
      <c r="I4602" s="38" t="n">
        <f aca="false">Sens!$I$4549</f>
        <v>122.294769708638</v>
      </c>
      <c r="J4602" s="38" t="n">
        <f aca="false">Sens!$J$4549</f>
        <v>157.133962573221</v>
      </c>
      <c r="K4602" s="38" t="n">
        <f aca="false">Sens!$K$4549</f>
        <v>191.350633353599</v>
      </c>
      <c r="L4602" s="38" t="n">
        <f aca="false">Sens!$L$4549</f>
        <v>223.909238335354</v>
      </c>
      <c r="M4602" s="38" t="n">
        <f aca="false">Sens!$M$4549</f>
        <v>257.576319867276</v>
      </c>
    </row>
    <row r="4603" customFormat="false" ht="15" hidden="false" customHeight="false" outlineLevel="0" collapsed="false">
      <c r="A4603" s="5" t="s">
        <v>855</v>
      </c>
      <c r="B4603" s="0" t="s">
        <v>73</v>
      </c>
      <c r="H4603" s="38" t="n">
        <f aca="false">Sens!$H$4578</f>
        <v>277.870120501355</v>
      </c>
      <c r="I4603" s="38" t="n">
        <f aca="false">Sens!$I$4578</f>
        <v>293.934464585378</v>
      </c>
      <c r="J4603" s="38" t="n">
        <f aca="false">Sens!$J$4578</f>
        <v>308.06904811359</v>
      </c>
      <c r="K4603" s="38" t="n">
        <f aca="false">Sens!$K$4578</f>
        <v>320.385735318248</v>
      </c>
      <c r="L4603" s="38" t="n">
        <f aca="false">Sens!$L$4578</f>
        <v>364.65641921833</v>
      </c>
      <c r="M4603" s="38" t="n">
        <f aca="false">Sens!$M$4578</f>
        <v>432.943173024858</v>
      </c>
    </row>
    <row r="4604" customFormat="false" ht="15" hidden="false" customHeight="false" outlineLevel="0" collapsed="false">
      <c r="A4604" s="5" t="s">
        <v>856</v>
      </c>
      <c r="B4604" s="0" t="s">
        <v>73</v>
      </c>
      <c r="H4604" s="38" t="n">
        <f aca="false">Sens!$H$4579</f>
        <v>1.6</v>
      </c>
      <c r="I4604" s="38" t="n">
        <f aca="false">Sens!$I$4579</f>
        <v>1.6</v>
      </c>
      <c r="J4604" s="38" t="n">
        <f aca="false">Sens!$J$4579</f>
        <v>1.6</v>
      </c>
      <c r="K4604" s="38" t="n">
        <f aca="false">Sens!$K$4579</f>
        <v>1.6</v>
      </c>
      <c r="L4604" s="38" t="n">
        <f aca="false">Sens!$L$4579</f>
        <v>1.6</v>
      </c>
      <c r="M4604" s="38" t="n">
        <f aca="false">Sens!$M$4579</f>
        <v>1.6</v>
      </c>
    </row>
    <row r="4605" customFormat="false" ht="15" hidden="false" customHeight="false" outlineLevel="0" collapsed="false">
      <c r="A4605" s="5" t="s">
        <v>857</v>
      </c>
      <c r="B4605" s="0" t="s">
        <v>73</v>
      </c>
      <c r="H4605" s="38" t="n">
        <f aca="false">Sens!$H$4573</f>
        <v>11.6369707537667</v>
      </c>
      <c r="I4605" s="38" t="n">
        <f aca="false">Sens!$I$4573</f>
        <v>13.3082502961262</v>
      </c>
      <c r="J4605" s="38" t="n">
        <f aca="false">Sens!$J$4573</f>
        <v>14.8747965344332</v>
      </c>
      <c r="K4605" s="38" t="n">
        <f aca="false">Sens!$K$4573</f>
        <v>16.2687901804328</v>
      </c>
      <c r="L4605" s="38" t="n">
        <f aca="false">Sens!$L$4573</f>
        <v>17.7280727627002</v>
      </c>
      <c r="M4605" s="38" t="n">
        <f aca="false">Sens!$M$4573</f>
        <v>19.2574690270319</v>
      </c>
    </row>
    <row r="4606" customFormat="false" ht="17.15" hidden="false" customHeight="false" outlineLevel="0" collapsed="false">
      <c r="A4606" s="1" t="s">
        <v>858</v>
      </c>
      <c r="B4606" s="8" t="s">
        <v>73</v>
      </c>
      <c r="H4606" s="38" t="n">
        <f aca="false">Sens!$H$4601+Sens!$H$4602-Sens!$H$4603-Sens!$H$4604+Sens!$H$4605</f>
        <v>-68.0547065976468</v>
      </c>
      <c r="I4606" s="38" t="n">
        <f aca="false">Sens!$I$4601+Sens!$I$4602-Sens!$I$4603-Sens!$I$4604+Sens!$I$4605</f>
        <v>-27.1523990796972</v>
      </c>
      <c r="J4606" s="38" t="n">
        <f aca="false">Sens!$J$4601+Sens!$J$4602-Sens!$J$4603-Sens!$J$4604+Sens!$J$4605</f>
        <v>13.5212664792573</v>
      </c>
      <c r="K4606" s="38" t="n">
        <f aca="false">Sens!$K$4601+Sens!$K$4602-Sens!$K$4603-Sens!$K$4604+Sens!$K$4605</f>
        <v>51.6701571688709</v>
      </c>
      <c r="L4606" s="38" t="n">
        <f aca="false">Sens!$L$4601+Sens!$L$4602-Sens!$L$4603-Sens!$L$4604+Sens!$L$4605</f>
        <v>57.7295702495933</v>
      </c>
      <c r="M4606" s="38" t="n">
        <f aca="false">Sens!$M$4601+Sens!$M$4602-Sens!$M$4603-Sens!$M$4604+Sens!$M$4605</f>
        <v>41.534508253082</v>
      </c>
    </row>
    <row r="4607" customFormat="false" ht="15" hidden="false" customHeight="false" outlineLevel="0" collapsed="false">
      <c r="A4607" s="5" t="s">
        <v>859</v>
      </c>
      <c r="B4607" s="0" t="s">
        <v>57</v>
      </c>
      <c r="H4607" s="51" t="n">
        <f aca="false">1/(1+(wacc-0.01))^(2027-2026-0.5)</f>
        <v>0.947077246230261</v>
      </c>
      <c r="I4607" s="51" t="n">
        <f aca="false">1/(1+(wacc-0.01))^(2028-2026-0.5)</f>
        <v>0.849485965296193</v>
      </c>
      <c r="J4607" s="51" t="n">
        <f aca="false">1/(1+(wacc-0.01))^(2029-2026-0.5)</f>
        <v>0.761950947620757</v>
      </c>
      <c r="K4607" s="51" t="n">
        <f aca="false">1/(1+(wacc-0.01))^(2030-2026-0.5)</f>
        <v>0.6834359486772</v>
      </c>
      <c r="L4607" s="51" t="n">
        <f aca="false">1/(1+(wacc-0.01))^(2031-2026-0.5)</f>
        <v>0.613011503434449</v>
      </c>
      <c r="M4607" s="51" t="n">
        <f aca="false">1/(1+(wacc-0.01))^(2032-2026-0.5)</f>
        <v>0.549843923297125</v>
      </c>
    </row>
    <row r="4608" customFormat="false" ht="15" hidden="false" customHeight="false" outlineLevel="0" collapsed="false">
      <c r="A4608" s="5" t="s">
        <v>860</v>
      </c>
      <c r="B4608" s="0" t="s">
        <v>73</v>
      </c>
      <c r="H4608" s="38" t="n">
        <f aca="false">Sens!$H$4606*Sens!$H$4607</f>
        <v>-64.4530641175077</v>
      </c>
      <c r="I4608" s="38" t="n">
        <f aca="false">Sens!$I$4606*Sens!$I$4607</f>
        <v>-23.0655819423241</v>
      </c>
      <c r="J4608" s="38" t="n">
        <f aca="false">Sens!$J$4606*Sens!$J$4607</f>
        <v>10.3025418069029</v>
      </c>
      <c r="K4608" s="38" t="n">
        <f aca="false">Sens!$K$4606*Sens!$K$4607</f>
        <v>35.3132428830073</v>
      </c>
      <c r="L4608" s="38" t="n">
        <f aca="false">Sens!$L$4606*Sens!$L$4607</f>
        <v>35.3888906513278</v>
      </c>
      <c r="M4608" s="38" t="n">
        <f aca="false">Sens!$M$4606*Sens!$M$4607</f>
        <v>22.8374969700914</v>
      </c>
    </row>
    <row r="4609" customFormat="false" ht="15" hidden="false" customHeight="false" outlineLevel="0" collapsed="false">
      <c r="A4609" s="5" t="s">
        <v>861</v>
      </c>
      <c r="B4609" s="0" t="s">
        <v>73</v>
      </c>
      <c r="C4609" s="38" t="n">
        <f aca="false">SUM(Sens!$H$4608:$M$4608)</f>
        <v>16.3235262514977</v>
      </c>
    </row>
    <row r="4610" customFormat="false" ht="17.15" hidden="false" customHeight="false" outlineLevel="0" collapsed="false">
      <c r="A4610" s="5" t="s">
        <v>862</v>
      </c>
      <c r="B4610" s="0" t="s">
        <v>73</v>
      </c>
      <c r="C4610" s="38" t="n">
        <f aca="false">Sens!$M$4601*(1+tg)*(1-tg/ronic)/((wacc-0.01)-tg)</f>
        <v>1836.90892453882</v>
      </c>
    </row>
    <row r="4611" customFormat="false" ht="15" hidden="false" customHeight="false" outlineLevel="0" collapsed="false">
      <c r="A4611" s="5" t="s">
        <v>863</v>
      </c>
      <c r="B4611" s="0" t="s">
        <v>73</v>
      </c>
      <c r="C4611" s="38" t="n">
        <f aca="false">Sens!$C$4610/(1+(wacc-0.01))^6</f>
        <v>956.560529401079</v>
      </c>
    </row>
    <row r="4612" customFormat="false" ht="17.15" hidden="false" customHeight="false" outlineLevel="0" collapsed="false">
      <c r="A4612" s="5" t="s">
        <v>864</v>
      </c>
      <c r="B4612" s="0" t="s">
        <v>73</v>
      </c>
      <c r="C4612" s="38" t="n">
        <f aca="false">Sens!$C$4609+Sens!$C$4611</f>
        <v>972.884055652577</v>
      </c>
    </row>
    <row r="4613" customFormat="false" ht="17.15" hidden="false" customHeight="false" outlineLevel="0" collapsed="false">
      <c r="A4613" s="5" t="s">
        <v>865</v>
      </c>
      <c r="B4613" s="0" t="s">
        <v>52</v>
      </c>
      <c r="C4613" s="12" t="n">
        <f aca="false">Sens!$C$4611/Sens!$C$4612</f>
        <v>0.983221509123666</v>
      </c>
    </row>
    <row r="4614" customFormat="false" ht="17.15" hidden="false" customHeight="false" outlineLevel="0" collapsed="false">
      <c r="A4614" s="5" t="s">
        <v>866</v>
      </c>
      <c r="B4614" s="0" t="s">
        <v>73</v>
      </c>
      <c r="C4614" s="38" t="n">
        <f aca="false">Sens!$G$4591</f>
        <v>67.0428850873731</v>
      </c>
    </row>
    <row r="4615" customFormat="false" ht="17.15" hidden="false" customHeight="false" outlineLevel="0" collapsed="false">
      <c r="A4615" s="5" t="s">
        <v>867</v>
      </c>
      <c r="B4615" s="0" t="s">
        <v>73</v>
      </c>
      <c r="C4615" s="38" t="n">
        <f aca="false">(ant_val*ant_sh+oai_val*oai_sh)*(1-liq_disc)</f>
        <v>178.944</v>
      </c>
    </row>
    <row r="4616" customFormat="false" ht="15" hidden="false" customHeight="false" outlineLevel="0" collapsed="false">
      <c r="A4616" s="5" t="s">
        <v>868</v>
      </c>
      <c r="B4616" s="0" t="s">
        <v>73</v>
      </c>
      <c r="C4616" s="38" t="n">
        <f aca="false">Sens!$C$4612-Sens!$C$4614+Sens!$C$4615</f>
        <v>1084.7851705652</v>
      </c>
    </row>
    <row r="4617" customFormat="false" ht="17.15" hidden="false" customHeight="false" outlineLevel="0" collapsed="false">
      <c r="A4617" s="5" t="s">
        <v>869</v>
      </c>
      <c r="B4617" s="0" t="s">
        <v>27</v>
      </c>
      <c r="C4617" s="30" t="n">
        <f aca="false">Sens!$C$4616/sh_val</f>
        <v>98.3458105150228</v>
      </c>
    </row>
    <row r="4618" customFormat="false" ht="17.15" hidden="false" customHeight="false" outlineLevel="0" collapsed="false">
      <c r="A4618" s="1" t="s">
        <v>870</v>
      </c>
      <c r="B4618" s="8" t="s">
        <v>27</v>
      </c>
      <c r="C4618" s="30" t="n">
        <f aca="false">Sens!$C$4617*(1+ke)^tp_yf</f>
        <v>108.617530868126</v>
      </c>
    </row>
    <row r="4619" customFormat="false" ht="17.15" hidden="false" customHeight="false" outlineLevel="0" collapsed="false">
      <c r="A4619" s="3" t="s">
        <v>871</v>
      </c>
    </row>
    <row r="4620" customFormat="false" ht="17.15" hidden="false" customHeight="false" outlineLevel="0" collapsed="false">
      <c r="A4620" s="5" t="s">
        <v>872</v>
      </c>
      <c r="B4620" s="0" t="s">
        <v>73</v>
      </c>
      <c r="C4620" s="38" t="n">
        <f aca="false">0.25*Sens!$H$4550+0.75*Sens!$I$4550</f>
        <v>57.5541093268329</v>
      </c>
    </row>
    <row r="4621" customFormat="false" ht="15" hidden="false" customHeight="false" outlineLevel="0" collapsed="false">
      <c r="A4621" s="5" t="s">
        <v>873</v>
      </c>
      <c r="B4621" s="0" t="s">
        <v>57</v>
      </c>
      <c r="C4621" s="30" t="n">
        <f aca="false">m_ads*m_x</f>
        <v>9.11</v>
      </c>
    </row>
    <row r="4622" customFormat="false" ht="17.15" hidden="false" customHeight="false" outlineLevel="0" collapsed="false">
      <c r="A4622" s="5" t="s">
        <v>874</v>
      </c>
      <c r="B4622" s="0" t="s">
        <v>73</v>
      </c>
      <c r="C4622" s="38" t="n">
        <f aca="false">Sens!$C$4620*Sens!$C$4621</f>
        <v>524.317935967448</v>
      </c>
    </row>
    <row r="4623" customFormat="false" ht="17.15" hidden="false" customHeight="false" outlineLevel="0" collapsed="false">
      <c r="A4623" s="5" t="s">
        <v>875</v>
      </c>
      <c r="B4623" s="0" t="s">
        <v>73</v>
      </c>
      <c r="C4623" s="38" t="n">
        <f aca="false">0.25*Sens!$H$4551+0.75*Sens!$I$4551</f>
        <v>30.6290803533085</v>
      </c>
    </row>
    <row r="4624" customFormat="false" ht="15" hidden="false" customHeight="false" outlineLevel="0" collapsed="false">
      <c r="A4624" s="5" t="s">
        <v>876</v>
      </c>
      <c r="B4624" s="0" t="s">
        <v>57</v>
      </c>
      <c r="C4624" s="30" t="n">
        <f aca="false">m_retail*m_x</f>
        <v>17.72</v>
      </c>
    </row>
    <row r="4625" customFormat="false" ht="17.15" hidden="false" customHeight="false" outlineLevel="0" collapsed="false">
      <c r="A4625" s="5" t="s">
        <v>877</v>
      </c>
      <c r="B4625" s="0" t="s">
        <v>73</v>
      </c>
      <c r="C4625" s="38" t="n">
        <f aca="false">Sens!$C$4623*Sens!$C$4624</f>
        <v>542.747303860627</v>
      </c>
    </row>
    <row r="4626" customFormat="false" ht="17.15" hidden="false" customHeight="false" outlineLevel="0" collapsed="false">
      <c r="A4626" s="0" t="s">
        <v>878</v>
      </c>
      <c r="B4626" s="0" t="s">
        <v>73</v>
      </c>
      <c r="C4626" s="38" t="n">
        <f aca="false">0.25*Sens!$H$4552+0.75*Sens!$I$4552</f>
        <v>107.575398943098</v>
      </c>
    </row>
    <row r="4627" customFormat="false" ht="17.15" hidden="false" customHeight="false" outlineLevel="0" collapsed="false">
      <c r="A4627" s="0" t="s">
        <v>879</v>
      </c>
      <c r="B4627" s="0" t="s">
        <v>57</v>
      </c>
      <c r="C4627" s="30" t="n">
        <f aca="false">m_cloud*m_x</f>
        <v>13.82</v>
      </c>
    </row>
    <row r="4628" customFormat="false" ht="17.15" hidden="false" customHeight="false" outlineLevel="0" collapsed="false">
      <c r="A4628" s="0" t="s">
        <v>880</v>
      </c>
      <c r="B4628" s="0" t="s">
        <v>73</v>
      </c>
      <c r="C4628" s="38" t="n">
        <f aca="false">Sens!$C$4626*Sens!$C$4627</f>
        <v>1486.69201339361</v>
      </c>
    </row>
    <row r="4629" customFormat="false" ht="17.15" hidden="false" customHeight="false" outlineLevel="0" collapsed="false">
      <c r="A4629" s="0" t="s">
        <v>881</v>
      </c>
      <c r="B4629" s="0" t="s">
        <v>73</v>
      </c>
      <c r="C4629" s="38" t="n">
        <f aca="false">0.25*Sens!$H$4553+0.75*Sens!$I$4553</f>
        <v>72.2947701247864</v>
      </c>
    </row>
    <row r="4630" customFormat="false" ht="17.15" hidden="false" customHeight="false" outlineLevel="0" collapsed="false">
      <c r="A4630" s="0" t="s">
        <v>882</v>
      </c>
      <c r="B4630" s="0" t="s">
        <v>57</v>
      </c>
      <c r="C4630" s="30" t="n">
        <f aca="false">m_ai</f>
        <v>6</v>
      </c>
    </row>
    <row r="4631" customFormat="false" ht="17.15" hidden="false" customHeight="false" outlineLevel="0" collapsed="false">
      <c r="A4631" s="0" t="s">
        <v>883</v>
      </c>
      <c r="B4631" s="0" t="s">
        <v>73</v>
      </c>
      <c r="C4631" s="38" t="n">
        <f aca="false">Sens!$C$4629*Sens!$C$4630</f>
        <v>433.768620748718</v>
      </c>
    </row>
    <row r="4632" customFormat="false" ht="17.15" hidden="false" customHeight="false" outlineLevel="0" collapsed="false">
      <c r="A4632" s="5" t="s">
        <v>884</v>
      </c>
      <c r="B4632" s="0" t="s">
        <v>73</v>
      </c>
      <c r="C4632" s="38" t="n">
        <f aca="false">Sens!$C$4622+Sens!$C$4625+Sens!$C$4628+Sens!$C$4631</f>
        <v>2987.5258739704</v>
      </c>
    </row>
    <row r="4633" customFormat="false" ht="17.15" hidden="false" customHeight="false" outlineLevel="0" collapsed="false">
      <c r="A4633" s="5" t="s">
        <v>885</v>
      </c>
      <c r="B4633" s="0" t="s">
        <v>73</v>
      </c>
      <c r="C4633" s="38" t="n">
        <f aca="false">Sens!$H$4591</f>
        <v>113.741590679904</v>
      </c>
    </row>
    <row r="4634" customFormat="false" ht="15" hidden="false" customHeight="false" outlineLevel="0" collapsed="false">
      <c r="A4634" s="5" t="s">
        <v>886</v>
      </c>
      <c r="B4634" s="0" t="s">
        <v>73</v>
      </c>
      <c r="C4634" s="38" t="n">
        <f aca="false">Sens!$C$4632-Sens!$C$4633+Sens!$C$4615</f>
        <v>3052.7282832905</v>
      </c>
    </row>
    <row r="4635" customFormat="false" ht="15" hidden="false" customHeight="false" outlineLevel="0" collapsed="false">
      <c r="A4635" s="3" t="s">
        <v>887</v>
      </c>
      <c r="B4635" s="8" t="s">
        <v>27</v>
      </c>
      <c r="C4635" s="30" t="n">
        <f aca="false">Sens!$C$4634/sh_val</f>
        <v>276.758058137828</v>
      </c>
    </row>
    <row r="4636" customFormat="false" ht="17.15" hidden="false" customHeight="false" outlineLevel="0" collapsed="false">
      <c r="A4636" s="46" t="s">
        <v>888</v>
      </c>
      <c r="B4636" s="13" t="s">
        <v>27</v>
      </c>
      <c r="C4636" s="43" t="n">
        <f aca="false">w_dcf*Sens!$C$4618+(1-w_dcf)*Sens!$C$4635</f>
        <v>192.687794502977</v>
      </c>
      <c r="D4636" s="13"/>
      <c r="E4636" s="13"/>
      <c r="F4636" s="13"/>
      <c r="G4636" s="13"/>
      <c r="H4636" s="13"/>
      <c r="I4636" s="13"/>
      <c r="J4636" s="13"/>
      <c r="K4636" s="13"/>
      <c r="L4636" s="13"/>
      <c r="M4636" s="13"/>
      <c r="N4636" s="13"/>
      <c r="O4636" s="13"/>
    </row>
    <row r="4637" customFormat="false" ht="17.15" hidden="false" customHeight="false" outlineLevel="0" collapsed="false">
      <c r="A4637" s="5" t="s">
        <v>889</v>
      </c>
      <c r="B4637" s="0" t="s">
        <v>27</v>
      </c>
      <c r="C4637" s="30" t="n">
        <f aca="false">0.45*Sens!$C$4618+0.55*Sens!$C$4635</f>
        <v>201.094820866462</v>
      </c>
    </row>
    <row r="4640" customFormat="false" ht="19.4" hidden="false" customHeight="false" outlineLevel="0" collapsed="false">
      <c r="A4640" s="31" t="s">
        <v>1145</v>
      </c>
    </row>
    <row r="4641" customFormat="false" ht="17.15" hidden="false" customHeight="false" outlineLevel="0" collapsed="false">
      <c r="A4641" s="6" t="s">
        <v>16</v>
      </c>
      <c r="B4641" s="6" t="s">
        <v>17</v>
      </c>
      <c r="C4641" s="20" t="s">
        <v>457</v>
      </c>
      <c r="D4641" s="20" t="s">
        <v>458</v>
      </c>
      <c r="E4641" s="20" t="s">
        <v>540</v>
      </c>
      <c r="F4641" s="20" t="s">
        <v>541</v>
      </c>
      <c r="G4641" s="20" t="s">
        <v>542</v>
      </c>
      <c r="H4641" s="20" t="s">
        <v>543</v>
      </c>
      <c r="I4641" s="20" t="s">
        <v>544</v>
      </c>
      <c r="J4641" s="20" t="s">
        <v>545</v>
      </c>
      <c r="K4641" s="20" t="s">
        <v>546</v>
      </c>
      <c r="L4641" s="20" t="s">
        <v>547</v>
      </c>
      <c r="M4641" s="20" t="s">
        <v>548</v>
      </c>
      <c r="N4641" s="20" t="s">
        <v>549</v>
      </c>
      <c r="O4641" s="20" t="s">
        <v>550</v>
      </c>
      <c r="P4641" s="6" t="s">
        <v>23</v>
      </c>
      <c r="R4641" s="20" t="n">
        <v>2023</v>
      </c>
      <c r="S4641" s="20" t="n">
        <v>2024</v>
      </c>
      <c r="T4641" s="20" t="n">
        <v>2025</v>
      </c>
      <c r="U4641" s="20" t="n">
        <v>2026</v>
      </c>
      <c r="V4641" s="20" t="n">
        <v>2027</v>
      </c>
      <c r="W4641" s="20" t="n">
        <v>2028</v>
      </c>
      <c r="X4641" s="20" t="n">
        <v>2029</v>
      </c>
      <c r="Y4641" s="20" t="n">
        <v>2030</v>
      </c>
      <c r="Z4641" s="20" t="n">
        <v>2031</v>
      </c>
      <c r="AA4641" s="20" t="n">
        <v>2032</v>
      </c>
    </row>
    <row r="4642" customFormat="false" ht="17.15" hidden="false" customHeight="false" outlineLevel="0" collapsed="false">
      <c r="A4642" s="1" t="s">
        <v>621</v>
      </c>
    </row>
    <row r="4643" customFormat="false" ht="17.15" hidden="false" customHeight="false" outlineLevel="0" collapsed="false">
      <c r="A4643" s="0" t="s">
        <v>479</v>
      </c>
      <c r="B4643" s="0" t="s">
        <v>73</v>
      </c>
      <c r="C4643" s="38" t="n">
        <f aca="false">Q!$D$10</f>
        <v>247.029</v>
      </c>
      <c r="D4643" s="38" t="n">
        <f aca="false">Q!$E$10</f>
        <v>269.287</v>
      </c>
      <c r="E4643" s="38" t="n">
        <f aca="false">Q!$P$10</f>
        <v>134.686</v>
      </c>
      <c r="F4643" s="38" t="n">
        <f aca="false">Sens!$O$4643*(1+Sens!$F$4644)-pd_amt*Q!$O$10/(Q!$O$10+Q!$O$12)</f>
        <v>160.728085930082</v>
      </c>
      <c r="G4643" s="38" t="n">
        <f aca="false">Sens!$E$4643+Sens!$F$4643</f>
        <v>295.414085930082</v>
      </c>
      <c r="H4643" s="38" t="n">
        <f aca="false">Sens!$G$4643*(1+Sens!$H$4644)</f>
        <v>320.828163943375</v>
      </c>
      <c r="I4643" s="38" t="n">
        <f aca="false">Sens!$H$4643*(1+Sens!$I$4644)</f>
        <v>344.575578072228</v>
      </c>
      <c r="J4643" s="38" t="n">
        <f aca="false">Sens!$I$4643*(1+Sens!$J$4644)</f>
        <v>365.942555779681</v>
      </c>
      <c r="K4643" s="38" t="n">
        <f aca="false">Sens!$J$4643*(1+Sens!$K$4644)</f>
        <v>384.239683568665</v>
      </c>
      <c r="L4643" s="38" t="n">
        <f aca="false">Sens!$K$4643*(1+Sens!$L$4644)</f>
        <v>403.451667747098</v>
      </c>
      <c r="M4643" s="38" t="n">
        <f aca="false">Sens!$L$4643*(1+Sens!$M$4644)</f>
        <v>423.624251134453</v>
      </c>
      <c r="N4643" s="38" t="n">
        <f aca="false">Q!$N$10</f>
        <v>118.892</v>
      </c>
      <c r="O4643" s="38" t="n">
        <f aca="false">Q!$O$10</f>
        <v>150.395</v>
      </c>
      <c r="P4643" s="8" t="s">
        <v>622</v>
      </c>
    </row>
    <row r="4644" customFormat="false" ht="17.15" hidden="false" customHeight="false" outlineLevel="0" collapsed="false">
      <c r="A4644" s="0" t="s">
        <v>623</v>
      </c>
      <c r="B4644" s="0" t="s">
        <v>52</v>
      </c>
      <c r="E4644" s="12" t="n">
        <f aca="false">Sens!$E$4643/Sens!$N$4643-1</f>
        <v>0.132843252699929</v>
      </c>
      <c r="F4644" s="12" t="n">
        <f aca="false">Sens!$O$4643/(Q!$F$10+Q!$G$10)-1</f>
        <v>0.0980382135842941</v>
      </c>
      <c r="G4644" s="12" t="n">
        <f aca="false">Sens!$G$4643/Sens!$D$4643-1</f>
        <v>0.0970231980380869</v>
      </c>
      <c r="H4644" s="12" t="n">
        <f aca="false">Sens!$F$4644+(g_os-Sens!$F$4644)*1/4</f>
        <v>0.0860286601882206</v>
      </c>
      <c r="I4644" s="12" t="n">
        <f aca="false">Sens!$F$4644+(g_os-Sens!$F$4644)*2/4</f>
        <v>0.074019106792147</v>
      </c>
      <c r="J4644" s="12" t="n">
        <f aca="false">Sens!$F$4644+(g_os-Sens!$F$4644)*3/4</f>
        <v>0.0620095533960735</v>
      </c>
      <c r="K4644" s="12" t="n">
        <f aca="false">Sens!$F$4644+(g_os-Sens!$F$4644)*4/4</f>
        <v>0.05</v>
      </c>
      <c r="L4644" s="12" t="n">
        <f aca="false">g_os</f>
        <v>0.05</v>
      </c>
      <c r="M4644" s="12" t="n">
        <f aca="false">g_os</f>
        <v>0.05</v>
      </c>
      <c r="P4644" s="8" t="s">
        <v>624</v>
      </c>
    </row>
    <row r="4645" customFormat="false" ht="17.15" hidden="false" customHeight="false" outlineLevel="0" collapsed="false">
      <c r="A4645" s="0" t="s">
        <v>480</v>
      </c>
      <c r="B4645" s="0" t="s">
        <v>73</v>
      </c>
      <c r="C4645" s="38" t="n">
        <f aca="false">Q!$D$11</f>
        <v>21.215</v>
      </c>
      <c r="D4645" s="38" t="n">
        <f aca="false">Q!$E$11</f>
        <v>22.561</v>
      </c>
      <c r="E4645" s="38" t="n">
        <f aca="false">Q!$P$11</f>
        <v>11.579</v>
      </c>
      <c r="F4645" s="38" t="n">
        <f aca="false">Sens!$O$4645*(1+Sens!$F$4646)</f>
        <v>12.0952613121125</v>
      </c>
      <c r="G4645" s="38" t="n">
        <f aca="false">Sens!$E$4645+Sens!$F$4645</f>
        <v>23.6742613121125</v>
      </c>
      <c r="H4645" s="38" t="n">
        <f aca="false">Sens!$G$4645*(1+Sens!$H$4646)</f>
        <v>24.8803243963206</v>
      </c>
      <c r="I4645" s="38" t="n">
        <f aca="false">Sens!$H$4645*(1+Sens!$I$4646)</f>
        <v>25.9741308664154</v>
      </c>
      <c r="J4645" s="38" t="n">
        <f aca="false">Sens!$I$4645*(1+Sens!$J$4646)</f>
        <v>26.9346894124267</v>
      </c>
      <c r="K4645" s="38" t="n">
        <f aca="false">Sens!$J$4645*(1+Sens!$K$4646)</f>
        <v>27.7427300947995</v>
      </c>
      <c r="L4645" s="38" t="n">
        <f aca="false">Sens!$K$4645*(1+Sens!$L$4646)</f>
        <v>28.5750119976435</v>
      </c>
      <c r="M4645" s="38" t="n">
        <f aca="false">Sens!$L$4645*(1+Sens!$M$4646)</f>
        <v>29.4322623575728</v>
      </c>
      <c r="N4645" s="38" t="n">
        <f aca="false">Q!$N$11</f>
        <v>11.128</v>
      </c>
      <c r="O4645" s="38" t="n">
        <f aca="false">Q!$O$11</f>
        <v>11.433</v>
      </c>
      <c r="P4645" s="8" t="s">
        <v>622</v>
      </c>
    </row>
    <row r="4646" customFormat="false" ht="17.15" hidden="false" customHeight="false" outlineLevel="0" collapsed="false">
      <c r="A4646" s="0" t="s">
        <v>625</v>
      </c>
      <c r="B4646" s="0" t="s">
        <v>52</v>
      </c>
      <c r="E4646" s="12" t="n">
        <f aca="false">Sens!$E$4645/Sens!$N$4645-1</f>
        <v>0.0405283968368082</v>
      </c>
      <c r="F4646" s="12" t="n">
        <f aca="false">Sens!$O$4645/(Q!$F$11+Q!$G$11)-1</f>
        <v>0.0579254187100955</v>
      </c>
      <c r="G4646" s="12" t="n">
        <f aca="false">Sens!$G$4645/Sens!$D$4645-1</f>
        <v>0.0493445021103904</v>
      </c>
      <c r="H4646" s="12" t="n">
        <f aca="false">Sens!$F$4646+(g_ps-Sens!$F$4646)*1/4</f>
        <v>0.0509440640325716</v>
      </c>
      <c r="I4646" s="12" t="n">
        <f aca="false">Sens!$F$4646+(g_ps-Sens!$F$4646)*2/4</f>
        <v>0.0439627093550477</v>
      </c>
      <c r="J4646" s="12" t="n">
        <f aca="false">Sens!$F$4646+(g_ps-Sens!$F$4646)*3/4</f>
        <v>0.0369813546775239</v>
      </c>
      <c r="K4646" s="12" t="n">
        <f aca="false">Sens!$F$4646+(g_ps-Sens!$F$4646)*4/4</f>
        <v>0.03</v>
      </c>
      <c r="L4646" s="12" t="n">
        <f aca="false">g_ps</f>
        <v>0.03</v>
      </c>
      <c r="M4646" s="12" t="n">
        <f aca="false">g_ps</f>
        <v>0.03</v>
      </c>
      <c r="P4646" s="8" t="s">
        <v>626</v>
      </c>
    </row>
    <row r="4647" customFormat="false" ht="17.15" hidden="false" customHeight="false" outlineLevel="0" collapsed="false">
      <c r="A4647" s="0" t="s">
        <v>481</v>
      </c>
      <c r="B4647" s="0" t="s">
        <v>73</v>
      </c>
      <c r="C4647" s="38" t="n">
        <f aca="false">Q!$D$12</f>
        <v>156.146</v>
      </c>
      <c r="D4647" s="38" t="n">
        <f aca="false">Q!$E$12</f>
        <v>172.162</v>
      </c>
      <c r="E4647" s="38" t="n">
        <f aca="false">Q!$P$12</f>
        <v>88.358</v>
      </c>
      <c r="F4647" s="38" t="n">
        <f aca="false">Sens!$O$4647*(1+Sens!$F$4648)-pd_amt*Q!$O$12/(Q!$O$10+Q!$O$12)</f>
        <v>103.62028337149</v>
      </c>
      <c r="G4647" s="38" t="n">
        <f aca="false">Sens!$E$4647+Sens!$F$4647</f>
        <v>191.97828337149</v>
      </c>
      <c r="H4647" s="38" t="n">
        <f aca="false">Sens!$G$4647*(1+Sens!$H$4648)</f>
        <v>212.128608444755</v>
      </c>
      <c r="I4647" s="38" t="n">
        <f aca="false">Sens!$H$4647*(1+Sens!$I$4648)</f>
        <v>231.92183134134</v>
      </c>
      <c r="J4647" s="38" t="n">
        <f aca="false">Sens!$I$4647*(1+Sens!$J$4648)</f>
        <v>250.859136487863</v>
      </c>
      <c r="K4647" s="38" t="n">
        <f aca="false">Sens!$J$4647*(1+Sens!$K$4648)</f>
        <v>268.419276042014</v>
      </c>
      <c r="L4647" s="38" t="n">
        <f aca="false">Sens!$K$4647*(1+Sens!$L$4648)</f>
        <v>287.208625364954</v>
      </c>
      <c r="M4647" s="38" t="n">
        <f aca="false">Sens!$L$4647*(1+Sens!$M$4648)</f>
        <v>307.313229140501</v>
      </c>
      <c r="N4647" s="38" t="n">
        <f aca="false">Q!$N$12</f>
        <v>76.86</v>
      </c>
      <c r="O4647" s="38" t="n">
        <f aca="false">Q!$O$12</f>
        <v>95.302</v>
      </c>
      <c r="P4647" s="8" t="s">
        <v>622</v>
      </c>
    </row>
    <row r="4648" customFormat="false" ht="17.15" hidden="false" customHeight="false" outlineLevel="0" collapsed="false">
      <c r="A4648" s="0" t="s">
        <v>627</v>
      </c>
      <c r="B4648" s="0" t="s">
        <v>52</v>
      </c>
      <c r="E4648" s="12" t="n">
        <f aca="false">Sens!$E$4647/Sens!$N$4647-1</f>
        <v>0.1495966692688</v>
      </c>
      <c r="F4648" s="12" t="n">
        <f aca="false">Sens!$O$4647/(Q!$F$12+Q!$G$12)-1</f>
        <v>0.11661530890813</v>
      </c>
      <c r="G4648" s="12" t="n">
        <f aca="false">Sens!$G$4647/Sens!$D$4647-1</f>
        <v>0.115102539303041</v>
      </c>
      <c r="H4648" s="12" t="n">
        <f aca="false">Sens!$F$4648+(g_sp-Sens!$F$4648)*1/4</f>
        <v>0.104961481681098</v>
      </c>
      <c r="I4648" s="12" t="n">
        <f aca="false">Sens!$F$4648+(g_sp-Sens!$F$4648)*2/4</f>
        <v>0.0933076544540651</v>
      </c>
      <c r="J4648" s="12" t="n">
        <f aca="false">Sens!$F$4648+(g_sp-Sens!$F$4648)*3/4</f>
        <v>0.0816538272270325</v>
      </c>
      <c r="K4648" s="12" t="n">
        <f aca="false">Sens!$F$4648+(g_sp-Sens!$F$4648)*4/4</f>
        <v>0.07</v>
      </c>
      <c r="L4648" s="12" t="n">
        <f aca="false">g_sp</f>
        <v>0.07</v>
      </c>
      <c r="M4648" s="12" t="n">
        <f aca="false">g_sp</f>
        <v>0.07</v>
      </c>
      <c r="P4648" s="8" t="s">
        <v>628</v>
      </c>
    </row>
    <row r="4649" customFormat="false" ht="17.15" hidden="false" customHeight="false" outlineLevel="0" collapsed="false">
      <c r="A4649" s="0" t="s">
        <v>482</v>
      </c>
      <c r="B4649" s="0" t="s">
        <v>73</v>
      </c>
      <c r="C4649" s="38" t="n">
        <f aca="false">Q!$D$13</f>
        <v>56.214</v>
      </c>
      <c r="D4649" s="38" t="n">
        <f aca="false">Q!$E$13</f>
        <v>68.635</v>
      </c>
      <c r="E4649" s="38" t="n">
        <f aca="false">Q!$P$13</f>
        <v>37.052</v>
      </c>
      <c r="F4649" s="38" t="n">
        <f aca="false">Sens!$O$4649*(1+Sens!$F$4650)</f>
        <v>48.1533381827382</v>
      </c>
      <c r="G4649" s="38" t="n">
        <f aca="false">Sens!$E$4649+Sens!$F$4649</f>
        <v>85.2053381827382</v>
      </c>
      <c r="H4649" s="38" t="n">
        <f aca="false">Sens!$G$4649*(1+Sens!$H$4650)</f>
        <v>102.29336185894</v>
      </c>
      <c r="I4649" s="38" t="n">
        <f aca="false">Sens!$H$4649*(1+Sens!$I$4650)</f>
        <v>119.379837585241</v>
      </c>
      <c r="J4649" s="38" t="n">
        <f aca="false">Sens!$I$4649*(1+Sens!$J$4650)</f>
        <v>135.319079048844</v>
      </c>
      <c r="K4649" s="38" t="n">
        <f aca="false">Sens!$J$4649*(1+Sens!$K$4650)</f>
        <v>148.850986953729</v>
      </c>
      <c r="L4649" s="38" t="n">
        <f aca="false">Sens!$K$4649*(1+Sens!$L$4650)</f>
        <v>163.736085649102</v>
      </c>
      <c r="M4649" s="38" t="n">
        <f aca="false">Sens!$L$4649*(1+Sens!$M$4650)</f>
        <v>180.109694214012</v>
      </c>
      <c r="N4649" s="38" t="n">
        <f aca="false">Q!$N$13</f>
        <v>29.615</v>
      </c>
      <c r="O4649" s="38" t="n">
        <f aca="false">Q!$O$13</f>
        <v>39.02</v>
      </c>
      <c r="P4649" s="8" t="s">
        <v>622</v>
      </c>
    </row>
    <row r="4650" customFormat="false" ht="17.15" hidden="false" customHeight="false" outlineLevel="0" collapsed="false">
      <c r="A4650" s="0" t="s">
        <v>629</v>
      </c>
      <c r="B4650" s="0" t="s">
        <v>52</v>
      </c>
      <c r="E4650" s="12" t="n">
        <f aca="false">Sens!$E$4649/Sens!$N$4649-1</f>
        <v>0.25112274185379</v>
      </c>
      <c r="F4650" s="12" t="n">
        <f aca="false">Sens!$O$4649/(Q!$F$13+Q!$G$13)-1</f>
        <v>0.234068123596572</v>
      </c>
      <c r="G4650" s="12" t="n">
        <f aca="false">Sens!$G$4649/Sens!$D$4649-1</f>
        <v>0.241426942270536</v>
      </c>
      <c r="H4650" s="12" t="n">
        <f aca="false">Sens!$F$4650+(g_ad-Sens!$F$4650)*1/4</f>
        <v>0.200551092697429</v>
      </c>
      <c r="I4650" s="12" t="n">
        <f aca="false">Sens!$F$4650+(g_ad-Sens!$F$4650)*2/4</f>
        <v>0.167034061798286</v>
      </c>
      <c r="J4650" s="12" t="n">
        <f aca="false">Sens!$F$4650+(g_ad-Sens!$F$4650)*3/4</f>
        <v>0.133517030899143</v>
      </c>
      <c r="K4650" s="12" t="n">
        <f aca="false">Sens!$F$4650+(g_ad-Sens!$F$4650)*4/4</f>
        <v>0.1</v>
      </c>
      <c r="L4650" s="12" t="n">
        <f aca="false">g_ad</f>
        <v>0.1</v>
      </c>
      <c r="M4650" s="12" t="n">
        <f aca="false">g_ad</f>
        <v>0.1</v>
      </c>
      <c r="P4650" s="8" t="s">
        <v>630</v>
      </c>
    </row>
    <row r="4651" customFormat="false" ht="17.15" hidden="false" customHeight="false" outlineLevel="0" collapsed="false">
      <c r="A4651" s="0" t="s">
        <v>483</v>
      </c>
      <c r="B4651" s="0" t="s">
        <v>73</v>
      </c>
      <c r="C4651" s="38" t="n">
        <f aca="false">Q!$D$14</f>
        <v>44.374</v>
      </c>
      <c r="D4651" s="38" t="n">
        <f aca="false">Q!$E$14</f>
        <v>49.619</v>
      </c>
      <c r="E4651" s="38" t="n">
        <f aca="false">Q!$P$14</f>
        <v>27.157</v>
      </c>
      <c r="F4651" s="38" t="n">
        <f aca="false">Sens!$O$4651*(1+Sens!$F$4652)</f>
        <v>28.9776360923374</v>
      </c>
      <c r="G4651" s="38" t="n">
        <f aca="false">Sens!$E$4651+Sens!$F$4651</f>
        <v>56.1346360923374</v>
      </c>
      <c r="H4651" s="38" t="n">
        <f aca="false">Sens!$G$4651*(1+Sens!$H$4652)</f>
        <v>62.4937078946075</v>
      </c>
      <c r="I4651" s="38" t="n">
        <f aca="false">Sens!$H$4651*(1+Sens!$I$4652)</f>
        <v>68.6715233062498</v>
      </c>
      <c r="J4651" s="38" t="n">
        <f aca="false">Sens!$I$4651*(1+Sens!$J$4652)</f>
        <v>74.4692882949818</v>
      </c>
      <c r="K4651" s="38" t="n">
        <f aca="false">Sens!$J$4651*(1+Sens!$K$4652)</f>
        <v>79.6821384756306</v>
      </c>
      <c r="L4651" s="38" t="n">
        <f aca="false">Sens!$K$4651*(1+Sens!$L$4652)</f>
        <v>85.2598881689247</v>
      </c>
      <c r="M4651" s="38" t="n">
        <f aca="false">Sens!$L$4651*(1+Sens!$M$4652)</f>
        <v>91.2280803407494</v>
      </c>
      <c r="N4651" s="38" t="n">
        <f aca="false">Q!$N$14</f>
        <v>23.923</v>
      </c>
      <c r="O4651" s="38" t="n">
        <f aca="false">Q!$O$14</f>
        <v>25.696</v>
      </c>
      <c r="P4651" s="8" t="s">
        <v>622</v>
      </c>
    </row>
    <row r="4652" customFormat="false" ht="17.15" hidden="false" customHeight="false" outlineLevel="0" collapsed="false">
      <c r="A4652" s="0" t="s">
        <v>631</v>
      </c>
      <c r="B4652" s="0" t="s">
        <v>52</v>
      </c>
      <c r="E4652" s="12" t="n">
        <f aca="false">Sens!$E$4651/Sens!$N$4651-1</f>
        <v>0.135183714417088</v>
      </c>
      <c r="F4652" s="12" t="n">
        <f aca="false">Sens!$O$4651/(Q!$F$14+Q!$G$14)-1</f>
        <v>0.127709997366804</v>
      </c>
      <c r="G4652" s="12" t="n">
        <f aca="false">Sens!$G$4651/Sens!$D$4651-1</f>
        <v>0.131313329416905</v>
      </c>
      <c r="H4652" s="12" t="n">
        <f aca="false">Sens!$F$4652+(g_sub-Sens!$F$4652)*1/4</f>
        <v>0.113282498025103</v>
      </c>
      <c r="I4652" s="12" t="n">
        <f aca="false">Sens!$F$4652+(g_sub-Sens!$F$4652)*2/4</f>
        <v>0.0988549986834021</v>
      </c>
      <c r="J4652" s="12" t="n">
        <f aca="false">Sens!$F$4652+(g_sub-Sens!$F$4652)*3/4</f>
        <v>0.084427499341701</v>
      </c>
      <c r="K4652" s="12" t="n">
        <f aca="false">Sens!$F$4652+(g_sub-Sens!$F$4652)*4/4</f>
        <v>0.07</v>
      </c>
      <c r="L4652" s="12" t="n">
        <f aca="false">g_sub</f>
        <v>0.07</v>
      </c>
      <c r="M4652" s="12" t="n">
        <f aca="false">g_sub</f>
        <v>0.07</v>
      </c>
      <c r="P4652" s="8" t="s">
        <v>632</v>
      </c>
    </row>
    <row r="4653" customFormat="false" ht="17.15" hidden="false" customHeight="false" outlineLevel="0" collapsed="false">
      <c r="A4653" s="0" t="s">
        <v>484</v>
      </c>
      <c r="B4653" s="0" t="s">
        <v>73</v>
      </c>
      <c r="C4653" s="38" t="n">
        <f aca="false">Q!$D$15</f>
        <v>5.425</v>
      </c>
      <c r="D4653" s="38" t="n">
        <f aca="false">Q!$E$15</f>
        <v>5.935</v>
      </c>
      <c r="E4653" s="38" t="n">
        <f aca="false">Q!$P$15</f>
        <v>3.474</v>
      </c>
      <c r="F4653" s="38" t="n">
        <f aca="false">Sens!$O$4653*(1+Sens!$F$4654)</f>
        <v>3.36182431966931</v>
      </c>
      <c r="G4653" s="38" t="n">
        <f aca="false">Sens!$E$4653+Sens!$F$4653</f>
        <v>6.83582431966931</v>
      </c>
      <c r="H4653" s="38" t="n">
        <f aca="false">Sens!$G$4653*(1+Sens!$H$4654)</f>
        <v>7.31157108370141</v>
      </c>
      <c r="I4653" s="38" t="n">
        <f aca="false">Sens!$H$4653*(1+Sens!$I$4654)</f>
        <v>7.77266852639815</v>
      </c>
      <c r="J4653" s="38" t="n">
        <f aca="false">Sens!$I$4653*(1+Sens!$J$4654)</f>
        <v>8.2120733019884</v>
      </c>
      <c r="K4653" s="38" t="n">
        <f aca="false">Sens!$J$4653*(1+Sens!$K$4654)</f>
        <v>8.62267696708783</v>
      </c>
      <c r="L4653" s="38" t="n">
        <f aca="false">Sens!$K$4653*(1+Sens!$L$4654)</f>
        <v>9.05381081544222</v>
      </c>
      <c r="M4653" s="38" t="n">
        <f aca="false">Sens!$L$4653*(1+Sens!$M$4654)</f>
        <v>9.50650135621433</v>
      </c>
      <c r="N4653" s="38" t="n">
        <f aca="false">Q!$N$15</f>
        <v>2.811</v>
      </c>
      <c r="O4653" s="38" t="n">
        <f aca="false">Q!$O$15</f>
        <v>3.124</v>
      </c>
      <c r="P4653" s="8" t="s">
        <v>622</v>
      </c>
    </row>
    <row r="4654" customFormat="false" ht="17.15" hidden="false" customHeight="false" outlineLevel="0" collapsed="false">
      <c r="A4654" s="0" t="s">
        <v>633</v>
      </c>
      <c r="B4654" s="0" t="s">
        <v>52</v>
      </c>
      <c r="E4654" s="12" t="n">
        <f aca="false">Sens!$E$4653/Sens!$N$4653-1</f>
        <v>0.235859124866596</v>
      </c>
      <c r="F4654" s="12" t="n">
        <f aca="false">Sens!$O$4653/(Q!$F$15+Q!$G$15)-1</f>
        <v>0.0761281433000345</v>
      </c>
      <c r="G4654" s="12" t="n">
        <f aca="false">Sens!$G$4653/Sens!$D$4653-1</f>
        <v>0.151781688234087</v>
      </c>
      <c r="H4654" s="12" t="n">
        <f aca="false">Sens!$F$4654+(g_ot-Sens!$F$4654)*1/4</f>
        <v>0.0695961074750259</v>
      </c>
      <c r="I4654" s="12" t="n">
        <f aca="false">Sens!$F$4654+(g_ot-Sens!$F$4654)*2/4</f>
        <v>0.0630640716500172</v>
      </c>
      <c r="J4654" s="12" t="n">
        <f aca="false">Sens!$F$4654+(g_ot-Sens!$F$4654)*3/4</f>
        <v>0.0565320358250086</v>
      </c>
      <c r="K4654" s="12" t="n">
        <f aca="false">Sens!$F$4654+(g_ot-Sens!$F$4654)*4/4</f>
        <v>0.05</v>
      </c>
      <c r="L4654" s="12" t="n">
        <f aca="false">g_ot</f>
        <v>0.05</v>
      </c>
      <c r="M4654" s="12" t="n">
        <f aca="false">g_ot</f>
        <v>0.05</v>
      </c>
      <c r="P4654" s="8" t="s">
        <v>634</v>
      </c>
    </row>
    <row r="4655" customFormat="false" ht="17.15" hidden="false" customHeight="false" outlineLevel="0" collapsed="false">
      <c r="A4655" s="3" t="s">
        <v>635</v>
      </c>
      <c r="B4655" s="8" t="s">
        <v>73</v>
      </c>
      <c r="C4655" s="38" t="n">
        <f aca="false">Sens!$C$4643+Sens!$C$4645+Sens!$C$4647+Sens!$C$4649+Sens!$C$4651+Sens!$C$4653</f>
        <v>530.403</v>
      </c>
      <c r="D4655" s="38" t="n">
        <f aca="false">Sens!$D$4643+Sens!$D$4645+Sens!$D$4647+Sens!$D$4649+Sens!$D$4651+Sens!$D$4653</f>
        <v>588.199</v>
      </c>
      <c r="E4655" s="38" t="n">
        <f aca="false">Sens!$E$4643+Sens!$E$4645+Sens!$E$4647+Sens!$E$4649+Sens!$E$4651+Sens!$E$4653</f>
        <v>302.306</v>
      </c>
      <c r="F4655" s="38" t="n">
        <f aca="false">Sens!$F$4643+Sens!$F$4645+Sens!$F$4647+Sens!$F$4649+Sens!$F$4651+Sens!$F$4653</f>
        <v>356.93642920843</v>
      </c>
      <c r="G4655" s="38" t="n">
        <f aca="false">Sens!$G$4643+Sens!$G$4645+Sens!$G$4647+Sens!$G$4649+Sens!$G$4651+Sens!$G$4653</f>
        <v>659.24242920843</v>
      </c>
      <c r="H4655" s="38" t="n">
        <f aca="false">Sens!$H$4643+Sens!$H$4645+Sens!$H$4647+Sens!$H$4649+Sens!$H$4651+Sens!$H$4653</f>
        <v>729.935737621701</v>
      </c>
      <c r="I4655" s="38" t="n">
        <f aca="false">Sens!$I$4643+Sens!$I$4645+Sens!$I$4647+Sens!$I$4649+Sens!$I$4651+Sens!$I$4653</f>
        <v>798.295569697873</v>
      </c>
      <c r="J4655" s="38" t="n">
        <f aca="false">Sens!$J$4643+Sens!$J$4645+Sens!$J$4647+Sens!$J$4649+Sens!$J$4651+Sens!$J$4653</f>
        <v>861.736822325785</v>
      </c>
      <c r="K4655" s="38" t="n">
        <f aca="false">Sens!$K$4643+Sens!$K$4645+Sens!$K$4647+Sens!$K$4649+Sens!$K$4651+Sens!$K$4653</f>
        <v>917.557492101925</v>
      </c>
      <c r="L4655" s="38" t="n">
        <f aca="false">Sens!$L$4643+Sens!$L$4645+Sens!$L$4647+Sens!$L$4649+Sens!$L$4651+Sens!$L$4653</f>
        <v>977.285089743165</v>
      </c>
      <c r="M4655" s="38" t="n">
        <f aca="false">Sens!$M$4643+Sens!$M$4645+Sens!$M$4647+Sens!$M$4649+Sens!$M$4651+Sens!$M$4653</f>
        <v>1041.2140185435</v>
      </c>
      <c r="N4655" s="38" t="n">
        <f aca="false">Sens!$N$4643+Sens!$N$4645+Sens!$N$4647+Sens!$N$4649+Sens!$N$4651+Sens!$N$4653</f>
        <v>263.229</v>
      </c>
      <c r="O4655" s="38" t="n">
        <f aca="false">Sens!$O$4643+Sens!$O$4645+Sens!$O$4647+Sens!$O$4649+Sens!$O$4651+Sens!$O$4653</f>
        <v>324.97</v>
      </c>
    </row>
    <row r="4656" customFormat="false" ht="17.15" hidden="false" customHeight="false" outlineLevel="0" collapsed="false">
      <c r="A4656" s="5" t="s">
        <v>636</v>
      </c>
      <c r="B4656" s="0" t="s">
        <v>52</v>
      </c>
      <c r="C4656" s="12" t="n">
        <f aca="false">Q!$D$5/(Q!$D$5+Q!$D$6)</f>
        <v>0.730570905519011</v>
      </c>
      <c r="D4656" s="12" t="n">
        <f aca="false">Q!$E$5/(Q!$E$5+Q!$E$6)</f>
        <v>0.724763217890544</v>
      </c>
      <c r="E4656" s="12" t="n">
        <f aca="false">Q!$P$5/(Q!$P$5+Q!$P$6)</f>
        <v>0.728797972914861</v>
      </c>
      <c r="F4656" s="12" t="n">
        <f aca="false">Sens!$O$4656</f>
        <v>0.718066283041511</v>
      </c>
      <c r="G4656" s="12" t="n">
        <f aca="false">Sens!$G$4657/Sens!$G$4655</f>
        <v>0.722987468473627</v>
      </c>
      <c r="H4656" s="12" t="n">
        <f aca="false">Sens!$G$4656</f>
        <v>0.722987468473627</v>
      </c>
      <c r="I4656" s="12" t="n">
        <f aca="false">Sens!$G$4656</f>
        <v>0.722987468473627</v>
      </c>
      <c r="J4656" s="12" t="n">
        <f aca="false">Sens!$G$4656</f>
        <v>0.722987468473627</v>
      </c>
      <c r="K4656" s="12" t="n">
        <f aca="false">Sens!$G$4656</f>
        <v>0.722987468473627</v>
      </c>
      <c r="L4656" s="12" t="n">
        <f aca="false">Sens!$G$4656</f>
        <v>0.722987468473627</v>
      </c>
      <c r="M4656" s="12" t="n">
        <f aca="false">Sens!$G$4656</f>
        <v>0.722987468473627</v>
      </c>
      <c r="N4656" s="12" t="n">
        <f aca="false">Q!$N$5/(Q!$N$5+Q!$N$6)</f>
        <v>0.733030935041352</v>
      </c>
      <c r="O4656" s="12" t="n">
        <f aca="false">Q!$O$5/(Q!$O$5+Q!$O$6)</f>
        <v>0.718066283041511</v>
      </c>
      <c r="P4656" s="8" t="s">
        <v>637</v>
      </c>
    </row>
    <row r="4657" customFormat="false" ht="17.15" hidden="false" customHeight="false" outlineLevel="0" collapsed="false">
      <c r="A4657" s="1" t="s">
        <v>472</v>
      </c>
      <c r="B4657" s="8" t="s">
        <v>73</v>
      </c>
      <c r="C4657" s="38" t="n">
        <f aca="false">Q!$D$5</f>
        <v>387.497</v>
      </c>
      <c r="D4657" s="38" t="n">
        <f aca="false">Q!$E$5</f>
        <v>426.305</v>
      </c>
      <c r="E4657" s="38" t="n">
        <f aca="false">Q!$P$5</f>
        <v>220.32</v>
      </c>
      <c r="F4657" s="38" t="n">
        <f aca="false">Sens!$F$4655*Sens!$F$4656</f>
        <v>256.304015003807</v>
      </c>
      <c r="G4657" s="38" t="n">
        <f aca="false">Sens!$E$4657+Sens!$F$4657</f>
        <v>476.624015003807</v>
      </c>
      <c r="H4657" s="38" t="n">
        <f aca="false">Sens!$H$4655*Sens!$H$4656</f>
        <v>527.734391091543</v>
      </c>
      <c r="I4657" s="38" t="n">
        <f aca="false">Sens!$I$4655*Sens!$I$4656</f>
        <v>577.157693029577</v>
      </c>
      <c r="J4657" s="38" t="n">
        <f aca="false">Sens!$J$4655*Sens!$J$4656</f>
        <v>623.024923663827</v>
      </c>
      <c r="K4657" s="38" t="n">
        <f aca="false">Sens!$K$4655*Sens!$K$4656</f>
        <v>663.382568393781</v>
      </c>
      <c r="L4657" s="38" t="n">
        <f aca="false">Sens!$L$4655*Sens!$L$4656</f>
        <v>706.564873010432</v>
      </c>
      <c r="M4657" s="38" t="n">
        <f aca="false">Sens!$M$4655*Sens!$M$4656</f>
        <v>752.784687406019</v>
      </c>
      <c r="N4657" s="38" t="n">
        <f aca="false">Q!$N$5</f>
        <v>192.955</v>
      </c>
      <c r="O4657" s="38" t="n">
        <f aca="false">Q!$O$5</f>
        <v>233.35</v>
      </c>
      <c r="P4657" s="5" t="s">
        <v>638</v>
      </c>
    </row>
    <row r="4658" customFormat="false" ht="17.15" hidden="false" customHeight="false" outlineLevel="0" collapsed="false">
      <c r="A4658" s="1" t="s">
        <v>475</v>
      </c>
      <c r="B4658" s="8" t="s">
        <v>73</v>
      </c>
      <c r="C4658" s="38" t="n">
        <f aca="false">Q!$D$6</f>
        <v>142.906</v>
      </c>
      <c r="D4658" s="38" t="n">
        <f aca="false">Q!$E$6</f>
        <v>161.894</v>
      </c>
      <c r="E4658" s="38" t="n">
        <f aca="false">Q!$P$6</f>
        <v>81.986</v>
      </c>
      <c r="F4658" s="38" t="n">
        <f aca="false">Sens!$F$4655*(1-Sens!$F$4656)</f>
        <v>100.632414204623</v>
      </c>
      <c r="G4658" s="38" t="n">
        <f aca="false">Sens!$E$4658+Sens!$F$4658</f>
        <v>182.618414204623</v>
      </c>
      <c r="H4658" s="38" t="n">
        <f aca="false">Sens!$H$4655*(1-Sens!$H$4656)</f>
        <v>202.201346530158</v>
      </c>
      <c r="I4658" s="38" t="n">
        <f aca="false">Sens!$I$4655*(1-Sens!$I$4656)</f>
        <v>221.137876668296</v>
      </c>
      <c r="J4658" s="38" t="n">
        <f aca="false">Sens!$J$4655*(1-Sens!$J$4656)</f>
        <v>238.711898661958</v>
      </c>
      <c r="K4658" s="38" t="n">
        <f aca="false">Sens!$K$4655*(1-Sens!$K$4656)</f>
        <v>254.174923708144</v>
      </c>
      <c r="L4658" s="38" t="n">
        <f aca="false">Sens!$L$4655*(1-Sens!$L$4656)</f>
        <v>270.720216732733</v>
      </c>
      <c r="M4658" s="38" t="n">
        <f aca="false">Sens!$M$4655*(1-Sens!$M$4656)</f>
        <v>288.429331137484</v>
      </c>
      <c r="N4658" s="38" t="n">
        <f aca="false">Q!$N$6</f>
        <v>70.274</v>
      </c>
      <c r="O4658" s="38" t="n">
        <f aca="false">Q!$O$6</f>
        <v>91.62</v>
      </c>
      <c r="P4658" s="5" t="s">
        <v>639</v>
      </c>
    </row>
    <row r="4659" customFormat="false" ht="17.15" hidden="false" customHeight="false" outlineLevel="0" collapsed="false">
      <c r="A4659" s="5" t="s">
        <v>640</v>
      </c>
      <c r="B4659" s="0" t="s">
        <v>73</v>
      </c>
      <c r="C4659" s="38" t="n">
        <f aca="false">Sens!$C$4649*Sens!$C$4656</f>
        <v>41.0683128828457</v>
      </c>
      <c r="D4659" s="38" t="n">
        <f aca="false">Sens!$D$4649*Sens!$D$4656</f>
        <v>49.7441234599175</v>
      </c>
      <c r="E4659" s="38" t="n">
        <f aca="false">Sens!$E$4649*Sens!$E$4656</f>
        <v>27.0034224924414</v>
      </c>
      <c r="F4659" s="38" t="n">
        <f aca="false">Sens!$F$4649*Sens!$F$4656</f>
        <v>34.5772885649197</v>
      </c>
      <c r="G4659" s="38" t="n">
        <f aca="false">Sens!$G$4649*Sens!$G$4656</f>
        <v>61.6023917531772</v>
      </c>
      <c r="H4659" s="38" t="n">
        <f aca="false">Sens!$H$4649*Sens!$H$4656</f>
        <v>73.9568187320519</v>
      </c>
      <c r="I4659" s="38" t="n">
        <f aca="false">Sens!$I$4649*Sens!$I$4656</f>
        <v>86.3101265625461</v>
      </c>
      <c r="J4659" s="38" t="n">
        <f aca="false">Sens!$J$4649*Sens!$J$4656</f>
        <v>97.8339983977065</v>
      </c>
      <c r="K4659" s="38" t="n">
        <f aca="false">Sens!$K$4649*Sens!$K$4656</f>
        <v>107.617398237477</v>
      </c>
      <c r="L4659" s="38" t="n">
        <f aca="false">Sens!$L$4649*Sens!$L$4656</f>
        <v>118.379138061225</v>
      </c>
      <c r="M4659" s="38" t="n">
        <f aca="false">Sens!$M$4649*Sens!$M$4656</f>
        <v>130.217051867347</v>
      </c>
      <c r="N4659" s="38" t="n">
        <f aca="false">Sens!$N$4649*Sens!$N$4656</f>
        <v>21.7087111412496</v>
      </c>
      <c r="O4659" s="38" t="n">
        <f aca="false">Sens!$O$4649*Sens!$O$4656</f>
        <v>28.0189463642798</v>
      </c>
      <c r="P4659" s="5" t="s">
        <v>641</v>
      </c>
    </row>
    <row r="4660" customFormat="false" ht="15" hidden="false" customHeight="false" outlineLevel="0" collapsed="false">
      <c r="A4660" s="5" t="s">
        <v>642</v>
      </c>
      <c r="B4660" s="0" t="s">
        <v>73</v>
      </c>
      <c r="C4660" s="38" t="n">
        <f aca="false">Sens!$C$4649-Sens!$C$4659</f>
        <v>15.1456871171543</v>
      </c>
      <c r="D4660" s="38" t="n">
        <f aca="false">Sens!$D$4649-Sens!$D$4659</f>
        <v>18.8908765400825</v>
      </c>
      <c r="E4660" s="38" t="n">
        <f aca="false">Sens!$E$4649-Sens!$E$4659</f>
        <v>10.0485775075586</v>
      </c>
      <c r="F4660" s="38" t="n">
        <f aca="false">Sens!$F$4649-Sens!$F$4659</f>
        <v>13.5760496178185</v>
      </c>
      <c r="G4660" s="38" t="n">
        <f aca="false">Sens!$G$4649-Sens!$G$4659</f>
        <v>23.6029464295611</v>
      </c>
      <c r="H4660" s="38" t="n">
        <f aca="false">Sens!$H$4649-Sens!$H$4659</f>
        <v>28.3365431268884</v>
      </c>
      <c r="I4660" s="38" t="n">
        <f aca="false">Sens!$I$4649-Sens!$I$4659</f>
        <v>33.0697110226949</v>
      </c>
      <c r="J4660" s="38" t="n">
        <f aca="false">Sens!$J$4649-Sens!$J$4659</f>
        <v>37.4850806511378</v>
      </c>
      <c r="K4660" s="38" t="n">
        <f aca="false">Sens!$K$4649-Sens!$K$4659</f>
        <v>41.2335887162515</v>
      </c>
      <c r="L4660" s="38" t="n">
        <f aca="false">Sens!$L$4649-Sens!$L$4659</f>
        <v>45.3569475878767</v>
      </c>
      <c r="M4660" s="38" t="n">
        <f aca="false">Sens!$M$4649-Sens!$M$4659</f>
        <v>49.8926423466644</v>
      </c>
      <c r="N4660" s="38" t="n">
        <f aca="false">Sens!$N$4649-Sens!$N$4659</f>
        <v>7.90628885875037</v>
      </c>
      <c r="O4660" s="38" t="n">
        <f aca="false">Sens!$O$4649-Sens!$O$4659</f>
        <v>11.0010536357202</v>
      </c>
    </row>
    <row r="4661" customFormat="false" ht="19.4" hidden="false" customHeight="false" outlineLevel="0" collapsed="false">
      <c r="A4661" s="31" t="s">
        <v>1146</v>
      </c>
    </row>
    <row r="4662" customFormat="false" ht="17.15" hidden="false" customHeight="false" outlineLevel="0" collapsed="false">
      <c r="A4662" s="6" t="s">
        <v>16</v>
      </c>
      <c r="B4662" s="6" t="s">
        <v>17</v>
      </c>
      <c r="C4662" s="20" t="s">
        <v>457</v>
      </c>
      <c r="D4662" s="20" t="s">
        <v>458</v>
      </c>
      <c r="E4662" s="20" t="s">
        <v>540</v>
      </c>
      <c r="F4662" s="20" t="s">
        <v>541</v>
      </c>
      <c r="G4662" s="20" t="s">
        <v>542</v>
      </c>
      <c r="H4662" s="20" t="s">
        <v>543</v>
      </c>
      <c r="I4662" s="20" t="s">
        <v>544</v>
      </c>
      <c r="J4662" s="20" t="s">
        <v>545</v>
      </c>
      <c r="K4662" s="20" t="s">
        <v>546</v>
      </c>
      <c r="L4662" s="20" t="s">
        <v>547</v>
      </c>
      <c r="M4662" s="20" t="s">
        <v>548</v>
      </c>
      <c r="N4662" s="20" t="s">
        <v>549</v>
      </c>
      <c r="O4662" s="20" t="s">
        <v>550</v>
      </c>
      <c r="P4662" s="6" t="s">
        <v>23</v>
      </c>
      <c r="R4662" s="20" t="n">
        <v>2023</v>
      </c>
      <c r="S4662" s="20" t="n">
        <v>2024</v>
      </c>
      <c r="T4662" s="20" t="n">
        <v>2025</v>
      </c>
      <c r="U4662" s="20" t="n">
        <v>2026</v>
      </c>
      <c r="V4662" s="20" t="n">
        <v>2027</v>
      </c>
      <c r="W4662" s="20" t="n">
        <v>2028</v>
      </c>
      <c r="X4662" s="20" t="n">
        <v>2029</v>
      </c>
      <c r="Y4662" s="20" t="n">
        <v>2030</v>
      </c>
      <c r="Z4662" s="20" t="n">
        <v>2031</v>
      </c>
      <c r="AA4662" s="20" t="n">
        <v>2032</v>
      </c>
    </row>
    <row r="4663" customFormat="false" ht="17.15" hidden="false" customHeight="false" outlineLevel="0" collapsed="false">
      <c r="A4663" s="1" t="s">
        <v>551</v>
      </c>
    </row>
    <row r="4664" customFormat="false" ht="17.15" hidden="false" customHeight="false" outlineLevel="0" collapsed="false">
      <c r="A4664" s="14" t="s">
        <v>552</v>
      </c>
      <c r="B4664" s="13" t="s">
        <v>108</v>
      </c>
      <c r="C4664" s="32" t="n">
        <f aca="false">mw_ye24</f>
        <v>360</v>
      </c>
      <c r="D4664" s="32" t="n">
        <f aca="false">mw_ye25</f>
        <v>1440</v>
      </c>
      <c r="E4664" s="32" t="n">
        <f aca="false">mw_open</f>
        <v>2080</v>
      </c>
      <c r="F4664" s="32" t="n">
        <f aca="false">Sens!$E$4664+pace_B*0.5</f>
        <v>3897.15</v>
      </c>
      <c r="G4664" s="32" t="n">
        <f aca="false">Sens!$F$4664</f>
        <v>3897.15</v>
      </c>
      <c r="H4664" s="32" t="n">
        <f aca="false">Sens!$G$4664+pace_B</f>
        <v>7531.45</v>
      </c>
      <c r="I4664" s="32" t="n">
        <f aca="false">Sens!$H$4664+pace_B</f>
        <v>11165.75</v>
      </c>
      <c r="J4664" s="32" t="n">
        <f aca="false">Sens!$I$4664+pace_B</f>
        <v>14800.05</v>
      </c>
      <c r="K4664" s="32" t="n">
        <f aca="false">Sens!$J$4664+pace_B</f>
        <v>18434.35</v>
      </c>
      <c r="L4664" s="32" t="n">
        <f aca="false">Sens!$K$4664+pace_B</f>
        <v>22068.65</v>
      </c>
      <c r="M4664" s="32" t="n">
        <f aca="false">Sens!$L$4664+pace_B</f>
        <v>25702.95</v>
      </c>
      <c r="N4664" s="32" t="n">
        <f aca="false">(mw_ye24+mw_ye25)/2</f>
        <v>900</v>
      </c>
      <c r="O4664" s="32" t="n">
        <f aca="false">mw_ye25</f>
        <v>1440</v>
      </c>
      <c r="P4664" s="5" t="s">
        <v>553</v>
      </c>
    </row>
    <row r="4665" customFormat="false" ht="17.15" hidden="false" customHeight="false" outlineLevel="0" collapsed="false">
      <c r="A4665" s="5" t="s">
        <v>554</v>
      </c>
      <c r="B4665" s="0" t="s">
        <v>108</v>
      </c>
      <c r="C4665" s="33" t="n">
        <f aca="false">(mw_ye23+mw_ye24)/2</f>
        <v>240</v>
      </c>
      <c r="D4665" s="33" t="n">
        <f aca="false">(Sens!$C$4664+Sens!$D$4664)/2</f>
        <v>900</v>
      </c>
      <c r="E4665" s="33" t="n">
        <f aca="false">(Sens!$D$4664+Sens!$E$4664)/2</f>
        <v>1760</v>
      </c>
      <c r="F4665" s="33" t="n">
        <f aca="false">(Sens!$E$4664+Sens!$F$4664)/2</f>
        <v>2988.575</v>
      </c>
      <c r="G4665" s="33" t="n">
        <f aca="false">(Sens!$E$4665+Sens!$F$4665)/2</f>
        <v>2374.2875</v>
      </c>
      <c r="H4665" s="33" t="n">
        <f aca="false">(Sens!$G$4664+Sens!$H$4664)/2</f>
        <v>5714.3</v>
      </c>
      <c r="I4665" s="33" t="n">
        <f aca="false">(Sens!$H$4664+Sens!$I$4664)/2</f>
        <v>9348.6</v>
      </c>
      <c r="J4665" s="33" t="n">
        <f aca="false">(Sens!$I$4664+Sens!$J$4664)/2</f>
        <v>12982.9</v>
      </c>
      <c r="K4665" s="33" t="n">
        <f aca="false">(Sens!$J$4664+Sens!$K$4664)/2</f>
        <v>16617.2</v>
      </c>
      <c r="L4665" s="33" t="n">
        <f aca="false">(Sens!$K$4664+Sens!$L$4664)/2</f>
        <v>20251.5</v>
      </c>
      <c r="M4665" s="33" t="n">
        <f aca="false">(Sens!$L$4664+Sens!$M$4664)/2</f>
        <v>23885.8</v>
      </c>
      <c r="N4665" s="33" t="n">
        <f aca="false">(Sens!$C$4664+Sens!$N$4664)/2</f>
        <v>630</v>
      </c>
      <c r="O4665" s="33" t="n">
        <f aca="false">(Sens!$N$4664+Sens!$O$4664)/2</f>
        <v>1170</v>
      </c>
    </row>
    <row r="4666" customFormat="false" ht="15" hidden="false" customHeight="false" outlineLevel="0" collapsed="false">
      <c r="A4666" s="5" t="s">
        <v>555</v>
      </c>
      <c r="B4666" s="5" t="s">
        <v>102</v>
      </c>
      <c r="C4666" s="34" t="n">
        <v>1</v>
      </c>
      <c r="D4666" s="34" t="n">
        <v>1</v>
      </c>
      <c r="E4666" s="34" t="n">
        <v>0.5</v>
      </c>
      <c r="F4666" s="34" t="n">
        <v>0.5</v>
      </c>
      <c r="G4666" s="34" t="n">
        <v>1</v>
      </c>
      <c r="H4666" s="34" t="n">
        <v>1</v>
      </c>
      <c r="I4666" s="34" t="n">
        <v>1</v>
      </c>
      <c r="J4666" s="34" t="n">
        <v>1</v>
      </c>
      <c r="K4666" s="34" t="n">
        <v>1</v>
      </c>
      <c r="L4666" s="34" t="n">
        <v>1</v>
      </c>
      <c r="M4666" s="34" t="n">
        <v>1</v>
      </c>
      <c r="N4666" s="34" t="n">
        <v>0.5</v>
      </c>
      <c r="O4666" s="34" t="n">
        <v>0.5</v>
      </c>
    </row>
    <row r="4667" customFormat="false" ht="17.15" hidden="false" customHeight="false" outlineLevel="0" collapsed="false">
      <c r="A4667" s="5" t="s">
        <v>556</v>
      </c>
      <c r="B4667" s="0" t="s">
        <v>108</v>
      </c>
      <c r="C4667" s="33" t="n">
        <f aca="false">Sens!$C$4664-mw_ye23</f>
        <v>240</v>
      </c>
      <c r="D4667" s="33" t="n">
        <f aca="false">Sens!$D$4664-Sens!$C$4664</f>
        <v>1080</v>
      </c>
      <c r="E4667" s="33" t="n">
        <f aca="false">Sens!$E$4664-Sens!$D$4664</f>
        <v>640</v>
      </c>
      <c r="F4667" s="33" t="n">
        <f aca="false">Sens!$F$4664-Sens!$E$4664</f>
        <v>1817.15</v>
      </c>
      <c r="G4667" s="33" t="n">
        <f aca="false">Sens!$E$4667+Sens!$F$4667</f>
        <v>2457.15</v>
      </c>
      <c r="H4667" s="33" t="n">
        <f aca="false">Sens!$H$4664-Sens!$G$4664</f>
        <v>3634.3</v>
      </c>
      <c r="I4667" s="33" t="n">
        <f aca="false">Sens!$I$4664-Sens!$H$4664</f>
        <v>3634.3</v>
      </c>
      <c r="J4667" s="33" t="n">
        <f aca="false">Sens!$J$4664-Sens!$I$4664</f>
        <v>3634.3</v>
      </c>
      <c r="K4667" s="33" t="n">
        <f aca="false">Sens!$K$4664-Sens!$J$4664</f>
        <v>3634.3</v>
      </c>
      <c r="L4667" s="33" t="n">
        <f aca="false">Sens!$L$4664-Sens!$K$4664</f>
        <v>3634.3</v>
      </c>
      <c r="M4667" s="33" t="n">
        <f aca="false">Sens!$M$4664-Sens!$L$4664</f>
        <v>3634.3</v>
      </c>
      <c r="N4667" s="33" t="n">
        <f aca="false">Sens!$N$4664-Sens!$C$4664</f>
        <v>540</v>
      </c>
      <c r="O4667" s="33" t="n">
        <f aca="false">Sens!$O$4664-Sens!$N$4664</f>
        <v>540</v>
      </c>
    </row>
    <row r="4668" customFormat="false" ht="17.15" hidden="false" customHeight="false" outlineLevel="0" collapsed="false">
      <c r="A4668" s="5" t="s">
        <v>557</v>
      </c>
      <c r="B4668" s="0" t="s">
        <v>108</v>
      </c>
      <c r="C4668" s="33" t="n">
        <f aca="false">Sens!$C$4667/ext_sh</f>
        <v>300</v>
      </c>
      <c r="D4668" s="33" t="n">
        <f aca="false">Sens!$D$4667/ext_sh</f>
        <v>1350</v>
      </c>
      <c r="E4668" s="33" t="n">
        <f aca="false">Sens!$E$4667/ext_sh</f>
        <v>800</v>
      </c>
      <c r="F4668" s="33" t="n">
        <f aca="false">Sens!$F$4667/ext_sh</f>
        <v>2271.4375</v>
      </c>
      <c r="G4668" s="33" t="n">
        <f aca="false">Sens!$G$4667/ext_sh</f>
        <v>3071.4375</v>
      </c>
      <c r="H4668" s="33" t="n">
        <f aca="false">Sens!$H$4667/ext_sh</f>
        <v>4542.875</v>
      </c>
      <c r="I4668" s="33" t="n">
        <f aca="false">Sens!$I$4667/ext_sh</f>
        <v>4542.875</v>
      </c>
      <c r="J4668" s="33" t="n">
        <f aca="false">Sens!$J$4667/ext_sh</f>
        <v>4542.875</v>
      </c>
      <c r="K4668" s="33" t="n">
        <f aca="false">Sens!$K$4667/ext_sh</f>
        <v>4542.875</v>
      </c>
      <c r="L4668" s="33" t="n">
        <f aca="false">Sens!$L$4667/ext_sh</f>
        <v>4542.875</v>
      </c>
      <c r="M4668" s="33" t="n">
        <f aca="false">Sens!$M$4667/ext_sh</f>
        <v>4542.875</v>
      </c>
      <c r="N4668" s="33" t="n">
        <f aca="false">Sens!$N$4667/ext_sh</f>
        <v>675</v>
      </c>
      <c r="O4668" s="33" t="n">
        <f aca="false">Sens!$O$4667/ext_sh</f>
        <v>675</v>
      </c>
      <c r="P4668" s="8" t="s">
        <v>558</v>
      </c>
      <c r="R4668" s="33" t="n">
        <f aca="false">mw_ye23/ext_sh</f>
        <v>150</v>
      </c>
      <c r="S4668" s="33" t="n">
        <f aca="false">Sens!$C$4668</f>
        <v>300</v>
      </c>
      <c r="T4668" s="33" t="n">
        <f aca="false">Sens!$D$4668</f>
        <v>1350</v>
      </c>
      <c r="U4668" s="33" t="n">
        <f aca="false">Sens!$G$4668</f>
        <v>3071.4375</v>
      </c>
      <c r="V4668" s="33" t="n">
        <f aca="false">Sens!$H$4668</f>
        <v>4542.875</v>
      </c>
      <c r="W4668" s="33" t="n">
        <f aca="false">Sens!$I$4668</f>
        <v>4542.875</v>
      </c>
      <c r="X4668" s="33" t="n">
        <f aca="false">Sens!$J$4668</f>
        <v>4542.875</v>
      </c>
      <c r="Y4668" s="33" t="n">
        <f aca="false">Sens!$K$4668</f>
        <v>4542.875</v>
      </c>
      <c r="Z4668" s="33" t="n">
        <f aca="false">Sens!$L$4668</f>
        <v>4542.875</v>
      </c>
      <c r="AA4668" s="33" t="n">
        <f aca="false">Sens!$M$4668</f>
        <v>4542.875</v>
      </c>
    </row>
    <row r="4669" customFormat="false" ht="17.15" hidden="false" customHeight="false" outlineLevel="0" collapsed="false">
      <c r="A4669" s="1" t="s">
        <v>559</v>
      </c>
    </row>
    <row r="4670" customFormat="false" ht="17.15" hidden="false" customHeight="false" outlineLevel="0" collapsed="false">
      <c r="A4670" s="0" t="s">
        <v>560</v>
      </c>
      <c r="B4670" s="0" t="s">
        <v>52</v>
      </c>
      <c r="F4670" s="35" t="n">
        <f aca="false">na_vr26</f>
        <v>0</v>
      </c>
      <c r="G4670" s="35" t="n">
        <f aca="false">na_vr26</f>
        <v>0</v>
      </c>
      <c r="H4670" s="35" t="n">
        <f aca="false">na_vr27</f>
        <v>0.5</v>
      </c>
      <c r="I4670" s="35" t="n">
        <f aca="false">na_vr28</f>
        <v>1</v>
      </c>
      <c r="J4670" s="35" t="n">
        <f aca="false">na_vr28</f>
        <v>1</v>
      </c>
      <c r="K4670" s="35" t="n">
        <f aca="false">na_vr28</f>
        <v>1</v>
      </c>
      <c r="L4670" s="35" t="n">
        <f aca="false">na_vr28</f>
        <v>1</v>
      </c>
      <c r="M4670" s="35" t="n">
        <f aca="false">na_vr28</f>
        <v>1</v>
      </c>
    </row>
    <row r="4671" customFormat="false" ht="17.15" hidden="false" customHeight="false" outlineLevel="0" collapsed="false">
      <c r="A4671" s="5" t="s">
        <v>561</v>
      </c>
      <c r="B4671" s="0" t="s">
        <v>151</v>
      </c>
      <c r="F4671" s="36" t="n">
        <f aca="false">cust_sh*tk_he_gb300*cf_chip+(1-cust_sh)*((1-Sens!$F$4670)*tk_he_gb300+Sens!$F$4670*tk_he_vr200)</f>
        <v>10.8864110021101</v>
      </c>
      <c r="G4671" s="36" t="n">
        <f aca="false">cust_sh*tk_he_gb300*cf_chip+(1-cust_sh)*((1-Sens!$G$4670)*tk_he_gb300+Sens!$G$4670*tk_he_vr200)</f>
        <v>10.8864110021101</v>
      </c>
      <c r="H4671" s="36" t="n">
        <f aca="false">cust_sh*tk_he_gb300*cf_chip+(1-cust_sh)*((1-Sens!$H$4670)*tk_he_gb300+Sens!$H$4670*tk_he_vr200)</f>
        <v>11.2211760027286</v>
      </c>
      <c r="I4671" s="36" t="n">
        <f aca="false">cust_sh*tk_he_gb300*cf_chip+(1-cust_sh)*((1-Sens!$I$4670)*tk_he_gb300+Sens!$I$4670*tk_he_vr200)</f>
        <v>11.5559410033471</v>
      </c>
      <c r="J4671" s="36" t="n">
        <f aca="false">cust_sh*tk_he_gb300*cf_chip+(1-cust_sh)*((1-Sens!$J$4670)*tk_he_gb300+Sens!$J$4670*tk_he_vr200)</f>
        <v>11.5559410033471</v>
      </c>
      <c r="K4671" s="36" t="n">
        <f aca="false">cust_sh*tk_he_gb300*cf_chip+(1-cust_sh)*((1-Sens!$K$4670)*tk_he_gb300+Sens!$K$4670*tk_he_vr200)</f>
        <v>11.5559410033471</v>
      </c>
      <c r="L4671" s="36" t="n">
        <f aca="false">cust_sh*tk_he_gb300*cf_chip+(1-cust_sh)*((1-Sens!$L$4670)*tk_he_gb300+Sens!$L$4670*tk_he_vr200)</f>
        <v>11.5559410033471</v>
      </c>
      <c r="M4671" s="36" t="n">
        <f aca="false">cust_sh*tk_he_gb300*cf_chip+(1-cust_sh)*((1-Sens!$M$4670)*tk_he_gb300+Sens!$M$4670*tk_he_vr200)</f>
        <v>11.5559410033471</v>
      </c>
    </row>
    <row r="4672" customFormat="false" ht="17.15" hidden="false" customHeight="false" outlineLevel="0" collapsed="false">
      <c r="A4672" s="5" t="s">
        <v>562</v>
      </c>
      <c r="B4672" s="0" t="s">
        <v>151</v>
      </c>
      <c r="F4672" s="36" t="n">
        <f aca="false">cust_sh*tk_ox_gb300+(1-cust_sh)*((1-Sens!$F$4670)*tk_ox_gb300+Sens!$F$4670*tk_ox_vr200)</f>
        <v>1.98263481314457</v>
      </c>
      <c r="G4672" s="36" t="n">
        <f aca="false">cust_sh*tk_ox_gb300+(1-cust_sh)*((1-Sens!$G$4670)*tk_ox_gb300+Sens!$G$4670*tk_ox_vr200)</f>
        <v>1.98263481314457</v>
      </c>
      <c r="H4672" s="36" t="n">
        <f aca="false">cust_sh*tk_ox_gb300+(1-cust_sh)*((1-Sens!$H$4670)*tk_ox_gb300+Sens!$H$4670*tk_ox_vr200)</f>
        <v>2.01034999693694</v>
      </c>
      <c r="I4672" s="36" t="n">
        <f aca="false">cust_sh*tk_ox_gb300+(1-cust_sh)*((1-Sens!$I$4670)*tk_ox_gb300+Sens!$I$4670*tk_ox_vr200)</f>
        <v>2.0380651807293</v>
      </c>
      <c r="J4672" s="36" t="n">
        <f aca="false">cust_sh*tk_ox_gb300+(1-cust_sh)*((1-Sens!$J$4670)*tk_ox_gb300+Sens!$J$4670*tk_ox_vr200)</f>
        <v>2.0380651807293</v>
      </c>
      <c r="K4672" s="36" t="n">
        <f aca="false">cust_sh*tk_ox_gb300+(1-cust_sh)*((1-Sens!$K$4670)*tk_ox_gb300+Sens!$K$4670*tk_ox_vr200)</f>
        <v>2.0380651807293</v>
      </c>
      <c r="L4672" s="36" t="n">
        <f aca="false">cust_sh*tk_ox_gb300+(1-cust_sh)*((1-Sens!$L$4670)*tk_ox_gb300+Sens!$L$4670*tk_ox_vr200)</f>
        <v>2.0380651807293</v>
      </c>
      <c r="M4672" s="36" t="n">
        <f aca="false">cust_sh*tk_ox_gb300+(1-cust_sh)*((1-Sens!$M$4670)*tk_ox_gb300+Sens!$M$4670*tk_ox_vr200)</f>
        <v>2.0380651807293</v>
      </c>
    </row>
    <row r="4673" customFormat="false" ht="17.15" hidden="false" customHeight="false" outlineLevel="0" collapsed="false">
      <c r="A4673" s="5" t="s">
        <v>563</v>
      </c>
      <c r="B4673" s="0" t="s">
        <v>170</v>
      </c>
      <c r="F4673" s="36" t="n">
        <f aca="false">cust_sh*tk_cx_gb300*cf_cx+(1-cust_sh)*((1-Sens!$F$4670)*tk_cx_gb300+Sens!$F$4670*tk_cx_vr200)</f>
        <v>32.237224</v>
      </c>
      <c r="G4673" s="36" t="n">
        <f aca="false">cust_sh*tk_cx_gb300*cf_cx+(1-cust_sh)*((1-Sens!$G$4670)*tk_cx_gb300+Sens!$G$4670*tk_cx_vr200)</f>
        <v>32.237224</v>
      </c>
      <c r="H4673" s="36" t="n">
        <f aca="false">cust_sh*tk_cx_gb300*cf_cx+(1-cust_sh)*((1-Sens!$H$4670)*tk_cx_gb300+Sens!$H$4670*tk_cx_vr200)</f>
        <v>33.574506</v>
      </c>
      <c r="I4673" s="36" t="n">
        <f aca="false">cust_sh*tk_cx_gb300*cf_cx+(1-cust_sh)*((1-Sens!$I$4670)*tk_cx_gb300+Sens!$I$4670*tk_cx_vr200)</f>
        <v>34.911788</v>
      </c>
      <c r="J4673" s="36" t="n">
        <f aca="false">cust_sh*tk_cx_gb300*cf_cx+(1-cust_sh)*((1-Sens!$J$4670)*tk_cx_gb300+Sens!$J$4670*tk_cx_vr200)</f>
        <v>34.911788</v>
      </c>
      <c r="K4673" s="36" t="n">
        <f aca="false">cust_sh*tk_cx_gb300*cf_cx+(1-cust_sh)*((1-Sens!$K$4670)*tk_cx_gb300+Sens!$K$4670*tk_cx_vr200)</f>
        <v>34.911788</v>
      </c>
      <c r="L4673" s="36" t="n">
        <f aca="false">cust_sh*tk_cx_gb300*cf_cx+(1-cust_sh)*((1-Sens!$L$4670)*tk_cx_gb300+Sens!$L$4670*tk_cx_vr200)</f>
        <v>34.911788</v>
      </c>
      <c r="M4673" s="36" t="n">
        <f aca="false">cust_sh*tk_cx_gb300*cf_cx+(1-cust_sh)*((1-Sens!$M$4670)*tk_cx_gb300+Sens!$M$4670*tk_cx_vr200)</f>
        <v>34.911788</v>
      </c>
    </row>
    <row r="4674" customFormat="false" ht="17.15" hidden="false" customHeight="false" outlineLevel="0" collapsed="false">
      <c r="A4674" s="5" t="s">
        <v>564</v>
      </c>
      <c r="B4674" s="0" t="s">
        <v>108</v>
      </c>
      <c r="F4674" s="33" t="n">
        <f aca="false">Sens!$F$4664-mw_open</f>
        <v>1817.15</v>
      </c>
      <c r="G4674" s="33" t="n">
        <f aca="false">Sens!$F$4674</f>
        <v>1817.15</v>
      </c>
      <c r="H4674" s="33" t="n">
        <f aca="false">Sens!$H$4664-mw_open</f>
        <v>5451.45</v>
      </c>
      <c r="I4674" s="33" t="n">
        <f aca="false">Sens!$I$4664-mw_open</f>
        <v>9085.75</v>
      </c>
      <c r="J4674" s="33" t="n">
        <f aca="false">Sens!$J$4664-mw_open</f>
        <v>12720.05</v>
      </c>
      <c r="K4674" s="33" t="n">
        <f aca="false">Sens!$K$4664-mw_open</f>
        <v>16354.35</v>
      </c>
      <c r="L4674" s="33" t="n">
        <f aca="false">Sens!$L$4664-mw_open</f>
        <v>19988.65</v>
      </c>
      <c r="M4674" s="33" t="n">
        <f aca="false">Sens!$M$4664-mw_open</f>
        <v>23622.95</v>
      </c>
    </row>
    <row r="4675" customFormat="false" ht="17.15" hidden="false" customHeight="false" outlineLevel="0" collapsed="false">
      <c r="A4675" s="0" t="s">
        <v>565</v>
      </c>
      <c r="B4675" s="0" t="s">
        <v>566</v>
      </c>
      <c r="F4675" s="33" t="n">
        <f aca="false">Sens!$F$4667*Sens!$F$4671</f>
        <v>19782.2417524844</v>
      </c>
      <c r="G4675" s="33" t="n">
        <f aca="false">Sens!$F$4675</f>
        <v>19782.2417524844</v>
      </c>
      <c r="H4675" s="33" t="n">
        <f aca="false">Sens!$G$4675+Sens!$H$4667*Sens!$H$4671</f>
        <v>60563.3616992009</v>
      </c>
      <c r="I4675" s="33" t="n">
        <f aca="false">Sens!$H$4675+Sens!$I$4667*Sens!$I$4671</f>
        <v>102561.118087665</v>
      </c>
      <c r="J4675" s="33" t="n">
        <f aca="false">Sens!$I$4675+Sens!$J$4667*Sens!$J$4671</f>
        <v>144558.87447613</v>
      </c>
      <c r="K4675" s="33" t="n">
        <f aca="false">Sens!$J$4675+Sens!$K$4667*Sens!$K$4671</f>
        <v>186556.630864594</v>
      </c>
      <c r="L4675" s="33" t="n">
        <f aca="false">Sens!$K$4675+Sens!$L$4667*Sens!$L$4671</f>
        <v>228554.387253058</v>
      </c>
      <c r="M4675" s="33" t="n">
        <f aca="false">Sens!$L$4675+Sens!$M$4667*Sens!$M$4671</f>
        <v>270552.143641523</v>
      </c>
    </row>
    <row r="4676" customFormat="false" ht="17.15" hidden="false" customHeight="false" outlineLevel="0" collapsed="false">
      <c r="A4676" s="0" t="s">
        <v>567</v>
      </c>
      <c r="B4676" s="0" t="s">
        <v>566</v>
      </c>
      <c r="F4676" s="33" t="n">
        <f aca="false">Sens!$F$4667*Sens!$F$4672</f>
        <v>3602.74485070566</v>
      </c>
      <c r="G4676" s="33" t="n">
        <f aca="false">Sens!$F$4676</f>
        <v>3602.74485070566</v>
      </c>
      <c r="H4676" s="33" t="n">
        <f aca="false">Sens!$G$4676+Sens!$H$4667*Sens!$H$4672</f>
        <v>10908.9598445736</v>
      </c>
      <c r="I4676" s="33" t="n">
        <f aca="false">Sens!$H$4676+Sens!$I$4667*Sens!$I$4672</f>
        <v>18315.9001308981</v>
      </c>
      <c r="J4676" s="33" t="n">
        <f aca="false">Sens!$I$4676+Sens!$J$4667*Sens!$J$4672</f>
        <v>25722.8404172225</v>
      </c>
      <c r="K4676" s="33" t="n">
        <f aca="false">Sens!$J$4676+Sens!$K$4667*Sens!$K$4672</f>
        <v>33129.780703547</v>
      </c>
      <c r="L4676" s="33" t="n">
        <f aca="false">Sens!$K$4676+Sens!$L$4667*Sens!$L$4672</f>
        <v>40536.7209898715</v>
      </c>
      <c r="M4676" s="33" t="n">
        <f aca="false">Sens!$L$4676+Sens!$M$4667*Sens!$M$4672</f>
        <v>47943.661276196</v>
      </c>
    </row>
    <row r="4677" customFormat="false" ht="17.15" hidden="false" customHeight="false" outlineLevel="0" collapsed="false">
      <c r="A4677" s="5" t="s">
        <v>568</v>
      </c>
      <c r="B4677" s="0" t="s">
        <v>151</v>
      </c>
      <c r="F4677" s="36" t="n">
        <f aca="false">IF(Sens!$F$4674&gt;0,Sens!$F$4675/Sens!$F$4674,Sens!$F$4671)</f>
        <v>10.8864110021101</v>
      </c>
      <c r="G4677" s="36" t="n">
        <f aca="false">IF(Sens!$G$4674&gt;0,Sens!$G$4675/Sens!$G$4674,Sens!$G$4671)</f>
        <v>10.8864110021101</v>
      </c>
      <c r="H4677" s="36" t="n">
        <f aca="false">IF(Sens!$H$4674&gt;0,Sens!$H$4675/Sens!$H$4674,Sens!$H$4671)</f>
        <v>11.1095876691891</v>
      </c>
      <c r="I4677" s="36" t="n">
        <f aca="false">IF(Sens!$I$4674&gt;0,Sens!$I$4675/Sens!$I$4674,Sens!$I$4671)</f>
        <v>11.2881290028523</v>
      </c>
      <c r="J4677" s="36" t="n">
        <f aca="false">IF(Sens!$J$4674&gt;0,Sens!$J$4675/Sens!$J$4674,Sens!$J$4671)</f>
        <v>11.3646467172794</v>
      </c>
      <c r="K4677" s="36" t="n">
        <f aca="false">IF(Sens!$K$4674&gt;0,Sens!$K$4675/Sens!$K$4674,Sens!$K$4671)</f>
        <v>11.4071565586278</v>
      </c>
      <c r="L4677" s="36" t="n">
        <f aca="false">IF(Sens!$L$4674&gt;0,Sens!$L$4675/Sens!$L$4674,Sens!$L$4671)</f>
        <v>11.4342082758495</v>
      </c>
      <c r="M4677" s="36" t="n">
        <f aca="false">IF(Sens!$M$4674&gt;0,Sens!$M$4675/Sens!$M$4674,Sens!$M$4671)</f>
        <v>11.4529363877722</v>
      </c>
    </row>
    <row r="4678" customFormat="false" ht="17.15" hidden="false" customHeight="false" outlineLevel="0" collapsed="false">
      <c r="A4678" s="5" t="s">
        <v>569</v>
      </c>
      <c r="B4678" s="0" t="s">
        <v>151</v>
      </c>
      <c r="F4678" s="36" t="n">
        <f aca="false">IF(Sens!$F$4674&gt;0,Sens!$F$4676/Sens!$F$4674,Sens!$F$4672)</f>
        <v>1.98263481314457</v>
      </c>
      <c r="G4678" s="36" t="n">
        <f aca="false">IF(Sens!$G$4674&gt;0,Sens!$G$4676/Sens!$G$4674,Sens!$G$4672)</f>
        <v>1.98263481314457</v>
      </c>
      <c r="H4678" s="36" t="n">
        <f aca="false">IF(Sens!$H$4674&gt;0,Sens!$H$4676/Sens!$H$4674,Sens!$H$4672)</f>
        <v>2.00111160233948</v>
      </c>
      <c r="I4678" s="36" t="n">
        <f aca="false">IF(Sens!$I$4674&gt;0,Sens!$I$4676/Sens!$I$4674,Sens!$I$4672)</f>
        <v>2.01589303369541</v>
      </c>
      <c r="J4678" s="36" t="n">
        <f aca="false">IF(Sens!$J$4674&gt;0,Sens!$J$4676/Sens!$J$4674,Sens!$J$4672)</f>
        <v>2.02222793284795</v>
      </c>
      <c r="K4678" s="36" t="n">
        <f aca="false">IF(Sens!$K$4674&gt;0,Sens!$K$4676/Sens!$K$4674,Sens!$K$4672)</f>
        <v>2.02574732126603</v>
      </c>
      <c r="L4678" s="36" t="n">
        <f aca="false">IF(Sens!$L$4674&gt;0,Sens!$L$4676/Sens!$L$4674,Sens!$L$4672)</f>
        <v>2.02798693207753</v>
      </c>
      <c r="M4678" s="36" t="n">
        <f aca="false">IF(Sens!$M$4674&gt;0,Sens!$M$4676/Sens!$M$4674,Sens!$M$4672)</f>
        <v>2.02953743187011</v>
      </c>
    </row>
    <row r="4679" customFormat="false" ht="17.15" hidden="false" customHeight="false" outlineLevel="0" collapsed="false">
      <c r="A4679" s="14" t="s">
        <v>570</v>
      </c>
      <c r="B4679" s="13" t="s">
        <v>151</v>
      </c>
      <c r="C4679" s="13"/>
      <c r="D4679" s="13"/>
      <c r="E4679" s="13"/>
      <c r="F4679" s="37" t="n">
        <f aca="false">Sens!$F$4677*k_B</f>
        <v>10.7987645808025</v>
      </c>
      <c r="G4679" s="37" t="n">
        <f aca="false">Sens!$G$4677*k_B</f>
        <v>10.7987645808025</v>
      </c>
      <c r="H4679" s="37" t="n">
        <f aca="false">Sens!$H$4677*k_B</f>
        <v>11.0201444540452</v>
      </c>
      <c r="I4679" s="37" t="n">
        <f aca="false">Sens!$I$4677*k_B</f>
        <v>11.1972483526393</v>
      </c>
      <c r="J4679" s="37" t="n">
        <f aca="false">Sens!$J$4677*k_B</f>
        <v>11.2731500234653</v>
      </c>
      <c r="K4679" s="37" t="n">
        <f aca="false">Sens!$K$4677*k_B</f>
        <v>11.3153176183687</v>
      </c>
      <c r="L4679" s="37" t="n">
        <f aca="false">Sens!$L$4677*k_B</f>
        <v>11.3421515423981</v>
      </c>
      <c r="M4679" s="37" t="n">
        <f aca="false">Sens!$M$4677*k_B</f>
        <v>11.3607288744184</v>
      </c>
      <c r="N4679" s="13"/>
      <c r="O4679" s="13"/>
      <c r="P4679" s="5" t="s">
        <v>571</v>
      </c>
    </row>
    <row r="4680" customFormat="false" ht="17.15" hidden="false" customHeight="false" outlineLevel="0" collapsed="false">
      <c r="A4680" s="5" t="s">
        <v>572</v>
      </c>
      <c r="B4680" s="0" t="s">
        <v>108</v>
      </c>
      <c r="F4680" s="33" t="n">
        <f aca="false">Sens!$F$4674/2</f>
        <v>908.575</v>
      </c>
      <c r="H4680" s="33" t="n">
        <f aca="false">(Sens!$G$4674+Sens!$H$4674)/2</f>
        <v>3634.3</v>
      </c>
      <c r="I4680" s="33" t="n">
        <f aca="false">(Sens!$H$4674+Sens!$I$4674)/2</f>
        <v>7268.6</v>
      </c>
      <c r="J4680" s="33" t="n">
        <f aca="false">(Sens!$I$4674+Sens!$J$4674)/2</f>
        <v>10902.9</v>
      </c>
      <c r="K4680" s="33" t="n">
        <f aca="false">(Sens!$J$4674+Sens!$K$4674)/2</f>
        <v>14537.2</v>
      </c>
      <c r="L4680" s="33" t="n">
        <f aca="false">(Sens!$K$4674+Sens!$L$4674)/2</f>
        <v>18171.5</v>
      </c>
      <c r="M4680" s="33" t="n">
        <f aca="false">(Sens!$L$4674+Sens!$M$4674)/2</f>
        <v>21805.8</v>
      </c>
    </row>
    <row r="4681" customFormat="false" ht="17.15" hidden="false" customHeight="false" outlineLevel="0" collapsed="false">
      <c r="A4681" s="1" t="s">
        <v>573</v>
      </c>
    </row>
    <row r="4682" customFormat="false" ht="17.15" hidden="false" customHeight="false" outlineLevel="0" collapsed="false">
      <c r="A4682" s="1" t="s">
        <v>574</v>
      </c>
      <c r="B4682" s="8" t="s">
        <v>73</v>
      </c>
      <c r="C4682" s="38" t="n">
        <f aca="false">Sens!$C$4665*rpm_open*Sens!$C$4666/1000</f>
        <v>2.32100535697364</v>
      </c>
      <c r="D4682" s="38" t="n">
        <f aca="false">Sens!$D$4665*rpm_open*Sens!$D$4666/1000</f>
        <v>8.70377008865116</v>
      </c>
      <c r="E4682" s="38" t="n">
        <f aca="false">Sens!$E$4665*rpm_open*Sens!$E$4666/1000</f>
        <v>8.51035297557002</v>
      </c>
      <c r="F4682" s="38" t="n">
        <f aca="false">(mw_open*rpm_open+Sens!$F$4680*Sens!$F$4679)*Sens!$F$4666/1000</f>
        <v>14.9634336447205</v>
      </c>
      <c r="G4682" s="38" t="n">
        <f aca="false">Sens!$E$4682+Sens!$F$4682</f>
        <v>23.4737866202905</v>
      </c>
      <c r="H4682" s="38" t="n">
        <f aca="false">(mw_open*rpm_open+Sens!$H$4680*Sens!$H$4679)/1000</f>
        <v>60.1658907497746</v>
      </c>
      <c r="I4682" s="38" t="n">
        <f aca="false">(mw_open*rpm_open+Sens!$I$4680*Sens!$I$4679)/1000</f>
        <v>101.503699136432</v>
      </c>
      <c r="J4682" s="38" t="n">
        <f aca="false">(mw_open*rpm_open+Sens!$J$4680*Sens!$J$4679)/1000</f>
        <v>143.025407151278</v>
      </c>
      <c r="K4682" s="38" t="n">
        <f aca="false">(mw_open*rpm_open+Sens!$K$4680*Sens!$K$4679)/1000</f>
        <v>184.608415042187</v>
      </c>
      <c r="L4682" s="38" t="n">
        <f aca="false">(mw_open*rpm_open+Sens!$L$4680*Sens!$L$4679)/1000</f>
        <v>226.219286513125</v>
      </c>
      <c r="M4682" s="38" t="n">
        <f aca="false">(mw_open*rpm_open+Sens!$M$4680*Sens!$M$4679)/1000</f>
        <v>267.845161450232</v>
      </c>
      <c r="N4682" s="38" t="n">
        <f aca="false">Sens!$N$4665*rpm_open*Sens!$N$4666/1000</f>
        <v>3.04631953102791</v>
      </c>
      <c r="O4682" s="38" t="n">
        <f aca="false">Sens!$O$4665*rpm_open*Sens!$O$4666/1000</f>
        <v>5.65745055762326</v>
      </c>
      <c r="P4682" s="5" t="s">
        <v>575</v>
      </c>
    </row>
    <row r="4683" customFormat="false" ht="17.15" hidden="false" customHeight="false" outlineLevel="0" collapsed="false">
      <c r="A4683" s="5" t="s">
        <v>576</v>
      </c>
      <c r="B4683" s="0" t="s">
        <v>151</v>
      </c>
      <c r="C4683" s="36" t="n">
        <f aca="false">Sens!$C$4682*1000/(Sens!$C$4665*Sens!$C$4666)</f>
        <v>9.67085565405685</v>
      </c>
      <c r="D4683" s="36" t="n">
        <f aca="false">Sens!$D$4682*1000/(Sens!$D$4665*Sens!$D$4666)</f>
        <v>9.67085565405685</v>
      </c>
      <c r="E4683" s="36" t="n">
        <f aca="false">Sens!$E$4682*1000/(Sens!$E$4665*Sens!$E$4666)</f>
        <v>9.67085565405685</v>
      </c>
      <c r="F4683" s="36" t="n">
        <f aca="false">Sens!$F$4682*1000/(Sens!$F$4665*Sens!$F$4666)</f>
        <v>10.0137581588017</v>
      </c>
      <c r="G4683" s="36" t="n">
        <f aca="false">Sens!$G$4682*1000/(Sens!$G$4665*Sens!$G$4666)</f>
        <v>9.88666562928478</v>
      </c>
      <c r="H4683" s="36" t="n">
        <f aca="false">Sens!$H$4682*1000/(Sens!$H$4665*Sens!$H$4666)</f>
        <v>10.5290045586992</v>
      </c>
      <c r="I4683" s="36" t="n">
        <f aca="false">Sens!$I$4682*1000/(Sens!$I$4665*Sens!$I$4666)</f>
        <v>10.8576363451674</v>
      </c>
      <c r="J4683" s="36" t="n">
        <f aca="false">Sens!$J$4682*1000/(Sens!$J$4665*Sens!$J$4666)</f>
        <v>11.0164452588619</v>
      </c>
      <c r="K4683" s="36" t="n">
        <f aca="false">Sens!$K$4682*1000/(Sens!$K$4665*Sens!$K$4666)</f>
        <v>11.1094778327388</v>
      </c>
      <c r="L4683" s="36" t="n">
        <f aca="false">Sens!$L$4682*1000/(Sens!$L$4665*Sens!$L$4666)</f>
        <v>11.1704953466718</v>
      </c>
      <c r="M4683" s="36" t="n">
        <f aca="false">Sens!$M$4682*1000/(Sens!$M$4665*Sens!$M$4666)</f>
        <v>11.2135729785158</v>
      </c>
      <c r="N4683" s="36" t="n">
        <f aca="false">Sens!$N$4682*1000/(Sens!$N$4665*Sens!$N$4666)</f>
        <v>9.67085565405685</v>
      </c>
      <c r="O4683" s="36" t="n">
        <f aca="false">Sens!$O$4682*1000/(Sens!$O$4665*Sens!$O$4666)</f>
        <v>9.67085565405685</v>
      </c>
    </row>
    <row r="4684" customFormat="false" ht="17.15" hidden="false" customHeight="false" outlineLevel="0" collapsed="false">
      <c r="A4684" s="0" t="s">
        <v>577</v>
      </c>
      <c r="B4684" s="0" t="s">
        <v>73</v>
      </c>
      <c r="C4684" s="38" t="n">
        <f aca="false">Sens!$C$4665/ext_sh*(ox_open+rent_mw)*Sens!$C$4666/1000</f>
        <v>0.642569210675032</v>
      </c>
      <c r="D4684" s="38" t="n">
        <f aca="false">Sens!$D$4665/ext_sh*(ox_open+rent_mw)*Sens!$D$4666/1000</f>
        <v>2.40963454003137</v>
      </c>
      <c r="E4684" s="38" t="n">
        <f aca="false">Sens!$E$4665/ext_sh*(ox_open+rent_mw)*Sens!$E$4666/1000</f>
        <v>2.35608710580845</v>
      </c>
      <c r="F4684" s="38" t="n">
        <f aca="false">((mw_open*ox_open+Sens!$F$4680*Sens!$F$4678)/ext_sh+Sens!$F$4665/ext_sh*rent_mw)*Sens!$F$4666/1000</f>
        <v>4.05421991106232</v>
      </c>
      <c r="G4684" s="38" t="n">
        <f aca="false">Sens!$E$4684+Sens!$F$4684</f>
        <v>6.41030701687077</v>
      </c>
      <c r="H4684" s="38" t="n">
        <f aca="false">((mw_open*ox_open+Sens!$H$4680*Sens!$H$4678)/ext_sh+Sens!$H$4665/ext_sh*rent_mw)*Sens!$H$4666/1000</f>
        <v>15.8108975546616</v>
      </c>
      <c r="I4684" s="38" t="n">
        <f aca="false">((mw_open*ox_open+Sens!$I$4680*Sens!$I$4678)/ext_sh+Sens!$I$4665/ext_sh*rent_mw)*Sens!$I$4666/1000</f>
        <v>26.1871623400817</v>
      </c>
      <c r="J4684" s="38" t="n">
        <f aca="false">((mw_open*ox_open+Sens!$J$4680*Sens!$J$4678)/ext_sh+Sens!$J$4665/ext_sh*rent_mw)*Sens!$J$4666/1000</f>
        <v>36.5826128954935</v>
      </c>
      <c r="K4684" s="38" t="n">
        <f aca="false">((mw_open*ox_open+Sens!$K$4680*Sens!$K$4678)/ext_sh+Sens!$K$4665/ext_sh*rent_mw)*Sens!$K$4666/1000</f>
        <v>46.9844587075692</v>
      </c>
      <c r="L4684" s="38" t="n">
        <f aca="false">((mw_open*ox_open+Sens!$L$4680*Sens!$L$4678)/ext_sh+Sens!$L$4665/ext_sh*rent_mw)*Sens!$L$4666/1000</f>
        <v>57.3892114544922</v>
      </c>
      <c r="M4684" s="38" t="n">
        <f aca="false">((mw_open*ox_open+Sens!$M$4680*Sens!$M$4678)/ext_sh+Sens!$M$4665/ext_sh*rent_mw)*Sens!$M$4666/1000</f>
        <v>67.7955294740252</v>
      </c>
      <c r="N4684" s="38" t="n">
        <f aca="false">Sens!$N$4665/ext_sh*(ox_open+rent_mw)*Sens!$N$4666/1000</f>
        <v>0.84337208901098</v>
      </c>
      <c r="O4684" s="38" t="n">
        <f aca="false">Sens!$O$4665/ext_sh*(ox_open+rent_mw)*Sens!$O$4666/1000</f>
        <v>1.56626245102039</v>
      </c>
    </row>
    <row r="4685" customFormat="false" ht="17.15" hidden="false" customHeight="false" outlineLevel="0" collapsed="false">
      <c r="A4685" s="0" t="s">
        <v>578</v>
      </c>
      <c r="B4685" s="0" t="s">
        <v>73</v>
      </c>
      <c r="C4685" s="38" t="n">
        <f aca="false">Q!$D$7</f>
        <v>107.556</v>
      </c>
      <c r="D4685" s="38" t="n">
        <f aca="false">Q!$E$7</f>
        <v>128.725</v>
      </c>
      <c r="E4685" s="38" t="n">
        <f aca="false">Q!$P$7</f>
        <v>79.819</v>
      </c>
      <c r="N4685" s="38" t="n">
        <f aca="false">Q!$N$7</f>
        <v>60.14</v>
      </c>
      <c r="O4685" s="38" t="n">
        <f aca="false">Q!$O$7</f>
        <v>68.585</v>
      </c>
    </row>
    <row r="4686" customFormat="false" ht="17.15" hidden="false" customHeight="false" outlineLevel="0" collapsed="false">
      <c r="A4686" s="1" t="s">
        <v>579</v>
      </c>
      <c r="B4686" s="8" t="s">
        <v>73</v>
      </c>
      <c r="C4686" s="38" t="n">
        <f aca="false">Sens!$C$4685-Sens!$C$4682</f>
        <v>105.234994643026</v>
      </c>
      <c r="D4686" s="38" t="n">
        <f aca="false">Sens!$D$4685-Sens!$D$4682</f>
        <v>120.021229911349</v>
      </c>
      <c r="E4686" s="38" t="n">
        <f aca="false">Sens!$E$4685-Sens!$E$4682</f>
        <v>71.30864702443</v>
      </c>
      <c r="F4686" s="38" t="n">
        <f aca="false">Sens!$O$4686*(1+Sens!$F$4687)</f>
        <v>78.5950104186653</v>
      </c>
      <c r="G4686" s="38" t="n">
        <f aca="false">Sens!$E$4686+Sens!$F$4686</f>
        <v>149.903657443095</v>
      </c>
      <c r="H4686" s="38" t="n">
        <f aca="false">Sens!$G$4686*(1+Sens!$H$4687)</f>
        <v>180.893560768142</v>
      </c>
      <c r="I4686" s="38" t="n">
        <f aca="false">Sens!$H$4686*(1+Sens!$I$4687)</f>
        <v>210.64839721501</v>
      </c>
      <c r="J4686" s="38" t="n">
        <f aca="false">Sens!$I$4686*(1+Sens!$J$4687)</f>
        <v>236.398909446495</v>
      </c>
      <c r="K4686" s="38" t="n">
        <f aca="false">Sens!$J$4686*(1+Sens!$K$4687)</f>
        <v>255.310822202215</v>
      </c>
      <c r="L4686" s="38" t="n">
        <f aca="false">Sens!$K$4686*(1+Sens!$L$4687)</f>
        <v>275.735687978392</v>
      </c>
      <c r="M4686" s="38" t="n">
        <f aca="false">Sens!$L$4686*(1+Sens!$M$4687)</f>
        <v>297.794543016663</v>
      </c>
      <c r="N4686" s="38" t="n">
        <f aca="false">Sens!$N$4685-Sens!$N$4682</f>
        <v>57.0936804689721</v>
      </c>
      <c r="O4686" s="38" t="n">
        <f aca="false">Sens!$O$4685-Sens!$O$4682</f>
        <v>62.9275494423768</v>
      </c>
      <c r="P4686" s="5" t="s">
        <v>580</v>
      </c>
    </row>
    <row r="4687" customFormat="false" ht="17.15" hidden="false" customHeight="false" outlineLevel="0" collapsed="false">
      <c r="A4687" s="0" t="s">
        <v>581</v>
      </c>
      <c r="B4687" s="0" t="s">
        <v>52</v>
      </c>
      <c r="E4687" s="12" t="n">
        <f aca="false">Sens!$E$4686/Sens!$N$4686-1</f>
        <v>0.248976181579029</v>
      </c>
      <c r="F4687" s="12" t="n">
        <f aca="false">Sens!$E$4687</f>
        <v>0.248976181579029</v>
      </c>
      <c r="G4687" s="12" t="n">
        <f aca="false">Sens!$G$4686/Sens!$D$4686-1</f>
        <v>0.248976181579029</v>
      </c>
      <c r="H4687" s="12" t="n">
        <f aca="false">Sens!$E$4687+(g_awso_lt-Sens!$E$4687)*1/4</f>
        <v>0.206732136184272</v>
      </c>
      <c r="I4687" s="12" t="n">
        <f aca="false">Sens!$E$4687+(g_awso_lt-Sens!$E$4687)*2/4</f>
        <v>0.164488090789515</v>
      </c>
      <c r="J4687" s="12" t="n">
        <f aca="false">Sens!$E$4687+(g_awso_lt-Sens!$E$4687)*3/4</f>
        <v>0.122244045394757</v>
      </c>
      <c r="K4687" s="12" t="n">
        <f aca="false">Sens!$E$4687+(g_awso_lt-Sens!$E$4687)*4/4</f>
        <v>0.08</v>
      </c>
      <c r="L4687" s="12" t="n">
        <f aca="false">g_awso_lt</f>
        <v>0.08</v>
      </c>
      <c r="M4687" s="12" t="n">
        <f aca="false">g_awso_lt</f>
        <v>0.08</v>
      </c>
      <c r="P4687" s="8" t="s">
        <v>582</v>
      </c>
    </row>
    <row r="4688" customFormat="false" ht="17.15" hidden="false" customHeight="false" outlineLevel="0" collapsed="false">
      <c r="A4688" s="1" t="s">
        <v>583</v>
      </c>
    </row>
    <row r="4689" customFormat="false" ht="17.15" hidden="false" customHeight="false" outlineLevel="0" collapsed="false">
      <c r="A4689" s="0" t="s">
        <v>584</v>
      </c>
      <c r="B4689" s="0" t="s">
        <v>73</v>
      </c>
      <c r="F4689" s="38" t="n">
        <f aca="false">cx_rt*Sens!$F$4655+cx_awso*Sens!$F$4686</f>
        <v>36.8045765066526</v>
      </c>
    </row>
    <row r="4690" customFormat="false" ht="17.15" hidden="false" customHeight="false" outlineLevel="0" collapsed="false">
      <c r="A4690" s="0" t="s">
        <v>585</v>
      </c>
      <c r="B4690" s="0" t="s">
        <v>52</v>
      </c>
      <c r="C4690" s="12" t="n">
        <f aca="false">tk_cx_h100/(tk_cx_h100+tk_fac*(1-colo_sh))</f>
        <v>0.730756458006641</v>
      </c>
      <c r="D4690" s="12" t="n">
        <f aca="false">tk_cx_h100/(tk_cx_h100+tk_fac*(1-colo_sh))</f>
        <v>0.730756458006641</v>
      </c>
      <c r="E4690" s="12" t="n">
        <f aca="false">Sens!$F$4690</f>
        <v>0.760792334328868</v>
      </c>
      <c r="F4690" s="12" t="n">
        <f aca="false">Sens!$F$4673/(Sens!$F$4673+tk_fac*(1-colo_sh))</f>
        <v>0.760792334328868</v>
      </c>
      <c r="G4690" s="12" t="n">
        <f aca="false">Sens!$G$4673/(Sens!$G$4673+tk_fac*(1-colo_sh))</f>
        <v>0.760792334328868</v>
      </c>
      <c r="H4690" s="12" t="n">
        <f aca="false">Sens!$H$4673/(Sens!$H$4673+tk_fac*(1-colo_sh))</f>
        <v>0.768110668862996</v>
      </c>
      <c r="I4690" s="12" t="n">
        <f aca="false">Sens!$I$4673/(Sens!$I$4673+tk_fac*(1-colo_sh))</f>
        <v>0.77499450139483</v>
      </c>
      <c r="J4690" s="12" t="n">
        <f aca="false">Sens!$J$4673/(Sens!$J$4673+tk_fac*(1-colo_sh))</f>
        <v>0.77499450139483</v>
      </c>
      <c r="K4690" s="12" t="n">
        <f aca="false">Sens!$K$4673/(Sens!$K$4673+tk_fac*(1-colo_sh))</f>
        <v>0.77499450139483</v>
      </c>
      <c r="L4690" s="12" t="n">
        <f aca="false">Sens!$L$4673/(Sens!$L$4673+tk_fac*(1-colo_sh))</f>
        <v>0.77499450139483</v>
      </c>
      <c r="M4690" s="12" t="n">
        <f aca="false">Sens!$M$4673/(Sens!$M$4673+tk_fac*(1-colo_sh))</f>
        <v>0.77499450139483</v>
      </c>
    </row>
    <row r="4691" customFormat="false" ht="17.15" hidden="false" customHeight="false" outlineLevel="0" collapsed="false">
      <c r="A4691" s="1" t="s">
        <v>586</v>
      </c>
      <c r="B4691" s="8" t="s">
        <v>73</v>
      </c>
      <c r="C4691" s="38" t="n">
        <f aca="false">Q!$D$46-cx_rt*Q!$D$16-cx_awso*Sens!$C$4686</f>
        <v>25.2781053077374</v>
      </c>
      <c r="D4691" s="38" t="n">
        <f aca="false">Q!$E$46-cx_rt*Q!$E$16-cx_awso*Sens!$D$4686</f>
        <v>69.5686316310026</v>
      </c>
      <c r="E4691" s="38" t="n">
        <f aca="false">Q!$P$46-cx_rt*Q!$P$16-cx_awso*Sens!$E$4686</f>
        <v>64.1899206485108</v>
      </c>
      <c r="F4691" s="38" t="n">
        <f aca="false">MAX(Sens!$F$4668*(Sens!$F$4673+tk_fac*(1-colo_sh))/1000,capex_g26-Q!$P$46-Sens!$F$4689)</f>
        <v>96.2481299895</v>
      </c>
      <c r="G4691" s="38" t="n">
        <f aca="false">Sens!$E$4691+Sens!$F$4691</f>
        <v>160.438050638011</v>
      </c>
      <c r="H4691" s="38" t="n">
        <f aca="false">Sens!$H$4668*(Sens!$H$4673+tk_fac*(1-colo_sh))/1000+Sens!$H$4692</f>
        <v>198.57136494475</v>
      </c>
      <c r="I4691" s="38" t="n">
        <f aca="false">Sens!$I$4668*(Sens!$I$4673+tk_fac*(1-colo_sh))/1000+Sens!$I$4692</f>
        <v>204.6464699105</v>
      </c>
      <c r="J4691" s="38" t="n">
        <f aca="false">Sens!$J$4668*(Sens!$J$4673+tk_fac*(1-colo_sh))/1000+Sens!$J$4692</f>
        <v>209.8832381105</v>
      </c>
      <c r="K4691" s="38" t="n">
        <f aca="false">Sens!$K$4668*(Sens!$K$4673+tk_fac*(1-colo_sh))/1000+Sens!$K$4692</f>
        <v>215.1200063105</v>
      </c>
      <c r="L4691" s="38" t="n">
        <f aca="false">Sens!$L$4668*(Sens!$L$4673+tk_fac*(1-colo_sh))/1000+Sens!$L$4692</f>
        <v>251.7773837105</v>
      </c>
      <c r="M4691" s="38" t="n">
        <f aca="false">Sens!$M$4668*(Sens!$M$4673+tk_fac*(1-colo_sh))/1000+Sens!$M$4692</f>
        <v>311.87584476575</v>
      </c>
      <c r="P4691" s="5" t="s">
        <v>587</v>
      </c>
      <c r="R4691" s="38" t="n">
        <f aca="false">Q!$C$46-cx_rt*Q!$C$16-cx_awso*(Q!$C$7-mw_ye23/2*rpm_open/1000)</f>
        <v>1.50429979529945</v>
      </c>
      <c r="S4691" s="38" t="n">
        <f aca="false">Sens!$C$4691</f>
        <v>25.2781053077374</v>
      </c>
      <c r="T4691" s="38" t="n">
        <f aca="false">Sens!$D$4691</f>
        <v>69.5686316310026</v>
      </c>
      <c r="U4691" s="38" t="n">
        <f aca="false">Sens!$G$4691</f>
        <v>160.438050638011</v>
      </c>
      <c r="V4691" s="38" t="n">
        <f aca="false">Sens!$H$4691</f>
        <v>198.57136494475</v>
      </c>
      <c r="W4691" s="38" t="n">
        <f aca="false">Sens!$I$4691</f>
        <v>204.6464699105</v>
      </c>
      <c r="X4691" s="38" t="n">
        <f aca="false">Sens!$J$4691</f>
        <v>209.8832381105</v>
      </c>
      <c r="Y4691" s="38" t="n">
        <f aca="false">Sens!$K$4691</f>
        <v>215.1200063105</v>
      </c>
      <c r="Z4691" s="38" t="n">
        <f aca="false">Sens!$L$4691</f>
        <v>251.7773837105</v>
      </c>
      <c r="AA4691" s="38" t="n">
        <f aca="false">Sens!$M$4691</f>
        <v>311.87584476575</v>
      </c>
    </row>
    <row r="4692" customFormat="false" ht="17.15" hidden="false" customHeight="false" outlineLevel="0" collapsed="false">
      <c r="A4692" s="0" t="s">
        <v>588</v>
      </c>
      <c r="B4692" s="0" t="s">
        <v>73</v>
      </c>
      <c r="H4692" s="38" t="n">
        <f aca="false">SUMPRODUCT(--(Sens!$R$4662:$AA$4662=2027-tk_life),Sens!$R$4668:$AA$4668)*Sens!$H$4673/1000</f>
        <v>0</v>
      </c>
      <c r="I4692" s="38" t="n">
        <f aca="false">SUMPRODUCT(--(Sens!$R$4662:$AA$4662=2028-tk_life),Sens!$R$4668:$AA$4668)*Sens!$I$4673/1000</f>
        <v>0</v>
      </c>
      <c r="J4692" s="38" t="n">
        <f aca="false">SUMPRODUCT(--(Sens!$R$4662:$AA$4662=2029-tk_life),Sens!$R$4668:$AA$4668)*Sens!$J$4673/1000</f>
        <v>5.2367682</v>
      </c>
      <c r="K4692" s="38" t="n">
        <f aca="false">SUMPRODUCT(--(Sens!$R$4662:$AA$4662=2030-tk_life),Sens!$R$4668:$AA$4668)*Sens!$K$4673/1000</f>
        <v>10.4735364</v>
      </c>
      <c r="L4692" s="38" t="n">
        <f aca="false">SUMPRODUCT(--(Sens!$R$4662:$AA$4662=2031-tk_life),Sens!$R$4668:$AA$4668)*Sens!$L$4673/1000</f>
        <v>47.1309138</v>
      </c>
      <c r="M4692" s="38" t="n">
        <f aca="false">SUMPRODUCT(--(Sens!$R$4662:$AA$4662=2032-tk_life),Sens!$R$4668:$AA$4668)*Sens!$M$4673/1000</f>
        <v>107.22937485525</v>
      </c>
    </row>
    <row r="4693" customFormat="false" ht="17.15" hidden="false" customHeight="false" outlineLevel="0" collapsed="false">
      <c r="A4693" s="5" t="s">
        <v>589</v>
      </c>
      <c r="B4693" s="0" t="s">
        <v>73</v>
      </c>
      <c r="C4693" s="38" t="n">
        <f aca="false">Sens!$C$4691*Sens!$C$4690</f>
        <v>18.472138699801</v>
      </c>
      <c r="D4693" s="38" t="n">
        <f aca="false">Sens!$D$4691*Sens!$D$4690</f>
        <v>50.8377268390402</v>
      </c>
      <c r="E4693" s="38" t="n">
        <f aca="false">Sens!$E$4691*Sens!$E$4690</f>
        <v>48.8351995705653</v>
      </c>
      <c r="F4693" s="38" t="n">
        <f aca="false">Sens!$F$4691*Sens!$F$4690</f>
        <v>73.2248394895</v>
      </c>
      <c r="G4693" s="38" t="n">
        <f aca="false">Sens!$E$4693+Sens!$F$4693</f>
        <v>122.060039060065</v>
      </c>
      <c r="H4693" s="38" t="n">
        <f aca="false">(Sens!$H$4691-Sens!$H$4692)*Sens!$H$4690+Sens!$H$4692</f>
        <v>152.52478394475</v>
      </c>
      <c r="I4693" s="38" t="n">
        <f aca="false">(Sens!$I$4691-Sens!$I$4692)*Sens!$I$4690+Sens!$I$4692</f>
        <v>158.5998889105</v>
      </c>
      <c r="J4693" s="38" t="n">
        <f aca="false">(Sens!$J$4691-Sens!$J$4692)*Sens!$J$4690+Sens!$J$4692</f>
        <v>163.8366571105</v>
      </c>
      <c r="K4693" s="38" t="n">
        <f aca="false">(Sens!$K$4691-Sens!$K$4692)*Sens!$K$4690+Sens!$K$4692</f>
        <v>169.0734253105</v>
      </c>
      <c r="L4693" s="38" t="n">
        <f aca="false">(Sens!$L$4691-Sens!$L$4692)*Sens!$L$4690+Sens!$L$4692</f>
        <v>205.7308027105</v>
      </c>
      <c r="M4693" s="38" t="n">
        <f aca="false">(Sens!$M$4691-Sens!$M$4692)*Sens!$M$4690+Sens!$M$4692</f>
        <v>265.82926376575</v>
      </c>
      <c r="R4693" s="38" t="n">
        <f aca="false">Sens!$R$4691*Sens!$C$4690</f>
        <v>1.09927679019314</v>
      </c>
      <c r="S4693" s="38" t="n">
        <f aca="false">Sens!$C$4693</f>
        <v>18.472138699801</v>
      </c>
      <c r="T4693" s="38" t="n">
        <f aca="false">Sens!$D$4693</f>
        <v>50.8377268390402</v>
      </c>
      <c r="U4693" s="38" t="n">
        <f aca="false">Sens!$G$4693</f>
        <v>122.060039060065</v>
      </c>
      <c r="V4693" s="38" t="n">
        <f aca="false">Sens!$H$4693</f>
        <v>152.52478394475</v>
      </c>
      <c r="W4693" s="38" t="n">
        <f aca="false">Sens!$I$4693</f>
        <v>158.5998889105</v>
      </c>
      <c r="X4693" s="38" t="n">
        <f aca="false">Sens!$J$4693</f>
        <v>163.8366571105</v>
      </c>
      <c r="Y4693" s="38" t="n">
        <f aca="false">Sens!$K$4693</f>
        <v>169.0734253105</v>
      </c>
      <c r="Z4693" s="38" t="n">
        <f aca="false">Sens!$L$4693</f>
        <v>205.7308027105</v>
      </c>
      <c r="AA4693" s="38" t="n">
        <f aca="false">Sens!$M$4693</f>
        <v>265.82926376575</v>
      </c>
    </row>
    <row r="4694" customFormat="false" ht="15" hidden="false" customHeight="false" outlineLevel="0" collapsed="false">
      <c r="A4694" s="5" t="s">
        <v>590</v>
      </c>
      <c r="B4694" s="0" t="s">
        <v>73</v>
      </c>
      <c r="C4694" s="38" t="n">
        <f aca="false">Sens!$C$4691-Sens!$C$4693</f>
        <v>6.80596660793636</v>
      </c>
      <c r="D4694" s="38" t="n">
        <f aca="false">Sens!$D$4691-Sens!$D$4693</f>
        <v>18.7309047919624</v>
      </c>
      <c r="E4694" s="38" t="n">
        <f aca="false">Sens!$E$4691-Sens!$E$4693</f>
        <v>15.3547210779455</v>
      </c>
      <c r="F4694" s="38" t="n">
        <f aca="false">Sens!$F$4691-Sens!$F$4693</f>
        <v>23.0232905</v>
      </c>
      <c r="G4694" s="38" t="n">
        <f aca="false">Sens!$G$4691-Sens!$G$4693</f>
        <v>38.3780115779455</v>
      </c>
      <c r="H4694" s="38" t="n">
        <f aca="false">Sens!$H$4691-Sens!$H$4693</f>
        <v>46.046581</v>
      </c>
      <c r="I4694" s="38" t="n">
        <f aca="false">Sens!$I$4691-Sens!$I$4693</f>
        <v>46.046581</v>
      </c>
      <c r="J4694" s="38" t="n">
        <f aca="false">Sens!$J$4691-Sens!$J$4693</f>
        <v>46.046581</v>
      </c>
      <c r="K4694" s="38" t="n">
        <f aca="false">Sens!$K$4691-Sens!$K$4693</f>
        <v>46.046581</v>
      </c>
      <c r="L4694" s="38" t="n">
        <f aca="false">Sens!$L$4691-Sens!$L$4693</f>
        <v>46.046581</v>
      </c>
      <c r="M4694" s="38" t="n">
        <f aca="false">Sens!$M$4691-Sens!$M$4693</f>
        <v>46.046581</v>
      </c>
      <c r="R4694" s="38" t="n">
        <f aca="false">Sens!$R$4691-Sens!$R$4693</f>
        <v>0.405023005106309</v>
      </c>
      <c r="S4694" s="38" t="n">
        <f aca="false">Sens!$S$4691-Sens!$S$4693</f>
        <v>6.80596660793636</v>
      </c>
      <c r="T4694" s="38" t="n">
        <f aca="false">Sens!$T$4691-Sens!$T$4693</f>
        <v>18.7309047919624</v>
      </c>
      <c r="U4694" s="38" t="n">
        <f aca="false">Sens!$U$4691-Sens!$U$4693</f>
        <v>38.3780115779455</v>
      </c>
      <c r="V4694" s="38" t="n">
        <f aca="false">Sens!$V$4691-Sens!$V$4693</f>
        <v>46.046581</v>
      </c>
      <c r="W4694" s="38" t="n">
        <f aca="false">Sens!$W$4691-Sens!$W$4693</f>
        <v>46.046581</v>
      </c>
      <c r="X4694" s="38" t="n">
        <f aca="false">Sens!$X$4691-Sens!$X$4693</f>
        <v>46.046581</v>
      </c>
      <c r="Y4694" s="38" t="n">
        <f aca="false">Sens!$Y$4691-Sens!$Y$4693</f>
        <v>46.046581</v>
      </c>
      <c r="Z4694" s="38" t="n">
        <f aca="false">Sens!$Z$4691-Sens!$Z$4693</f>
        <v>46.046581</v>
      </c>
      <c r="AA4694" s="38" t="n">
        <f aca="false">Sens!$AA$4691-Sens!$AA$4693</f>
        <v>46.046581</v>
      </c>
    </row>
    <row r="4695" customFormat="false" ht="17.15" hidden="false" customHeight="false" outlineLevel="0" collapsed="false">
      <c r="A4695" s="0" t="s">
        <v>591</v>
      </c>
      <c r="B4695" s="0" t="s">
        <v>52</v>
      </c>
      <c r="C4695" s="12" t="n">
        <f aca="false">Sens!$C$4691/Sens!$C$4807</f>
        <v>0.325505489553393</v>
      </c>
      <c r="D4695" s="12" t="n">
        <f aca="false">Sens!$D$4691/Sens!$D$4807</f>
        <v>0.54214956071542</v>
      </c>
      <c r="E4695" s="12" t="n">
        <f aca="false">Sens!$E$4691/Sens!$E$4807</f>
        <v>0.666492790452817</v>
      </c>
      <c r="F4695" s="12" t="n">
        <f aca="false">Sens!$F$4691/Sens!$F$4807</f>
        <v>0.723383481058938</v>
      </c>
      <c r="G4695" s="12" t="n">
        <f aca="false">Sens!$G$4691/Sens!$G$4807</f>
        <v>0.699494931364102</v>
      </c>
      <c r="H4695" s="12" t="n">
        <f aca="false">Sens!$H$4691/Sens!$H$4807</f>
        <v>0.714619350171483</v>
      </c>
      <c r="I4695" s="12" t="n">
        <f aca="false">Sens!$I$4691/Sens!$I$4807</f>
        <v>0.696231624961614</v>
      </c>
      <c r="J4695" s="12" t="n">
        <f aca="false">Sens!$J$4691/Sens!$J$4807</f>
        <v>0.681286352509885</v>
      </c>
      <c r="K4695" s="12" t="n">
        <f aca="false">Sens!$K$4691/Sens!$K$4807</f>
        <v>0.671440649805508</v>
      </c>
      <c r="L4695" s="12" t="n">
        <f aca="false">Sens!$L$4691/Sens!$L$4807</f>
        <v>0.6904509846562</v>
      </c>
      <c r="M4695" s="12" t="n">
        <f aca="false">Sens!$M$4691/Sens!$M$4807</f>
        <v>0.720362080285865</v>
      </c>
    </row>
    <row r="4696" customFormat="false" ht="17.15" hidden="false" customHeight="false" outlineLevel="0" collapsed="false">
      <c r="A4696" s="0" t="s">
        <v>592</v>
      </c>
      <c r="B4696" s="0" t="s">
        <v>73</v>
      </c>
      <c r="C4696" s="38" t="n">
        <f aca="false">Sens!$S$4696</f>
        <v>0.183212798365523</v>
      </c>
      <c r="D4696" s="38" t="n">
        <f aca="false">Sens!$T$4696</f>
        <v>3.2619025816657</v>
      </c>
      <c r="E4696" s="38" t="n">
        <f aca="false">Sens!$G$4696/2</f>
        <v>5.86742852741953</v>
      </c>
      <c r="F4696" s="38" t="n">
        <f aca="false">Sens!$G$4696/2</f>
        <v>5.86742852741953</v>
      </c>
      <c r="G4696" s="38" t="n">
        <f aca="false">Sens!$U$4696</f>
        <v>11.7348570548391</v>
      </c>
      <c r="H4696" s="38" t="n">
        <f aca="false">Sens!$V$4696</f>
        <v>32.0781968981833</v>
      </c>
      <c r="I4696" s="38" t="n">
        <f aca="false">Sens!$W$4696</f>
        <v>57.4989942223083</v>
      </c>
      <c r="J4696" s="38" t="n">
        <f aca="false">Sens!$X$4696</f>
        <v>83.932309040725</v>
      </c>
      <c r="K4696" s="38" t="n">
        <f aca="false">Sens!$Y$4696</f>
        <v>111.055205760776</v>
      </c>
      <c r="L4696" s="38" t="n">
        <f aca="false">Sens!$Z$4696</f>
        <v>136.155420195893</v>
      </c>
      <c r="M4696" s="38" t="n">
        <f aca="false">Sens!$AA$4696</f>
        <v>161.970932841136</v>
      </c>
      <c r="N4696" s="38" t="n">
        <f aca="false">Sens!$D$4696/2</f>
        <v>1.63095129083285</v>
      </c>
      <c r="O4696" s="38" t="n">
        <f aca="false">Sens!$D$4696/2</f>
        <v>1.63095129083285</v>
      </c>
      <c r="R4696" s="38" t="n">
        <f aca="false">SUMPRODUCT(--(Sens!$R$4662:$AA$4662&lt;Sens!R$4662),--(Sens!$R$4662:$AA$4662&gt;=Sens!R$4662-tk_life),Sens!$R$4693:$AA$4693)/tk_life</f>
        <v>0</v>
      </c>
      <c r="S4696" s="38" t="n">
        <f aca="false">SUMPRODUCT(--(Sens!$R$4662:$AA$4662&lt;Sens!S$4662),--(Sens!$R$4662:$AA$4662&gt;=Sens!S$4662-tk_life),Sens!$R$4693:$AA$4693)/tk_life</f>
        <v>0.183212798365523</v>
      </c>
      <c r="T4696" s="38" t="n">
        <f aca="false">SUMPRODUCT(--(Sens!$R$4662:$AA$4662&lt;Sens!T$4662),--(Sens!$R$4662:$AA$4662&gt;=Sens!T$4662-tk_life),Sens!$R$4693:$AA$4693)/tk_life</f>
        <v>3.2619025816657</v>
      </c>
      <c r="U4696" s="38" t="n">
        <f aca="false">SUMPRODUCT(--(Sens!$R$4662:$AA$4662&lt;Sens!U$4662),--(Sens!$R$4662:$AA$4662&gt;=Sens!U$4662-tk_life),Sens!$R$4693:$AA$4693)/tk_life</f>
        <v>11.7348570548391</v>
      </c>
      <c r="V4696" s="38" t="n">
        <f aca="false">SUMPRODUCT(--(Sens!$R$4662:$AA$4662&lt;Sens!V$4662),--(Sens!$R$4662:$AA$4662&gt;=Sens!V$4662-tk_life),Sens!$R$4693:$AA$4693)/tk_life</f>
        <v>32.0781968981833</v>
      </c>
      <c r="W4696" s="38" t="n">
        <f aca="false">SUMPRODUCT(--(Sens!$R$4662:$AA$4662&lt;Sens!W$4662),--(Sens!$R$4662:$AA$4662&gt;=Sens!W$4662-tk_life),Sens!$R$4693:$AA$4693)/tk_life</f>
        <v>57.4989942223083</v>
      </c>
      <c r="X4696" s="38" t="n">
        <f aca="false">SUMPRODUCT(--(Sens!$R$4662:$AA$4662&lt;Sens!X$4662),--(Sens!$R$4662:$AA$4662&gt;=Sens!X$4662-tk_life),Sens!$R$4693:$AA$4693)/tk_life</f>
        <v>83.932309040725</v>
      </c>
      <c r="Y4696" s="38" t="n">
        <f aca="false">SUMPRODUCT(--(Sens!$R$4662:$AA$4662&lt;Sens!Y$4662),--(Sens!$R$4662:$AA$4662&gt;=Sens!Y$4662-tk_life),Sens!$R$4693:$AA$4693)/tk_life</f>
        <v>111.055205760776</v>
      </c>
      <c r="Z4696" s="38" t="n">
        <f aca="false">SUMPRODUCT(--(Sens!$R$4662:$AA$4662&lt;Sens!Z$4662),--(Sens!$R$4662:$AA$4662&gt;=Sens!Z$4662-tk_life),Sens!$R$4693:$AA$4693)/tk_life</f>
        <v>136.155420195893</v>
      </c>
      <c r="AA4696" s="38" t="n">
        <f aca="false">SUMPRODUCT(--(Sens!$R$4662:$AA$4662&lt;Sens!AA$4662),--(Sens!$R$4662:$AA$4662&gt;=Sens!AA$4662-tk_life),Sens!$R$4693:$AA$4693)/tk_life</f>
        <v>161.970932841136</v>
      </c>
    </row>
    <row r="4697" customFormat="false" ht="17.15" hidden="false" customHeight="false" outlineLevel="0" collapsed="false">
      <c r="A4697" s="0" t="s">
        <v>593</v>
      </c>
      <c r="B4697" s="0" t="s">
        <v>73</v>
      </c>
      <c r="C4697" s="38" t="n">
        <f aca="false">Sens!$S$4697</f>
        <v>0.0202511502553155</v>
      </c>
      <c r="D4697" s="38" t="n">
        <f aca="false">Sens!$T$4697</f>
        <v>0.360549480652134</v>
      </c>
      <c r="E4697" s="38" t="n">
        <f aca="false">Sens!$G$4697/2</f>
        <v>0.648547360125127</v>
      </c>
      <c r="F4697" s="38" t="n">
        <f aca="false">Sens!$G$4697/2</f>
        <v>0.648547360125127</v>
      </c>
      <c r="G4697" s="38" t="n">
        <f aca="false">Sens!$U$4697</f>
        <v>1.29709472025025</v>
      </c>
      <c r="H4697" s="38" t="n">
        <f aca="false">Sens!$V$4697</f>
        <v>3.21599529914753</v>
      </c>
      <c r="I4697" s="38" t="n">
        <f aca="false">Sens!$W$4697</f>
        <v>5.51832434914753</v>
      </c>
      <c r="J4697" s="38" t="n">
        <f aca="false">Sens!$X$4697</f>
        <v>7.82065339914753</v>
      </c>
      <c r="K4697" s="38" t="n">
        <f aca="false">Sens!$Y$4697</f>
        <v>10.1229824491475</v>
      </c>
      <c r="L4697" s="38" t="n">
        <f aca="false">Sens!$Z$4697</f>
        <v>12.4253114991475</v>
      </c>
      <c r="M4697" s="38" t="n">
        <f aca="false">Sens!$AA$4697</f>
        <v>14.7276405491475</v>
      </c>
      <c r="N4697" s="38" t="n">
        <f aca="false">Sens!$D$4697/2</f>
        <v>0.180274740326067</v>
      </c>
      <c r="O4697" s="38" t="n">
        <f aca="false">Sens!$D$4697/2</f>
        <v>0.180274740326067</v>
      </c>
      <c r="R4697" s="38" t="n">
        <f aca="false">SUMPRODUCT(--(Sens!$R$4662:$AA$4662&lt;Sens!R$4662),Sens!$R$4694:$AA$4694)/fac_life</f>
        <v>0</v>
      </c>
      <c r="S4697" s="38" t="n">
        <f aca="false">SUMPRODUCT(--(Sens!$R$4662:$AA$4662&lt;Sens!S$4662),Sens!$R$4694:$AA$4694)/fac_life</f>
        <v>0.0202511502553155</v>
      </c>
      <c r="T4697" s="38" t="n">
        <f aca="false">SUMPRODUCT(--(Sens!$R$4662:$AA$4662&lt;Sens!T$4662),Sens!$R$4694:$AA$4694)/fac_life</f>
        <v>0.360549480652134</v>
      </c>
      <c r="U4697" s="38" t="n">
        <f aca="false">SUMPRODUCT(--(Sens!$R$4662:$AA$4662&lt;Sens!U$4662),Sens!$R$4694:$AA$4694)/fac_life</f>
        <v>1.29709472025025</v>
      </c>
      <c r="V4697" s="38" t="n">
        <f aca="false">SUMPRODUCT(--(Sens!$R$4662:$AA$4662&lt;Sens!V$4662),Sens!$R$4694:$AA$4694)/fac_life</f>
        <v>3.21599529914753</v>
      </c>
      <c r="W4697" s="38" t="n">
        <f aca="false">SUMPRODUCT(--(Sens!$R$4662:$AA$4662&lt;Sens!W$4662),Sens!$R$4694:$AA$4694)/fac_life</f>
        <v>5.51832434914753</v>
      </c>
      <c r="X4697" s="38" t="n">
        <f aca="false">SUMPRODUCT(--(Sens!$R$4662:$AA$4662&lt;Sens!X$4662),Sens!$R$4694:$AA$4694)/fac_life</f>
        <v>7.82065339914753</v>
      </c>
      <c r="Y4697" s="38" t="n">
        <f aca="false">SUMPRODUCT(--(Sens!$R$4662:$AA$4662&lt;Sens!Y$4662),Sens!$R$4694:$AA$4694)/fac_life</f>
        <v>10.1229824491475</v>
      </c>
      <c r="Z4697" s="38" t="n">
        <f aca="false">SUMPRODUCT(--(Sens!$R$4662:$AA$4662&lt;Sens!Z$4662),Sens!$R$4694:$AA$4694)/fac_life</f>
        <v>12.4253114991475</v>
      </c>
      <c r="AA4697" s="38" t="n">
        <f aca="false">SUMPRODUCT(--(Sens!$R$4662:$AA$4662&lt;Sens!AA$4662),Sens!$R$4694:$AA$4694)/fac_life</f>
        <v>14.7276405491475</v>
      </c>
    </row>
    <row r="4698" customFormat="false" ht="17.15" hidden="false" customHeight="false" outlineLevel="0" collapsed="false">
      <c r="A4698" s="1" t="s">
        <v>594</v>
      </c>
      <c r="B4698" s="8" t="s">
        <v>73</v>
      </c>
      <c r="C4698" s="38" t="n">
        <f aca="false">Sens!$C$4696+Sens!$C$4697</f>
        <v>0.203463948620839</v>
      </c>
      <c r="D4698" s="38" t="n">
        <f aca="false">Sens!$D$4696+Sens!$D$4697</f>
        <v>3.62245206231783</v>
      </c>
      <c r="E4698" s="38" t="n">
        <f aca="false">Sens!$E$4696+Sens!$E$4697</f>
        <v>6.51597588754466</v>
      </c>
      <c r="F4698" s="38" t="n">
        <f aca="false">Sens!$F$4696+Sens!$F$4697</f>
        <v>6.51597588754466</v>
      </c>
      <c r="G4698" s="38" t="n">
        <f aca="false">Sens!$G$4696+Sens!$G$4697</f>
        <v>13.0319517750893</v>
      </c>
      <c r="H4698" s="38" t="n">
        <f aca="false">Sens!$H$4696+Sens!$H$4697</f>
        <v>35.2941921973308</v>
      </c>
      <c r="I4698" s="38" t="n">
        <f aca="false">Sens!$I$4696+Sens!$I$4697</f>
        <v>63.0173185714558</v>
      </c>
      <c r="J4698" s="38" t="n">
        <f aca="false">Sens!$J$4696+Sens!$J$4697</f>
        <v>91.7529624398725</v>
      </c>
      <c r="K4698" s="38" t="n">
        <f aca="false">Sens!$K$4696+Sens!$K$4697</f>
        <v>121.178188209924</v>
      </c>
      <c r="L4698" s="38" t="n">
        <f aca="false">Sens!$L$4696+Sens!$L$4697</f>
        <v>148.58073169504</v>
      </c>
      <c r="M4698" s="38" t="n">
        <f aca="false">Sens!$M$4696+Sens!$M$4697</f>
        <v>176.698573390283</v>
      </c>
      <c r="N4698" s="38" t="n">
        <f aca="false">Sens!$N$4696+Sens!$N$4697</f>
        <v>1.81122603115892</v>
      </c>
      <c r="O4698" s="38" t="n">
        <f aca="false">Sens!$O$4696+Sens!$O$4697</f>
        <v>1.81122603115892</v>
      </c>
      <c r="R4698" s="38" t="n">
        <f aca="false">Sens!$R$4696+Sens!$R$4697</f>
        <v>0</v>
      </c>
      <c r="S4698" s="38" t="n">
        <f aca="false">Sens!$S$4696+Sens!$S$4697</f>
        <v>0.203463948620839</v>
      </c>
      <c r="T4698" s="38" t="n">
        <f aca="false">Sens!$T$4696+Sens!$T$4697</f>
        <v>3.62245206231783</v>
      </c>
      <c r="U4698" s="38" t="n">
        <f aca="false">Sens!$U$4696+Sens!$U$4697</f>
        <v>13.0319517750893</v>
      </c>
      <c r="V4698" s="38" t="n">
        <f aca="false">Sens!$V$4696+Sens!$V$4697</f>
        <v>35.2941921973308</v>
      </c>
      <c r="W4698" s="38" t="n">
        <f aca="false">Sens!$W$4696+Sens!$W$4697</f>
        <v>63.0173185714558</v>
      </c>
      <c r="X4698" s="38" t="n">
        <f aca="false">Sens!$X$4696+Sens!$X$4697</f>
        <v>91.7529624398725</v>
      </c>
      <c r="Y4698" s="38" t="n">
        <f aca="false">Sens!$Y$4696+Sens!$Y$4697</f>
        <v>121.178188209924</v>
      </c>
      <c r="Z4698" s="38" t="n">
        <f aca="false">Sens!$Z$4696+Sens!$Z$4697</f>
        <v>148.58073169504</v>
      </c>
      <c r="AA4698" s="38" t="n">
        <f aca="false">Sens!$AA$4696+Sens!$AA$4697</f>
        <v>176.698573390283</v>
      </c>
    </row>
    <row r="4699" customFormat="false" ht="17.15" hidden="false" customHeight="false" outlineLevel="0" collapsed="false">
      <c r="A4699" s="0" t="s">
        <v>595</v>
      </c>
      <c r="B4699" s="0" t="s">
        <v>73</v>
      </c>
      <c r="C4699" s="38" t="n">
        <f aca="false">Sens!$S$4699</f>
        <v>26.578941154416</v>
      </c>
      <c r="D4699" s="38" t="n">
        <f aca="false">Sens!$T$4699</f>
        <v>92.5251207231008</v>
      </c>
      <c r="G4699" s="38" t="n">
        <f aca="false">Sens!$U$4699</f>
        <v>239.931219586022</v>
      </c>
      <c r="H4699" s="38" t="n">
        <f aca="false">Sens!$V$4699</f>
        <v>403.208392333442</v>
      </c>
      <c r="I4699" s="38" t="n">
        <f aca="false">Sens!$W$4699</f>
        <v>544.837543672486</v>
      </c>
      <c r="J4699" s="38" t="n">
        <f aca="false">Sens!$X$4699</f>
        <v>662.967819343113</v>
      </c>
      <c r="K4699" s="38" t="n">
        <f aca="false">Sens!$Y$4699</f>
        <v>756.90963744369</v>
      </c>
      <c r="L4699" s="38" t="n">
        <f aca="false">Sens!$Z$4699</f>
        <v>860.10628945915</v>
      </c>
      <c r="M4699" s="38" t="n">
        <f aca="false">Sens!$AA$4699</f>
        <v>995.283560834616</v>
      </c>
      <c r="R4699" s="38" t="n">
        <f aca="false">SUM(Sens!$R$4691:$R$4691)-SUM(Sens!$R$4698:$R$4698)</f>
        <v>1.50429979529945</v>
      </c>
      <c r="S4699" s="38" t="n">
        <f aca="false">SUM(Sens!$R$4691:$S$4691)-SUM(Sens!$R$4698:$S$4698)</f>
        <v>26.578941154416</v>
      </c>
      <c r="T4699" s="38" t="n">
        <f aca="false">SUM(Sens!$R$4691:$T$4691)-SUM(Sens!$R$4698:$T$4698)</f>
        <v>92.5251207231008</v>
      </c>
      <c r="U4699" s="38" t="n">
        <f aca="false">SUM(Sens!$R$4691:$U$4691)-SUM(Sens!$R$4698:$U$4698)</f>
        <v>239.931219586022</v>
      </c>
      <c r="V4699" s="38" t="n">
        <f aca="false">SUM(Sens!$R$4691:$V$4691)-SUM(Sens!$R$4698:$V$4698)</f>
        <v>403.208392333442</v>
      </c>
      <c r="W4699" s="38" t="n">
        <f aca="false">SUM(Sens!$R$4691:$W$4691)-SUM(Sens!$R$4698:$W$4698)</f>
        <v>544.837543672486</v>
      </c>
      <c r="X4699" s="38" t="n">
        <f aca="false">SUM(Sens!$R$4691:$X$4691)-SUM(Sens!$R$4698:$X$4698)</f>
        <v>662.967819343113</v>
      </c>
      <c r="Y4699" s="38" t="n">
        <f aca="false">SUM(Sens!$R$4691:$Y$4691)-SUM(Sens!$R$4698:$Y$4698)</f>
        <v>756.90963744369</v>
      </c>
      <c r="Z4699" s="38" t="n">
        <f aca="false">SUM(Sens!$R$4691:$Z$4691)-SUM(Sens!$R$4698:$Z$4698)</f>
        <v>860.10628945915</v>
      </c>
      <c r="AA4699" s="38" t="n">
        <f aca="false">SUM(Sens!$R$4691:$AA$4691)-SUM(Sens!$R$4698:$AA$4698)</f>
        <v>995.283560834616</v>
      </c>
    </row>
    <row r="4700" customFormat="false" ht="17.15" hidden="false" customHeight="false" outlineLevel="0" collapsed="false">
      <c r="A4700" s="1" t="s">
        <v>596</v>
      </c>
    </row>
    <row r="4701" customFormat="false" ht="17.15" hidden="false" customHeight="false" outlineLevel="0" collapsed="false">
      <c r="A4701" s="0" t="s">
        <v>597</v>
      </c>
      <c r="B4701" s="0" t="s">
        <v>73</v>
      </c>
      <c r="C4701" s="38" t="n">
        <f aca="false">Sens!$C$4682-ext_sh*Sens!$C$4684</f>
        <v>1.80694998843362</v>
      </c>
      <c r="D4701" s="38" t="n">
        <f aca="false">Sens!$D$4682-ext_sh*Sens!$D$4684</f>
        <v>6.77606245662607</v>
      </c>
      <c r="E4701" s="38" t="n">
        <f aca="false">Sens!$E$4682-ext_sh*Sens!$E$4684</f>
        <v>6.62548329092326</v>
      </c>
      <c r="F4701" s="38" t="n">
        <f aca="false">Sens!$F$4682-ext_sh*Sens!$F$4684</f>
        <v>11.7200577158706</v>
      </c>
      <c r="G4701" s="38" t="n">
        <f aca="false">Sens!$G$4682-ext_sh*Sens!$G$4684</f>
        <v>18.3455410067939</v>
      </c>
      <c r="H4701" s="38" t="n">
        <f aca="false">Sens!$H$4682-ext_sh*Sens!$H$4684</f>
        <v>47.5171727060453</v>
      </c>
      <c r="I4701" s="38" t="n">
        <f aca="false">Sens!$I$4682-ext_sh*Sens!$I$4684</f>
        <v>80.5539692643667</v>
      </c>
      <c r="J4701" s="38" t="n">
        <f aca="false">Sens!$J$4682-ext_sh*Sens!$J$4684</f>
        <v>113.759316834883</v>
      </c>
      <c r="K4701" s="38" t="n">
        <f aca="false">Sens!$K$4682-ext_sh*Sens!$K$4684</f>
        <v>147.020848076132</v>
      </c>
      <c r="L4701" s="38" t="n">
        <f aca="false">Sens!$L$4682-ext_sh*Sens!$L$4684</f>
        <v>180.307917349531</v>
      </c>
      <c r="M4701" s="38" t="n">
        <f aca="false">Sens!$M$4682-ext_sh*Sens!$M$4684</f>
        <v>213.608737871012</v>
      </c>
      <c r="N4701" s="38" t="n">
        <f aca="false">Sens!$N$4682-ext_sh*Sens!$N$4684</f>
        <v>2.37162185981912</v>
      </c>
      <c r="O4701" s="38" t="n">
        <f aca="false">Sens!$O$4682-ext_sh*Sens!$O$4684</f>
        <v>4.40444059680694</v>
      </c>
    </row>
    <row r="4702" customFormat="false" ht="17.15" hidden="false" customHeight="false" outlineLevel="0" collapsed="false">
      <c r="A4702" s="1" t="s">
        <v>598</v>
      </c>
      <c r="B4702" s="8" t="s">
        <v>73</v>
      </c>
      <c r="C4702" s="38" t="n">
        <f aca="false">Sens!$C$4701-ext_sh*Sens!$C$4698</f>
        <v>1.64417882953695</v>
      </c>
      <c r="D4702" s="38" t="n">
        <f aca="false">Sens!$D$4701-ext_sh*Sens!$D$4698</f>
        <v>3.8781008067718</v>
      </c>
      <c r="E4702" s="38" t="n">
        <f aca="false">Sens!$E$4701-ext_sh*Sens!$E$4698</f>
        <v>1.41270258088753</v>
      </c>
      <c r="F4702" s="38" t="n">
        <f aca="false">Sens!$F$4701-ext_sh*Sens!$F$4698</f>
        <v>6.50727700583486</v>
      </c>
      <c r="G4702" s="38" t="n">
        <f aca="false">Sens!$G$4701-ext_sh*Sens!$G$4698</f>
        <v>7.9199795867224</v>
      </c>
      <c r="H4702" s="38" t="n">
        <f aca="false">Sens!$H$4701-ext_sh*Sens!$H$4698</f>
        <v>19.2818189481807</v>
      </c>
      <c r="I4702" s="38" t="n">
        <f aca="false">Sens!$I$4701-ext_sh*Sens!$I$4698</f>
        <v>30.140114407202</v>
      </c>
      <c r="J4702" s="38" t="n">
        <f aca="false">Sens!$J$4701-ext_sh*Sens!$J$4698</f>
        <v>40.3569468829854</v>
      </c>
      <c r="K4702" s="38" t="n">
        <f aca="false">Sens!$K$4701-ext_sh*Sens!$K$4698</f>
        <v>50.0782975081929</v>
      </c>
      <c r="L4702" s="38" t="n">
        <f aca="false">Sens!$L$4701-ext_sh*Sens!$L$4698</f>
        <v>61.443331993499</v>
      </c>
      <c r="M4702" s="38" t="n">
        <f aca="false">Sens!$M$4701-ext_sh*Sens!$M$4698</f>
        <v>72.2498791587849</v>
      </c>
      <c r="N4702" s="38" t="n">
        <f aca="false">Sens!$N$4701-ext_sh*Sens!$N$4698</f>
        <v>0.92264103489199</v>
      </c>
      <c r="O4702" s="38" t="n">
        <f aca="false">Sens!$O$4701-ext_sh*Sens!$O$4698</f>
        <v>2.95545977187981</v>
      </c>
    </row>
    <row r="4703" customFormat="false" ht="17.15" hidden="false" customHeight="false" outlineLevel="0" collapsed="false">
      <c r="A4703" s="0" t="s">
        <v>599</v>
      </c>
      <c r="B4703" s="0" t="s">
        <v>52</v>
      </c>
      <c r="C4703" s="12" t="n">
        <f aca="false">Sens!$C$4702/Sens!$C$4682</f>
        <v>0.708390794789371</v>
      </c>
      <c r="D4703" s="12" t="n">
        <f aca="false">Sens!$D$4702/Sens!$D$4682</f>
        <v>0.445565630441968</v>
      </c>
      <c r="E4703" s="12" t="n">
        <f aca="false">Sens!$E$4702/Sens!$E$4682</f>
        <v>0.165998118402711</v>
      </c>
      <c r="F4703" s="12" t="n">
        <f aca="false">Sens!$F$4702/Sens!$F$4682</f>
        <v>0.434878595403858</v>
      </c>
      <c r="G4703" s="12" t="n">
        <f aca="false">Sens!$G$4702/Sens!$G$4682</f>
        <v>0.3373967615381</v>
      </c>
      <c r="H4703" s="12" t="n">
        <f aca="false">Sens!$H$4702/Sens!$H$4682</f>
        <v>0.320477578041224</v>
      </c>
      <c r="I4703" s="12" t="n">
        <f aca="false">Sens!$I$4702/Sens!$I$4682</f>
        <v>0.296936118226494</v>
      </c>
      <c r="J4703" s="12" t="n">
        <f aca="false">Sens!$J$4702/Sens!$J$4682</f>
        <v>0.282166278613001</v>
      </c>
      <c r="K4703" s="12" t="n">
        <f aca="false">Sens!$K$4702/Sens!$K$4682</f>
        <v>0.271267685694333</v>
      </c>
      <c r="L4703" s="12" t="n">
        <f aca="false">Sens!$L$4702/Sens!$L$4682</f>
        <v>0.27160960915653</v>
      </c>
      <c r="M4703" s="12" t="n">
        <f aca="false">Sens!$M$4702/Sens!$M$4682</f>
        <v>0.26974494804234</v>
      </c>
      <c r="N4703" s="12" t="n">
        <f aca="false">Sens!$N$4702/Sens!$N$4682</f>
        <v>0.302870734830849</v>
      </c>
      <c r="O4703" s="12" t="n">
        <f aca="false">Sens!$O$4702/Sens!$O$4682</f>
        <v>0.52240134346334</v>
      </c>
    </row>
    <row r="4704" customFormat="false" ht="17.15" hidden="false" customHeight="false" outlineLevel="0" collapsed="false">
      <c r="A4704" s="5" t="s">
        <v>600</v>
      </c>
      <c r="B4704" s="0" t="s">
        <v>73</v>
      </c>
      <c r="C4704" s="38" t="n">
        <f aca="false">rd2*(1-ext_sh)/ext_sh*Sens!$C$4665*he_open*Sens!$C$4666/1000</f>
        <v>0</v>
      </c>
      <c r="D4704" s="38" t="n">
        <f aca="false">rd2*(1-ext_sh)/ext_sh*Sens!$D$4665*he_open*Sens!$D$4666/1000</f>
        <v>0</v>
      </c>
      <c r="E4704" s="38" t="n">
        <f aca="false">rd2*(1-ext_sh)/ext_sh*Sens!$E$4665*he_open*Sens!$E$4666/1000</f>
        <v>0</v>
      </c>
      <c r="F4704" s="38" t="n">
        <f aca="false">rd2*(1-ext_sh)/ext_sh*(mw_open*he_open+Sens!$F$4680*Sens!$F$4677)*Sens!$F$4666/1000</f>
        <v>0</v>
      </c>
      <c r="G4704" s="38" t="n">
        <f aca="false">Sens!$E$4704+Sens!$F$4704</f>
        <v>0</v>
      </c>
      <c r="H4704" s="38" t="n">
        <f aca="false">rd2*(1-ext_sh)/ext_sh*(mw_open*he_open+Sens!$H$4680*Sens!$H$4677)*Sens!$H$4666/1000</f>
        <v>0</v>
      </c>
      <c r="I4704" s="38" t="n">
        <f aca="false">rd2*(1-ext_sh)/ext_sh*(mw_open*he_open+Sens!$I$4680*Sens!$I$4677)*Sens!$I$4666/1000</f>
        <v>0</v>
      </c>
      <c r="J4704" s="38" t="n">
        <f aca="false">rd2*(1-ext_sh)/ext_sh*(mw_open*he_open+Sens!$J$4680*Sens!$J$4677)*Sens!$J$4666/1000</f>
        <v>0</v>
      </c>
      <c r="K4704" s="38" t="n">
        <f aca="false">rd2*(1-ext_sh)/ext_sh*(mw_open*he_open+Sens!$K$4680*Sens!$K$4677)*Sens!$K$4666/1000</f>
        <v>0</v>
      </c>
      <c r="L4704" s="38" t="n">
        <f aca="false">rd2*(1-ext_sh)/ext_sh*(mw_open*he_open+Sens!$L$4680*Sens!$L$4677)*Sens!$L$4666/1000</f>
        <v>0</v>
      </c>
      <c r="M4704" s="38" t="n">
        <f aca="false">rd2*(1-ext_sh)/ext_sh*(mw_open*he_open+Sens!$M$4680*Sens!$M$4677)*Sens!$M$4666/1000</f>
        <v>0</v>
      </c>
      <c r="N4704" s="38" t="n">
        <f aca="false">rd2*(1-ext_sh)/ext_sh*Sens!$N$4665*he_open*Sens!$N$4666/1000</f>
        <v>0</v>
      </c>
      <c r="O4704" s="38" t="n">
        <f aca="false">rd2*(1-ext_sh)/ext_sh*Sens!$O$4665*he_open*Sens!$O$4666/1000</f>
        <v>0</v>
      </c>
      <c r="P4704" s="8" t="s">
        <v>601</v>
      </c>
    </row>
    <row r="4705" customFormat="false" ht="17.15" hidden="false" customHeight="false" outlineLevel="0" collapsed="false">
      <c r="A4705" s="5" t="s">
        <v>602</v>
      </c>
      <c r="B4705" s="0" t="s">
        <v>73</v>
      </c>
      <c r="C4705" s="38" t="n">
        <f aca="false">(1-ext_sh)*(Sens!$C$4684+Sens!$C$4698)-Sens!$C$4704</f>
        <v>0.169206631859174</v>
      </c>
      <c r="D4705" s="38" t="n">
        <f aca="false">(1-ext_sh)*(Sens!$D$4684+Sens!$D$4698)-Sens!$D$4704</f>
        <v>1.20641732046984</v>
      </c>
      <c r="E4705" s="38" t="n">
        <f aca="false">(1-ext_sh)*(Sens!$E$4684+Sens!$E$4698)-Sens!$E$4704</f>
        <v>1.77441259867062</v>
      </c>
      <c r="F4705" s="38" t="n">
        <f aca="false">(1-ext_sh)*(Sens!$F$4684+Sens!$F$4698)-Sens!$F$4704</f>
        <v>2.1140391597214</v>
      </c>
      <c r="G4705" s="38" t="n">
        <f aca="false">(1-ext_sh)*(Sens!$G$4684+Sens!$G$4698)-Sens!$G$4704</f>
        <v>3.88845175839202</v>
      </c>
      <c r="H4705" s="38" t="n">
        <f aca="false">(1-ext_sh)*(Sens!$H$4684+Sens!$H$4698)-Sens!$H$4704</f>
        <v>10.2210179503985</v>
      </c>
      <c r="I4705" s="38" t="n">
        <f aca="false">(1-ext_sh)*(Sens!$I$4684+Sens!$I$4698)-Sens!$I$4704</f>
        <v>17.8408961823075</v>
      </c>
      <c r="J4705" s="38" t="n">
        <f aca="false">(1-ext_sh)*(Sens!$J$4684+Sens!$J$4698)-Sens!$J$4704</f>
        <v>25.6671150670732</v>
      </c>
      <c r="K4705" s="38" t="n">
        <f aca="false">(1-ext_sh)*(Sens!$K$4684+Sens!$K$4698)-Sens!$K$4704</f>
        <v>33.6325293834986</v>
      </c>
      <c r="L4705" s="38" t="n">
        <f aca="false">(1-ext_sh)*(Sens!$L$4684+Sens!$L$4698)-Sens!$L$4704</f>
        <v>41.1939886299065</v>
      </c>
      <c r="M4705" s="38" t="n">
        <f aca="false">(1-ext_sh)*(Sens!$M$4684+Sens!$M$4698)-Sens!$M$4704</f>
        <v>48.8988205728617</v>
      </c>
      <c r="N4705" s="38" t="n">
        <f aca="false">(1-ext_sh)*(Sens!$N$4684+Sens!$N$4698)-Sens!$N$4704</f>
        <v>0.530919624033979</v>
      </c>
      <c r="O4705" s="38" t="n">
        <f aca="false">(1-ext_sh)*(Sens!$O$4684+Sens!$O$4698)-Sens!$O$4704</f>
        <v>0.675497696435861</v>
      </c>
    </row>
    <row r="4706" customFormat="false" ht="17.15" hidden="false" customHeight="false" outlineLevel="0" collapsed="false">
      <c r="A4706" s="0" t="s">
        <v>603</v>
      </c>
      <c r="B4706" s="0" t="s">
        <v>73</v>
      </c>
      <c r="C4706" s="38" t="n">
        <f aca="false">Q!$D$24</f>
        <v>39.834</v>
      </c>
      <c r="D4706" s="38" t="n">
        <f aca="false">Q!$E$24</f>
        <v>45.606</v>
      </c>
      <c r="E4706" s="38" t="n">
        <f aca="false">Q!$P$24</f>
        <v>30.782</v>
      </c>
      <c r="N4706" s="38" t="n">
        <f aca="false">Q!$N$24</f>
        <v>21.707</v>
      </c>
      <c r="O4706" s="38" t="n">
        <f aca="false">Q!$O$24</f>
        <v>23.899</v>
      </c>
    </row>
    <row r="4707" customFormat="false" ht="17.15" hidden="false" customHeight="false" outlineLevel="0" collapsed="false">
      <c r="A4707" s="0" t="s">
        <v>604</v>
      </c>
      <c r="B4707" s="0" t="s">
        <v>73</v>
      </c>
      <c r="C4707" s="38" t="n">
        <f aca="false">Sens!$C$4706-Sens!$C$4702</f>
        <v>38.1898211704631</v>
      </c>
      <c r="D4707" s="38" t="n">
        <f aca="false">Sens!$D$4706-Sens!$D$4702</f>
        <v>41.7278991932282</v>
      </c>
      <c r="E4707" s="38" t="n">
        <f aca="false">Sens!$E$4706-Sens!$E$4702</f>
        <v>29.3692974191125</v>
      </c>
      <c r="F4707" s="38" t="n">
        <f aca="false">Sens!$F$4686*Sens!$F$4708</f>
        <v>29.458060516894</v>
      </c>
      <c r="G4707" s="38" t="n">
        <f aca="false">Sens!$E$4707+Sens!$F$4707</f>
        <v>58.8273579360065</v>
      </c>
      <c r="H4707" s="38" t="n">
        <f aca="false">Sens!$H$4686*Sens!$H$4708</f>
        <v>67.8004040185081</v>
      </c>
      <c r="I4707" s="38" t="n">
        <f aca="false">Sens!$I$4686*Sens!$I$4708</f>
        <v>78.9527630302702</v>
      </c>
      <c r="J4707" s="38" t="n">
        <f aca="false">Sens!$J$4686*Sens!$J$4708</f>
        <v>88.6042681781841</v>
      </c>
      <c r="K4707" s="38" t="n">
        <f aca="false">Sens!$K$4686*Sens!$K$4708</f>
        <v>95.6926096324389</v>
      </c>
      <c r="L4707" s="38" t="n">
        <f aca="false">Sens!$L$4686*Sens!$L$4708</f>
        <v>103.348018403034</v>
      </c>
      <c r="M4707" s="38" t="n">
        <f aca="false">Sens!$M$4686*Sens!$M$4708</f>
        <v>111.615859875277</v>
      </c>
      <c r="N4707" s="38" t="n">
        <f aca="false">Sens!$N$4706-Sens!$N$4702</f>
        <v>20.784358965108</v>
      </c>
      <c r="O4707" s="38" t="n">
        <f aca="false">Sens!$O$4706-Sens!$O$4702</f>
        <v>20.9435402281202</v>
      </c>
      <c r="P4707" s="5" t="s">
        <v>605</v>
      </c>
    </row>
    <row r="4708" customFormat="false" ht="17.15" hidden="false" customHeight="false" outlineLevel="0" collapsed="false">
      <c r="A4708" s="0" t="s">
        <v>606</v>
      </c>
      <c r="B4708" s="0" t="s">
        <v>52</v>
      </c>
      <c r="C4708" s="12" t="n">
        <f aca="false">Sens!$C$4707/Sens!$C$4686</f>
        <v>0.362900395443635</v>
      </c>
      <c r="D4708" s="12" t="n">
        <f aca="false">Sens!$D$4707/Sens!$D$4686</f>
        <v>0.34767098474203</v>
      </c>
      <c r="E4708" s="12" t="n">
        <f aca="false">Sens!$E$4707/Sens!$E$4686</f>
        <v>0.411861655558416</v>
      </c>
      <c r="F4708" s="12" t="n">
        <f aca="false">(Sens!$O$4707+Sens!$E$4707)/(Sens!$O$4686+Sens!$E$4686)</f>
        <v>0.37480827803158</v>
      </c>
      <c r="G4708" s="12" t="n">
        <f aca="false">Sens!$G$4707/Sens!$G$4686</f>
        <v>0.392434440489471</v>
      </c>
      <c r="H4708" s="12" t="n">
        <f aca="false">Sens!$F$4708</f>
        <v>0.37480827803158</v>
      </c>
      <c r="I4708" s="12" t="n">
        <f aca="false">Sens!$F$4708</f>
        <v>0.37480827803158</v>
      </c>
      <c r="J4708" s="12" t="n">
        <f aca="false">Sens!$F$4708</f>
        <v>0.37480827803158</v>
      </c>
      <c r="K4708" s="12" t="n">
        <f aca="false">Sens!$F$4708</f>
        <v>0.37480827803158</v>
      </c>
      <c r="L4708" s="12" t="n">
        <f aca="false">Sens!$F$4708</f>
        <v>0.37480827803158</v>
      </c>
      <c r="M4708" s="12" t="n">
        <f aca="false">Sens!$F$4708</f>
        <v>0.37480827803158</v>
      </c>
      <c r="N4708" s="12" t="n">
        <f aca="false">Sens!$N$4707/Sens!$N$4686</f>
        <v>0.364039571356823</v>
      </c>
      <c r="O4708" s="12" t="n">
        <f aca="false">Sens!$O$4707/Sens!$O$4686</f>
        <v>0.332819892300086</v>
      </c>
      <c r="P4708" s="8" t="s">
        <v>607</v>
      </c>
    </row>
    <row r="4709" customFormat="false" ht="17.15" hidden="false" customHeight="false" outlineLevel="0" collapsed="false">
      <c r="A4709" s="0" t="s">
        <v>608</v>
      </c>
      <c r="B4709" s="0" t="s">
        <v>52</v>
      </c>
      <c r="D4709" s="12" t="n">
        <f aca="false">(Q!$E$31-ext_sh*Sens!$D$4698)/Sens!$D$4686</f>
        <v>0.154572973163571</v>
      </c>
    </row>
    <row r="4710" customFormat="false" ht="17.15" hidden="false" customHeight="false" outlineLevel="0" collapsed="false">
      <c r="A4710" s="0" t="s">
        <v>609</v>
      </c>
      <c r="B4710" s="0" t="s">
        <v>73</v>
      </c>
      <c r="C4710" s="38" t="n">
        <f aca="false">Q!$D$31</f>
        <v>13.32</v>
      </c>
      <c r="D4710" s="38" t="n">
        <f aca="false">Q!$E$31</f>
        <v>21.45</v>
      </c>
      <c r="E4710" s="38" t="n">
        <f aca="false">Q!$P$31</f>
        <v>15.353</v>
      </c>
      <c r="F4710" s="38" t="n">
        <f aca="false">ext_sh*Sens!$F$4698+Sens!$D$4709*Sens!$F$4686</f>
        <v>17.3614451462707</v>
      </c>
      <c r="G4710" s="38" t="n">
        <f aca="false">Sens!$E$4710+Sens!$F$4710</f>
        <v>32.7144451462707</v>
      </c>
      <c r="H4710" s="38" t="n">
        <f aca="false">ext_sh*Sens!$H$4698+Sens!$D$4709*Sens!$H$4686</f>
        <v>56.1966092719415</v>
      </c>
      <c r="I4710" s="38" t="n">
        <f aca="false">ext_sh*Sens!$I$4698+Sens!$D$4709*Sens!$I$4686</f>
        <v>82.9744039068297</v>
      </c>
      <c r="J4710" s="38" t="n">
        <f aca="false">ext_sh*Sens!$J$4698+Sens!$D$4709*Sens!$J$4686</f>
        <v>109.943252237669</v>
      </c>
      <c r="K4710" s="38" t="n">
        <f aca="false">ext_sh*Sens!$K$4698+Sens!$D$4709*Sens!$K$4686</f>
        <v>136.406703436571</v>
      </c>
      <c r="L4710" s="38" t="n">
        <f aca="false">ext_sh*Sens!$L$4698+Sens!$D$4709*Sens!$L$4686</f>
        <v>161.485870454155</v>
      </c>
      <c r="M4710" s="38" t="n">
        <f aca="false">ext_sh*Sens!$M$4698+Sens!$D$4709*Sens!$M$4686</f>
        <v>187.389846618199</v>
      </c>
      <c r="N4710" s="38" t="n">
        <f aca="false">Q!$N$31</f>
        <v>9.234</v>
      </c>
      <c r="O4710" s="38" t="n">
        <f aca="false">Q!$O$31</f>
        <v>12.216</v>
      </c>
    </row>
    <row r="4711" customFormat="false" ht="17.15" hidden="false" customHeight="false" outlineLevel="0" collapsed="false">
      <c r="A4711" s="1" t="s">
        <v>610</v>
      </c>
    </row>
    <row r="4712" customFormat="false" ht="17.15" hidden="false" customHeight="false" outlineLevel="0" collapsed="false">
      <c r="A4712" s="14" t="s">
        <v>611</v>
      </c>
      <c r="B4712" s="13" t="s">
        <v>52</v>
      </c>
      <c r="C4712" s="13"/>
      <c r="D4712" s="13"/>
      <c r="E4712" s="13"/>
      <c r="F4712" s="13"/>
      <c r="G4712" s="16" t="n">
        <f aca="false">Sens!$G$4702*(1-tax)/(ext_sh*(Sens!$D$4699+Sens!$G$4699)/2)</f>
        <v>0.0492184452944045</v>
      </c>
      <c r="H4712" s="16" t="n">
        <f aca="false">Sens!$H$4702*(1-tax)/(ext_sh*(Sens!$G$4699+Sens!$H$4699)/2)</f>
        <v>0.0619414246858107</v>
      </c>
      <c r="I4712" s="16" t="n">
        <f aca="false">Sens!$I$4702*(1-tax)/(ext_sh*(Sens!$H$4699+Sens!$I$4699)/2)</f>
        <v>0.0656831488051666</v>
      </c>
      <c r="J4712" s="16" t="n">
        <f aca="false">Sens!$J$4702*(1-tax)/(ext_sh*(Sens!$I$4699+Sens!$J$4699)/2)</f>
        <v>0.0690334849962116</v>
      </c>
      <c r="K4712" s="16" t="n">
        <f aca="false">Sens!$K$4702*(1-tax)/(ext_sh*(Sens!$J$4699+Sens!$K$4699)/2)</f>
        <v>0.0728680488295485</v>
      </c>
      <c r="L4712" s="16" t="n">
        <f aca="false">Sens!$L$4702*(1-tax)/(ext_sh*(Sens!$K$4699+Sens!$L$4699)/2)</f>
        <v>0.0785052878122331</v>
      </c>
      <c r="M4712" s="16" t="n">
        <f aca="false">Sens!$M$4702*(1-tax)/(ext_sh*(Sens!$L$4699+Sens!$M$4699)/2)</f>
        <v>0.0804526580722741</v>
      </c>
      <c r="N4712" s="13"/>
      <c r="O4712" s="13"/>
      <c r="P4712" s="8" t="s">
        <v>612</v>
      </c>
    </row>
    <row r="4713" customFormat="false" ht="17.15" hidden="false" customHeight="false" outlineLevel="0" collapsed="false">
      <c r="A4713" s="5" t="s">
        <v>613</v>
      </c>
      <c r="B4713" s="0" t="s">
        <v>57</v>
      </c>
      <c r="H4713" s="36" t="n">
        <f aca="false">Sens!$H$4682*1000/(mw_open*he_open+Sens!$H$4680*Sens!$H$4677)</f>
        <v>0.991949006767191</v>
      </c>
      <c r="I4713" s="36" t="n">
        <f aca="false">Sens!$I$4682*1000/(mw_open*he_open+Sens!$I$4680*Sens!$I$4677)</f>
        <v>0.991949006767191</v>
      </c>
      <c r="J4713" s="36" t="n">
        <f aca="false">Sens!$J$4682*1000/(mw_open*he_open+Sens!$J$4680*Sens!$J$4677)</f>
        <v>0.991949006767191</v>
      </c>
      <c r="K4713" s="36" t="n">
        <f aca="false">Sens!$K$4682*1000/(mw_open*he_open+Sens!$K$4680*Sens!$K$4677)</f>
        <v>0.991949006767191</v>
      </c>
      <c r="L4713" s="36" t="n">
        <f aca="false">Sens!$L$4682*1000/(mw_open*he_open+Sens!$L$4680*Sens!$L$4677)</f>
        <v>0.991949006767191</v>
      </c>
      <c r="M4713" s="36" t="n">
        <f aca="false">Sens!$M$4682*1000/(mw_open*he_open+Sens!$M$4680*Sens!$M$4677)</f>
        <v>0.991949006767192</v>
      </c>
    </row>
    <row r="4714" customFormat="false" ht="17.15" hidden="false" customHeight="false" outlineLevel="0" collapsed="false">
      <c r="A4714" s="5" t="s">
        <v>614</v>
      </c>
      <c r="B4714" s="0" t="s">
        <v>57</v>
      </c>
      <c r="H4714" s="36" t="n">
        <f aca="false">Sens!$H$4713*(Sens!$H$4682+(wacc+0.01)*ext_sh*(Sens!$G$4699+Sens!$H$4699)/2/(1-tax)-Sens!$H$4702)/Sens!$H$4682</f>
        <v>1.36630038524307</v>
      </c>
      <c r="I4714" s="36" t="n">
        <f aca="false">Sens!$I$4713*(Sens!$I$4682+(wacc+0.01)*ext_sh*(Sens!$H$4699+Sens!$I$4699)/2/(1-tax)-Sens!$I$4702)/Sens!$I$4682</f>
        <v>1.30226344290775</v>
      </c>
      <c r="J4714" s="36" t="n">
        <f aca="false">Sens!$J$4713*(Sens!$J$4682+(wacc+0.01)*ext_sh*(Sens!$I$4699+Sens!$J$4699)/2/(1-tax)-Sens!$J$4702)/Sens!$J$4682</f>
        <v>1.25893321168896</v>
      </c>
      <c r="K4714" s="36" t="n">
        <f aca="false">Sens!$K$4713*(Sens!$K$4682+(wacc+0.01)*ext_sh*(Sens!$J$4699+Sens!$K$4699)/2/(1-tax)-Sens!$K$4702)/Sens!$K$4682</f>
        <v>1.22095397284657</v>
      </c>
      <c r="L4714" s="36" t="n">
        <f aca="false">Sens!$L$4713*(Sens!$L$4682+(wacc+0.01)*ext_sh*(Sens!$K$4699+Sens!$L$4699)/2/(1-tax)-Sens!$L$4702)/Sens!$L$4682</f>
        <v>1.18543122771092</v>
      </c>
      <c r="M4714" s="36" t="n">
        <f aca="false">Sens!$M$4713*(Sens!$M$4682+(wacc+0.01)*ext_sh*(Sens!$L$4699+Sens!$M$4699)/2/(1-tax)-Sens!$M$4702)/Sens!$M$4682</f>
        <v>1.17297515479135</v>
      </c>
    </row>
    <row r="4715" customFormat="false" ht="17.15" hidden="false" customHeight="false" outlineLevel="0" collapsed="false">
      <c r="A4715" s="5" t="s">
        <v>615</v>
      </c>
      <c r="B4715" s="0" t="s">
        <v>52</v>
      </c>
      <c r="C4715" s="12" t="n">
        <f aca="false">Sens!$C$4683/tk_pq</f>
        <v>0.195316432429398</v>
      </c>
      <c r="D4715" s="12" t="n">
        <f aca="false">Sens!$D$4683/tk_pq</f>
        <v>0.195316432429398</v>
      </c>
      <c r="E4715" s="12" t="n">
        <f aca="false">Sens!$E$4683/tk_pq</f>
        <v>0.195316432429398</v>
      </c>
      <c r="F4715" s="12" t="n">
        <f aca="false">Sens!$F$4683/tk_pq</f>
        <v>0.202241827274866</v>
      </c>
      <c r="G4715" s="12" t="n">
        <f aca="false">Sens!$G$4683/tk_pq</f>
        <v>0.199675016194063</v>
      </c>
      <c r="H4715" s="12" t="n">
        <f aca="false">Sens!$H$4683/tk_pq</f>
        <v>0.212647947710325</v>
      </c>
      <c r="I4715" s="12" t="n">
        <f aca="false">Sens!$I$4683/tk_pq</f>
        <v>0.219285125475351</v>
      </c>
      <c r="J4715" s="12" t="n">
        <f aca="false">Sens!$J$4683/tk_pq</f>
        <v>0.222492493217189</v>
      </c>
      <c r="K4715" s="12" t="n">
        <f aca="false">Sens!$K$4683/tk_pq</f>
        <v>0.224371415939166</v>
      </c>
      <c r="L4715" s="12" t="n">
        <f aca="false">Sens!$L$4683/tk_pq</f>
        <v>0.225603749825993</v>
      </c>
      <c r="M4715" s="12" t="n">
        <f aca="false">Sens!$M$4683/tk_pq</f>
        <v>0.22647376274628</v>
      </c>
      <c r="N4715" s="12" t="n">
        <f aca="false">Sens!$N$4683/tk_pq</f>
        <v>0.195316432429398</v>
      </c>
      <c r="O4715" s="12" t="n">
        <f aca="false">Sens!$O$4683/tk_pq</f>
        <v>0.195316432429398</v>
      </c>
      <c r="P4715" s="5" t="s">
        <v>616</v>
      </c>
    </row>
    <row r="4718" customFormat="false" ht="17.15" hidden="false" customHeight="false" outlineLevel="0" collapsed="false">
      <c r="A4718" s="1" t="s">
        <v>643</v>
      </c>
    </row>
    <row r="4719" customFormat="false" ht="17.15" hidden="false" customHeight="false" outlineLevel="0" collapsed="false">
      <c r="A4719" s="0" t="s">
        <v>644</v>
      </c>
      <c r="B4719" s="0" t="s">
        <v>73</v>
      </c>
      <c r="C4719" s="38" t="n">
        <f aca="false">Sens!$C$4682</f>
        <v>2.32100535697364</v>
      </c>
      <c r="D4719" s="38" t="n">
        <f aca="false">Sens!$D$4682</f>
        <v>8.70377008865116</v>
      </c>
      <c r="E4719" s="38" t="n">
        <f aca="false">Sens!$E$4682</f>
        <v>8.51035297557002</v>
      </c>
      <c r="F4719" s="38" t="n">
        <f aca="false">Sens!$F$4682</f>
        <v>14.9634336447205</v>
      </c>
      <c r="G4719" s="38" t="n">
        <f aca="false">Sens!$G$4682</f>
        <v>23.4737866202905</v>
      </c>
      <c r="H4719" s="38" t="n">
        <f aca="false">Sens!$H$4682</f>
        <v>60.1658907497746</v>
      </c>
      <c r="I4719" s="38" t="n">
        <f aca="false">Sens!$I$4682</f>
        <v>101.503699136432</v>
      </c>
      <c r="J4719" s="38" t="n">
        <f aca="false">Sens!$J$4682</f>
        <v>143.025407151278</v>
      </c>
      <c r="K4719" s="38" t="n">
        <f aca="false">Sens!$K$4682</f>
        <v>184.608415042187</v>
      </c>
      <c r="L4719" s="38" t="n">
        <f aca="false">Sens!$L$4682</f>
        <v>226.219286513125</v>
      </c>
      <c r="M4719" s="38" t="n">
        <f aca="false">Sens!$M$4682</f>
        <v>267.845161450232</v>
      </c>
      <c r="N4719" s="38" t="n">
        <f aca="false">Sens!$N$4682</f>
        <v>3.04631953102791</v>
      </c>
      <c r="O4719" s="38" t="n">
        <f aca="false">Sens!$O$4682</f>
        <v>5.65745055762326</v>
      </c>
      <c r="P4719" s="8" t="s">
        <v>645</v>
      </c>
    </row>
    <row r="4720" customFormat="false" ht="17.15" hidden="false" customHeight="false" outlineLevel="0" collapsed="false">
      <c r="A4720" s="0" t="s">
        <v>646</v>
      </c>
      <c r="B4720" s="0" t="s">
        <v>73</v>
      </c>
      <c r="C4720" s="38" t="n">
        <f aca="false">Sens!$C$4686</f>
        <v>105.234994643026</v>
      </c>
      <c r="D4720" s="38" t="n">
        <f aca="false">Sens!$D$4686</f>
        <v>120.021229911349</v>
      </c>
      <c r="E4720" s="38" t="n">
        <f aca="false">Sens!$E$4686</f>
        <v>71.30864702443</v>
      </c>
      <c r="F4720" s="38" t="n">
        <f aca="false">Sens!$F$4686</f>
        <v>78.5950104186653</v>
      </c>
      <c r="G4720" s="38" t="n">
        <f aca="false">Sens!$G$4686</f>
        <v>149.903657443095</v>
      </c>
      <c r="H4720" s="38" t="n">
        <f aca="false">Sens!$H$4686</f>
        <v>180.893560768142</v>
      </c>
      <c r="I4720" s="38" t="n">
        <f aca="false">Sens!$I$4686</f>
        <v>210.64839721501</v>
      </c>
      <c r="J4720" s="38" t="n">
        <f aca="false">Sens!$J$4686</f>
        <v>236.398909446495</v>
      </c>
      <c r="K4720" s="38" t="n">
        <f aca="false">Sens!$K$4686</f>
        <v>255.310822202215</v>
      </c>
      <c r="L4720" s="38" t="n">
        <f aca="false">Sens!$L$4686</f>
        <v>275.735687978392</v>
      </c>
      <c r="M4720" s="38" t="n">
        <f aca="false">Sens!$M$4686</f>
        <v>297.794543016663</v>
      </c>
      <c r="N4720" s="38" t="n">
        <f aca="false">Sens!$N$4686</f>
        <v>57.0936804689721</v>
      </c>
      <c r="O4720" s="38" t="n">
        <f aca="false">Sens!$O$4686</f>
        <v>62.9275494423768</v>
      </c>
      <c r="P4720" s="8" t="s">
        <v>645</v>
      </c>
    </row>
    <row r="4721" customFormat="false" ht="17.15" hidden="false" customHeight="false" outlineLevel="0" collapsed="false">
      <c r="A4721" s="1" t="s">
        <v>476</v>
      </c>
      <c r="B4721" s="8" t="s">
        <v>73</v>
      </c>
      <c r="C4721" s="38" t="n">
        <f aca="false">Q!$D$7</f>
        <v>107.556</v>
      </c>
      <c r="D4721" s="38" t="n">
        <f aca="false">Q!$E$7</f>
        <v>128.725</v>
      </c>
      <c r="E4721" s="38" t="n">
        <f aca="false">Q!$P$7</f>
        <v>79.819</v>
      </c>
      <c r="F4721" s="38" t="n">
        <f aca="false">Sens!$F$4719+Sens!$F$4720</f>
        <v>93.5584440633857</v>
      </c>
      <c r="G4721" s="38" t="n">
        <f aca="false">Sens!$G$4719+Sens!$G$4720</f>
        <v>173.377444063386</v>
      </c>
      <c r="H4721" s="38" t="n">
        <f aca="false">Sens!$H$4719+Sens!$H$4720</f>
        <v>241.059451517916</v>
      </c>
      <c r="I4721" s="38" t="n">
        <f aca="false">Sens!$I$4719+Sens!$I$4720</f>
        <v>312.152096351442</v>
      </c>
      <c r="J4721" s="38" t="n">
        <f aca="false">Sens!$J$4719+Sens!$J$4720</f>
        <v>379.424316597773</v>
      </c>
      <c r="K4721" s="38" t="n">
        <f aca="false">Sens!$K$4719+Sens!$K$4720</f>
        <v>439.919237244402</v>
      </c>
      <c r="L4721" s="38" t="n">
        <f aca="false">Sens!$L$4719+Sens!$L$4720</f>
        <v>501.954974491517</v>
      </c>
      <c r="M4721" s="38" t="n">
        <f aca="false">Sens!$M$4719+Sens!$M$4720</f>
        <v>565.639704466895</v>
      </c>
      <c r="N4721" s="38" t="n">
        <f aca="false">Q!$N$7</f>
        <v>60.14</v>
      </c>
      <c r="O4721" s="38" t="n">
        <f aca="false">Q!$O$7</f>
        <v>68.585</v>
      </c>
      <c r="P4721" s="5" t="s">
        <v>647</v>
      </c>
    </row>
    <row r="4722" customFormat="false" ht="15" hidden="false" customHeight="false" outlineLevel="0" collapsed="false">
      <c r="A4722" s="3" t="s">
        <v>648</v>
      </c>
      <c r="B4722" s="8" t="s">
        <v>73</v>
      </c>
      <c r="C4722" s="38" t="n">
        <f aca="false">Q!$D$8</f>
        <v>637.959</v>
      </c>
      <c r="D4722" s="38" t="n">
        <f aca="false">Q!$E$8</f>
        <v>716.924</v>
      </c>
      <c r="E4722" s="38" t="n">
        <f aca="false">Q!$P$8</f>
        <v>382.125</v>
      </c>
      <c r="F4722" s="38" t="n">
        <f aca="false">Sens!$F$4655+Sens!$F$4721</f>
        <v>450.494873271816</v>
      </c>
      <c r="G4722" s="38" t="n">
        <f aca="false">Sens!$G$4655+Sens!$G$4721</f>
        <v>832.619873271816</v>
      </c>
      <c r="H4722" s="38" t="n">
        <f aca="false">Sens!$H$4655+Sens!$H$4721</f>
        <v>970.995189139617</v>
      </c>
      <c r="I4722" s="38" t="n">
        <f aca="false">Sens!$I$4655+Sens!$I$4721</f>
        <v>1110.44766604932</v>
      </c>
      <c r="J4722" s="38" t="n">
        <f aca="false">Sens!$J$4655+Sens!$J$4721</f>
        <v>1241.16113892356</v>
      </c>
      <c r="K4722" s="38" t="n">
        <f aca="false">Sens!$K$4655+Sens!$K$4721</f>
        <v>1357.47672934633</v>
      </c>
      <c r="L4722" s="38" t="n">
        <f aca="false">Sens!$L$4655+Sens!$L$4721</f>
        <v>1479.24006423468</v>
      </c>
      <c r="M4722" s="38" t="n">
        <f aca="false">Sens!$M$4655+Sens!$M$4721</f>
        <v>1606.8537230104</v>
      </c>
      <c r="N4722" s="38" t="n">
        <f aca="false">Q!$N$8</f>
        <v>323.369</v>
      </c>
      <c r="O4722" s="38" t="n">
        <f aca="false">Q!$O$8</f>
        <v>393.555</v>
      </c>
    </row>
    <row r="4723" customFormat="false" ht="17.15" hidden="false" customHeight="false" outlineLevel="0" collapsed="false">
      <c r="A4723" s="24" t="s">
        <v>656</v>
      </c>
      <c r="B4723" s="25" t="s">
        <v>73</v>
      </c>
      <c r="C4723" s="39" t="n">
        <f aca="false">Sens!$C$4655-(Sens!$C$4657+Sens!$C$4658)</f>
        <v>0</v>
      </c>
      <c r="D4723" s="39" t="n">
        <f aca="false">Sens!$D$4655-(Sens!$D$4657+Sens!$D$4658)</f>
        <v>0</v>
      </c>
      <c r="E4723" s="39" t="n">
        <f aca="false">Sens!$E$4655-(Sens!$E$4657+Sens!$E$4658)</f>
        <v>0</v>
      </c>
      <c r="F4723" s="39" t="n">
        <f aca="false">Sens!$F$4655-(Sens!$F$4657+Sens!$F$4658)</f>
        <v>0</v>
      </c>
      <c r="G4723" s="39" t="n">
        <f aca="false">Sens!$G$4655-(Sens!$G$4657+Sens!$G$4658)</f>
        <v>0</v>
      </c>
      <c r="H4723" s="39" t="n">
        <f aca="false">Sens!$H$4655-(Sens!$H$4657+Sens!$H$4658)</f>
        <v>0</v>
      </c>
      <c r="I4723" s="39" t="n">
        <f aca="false">Sens!$I$4655-(Sens!$I$4657+Sens!$I$4658)</f>
        <v>0</v>
      </c>
      <c r="J4723" s="39" t="n">
        <f aca="false">Sens!$J$4655-(Sens!$J$4657+Sens!$J$4658)</f>
        <v>0</v>
      </c>
      <c r="K4723" s="39" t="n">
        <f aca="false">Sens!$K$4655-(Sens!$K$4657+Sens!$K$4658)</f>
        <v>0</v>
      </c>
      <c r="L4723" s="39" t="n">
        <f aca="false">Sens!$L$4655-(Sens!$L$4657+Sens!$L$4658)</f>
        <v>0</v>
      </c>
      <c r="M4723" s="39" t="n">
        <f aca="false">Sens!$M$4655-(Sens!$M$4657+Sens!$M$4658)</f>
        <v>0</v>
      </c>
      <c r="N4723" s="39" t="n">
        <f aca="false">Sens!$N$4655-(Sens!$N$4657+Sens!$N$4658)</f>
        <v>0</v>
      </c>
      <c r="O4723" s="39" t="n">
        <f aca="false">Sens!$O$4655-(Sens!$O$4657+Sens!$O$4658)</f>
        <v>0</v>
      </c>
    </row>
    <row r="4724" customFormat="false" ht="17.15" hidden="false" customHeight="false" outlineLevel="0" collapsed="false">
      <c r="A4724" s="24" t="s">
        <v>657</v>
      </c>
      <c r="B4724" s="25" t="s">
        <v>73</v>
      </c>
      <c r="C4724" s="39" t="n">
        <f aca="false">Sens!$C$4719+Sens!$C$4720-Sens!$C$4721</f>
        <v>0</v>
      </c>
      <c r="D4724" s="39" t="n">
        <f aca="false">Sens!$D$4719+Sens!$D$4720-Sens!$D$4721</f>
        <v>0</v>
      </c>
      <c r="E4724" s="39" t="n">
        <f aca="false">Sens!$E$4719+Sens!$E$4720-Sens!$E$4721</f>
        <v>0</v>
      </c>
      <c r="F4724" s="39" t="n">
        <f aca="false">Sens!$F$4719+Sens!$F$4720-Sens!$F$4721</f>
        <v>0</v>
      </c>
      <c r="G4724" s="39" t="n">
        <f aca="false">Sens!$G$4719+Sens!$G$4720-Sens!$G$4721</f>
        <v>0</v>
      </c>
      <c r="H4724" s="39" t="n">
        <f aca="false">Sens!$H$4719+Sens!$H$4720-Sens!$H$4721</f>
        <v>0</v>
      </c>
      <c r="I4724" s="39" t="n">
        <f aca="false">Sens!$I$4719+Sens!$I$4720-Sens!$I$4721</f>
        <v>0</v>
      </c>
      <c r="J4724" s="39" t="n">
        <f aca="false">Sens!$J$4719+Sens!$J$4720-Sens!$J$4721</f>
        <v>0</v>
      </c>
      <c r="K4724" s="39" t="n">
        <f aca="false">Sens!$K$4719+Sens!$K$4720-Sens!$K$4721</f>
        <v>0</v>
      </c>
      <c r="L4724" s="39" t="n">
        <f aca="false">Sens!$L$4719+Sens!$L$4720-Sens!$L$4721</f>
        <v>0</v>
      </c>
      <c r="M4724" s="39" t="n">
        <f aca="false">Sens!$M$4719+Sens!$M$4720-Sens!$M$4721</f>
        <v>0</v>
      </c>
      <c r="N4724" s="39" t="n">
        <f aca="false">Sens!$N$4719+Sens!$N$4720-Sens!$N$4721</f>
        <v>0</v>
      </c>
      <c r="O4724" s="39" t="n">
        <f aca="false">Sens!$O$4719+Sens!$O$4720-Sens!$O$4721</f>
        <v>0</v>
      </c>
    </row>
    <row r="4725" customFormat="false" ht="17.15" hidden="false" customHeight="false" outlineLevel="0" collapsed="false">
      <c r="A4725" s="24" t="s">
        <v>658</v>
      </c>
      <c r="B4725" s="25" t="s">
        <v>73</v>
      </c>
      <c r="C4725" s="39" t="n">
        <f aca="false">Sens!$C$4657+Sens!$C$4658+Sens!$C$4721-Sens!$C$4722</f>
        <v>0</v>
      </c>
      <c r="D4725" s="39" t="n">
        <f aca="false">Sens!$D$4657+Sens!$D$4658+Sens!$D$4721-Sens!$D$4722</f>
        <v>0</v>
      </c>
      <c r="E4725" s="39" t="n">
        <f aca="false">Sens!$E$4657+Sens!$E$4658+Sens!$E$4721-Sens!$E$4722</f>
        <v>0</v>
      </c>
      <c r="F4725" s="39" t="n">
        <f aca="false">Sens!$F$4657+Sens!$F$4658+Sens!$F$4721-Sens!$F$4722</f>
        <v>0</v>
      </c>
      <c r="G4725" s="39" t="n">
        <f aca="false">Sens!$G$4657+Sens!$G$4658+Sens!$G$4721-Sens!$G$4722</f>
        <v>0</v>
      </c>
      <c r="H4725" s="39" t="n">
        <f aca="false">Sens!$H$4657+Sens!$H$4658+Sens!$H$4721-Sens!$H$4722</f>
        <v>0</v>
      </c>
      <c r="I4725" s="39" t="n">
        <f aca="false">Sens!$I$4657+Sens!$I$4658+Sens!$I$4721-Sens!$I$4722</f>
        <v>0</v>
      </c>
      <c r="J4725" s="39" t="n">
        <f aca="false">Sens!$J$4657+Sens!$J$4658+Sens!$J$4721-Sens!$J$4722</f>
        <v>0</v>
      </c>
      <c r="K4725" s="39" t="n">
        <f aca="false">Sens!$K$4657+Sens!$K$4658+Sens!$K$4721-Sens!$K$4722</f>
        <v>0</v>
      </c>
      <c r="L4725" s="39" t="n">
        <f aca="false">Sens!$L$4657+Sens!$L$4658+Sens!$L$4721-Sens!$L$4722</f>
        <v>0</v>
      </c>
      <c r="M4725" s="39" t="n">
        <f aca="false">Sens!$M$4657+Sens!$M$4658+Sens!$M$4721-Sens!$M$4722</f>
        <v>0</v>
      </c>
      <c r="N4725" s="39" t="n">
        <f aca="false">Sens!$N$4657+Sens!$N$4658+Sens!$N$4721-Sens!$N$4722</f>
        <v>0</v>
      </c>
      <c r="O4725" s="39" t="n">
        <f aca="false">Sens!$O$4657+Sens!$O$4658+Sens!$O$4721-Sens!$O$4722</f>
        <v>0</v>
      </c>
    </row>
    <row r="4726" customFormat="false" ht="15" hidden="false" customHeight="false" outlineLevel="0" collapsed="false">
      <c r="A4726" s="5" t="s">
        <v>652</v>
      </c>
      <c r="B4726" s="0" t="s">
        <v>52</v>
      </c>
      <c r="G4726" s="12" t="n">
        <f aca="false">Sens!$G$4722/Sens!$D$4722-1</f>
        <v>0.161378156222718</v>
      </c>
      <c r="H4726" s="12" t="n">
        <f aca="false">Sens!$H$4722/Sens!$G$4722-1</f>
        <v>0.166192665236357</v>
      </c>
      <c r="I4726" s="12" t="n">
        <f aca="false">Sens!$I$4722/Sens!$H$4722-1</f>
        <v>0.143618092519351</v>
      </c>
      <c r="J4726" s="12" t="n">
        <f aca="false">Sens!$J$4722/Sens!$I$4722-1</f>
        <v>0.117712411733268</v>
      </c>
      <c r="K4726" s="12" t="n">
        <f aca="false">Sens!$K$4722/Sens!$J$4722-1</f>
        <v>0.0937151404237868</v>
      </c>
      <c r="L4726" s="12" t="n">
        <f aca="false">Sens!$L$4722/Sens!$K$4722-1</f>
        <v>0.0896982852494186</v>
      </c>
      <c r="M4726" s="12" t="n">
        <f aca="false">Sens!$M$4722/Sens!$L$4722-1</f>
        <v>0.0862697420528154</v>
      </c>
    </row>
    <row r="4727" customFormat="false" ht="17.15" hidden="false" customHeight="false" outlineLevel="0" collapsed="false">
      <c r="A4727" s="0" t="s">
        <v>653</v>
      </c>
      <c r="B4727" s="0" t="s">
        <v>52</v>
      </c>
      <c r="C4727" s="12" t="n">
        <f aca="false">Sens!$C$4721/Sens!$C$4722</f>
        <v>0.168593906504964</v>
      </c>
      <c r="D4727" s="12" t="n">
        <f aca="false">Sens!$D$4721/Sens!$D$4722</f>
        <v>0.179551807444025</v>
      </c>
      <c r="E4727" s="12" t="n">
        <f aca="false">Sens!$E$4721/Sens!$E$4722</f>
        <v>0.208881910369643</v>
      </c>
      <c r="F4727" s="12" t="n">
        <f aca="false">Sens!$F$4721/Sens!$F$4722</f>
        <v>0.207679264769203</v>
      </c>
      <c r="G4727" s="12" t="n">
        <f aca="false">Sens!$G$4721/Sens!$G$4722</f>
        <v>0.208231210458731</v>
      </c>
      <c r="H4727" s="12" t="n">
        <f aca="false">Sens!$H$4721/Sens!$H$4722</f>
        <v>0.248260191414043</v>
      </c>
      <c r="I4727" s="12" t="n">
        <f aca="false">Sens!$I$4721/Sens!$I$4722</f>
        <v>0.28110473450946</v>
      </c>
      <c r="J4727" s="12" t="n">
        <f aca="false">Sens!$J$4721/Sens!$J$4722</f>
        <v>0.30570109287086</v>
      </c>
      <c r="K4727" s="12" t="n">
        <f aca="false">Sens!$K$4721/Sens!$K$4722</f>
        <v>0.324071291782835</v>
      </c>
      <c r="L4727" s="12" t="n">
        <f aca="false">Sens!$L$4721/Sens!$L$4722</f>
        <v>0.339333003903741</v>
      </c>
      <c r="M4727" s="12" t="n">
        <f aca="false">Sens!$M$4721/Sens!$M$4722</f>
        <v>0.3520169237354</v>
      </c>
      <c r="N4727" s="12" t="n">
        <f aca="false">Sens!$N$4721/Sens!$N$4722</f>
        <v>0.185979484737251</v>
      </c>
      <c r="O4727" s="12" t="n">
        <f aca="false">Sens!$O$4721/Sens!$O$4722</f>
        <v>0.174270432341096</v>
      </c>
    </row>
    <row r="4728" customFormat="false" ht="17.15" hidden="false" customHeight="false" outlineLevel="0" collapsed="false">
      <c r="A4728" s="0" t="s">
        <v>654</v>
      </c>
      <c r="B4728" s="0" t="s">
        <v>52</v>
      </c>
      <c r="C4728" s="12" t="n">
        <f aca="false">Sens!$C$4719/Sens!$C$4721</f>
        <v>0.0215795060896058</v>
      </c>
      <c r="D4728" s="12" t="n">
        <f aca="false">Sens!$D$4719/Sens!$D$4721</f>
        <v>0.0676152269462122</v>
      </c>
      <c r="E4728" s="12" t="n">
        <f aca="false">Sens!$E$4719/Sens!$E$4721</f>
        <v>0.106620641395783</v>
      </c>
      <c r="F4728" s="12" t="n">
        <f aca="false">Sens!$F$4719/Sens!$F$4721</f>
        <v>0.159936751776064</v>
      </c>
      <c r="G4728" s="12" t="n">
        <f aca="false">Sens!$G$4719/Sens!$G$4721</f>
        <v>0.135391237003751</v>
      </c>
      <c r="H4728" s="12" t="n">
        <f aca="false">Sens!$H$4719/Sens!$H$4721</f>
        <v>0.249589428545194</v>
      </c>
      <c r="I4728" s="12" t="n">
        <f aca="false">Sens!$I$4719/Sens!$I$4721</f>
        <v>0.325173850577483</v>
      </c>
      <c r="J4728" s="12" t="n">
        <f aca="false">Sens!$J$4719/Sens!$J$4721</f>
        <v>0.376953718817392</v>
      </c>
      <c r="K4728" s="12" t="n">
        <f aca="false">Sens!$K$4719/Sens!$K$4721</f>
        <v>0.419641605578676</v>
      </c>
      <c r="L4728" s="12" t="n">
        <f aca="false">Sens!$L$4719/Sens!$L$4721</f>
        <v>0.450676451094615</v>
      </c>
      <c r="M4728" s="12" t="n">
        <f aca="false">Sens!$M$4719/Sens!$M$4721</f>
        <v>0.473526096798086</v>
      </c>
      <c r="N4728" s="12" t="n">
        <f aca="false">Sens!$N$4719/Sens!$N$4721</f>
        <v>0.0506537999838362</v>
      </c>
      <c r="O4728" s="12" t="n">
        <f aca="false">Sens!$O$4719/Sens!$O$4721</f>
        <v>0.0824881615167056</v>
      </c>
    </row>
    <row r="4731" customFormat="false" ht="19.4" hidden="false" customHeight="false" outlineLevel="0" collapsed="false">
      <c r="A4731" s="31" t="s">
        <v>1147</v>
      </c>
    </row>
    <row r="4732" customFormat="false" ht="17.15" hidden="false" customHeight="false" outlineLevel="0" collapsed="false">
      <c r="A4732" s="6" t="s">
        <v>16</v>
      </c>
      <c r="B4732" s="6" t="s">
        <v>17</v>
      </c>
      <c r="C4732" s="20" t="s">
        <v>457</v>
      </c>
      <c r="D4732" s="20" t="s">
        <v>458</v>
      </c>
      <c r="E4732" s="20" t="s">
        <v>540</v>
      </c>
      <c r="F4732" s="20" t="s">
        <v>541</v>
      </c>
      <c r="G4732" s="20" t="s">
        <v>542</v>
      </c>
      <c r="H4732" s="20" t="s">
        <v>543</v>
      </c>
      <c r="I4732" s="20" t="s">
        <v>544</v>
      </c>
      <c r="J4732" s="20" t="s">
        <v>545</v>
      </c>
      <c r="K4732" s="20" t="s">
        <v>546</v>
      </c>
      <c r="L4732" s="20" t="s">
        <v>547</v>
      </c>
      <c r="M4732" s="20" t="s">
        <v>548</v>
      </c>
      <c r="N4732" s="20" t="s">
        <v>549</v>
      </c>
      <c r="O4732" s="20" t="s">
        <v>550</v>
      </c>
      <c r="P4732" s="6" t="s">
        <v>23</v>
      </c>
      <c r="R4732" s="20" t="n">
        <v>2023</v>
      </c>
      <c r="S4732" s="20" t="n">
        <v>2024</v>
      </c>
      <c r="T4732" s="20" t="n">
        <v>2025</v>
      </c>
      <c r="U4732" s="20" t="n">
        <v>2026</v>
      </c>
      <c r="V4732" s="20" t="n">
        <v>2027</v>
      </c>
      <c r="W4732" s="20" t="n">
        <v>2028</v>
      </c>
      <c r="X4732" s="20" t="n">
        <v>2029</v>
      </c>
      <c r="Y4732" s="20" t="n">
        <v>2030</v>
      </c>
      <c r="Z4732" s="20" t="n">
        <v>2031</v>
      </c>
      <c r="AA4732" s="20" t="n">
        <v>2032</v>
      </c>
    </row>
    <row r="4733" customFormat="false" ht="17.15" hidden="false" customHeight="false" outlineLevel="0" collapsed="false">
      <c r="A4733" s="1" t="s">
        <v>669</v>
      </c>
    </row>
    <row r="4734" customFormat="false" ht="15" hidden="false" customHeight="false" outlineLevel="0" collapsed="false">
      <c r="A4734" s="0" t="s">
        <v>479</v>
      </c>
      <c r="B4734" s="0" t="s">
        <v>73</v>
      </c>
      <c r="C4734" s="38" t="n">
        <f aca="false">Sens!$C$4643</f>
        <v>247.029</v>
      </c>
      <c r="D4734" s="38" t="n">
        <f aca="false">Sens!$D$4643</f>
        <v>269.287</v>
      </c>
      <c r="E4734" s="38" t="n">
        <f aca="false">Sens!$E$4643</f>
        <v>134.686</v>
      </c>
      <c r="F4734" s="38" t="n">
        <f aca="false">Sens!$F$4643</f>
        <v>160.728085930082</v>
      </c>
      <c r="G4734" s="38" t="n">
        <f aca="false">Sens!$G$4643</f>
        <v>295.414085930082</v>
      </c>
      <c r="H4734" s="38" t="n">
        <f aca="false">Sens!$H$4643</f>
        <v>320.828163943375</v>
      </c>
      <c r="I4734" s="38" t="n">
        <f aca="false">Sens!$I$4643</f>
        <v>344.575578072228</v>
      </c>
      <c r="J4734" s="38" t="n">
        <f aca="false">Sens!$J$4643</f>
        <v>365.942555779681</v>
      </c>
      <c r="K4734" s="38" t="n">
        <f aca="false">Sens!$K$4643</f>
        <v>384.239683568665</v>
      </c>
      <c r="L4734" s="38" t="n">
        <f aca="false">Sens!$L$4643</f>
        <v>403.451667747098</v>
      </c>
      <c r="M4734" s="38" t="n">
        <f aca="false">Sens!$M$4643</f>
        <v>423.624251134453</v>
      </c>
      <c r="N4734" s="38" t="n">
        <f aca="false">Sens!$N$4643</f>
        <v>118.892</v>
      </c>
      <c r="O4734" s="38" t="n">
        <f aca="false">Sens!$O$4643</f>
        <v>150.395</v>
      </c>
    </row>
    <row r="4735" customFormat="false" ht="15" hidden="false" customHeight="false" outlineLevel="0" collapsed="false">
      <c r="A4735" s="0" t="s">
        <v>480</v>
      </c>
      <c r="B4735" s="0" t="s">
        <v>73</v>
      </c>
      <c r="C4735" s="38" t="n">
        <f aca="false">Sens!$C$4645</f>
        <v>21.215</v>
      </c>
      <c r="D4735" s="38" t="n">
        <f aca="false">Sens!$D$4645</f>
        <v>22.561</v>
      </c>
      <c r="E4735" s="38" t="n">
        <f aca="false">Sens!$E$4645</f>
        <v>11.579</v>
      </c>
      <c r="F4735" s="38" t="n">
        <f aca="false">Sens!$F$4645</f>
        <v>12.0952613121125</v>
      </c>
      <c r="G4735" s="38" t="n">
        <f aca="false">Sens!$G$4645</f>
        <v>23.6742613121125</v>
      </c>
      <c r="H4735" s="38" t="n">
        <f aca="false">Sens!$H$4645</f>
        <v>24.8803243963206</v>
      </c>
      <c r="I4735" s="38" t="n">
        <f aca="false">Sens!$I$4645</f>
        <v>25.9741308664154</v>
      </c>
      <c r="J4735" s="38" t="n">
        <f aca="false">Sens!$J$4645</f>
        <v>26.9346894124267</v>
      </c>
      <c r="K4735" s="38" t="n">
        <f aca="false">Sens!$K$4645</f>
        <v>27.7427300947995</v>
      </c>
      <c r="L4735" s="38" t="n">
        <f aca="false">Sens!$L$4645</f>
        <v>28.5750119976435</v>
      </c>
      <c r="M4735" s="38" t="n">
        <f aca="false">Sens!$M$4645</f>
        <v>29.4322623575728</v>
      </c>
      <c r="N4735" s="38" t="n">
        <f aca="false">Sens!$N$4645</f>
        <v>11.128</v>
      </c>
      <c r="O4735" s="38" t="n">
        <f aca="false">Sens!$O$4645</f>
        <v>11.433</v>
      </c>
    </row>
    <row r="4736" customFormat="false" ht="15" hidden="false" customHeight="false" outlineLevel="0" collapsed="false">
      <c r="A4736" s="0" t="s">
        <v>481</v>
      </c>
      <c r="B4736" s="0" t="s">
        <v>73</v>
      </c>
      <c r="C4736" s="38" t="n">
        <f aca="false">Sens!$C$4647</f>
        <v>156.146</v>
      </c>
      <c r="D4736" s="38" t="n">
        <f aca="false">Sens!$D$4647</f>
        <v>172.162</v>
      </c>
      <c r="E4736" s="38" t="n">
        <f aca="false">Sens!$E$4647</f>
        <v>88.358</v>
      </c>
      <c r="F4736" s="38" t="n">
        <f aca="false">Sens!$F$4647</f>
        <v>103.62028337149</v>
      </c>
      <c r="G4736" s="38" t="n">
        <f aca="false">Sens!$G$4647</f>
        <v>191.97828337149</v>
      </c>
      <c r="H4736" s="38" t="n">
        <f aca="false">Sens!$H$4647</f>
        <v>212.128608444755</v>
      </c>
      <c r="I4736" s="38" t="n">
        <f aca="false">Sens!$I$4647</f>
        <v>231.92183134134</v>
      </c>
      <c r="J4736" s="38" t="n">
        <f aca="false">Sens!$J$4647</f>
        <v>250.859136487863</v>
      </c>
      <c r="K4736" s="38" t="n">
        <f aca="false">Sens!$K$4647</f>
        <v>268.419276042014</v>
      </c>
      <c r="L4736" s="38" t="n">
        <f aca="false">Sens!$L$4647</f>
        <v>287.208625364954</v>
      </c>
      <c r="M4736" s="38" t="n">
        <f aca="false">Sens!$M$4647</f>
        <v>307.313229140501</v>
      </c>
      <c r="N4736" s="38" t="n">
        <f aca="false">Sens!$N$4647</f>
        <v>76.86</v>
      </c>
      <c r="O4736" s="38" t="n">
        <f aca="false">Sens!$O$4647</f>
        <v>95.302</v>
      </c>
    </row>
    <row r="4737" customFormat="false" ht="15" hidden="false" customHeight="false" outlineLevel="0" collapsed="false">
      <c r="A4737" s="0" t="s">
        <v>482</v>
      </c>
      <c r="B4737" s="0" t="s">
        <v>73</v>
      </c>
      <c r="C4737" s="38" t="n">
        <f aca="false">Sens!$C$4649</f>
        <v>56.214</v>
      </c>
      <c r="D4737" s="38" t="n">
        <f aca="false">Sens!$D$4649</f>
        <v>68.635</v>
      </c>
      <c r="E4737" s="38" t="n">
        <f aca="false">Sens!$E$4649</f>
        <v>37.052</v>
      </c>
      <c r="F4737" s="38" t="n">
        <f aca="false">Sens!$F$4649</f>
        <v>48.1533381827382</v>
      </c>
      <c r="G4737" s="38" t="n">
        <f aca="false">Sens!$G$4649</f>
        <v>85.2053381827382</v>
      </c>
      <c r="H4737" s="38" t="n">
        <f aca="false">Sens!$H$4649</f>
        <v>102.29336185894</v>
      </c>
      <c r="I4737" s="38" t="n">
        <f aca="false">Sens!$I$4649</f>
        <v>119.379837585241</v>
      </c>
      <c r="J4737" s="38" t="n">
        <f aca="false">Sens!$J$4649</f>
        <v>135.319079048844</v>
      </c>
      <c r="K4737" s="38" t="n">
        <f aca="false">Sens!$K$4649</f>
        <v>148.850986953729</v>
      </c>
      <c r="L4737" s="38" t="n">
        <f aca="false">Sens!$L$4649</f>
        <v>163.736085649102</v>
      </c>
      <c r="M4737" s="38" t="n">
        <f aca="false">Sens!$M$4649</f>
        <v>180.109694214012</v>
      </c>
      <c r="N4737" s="38" t="n">
        <f aca="false">Sens!$N$4649</f>
        <v>29.615</v>
      </c>
      <c r="O4737" s="38" t="n">
        <f aca="false">Sens!$O$4649</f>
        <v>39.02</v>
      </c>
    </row>
    <row r="4738" customFormat="false" ht="15" hidden="false" customHeight="false" outlineLevel="0" collapsed="false">
      <c r="A4738" s="0" t="s">
        <v>483</v>
      </c>
      <c r="B4738" s="0" t="s">
        <v>73</v>
      </c>
      <c r="C4738" s="38" t="n">
        <f aca="false">Sens!$C$4651</f>
        <v>44.374</v>
      </c>
      <c r="D4738" s="38" t="n">
        <f aca="false">Sens!$D$4651</f>
        <v>49.619</v>
      </c>
      <c r="E4738" s="38" t="n">
        <f aca="false">Sens!$E$4651</f>
        <v>27.157</v>
      </c>
      <c r="F4738" s="38" t="n">
        <f aca="false">Sens!$F$4651</f>
        <v>28.9776360923374</v>
      </c>
      <c r="G4738" s="38" t="n">
        <f aca="false">Sens!$G$4651</f>
        <v>56.1346360923374</v>
      </c>
      <c r="H4738" s="38" t="n">
        <f aca="false">Sens!$H$4651</f>
        <v>62.4937078946075</v>
      </c>
      <c r="I4738" s="38" t="n">
        <f aca="false">Sens!$I$4651</f>
        <v>68.6715233062498</v>
      </c>
      <c r="J4738" s="38" t="n">
        <f aca="false">Sens!$J$4651</f>
        <v>74.4692882949818</v>
      </c>
      <c r="K4738" s="38" t="n">
        <f aca="false">Sens!$K$4651</f>
        <v>79.6821384756306</v>
      </c>
      <c r="L4738" s="38" t="n">
        <f aca="false">Sens!$L$4651</f>
        <v>85.2598881689247</v>
      </c>
      <c r="M4738" s="38" t="n">
        <f aca="false">Sens!$M$4651</f>
        <v>91.2280803407494</v>
      </c>
      <c r="N4738" s="38" t="n">
        <f aca="false">Sens!$N$4651</f>
        <v>23.923</v>
      </c>
      <c r="O4738" s="38" t="n">
        <f aca="false">Sens!$O$4651</f>
        <v>25.696</v>
      </c>
    </row>
    <row r="4739" customFormat="false" ht="15" hidden="false" customHeight="false" outlineLevel="0" collapsed="false">
      <c r="A4739" s="0" t="s">
        <v>484</v>
      </c>
      <c r="B4739" s="0" t="s">
        <v>73</v>
      </c>
      <c r="C4739" s="38" t="n">
        <f aca="false">Sens!$C$4653</f>
        <v>5.425</v>
      </c>
      <c r="D4739" s="38" t="n">
        <f aca="false">Sens!$D$4653</f>
        <v>5.935</v>
      </c>
      <c r="E4739" s="38" t="n">
        <f aca="false">Sens!$E$4653</f>
        <v>3.474</v>
      </c>
      <c r="F4739" s="38" t="n">
        <f aca="false">Sens!$F$4653</f>
        <v>3.36182431966931</v>
      </c>
      <c r="G4739" s="38" t="n">
        <f aca="false">Sens!$G$4653</f>
        <v>6.83582431966931</v>
      </c>
      <c r="H4739" s="38" t="n">
        <f aca="false">Sens!$H$4653</f>
        <v>7.31157108370141</v>
      </c>
      <c r="I4739" s="38" t="n">
        <f aca="false">Sens!$I$4653</f>
        <v>7.77266852639815</v>
      </c>
      <c r="J4739" s="38" t="n">
        <f aca="false">Sens!$J$4653</f>
        <v>8.2120733019884</v>
      </c>
      <c r="K4739" s="38" t="n">
        <f aca="false">Sens!$K$4653</f>
        <v>8.62267696708783</v>
      </c>
      <c r="L4739" s="38" t="n">
        <f aca="false">Sens!$L$4653</f>
        <v>9.05381081544222</v>
      </c>
      <c r="M4739" s="38" t="n">
        <f aca="false">Sens!$M$4653</f>
        <v>9.50650135621433</v>
      </c>
      <c r="N4739" s="38" t="n">
        <f aca="false">Sens!$N$4653</f>
        <v>2.811</v>
      </c>
      <c r="O4739" s="38" t="n">
        <f aca="false">Sens!$O$4653</f>
        <v>3.124</v>
      </c>
    </row>
    <row r="4740" customFormat="false" ht="17.15" hidden="false" customHeight="false" outlineLevel="0" collapsed="false">
      <c r="A4740" s="0" t="s">
        <v>670</v>
      </c>
      <c r="B4740" s="0" t="s">
        <v>73</v>
      </c>
      <c r="C4740" s="38" t="n">
        <f aca="false">Sens!$C$4721</f>
        <v>107.556</v>
      </c>
      <c r="D4740" s="38" t="n">
        <f aca="false">Sens!$D$4721</f>
        <v>128.725</v>
      </c>
      <c r="E4740" s="38" t="n">
        <f aca="false">Sens!$E$4721</f>
        <v>79.819</v>
      </c>
      <c r="F4740" s="38" t="n">
        <f aca="false">Sens!$F$4721</f>
        <v>93.5584440633857</v>
      </c>
      <c r="G4740" s="38" t="n">
        <f aca="false">Sens!$G$4721</f>
        <v>173.377444063386</v>
      </c>
      <c r="H4740" s="38" t="n">
        <f aca="false">Sens!$H$4721</f>
        <v>241.059451517916</v>
      </c>
      <c r="I4740" s="38" t="n">
        <f aca="false">Sens!$I$4721</f>
        <v>312.152096351442</v>
      </c>
      <c r="J4740" s="38" t="n">
        <f aca="false">Sens!$J$4721</f>
        <v>379.424316597773</v>
      </c>
      <c r="K4740" s="38" t="n">
        <f aca="false">Sens!$K$4721</f>
        <v>439.919237244402</v>
      </c>
      <c r="L4740" s="38" t="n">
        <f aca="false">Sens!$L$4721</f>
        <v>501.954974491517</v>
      </c>
      <c r="M4740" s="38" t="n">
        <f aca="false">Sens!$M$4721</f>
        <v>565.639704466895</v>
      </c>
      <c r="N4740" s="38" t="n">
        <f aca="false">Sens!$N$4721</f>
        <v>60.14</v>
      </c>
      <c r="O4740" s="38" t="n">
        <f aca="false">Sens!$O$4721</f>
        <v>68.585</v>
      </c>
    </row>
    <row r="4741" customFormat="false" ht="15" hidden="false" customHeight="false" outlineLevel="0" collapsed="false">
      <c r="A4741" s="1" t="s">
        <v>472</v>
      </c>
      <c r="B4741" s="8" t="s">
        <v>73</v>
      </c>
      <c r="C4741" s="38" t="n">
        <f aca="false">Sens!$C$4657</f>
        <v>387.497</v>
      </c>
      <c r="D4741" s="38" t="n">
        <f aca="false">Sens!$D$4657</f>
        <v>426.305</v>
      </c>
      <c r="E4741" s="38" t="n">
        <f aca="false">Sens!$E$4657</f>
        <v>220.32</v>
      </c>
      <c r="F4741" s="38" t="n">
        <f aca="false">Sens!$F$4657</f>
        <v>256.304015003807</v>
      </c>
      <c r="G4741" s="38" t="n">
        <f aca="false">Sens!$G$4657</f>
        <v>476.624015003807</v>
      </c>
      <c r="H4741" s="38" t="n">
        <f aca="false">Sens!$H$4657</f>
        <v>527.734391091543</v>
      </c>
      <c r="I4741" s="38" t="n">
        <f aca="false">Sens!$I$4657</f>
        <v>577.157693029577</v>
      </c>
      <c r="J4741" s="38" t="n">
        <f aca="false">Sens!$J$4657</f>
        <v>623.024923663827</v>
      </c>
      <c r="K4741" s="38" t="n">
        <f aca="false">Sens!$K$4657</f>
        <v>663.382568393781</v>
      </c>
      <c r="L4741" s="38" t="n">
        <f aca="false">Sens!$L$4657</f>
        <v>706.564873010432</v>
      </c>
      <c r="M4741" s="38" t="n">
        <f aca="false">Sens!$M$4657</f>
        <v>752.784687406019</v>
      </c>
      <c r="N4741" s="38" t="n">
        <f aca="false">Sens!$N$4657</f>
        <v>192.955</v>
      </c>
      <c r="O4741" s="38" t="n">
        <f aca="false">Sens!$O$4657</f>
        <v>233.35</v>
      </c>
    </row>
    <row r="4742" customFormat="false" ht="15" hidden="false" customHeight="false" outlineLevel="0" collapsed="false">
      <c r="A4742" s="1" t="s">
        <v>475</v>
      </c>
      <c r="B4742" s="8" t="s">
        <v>73</v>
      </c>
      <c r="C4742" s="38" t="n">
        <f aca="false">Sens!$C$4658</f>
        <v>142.906</v>
      </c>
      <c r="D4742" s="38" t="n">
        <f aca="false">Sens!$D$4658</f>
        <v>161.894</v>
      </c>
      <c r="E4742" s="38" t="n">
        <f aca="false">Sens!$E$4658</f>
        <v>81.986</v>
      </c>
      <c r="F4742" s="38" t="n">
        <f aca="false">Sens!$F$4658</f>
        <v>100.632414204623</v>
      </c>
      <c r="G4742" s="38" t="n">
        <f aca="false">Sens!$G$4658</f>
        <v>182.618414204623</v>
      </c>
      <c r="H4742" s="38" t="n">
        <f aca="false">Sens!$H$4658</f>
        <v>202.201346530158</v>
      </c>
      <c r="I4742" s="38" t="n">
        <f aca="false">Sens!$I$4658</f>
        <v>221.137876668296</v>
      </c>
      <c r="J4742" s="38" t="n">
        <f aca="false">Sens!$J$4658</f>
        <v>238.711898661958</v>
      </c>
      <c r="K4742" s="38" t="n">
        <f aca="false">Sens!$K$4658</f>
        <v>254.174923708144</v>
      </c>
      <c r="L4742" s="38" t="n">
        <f aca="false">Sens!$L$4658</f>
        <v>270.720216732733</v>
      </c>
      <c r="M4742" s="38" t="n">
        <f aca="false">Sens!$M$4658</f>
        <v>288.429331137484</v>
      </c>
      <c r="N4742" s="38" t="n">
        <f aca="false">Sens!$N$4658</f>
        <v>70.274</v>
      </c>
      <c r="O4742" s="38" t="n">
        <f aca="false">Sens!$O$4658</f>
        <v>91.62</v>
      </c>
    </row>
    <row r="4743" customFormat="false" ht="15" hidden="false" customHeight="false" outlineLevel="0" collapsed="false">
      <c r="A4743" s="1" t="s">
        <v>476</v>
      </c>
      <c r="B4743" s="8" t="s">
        <v>73</v>
      </c>
      <c r="C4743" s="38" t="n">
        <f aca="false">Sens!$C$4721</f>
        <v>107.556</v>
      </c>
      <c r="D4743" s="38" t="n">
        <f aca="false">Sens!$D$4721</f>
        <v>128.725</v>
      </c>
      <c r="E4743" s="38" t="n">
        <f aca="false">Sens!$E$4721</f>
        <v>79.819</v>
      </c>
      <c r="F4743" s="38" t="n">
        <f aca="false">Sens!$F$4721</f>
        <v>93.5584440633857</v>
      </c>
      <c r="G4743" s="38" t="n">
        <f aca="false">Sens!$G$4721</f>
        <v>173.377444063386</v>
      </c>
      <c r="H4743" s="38" t="n">
        <f aca="false">Sens!$H$4721</f>
        <v>241.059451517916</v>
      </c>
      <c r="I4743" s="38" t="n">
        <f aca="false">Sens!$I$4721</f>
        <v>312.152096351442</v>
      </c>
      <c r="J4743" s="38" t="n">
        <f aca="false">Sens!$J$4721</f>
        <v>379.424316597773</v>
      </c>
      <c r="K4743" s="38" t="n">
        <f aca="false">Sens!$K$4721</f>
        <v>439.919237244402</v>
      </c>
      <c r="L4743" s="38" t="n">
        <f aca="false">Sens!$L$4721</f>
        <v>501.954974491517</v>
      </c>
      <c r="M4743" s="38" t="n">
        <f aca="false">Sens!$M$4721</f>
        <v>565.639704466895</v>
      </c>
      <c r="N4743" s="38" t="n">
        <f aca="false">Sens!$N$4721</f>
        <v>60.14</v>
      </c>
      <c r="O4743" s="38" t="n">
        <f aca="false">Sens!$O$4721</f>
        <v>68.585</v>
      </c>
    </row>
    <row r="4744" customFormat="false" ht="17.15" hidden="false" customHeight="false" outlineLevel="0" collapsed="false">
      <c r="A4744" s="0" t="s">
        <v>644</v>
      </c>
      <c r="B4744" s="0" t="s">
        <v>73</v>
      </c>
      <c r="C4744" s="38" t="n">
        <f aca="false">Sens!$C$4719</f>
        <v>2.32100535697364</v>
      </c>
      <c r="D4744" s="38" t="n">
        <f aca="false">Sens!$D$4719</f>
        <v>8.70377008865116</v>
      </c>
      <c r="E4744" s="38" t="n">
        <f aca="false">Sens!$E$4719</f>
        <v>8.51035297557002</v>
      </c>
      <c r="F4744" s="38" t="n">
        <f aca="false">Sens!$F$4719</f>
        <v>14.9634336447205</v>
      </c>
      <c r="G4744" s="38" t="n">
        <f aca="false">Sens!$G$4719</f>
        <v>23.4737866202905</v>
      </c>
      <c r="H4744" s="38" t="n">
        <f aca="false">Sens!$H$4719</f>
        <v>60.1658907497746</v>
      </c>
      <c r="I4744" s="38" t="n">
        <f aca="false">Sens!$I$4719</f>
        <v>101.503699136432</v>
      </c>
      <c r="J4744" s="38" t="n">
        <f aca="false">Sens!$J$4719</f>
        <v>143.025407151278</v>
      </c>
      <c r="K4744" s="38" t="n">
        <f aca="false">Sens!$K$4719</f>
        <v>184.608415042187</v>
      </c>
      <c r="L4744" s="38" t="n">
        <f aca="false">Sens!$L$4719</f>
        <v>226.219286513125</v>
      </c>
      <c r="M4744" s="38" t="n">
        <f aca="false">Sens!$M$4719</f>
        <v>267.845161450232</v>
      </c>
      <c r="N4744" s="38" t="n">
        <f aca="false">Sens!$N$4719</f>
        <v>3.04631953102791</v>
      </c>
      <c r="O4744" s="38" t="n">
        <f aca="false">Sens!$O$4719</f>
        <v>5.65745055762326</v>
      </c>
    </row>
    <row r="4745" customFormat="false" ht="17.15" hidden="false" customHeight="false" outlineLevel="0" collapsed="false">
      <c r="A4745" s="0" t="s">
        <v>646</v>
      </c>
      <c r="B4745" s="0" t="s">
        <v>73</v>
      </c>
      <c r="C4745" s="38" t="n">
        <f aca="false">Sens!$C$4720</f>
        <v>105.234994643026</v>
      </c>
      <c r="D4745" s="38" t="n">
        <f aca="false">Sens!$D$4720</f>
        <v>120.021229911349</v>
      </c>
      <c r="E4745" s="38" t="n">
        <f aca="false">Sens!$E$4720</f>
        <v>71.30864702443</v>
      </c>
      <c r="F4745" s="38" t="n">
        <f aca="false">Sens!$F$4720</f>
        <v>78.5950104186653</v>
      </c>
      <c r="G4745" s="38" t="n">
        <f aca="false">Sens!$G$4720</f>
        <v>149.903657443095</v>
      </c>
      <c r="H4745" s="38" t="n">
        <f aca="false">Sens!$H$4720</f>
        <v>180.893560768142</v>
      </c>
      <c r="I4745" s="38" t="n">
        <f aca="false">Sens!$I$4720</f>
        <v>210.64839721501</v>
      </c>
      <c r="J4745" s="38" t="n">
        <f aca="false">Sens!$J$4720</f>
        <v>236.398909446495</v>
      </c>
      <c r="K4745" s="38" t="n">
        <f aca="false">Sens!$K$4720</f>
        <v>255.310822202215</v>
      </c>
      <c r="L4745" s="38" t="n">
        <f aca="false">Sens!$L$4720</f>
        <v>275.735687978392</v>
      </c>
      <c r="M4745" s="38" t="n">
        <f aca="false">Sens!$M$4720</f>
        <v>297.794543016663</v>
      </c>
      <c r="N4745" s="38" t="n">
        <f aca="false">Sens!$N$4720</f>
        <v>57.0936804689721</v>
      </c>
      <c r="O4745" s="38" t="n">
        <f aca="false">Sens!$O$4720</f>
        <v>62.9275494423768</v>
      </c>
    </row>
    <row r="4746" customFormat="false" ht="15" hidden="false" customHeight="false" outlineLevel="0" collapsed="false">
      <c r="A4746" s="3" t="s">
        <v>477</v>
      </c>
      <c r="B4746" s="8" t="s">
        <v>73</v>
      </c>
      <c r="C4746" s="38" t="n">
        <f aca="false">Sens!$C$4722</f>
        <v>637.959</v>
      </c>
      <c r="D4746" s="38" t="n">
        <f aca="false">Sens!$D$4722</f>
        <v>716.924</v>
      </c>
      <c r="E4746" s="38" t="n">
        <f aca="false">Sens!$E$4722</f>
        <v>382.125</v>
      </c>
      <c r="F4746" s="38" t="n">
        <f aca="false">Sens!$F$4722</f>
        <v>450.494873271816</v>
      </c>
      <c r="G4746" s="38" t="n">
        <f aca="false">Sens!$G$4722</f>
        <v>832.619873271816</v>
      </c>
      <c r="H4746" s="38" t="n">
        <f aca="false">Sens!$H$4722</f>
        <v>970.995189139617</v>
      </c>
      <c r="I4746" s="38" t="n">
        <f aca="false">Sens!$I$4722</f>
        <v>1110.44766604932</v>
      </c>
      <c r="J4746" s="38" t="n">
        <f aca="false">Sens!$J$4722</f>
        <v>1241.16113892356</v>
      </c>
      <c r="K4746" s="38" t="n">
        <f aca="false">Sens!$K$4722</f>
        <v>1357.47672934633</v>
      </c>
      <c r="L4746" s="38" t="n">
        <f aca="false">Sens!$L$4722</f>
        <v>1479.24006423468</v>
      </c>
      <c r="M4746" s="38" t="n">
        <f aca="false">Sens!$M$4722</f>
        <v>1606.8537230104</v>
      </c>
      <c r="N4746" s="38" t="n">
        <f aca="false">Sens!$N$4722</f>
        <v>323.369</v>
      </c>
      <c r="O4746" s="38" t="n">
        <f aca="false">Sens!$O$4722</f>
        <v>393.555</v>
      </c>
    </row>
    <row r="4747" customFormat="false" ht="17.15" hidden="false" customHeight="false" outlineLevel="0" collapsed="false">
      <c r="A4747" s="24" t="s">
        <v>656</v>
      </c>
      <c r="B4747" s="25" t="s">
        <v>73</v>
      </c>
      <c r="C4747" s="39" t="n">
        <f aca="false">Sens!$C$4734+Sens!$C$4735+Sens!$C$4736+Sens!$C$4737+Sens!$C$4738+Sens!$C$4739-(Sens!$C$4741+Sens!$C$4742)</f>
        <v>0</v>
      </c>
      <c r="D4747" s="39" t="n">
        <f aca="false">Sens!$D$4734+Sens!$D$4735+Sens!$D$4736+Sens!$D$4737+Sens!$D$4738+Sens!$D$4739-(Sens!$D$4741+Sens!$D$4742)</f>
        <v>0</v>
      </c>
      <c r="E4747" s="39" t="n">
        <f aca="false">Sens!$E$4734+Sens!$E$4735+Sens!$E$4736+Sens!$E$4737+Sens!$E$4738+Sens!$E$4739-(Sens!$E$4741+Sens!$E$4742)</f>
        <v>0</v>
      </c>
      <c r="F4747" s="39" t="n">
        <f aca="false">Sens!$F$4734+Sens!$F$4735+Sens!$F$4736+Sens!$F$4737+Sens!$F$4738+Sens!$F$4739-(Sens!$F$4741+Sens!$F$4742)</f>
        <v>0</v>
      </c>
      <c r="G4747" s="39" t="n">
        <f aca="false">Sens!$G$4734+Sens!$G$4735+Sens!$G$4736+Sens!$G$4737+Sens!$G$4738+Sens!$G$4739-(Sens!$G$4741+Sens!$G$4742)</f>
        <v>0</v>
      </c>
      <c r="H4747" s="39" t="n">
        <f aca="false">Sens!$H$4734+Sens!$H$4735+Sens!$H$4736+Sens!$H$4737+Sens!$H$4738+Sens!$H$4739-(Sens!$H$4741+Sens!$H$4742)</f>
        <v>0</v>
      </c>
      <c r="I4747" s="39" t="n">
        <f aca="false">Sens!$I$4734+Sens!$I$4735+Sens!$I$4736+Sens!$I$4737+Sens!$I$4738+Sens!$I$4739-(Sens!$I$4741+Sens!$I$4742)</f>
        <v>0</v>
      </c>
      <c r="J4747" s="39" t="n">
        <f aca="false">Sens!$J$4734+Sens!$J$4735+Sens!$J$4736+Sens!$J$4737+Sens!$J$4738+Sens!$J$4739-(Sens!$J$4741+Sens!$J$4742)</f>
        <v>0</v>
      </c>
      <c r="K4747" s="39" t="n">
        <f aca="false">Sens!$K$4734+Sens!$K$4735+Sens!$K$4736+Sens!$K$4737+Sens!$K$4738+Sens!$K$4739-(Sens!$K$4741+Sens!$K$4742)</f>
        <v>0</v>
      </c>
      <c r="L4747" s="39" t="n">
        <f aca="false">Sens!$L$4734+Sens!$L$4735+Sens!$L$4736+Sens!$L$4737+Sens!$L$4738+Sens!$L$4739-(Sens!$L$4741+Sens!$L$4742)</f>
        <v>0</v>
      </c>
      <c r="M4747" s="39" t="n">
        <f aca="false">Sens!$M$4734+Sens!$M$4735+Sens!$M$4736+Sens!$M$4737+Sens!$M$4738+Sens!$M$4739-(Sens!$M$4741+Sens!$M$4742)</f>
        <v>0</v>
      </c>
      <c r="N4747" s="39" t="n">
        <f aca="false">Sens!$N$4734+Sens!$N$4735+Sens!$N$4736+Sens!$N$4737+Sens!$N$4738+Sens!$N$4739-(Sens!$N$4741+Sens!$N$4742)</f>
        <v>0</v>
      </c>
      <c r="O4747" s="39" t="n">
        <f aca="false">Sens!$O$4734+Sens!$O$4735+Sens!$O$4736+Sens!$O$4737+Sens!$O$4738+Sens!$O$4739-(Sens!$O$4741+Sens!$O$4742)</f>
        <v>0</v>
      </c>
    </row>
    <row r="4748" customFormat="false" ht="17.15" hidden="false" customHeight="false" outlineLevel="0" collapsed="false">
      <c r="A4748" s="24" t="s">
        <v>657</v>
      </c>
      <c r="B4748" s="25" t="s">
        <v>73</v>
      </c>
      <c r="C4748" s="39" t="n">
        <f aca="false">Sens!$C$4744+Sens!$C$4745-Sens!$C$4743</f>
        <v>0</v>
      </c>
      <c r="D4748" s="39" t="n">
        <f aca="false">Sens!$D$4744+Sens!$D$4745-Sens!$D$4743</f>
        <v>0</v>
      </c>
      <c r="E4748" s="39" t="n">
        <f aca="false">Sens!$E$4744+Sens!$E$4745-Sens!$E$4743</f>
        <v>0</v>
      </c>
      <c r="F4748" s="39" t="n">
        <f aca="false">Sens!$F$4744+Sens!$F$4745-Sens!$F$4743</f>
        <v>0</v>
      </c>
      <c r="G4748" s="39" t="n">
        <f aca="false">Sens!$G$4744+Sens!$G$4745-Sens!$G$4743</f>
        <v>0</v>
      </c>
      <c r="H4748" s="39" t="n">
        <f aca="false">Sens!$H$4744+Sens!$H$4745-Sens!$H$4743</f>
        <v>0</v>
      </c>
      <c r="I4748" s="39" t="n">
        <f aca="false">Sens!$I$4744+Sens!$I$4745-Sens!$I$4743</f>
        <v>0</v>
      </c>
      <c r="J4748" s="39" t="n">
        <f aca="false">Sens!$J$4744+Sens!$J$4745-Sens!$J$4743</f>
        <v>0</v>
      </c>
      <c r="K4748" s="39" t="n">
        <f aca="false">Sens!$K$4744+Sens!$K$4745-Sens!$K$4743</f>
        <v>0</v>
      </c>
      <c r="L4748" s="39" t="n">
        <f aca="false">Sens!$L$4744+Sens!$L$4745-Sens!$L$4743</f>
        <v>0</v>
      </c>
      <c r="M4748" s="39" t="n">
        <f aca="false">Sens!$M$4744+Sens!$M$4745-Sens!$M$4743</f>
        <v>0</v>
      </c>
      <c r="N4748" s="39" t="n">
        <f aca="false">Sens!$N$4744+Sens!$N$4745-Sens!$N$4743</f>
        <v>0</v>
      </c>
      <c r="O4748" s="39" t="n">
        <f aca="false">Sens!$O$4744+Sens!$O$4745-Sens!$O$4743</f>
        <v>0</v>
      </c>
    </row>
    <row r="4749" customFormat="false" ht="17.15" hidden="false" customHeight="false" outlineLevel="0" collapsed="false">
      <c r="A4749" s="24" t="s">
        <v>711</v>
      </c>
      <c r="B4749" s="25" t="s">
        <v>73</v>
      </c>
      <c r="C4749" s="39" t="n">
        <f aca="false">Sens!$C$4734+Sens!$C$4735+Sens!$C$4736+Sens!$C$4737+Sens!$C$4738+Sens!$C$4739+Sens!$C$4740-Sens!$C$4746</f>
        <v>0</v>
      </c>
      <c r="D4749" s="39" t="n">
        <f aca="false">Sens!$D$4734+Sens!$D$4735+Sens!$D$4736+Sens!$D$4737+Sens!$D$4738+Sens!$D$4739+Sens!$D$4740-Sens!$D$4746</f>
        <v>0</v>
      </c>
      <c r="E4749" s="39" t="n">
        <f aca="false">Sens!$E$4734+Sens!$E$4735+Sens!$E$4736+Sens!$E$4737+Sens!$E$4738+Sens!$E$4739+Sens!$E$4740-Sens!$E$4746</f>
        <v>0</v>
      </c>
      <c r="F4749" s="39" t="n">
        <f aca="false">Sens!$F$4734+Sens!$F$4735+Sens!$F$4736+Sens!$F$4737+Sens!$F$4738+Sens!$F$4739+Sens!$F$4740-Sens!$F$4746</f>
        <v>0</v>
      </c>
      <c r="G4749" s="39" t="n">
        <f aca="false">Sens!$G$4734+Sens!$G$4735+Sens!$G$4736+Sens!$G$4737+Sens!$G$4738+Sens!$G$4739+Sens!$G$4740-Sens!$G$4746</f>
        <v>0</v>
      </c>
      <c r="H4749" s="39" t="n">
        <f aca="false">Sens!$H$4734+Sens!$H$4735+Sens!$H$4736+Sens!$H$4737+Sens!$H$4738+Sens!$H$4739+Sens!$H$4740-Sens!$H$4746</f>
        <v>0</v>
      </c>
      <c r="I4749" s="39" t="n">
        <f aca="false">Sens!$I$4734+Sens!$I$4735+Sens!$I$4736+Sens!$I$4737+Sens!$I$4738+Sens!$I$4739+Sens!$I$4740-Sens!$I$4746</f>
        <v>0</v>
      </c>
      <c r="J4749" s="39" t="n">
        <f aca="false">Sens!$J$4734+Sens!$J$4735+Sens!$J$4736+Sens!$J$4737+Sens!$J$4738+Sens!$J$4739+Sens!$J$4740-Sens!$J$4746</f>
        <v>0</v>
      </c>
      <c r="K4749" s="39" t="n">
        <f aca="false">Sens!$K$4734+Sens!$K$4735+Sens!$K$4736+Sens!$K$4737+Sens!$K$4738+Sens!$K$4739+Sens!$K$4740-Sens!$K$4746</f>
        <v>0</v>
      </c>
      <c r="L4749" s="39" t="n">
        <f aca="false">Sens!$L$4734+Sens!$L$4735+Sens!$L$4736+Sens!$L$4737+Sens!$L$4738+Sens!$L$4739+Sens!$L$4740-Sens!$L$4746</f>
        <v>0</v>
      </c>
      <c r="M4749" s="39" t="n">
        <f aca="false">Sens!$M$4734+Sens!$M$4735+Sens!$M$4736+Sens!$M$4737+Sens!$M$4738+Sens!$M$4739+Sens!$M$4740-Sens!$M$4746</f>
        <v>0</v>
      </c>
      <c r="N4749" s="39" t="n">
        <f aca="false">Sens!$N$4734+Sens!$N$4735+Sens!$N$4736+Sens!$N$4737+Sens!$N$4738+Sens!$N$4739+Sens!$N$4740-Sens!$N$4746</f>
        <v>0</v>
      </c>
      <c r="O4749" s="39" t="n">
        <f aca="false">Sens!$O$4734+Sens!$O$4735+Sens!$O$4736+Sens!$O$4737+Sens!$O$4738+Sens!$O$4739+Sens!$O$4740-Sens!$O$4746</f>
        <v>0</v>
      </c>
    </row>
    <row r="4750" customFormat="false" ht="17.15" hidden="false" customHeight="false" outlineLevel="0" collapsed="false">
      <c r="A4750" s="24" t="s">
        <v>658</v>
      </c>
      <c r="B4750" s="25" t="s">
        <v>73</v>
      </c>
      <c r="C4750" s="39" t="n">
        <f aca="false">Sens!$C$4741+Sens!$C$4742+Sens!$C$4743-Sens!$C$4746</f>
        <v>0</v>
      </c>
      <c r="D4750" s="39" t="n">
        <f aca="false">Sens!$D$4741+Sens!$D$4742+Sens!$D$4743-Sens!$D$4746</f>
        <v>0</v>
      </c>
      <c r="E4750" s="39" t="n">
        <f aca="false">Sens!$E$4741+Sens!$E$4742+Sens!$E$4743-Sens!$E$4746</f>
        <v>0</v>
      </c>
      <c r="F4750" s="39" t="n">
        <f aca="false">Sens!$F$4741+Sens!$F$4742+Sens!$F$4743-Sens!$F$4746</f>
        <v>0</v>
      </c>
      <c r="G4750" s="39" t="n">
        <f aca="false">Sens!$G$4741+Sens!$G$4742+Sens!$G$4743-Sens!$G$4746</f>
        <v>0</v>
      </c>
      <c r="H4750" s="39" t="n">
        <f aca="false">Sens!$H$4741+Sens!$H$4742+Sens!$H$4743-Sens!$H$4746</f>
        <v>0</v>
      </c>
      <c r="I4750" s="39" t="n">
        <f aca="false">Sens!$I$4741+Sens!$I$4742+Sens!$I$4743-Sens!$I$4746</f>
        <v>0</v>
      </c>
      <c r="J4750" s="39" t="n">
        <f aca="false">Sens!$J$4741+Sens!$J$4742+Sens!$J$4743-Sens!$J$4746</f>
        <v>0</v>
      </c>
      <c r="K4750" s="39" t="n">
        <f aca="false">Sens!$K$4741+Sens!$K$4742+Sens!$K$4743-Sens!$K$4746</f>
        <v>0</v>
      </c>
      <c r="L4750" s="39" t="n">
        <f aca="false">Sens!$L$4741+Sens!$L$4742+Sens!$L$4743-Sens!$L$4746</f>
        <v>0</v>
      </c>
      <c r="M4750" s="39" t="n">
        <f aca="false">Sens!$M$4741+Sens!$M$4742+Sens!$M$4743-Sens!$M$4746</f>
        <v>0</v>
      </c>
      <c r="N4750" s="39" t="n">
        <f aca="false">Sens!$N$4741+Sens!$N$4742+Sens!$N$4743-Sens!$N$4746</f>
        <v>0</v>
      </c>
      <c r="O4750" s="39" t="n">
        <f aca="false">Sens!$O$4741+Sens!$O$4742+Sens!$O$4743-Sens!$O$4746</f>
        <v>0</v>
      </c>
    </row>
    <row r="4751" customFormat="false" ht="17.15" hidden="false" customHeight="false" outlineLevel="0" collapsed="false">
      <c r="A4751" s="1" t="s">
        <v>672</v>
      </c>
    </row>
    <row r="4752" customFormat="false" ht="17.15" hidden="false" customHeight="false" outlineLevel="0" collapsed="false">
      <c r="A4752" s="0" t="s">
        <v>673</v>
      </c>
      <c r="B4752" s="0" t="s">
        <v>73</v>
      </c>
      <c r="C4752" s="38" t="n">
        <f aca="false">Sens!$C$4659*m_ad</f>
        <v>20.5341564414228</v>
      </c>
      <c r="D4752" s="38" t="n">
        <f aca="false">Sens!$D$4659*m_ad</f>
        <v>24.8720617299587</v>
      </c>
      <c r="E4752" s="38" t="n">
        <f aca="false">Sens!$E$4659*m_ad</f>
        <v>13.5017112462207</v>
      </c>
      <c r="F4752" s="38" t="n">
        <f aca="false">Sens!$F$4659*m_ad</f>
        <v>17.2886442824599</v>
      </c>
      <c r="G4752" s="38" t="n">
        <f aca="false">Sens!$G$4659*m_ad</f>
        <v>30.8011958765886</v>
      </c>
      <c r="H4752" s="38" t="n">
        <f aca="false">Sens!$H$4659*m_ad</f>
        <v>36.978409366026</v>
      </c>
      <c r="I4752" s="38" t="n">
        <f aca="false">Sens!$I$4659*m_ad</f>
        <v>43.155063281273</v>
      </c>
      <c r="J4752" s="38" t="n">
        <f aca="false">Sens!$J$4659*m_ad</f>
        <v>48.9169991988532</v>
      </c>
      <c r="K4752" s="38" t="n">
        <f aca="false">Sens!$K$4659*m_ad</f>
        <v>53.8086991187386</v>
      </c>
      <c r="L4752" s="38" t="n">
        <f aca="false">Sens!$L$4659*m_ad</f>
        <v>59.1895690306124</v>
      </c>
      <c r="M4752" s="38" t="n">
        <f aca="false">Sens!$M$4659*m_ad</f>
        <v>65.1085259336737</v>
      </c>
      <c r="N4752" s="38" t="n">
        <f aca="false">Sens!$N$4659*m_ad</f>
        <v>10.8543555706248</v>
      </c>
      <c r="O4752" s="38" t="n">
        <f aca="false">Sens!$O$4659*m_ad</f>
        <v>14.0094731821399</v>
      </c>
    </row>
    <row r="4753" customFormat="false" ht="17.15" hidden="false" customHeight="false" outlineLevel="0" collapsed="false">
      <c r="A4753" s="0" t="s">
        <v>674</v>
      </c>
      <c r="B4753" s="0" t="s">
        <v>73</v>
      </c>
      <c r="C4753" s="38" t="n">
        <f aca="false">Sens!$C$4657-Sens!$C$4659</f>
        <v>346.428687117154</v>
      </c>
      <c r="D4753" s="38" t="n">
        <f aca="false">Sens!$D$4657-Sens!$D$4659</f>
        <v>376.560876540083</v>
      </c>
      <c r="E4753" s="38" t="n">
        <f aca="false">Sens!$E$4657-Sens!$E$4659</f>
        <v>193.316577507559</v>
      </c>
      <c r="F4753" s="38" t="n">
        <f aca="false">Sens!$F$4657-Sens!$F$4659</f>
        <v>221.726726438887</v>
      </c>
      <c r="G4753" s="38" t="n">
        <f aca="false">Sens!$G$4657-Sens!$G$4659</f>
        <v>415.02162325063</v>
      </c>
      <c r="H4753" s="38" t="n">
        <f aca="false">Sens!$H$4657-Sens!$H$4659</f>
        <v>453.777572359491</v>
      </c>
      <c r="I4753" s="38" t="n">
        <f aca="false">Sens!$I$4657-Sens!$I$4659</f>
        <v>490.847566467031</v>
      </c>
      <c r="J4753" s="38" t="n">
        <f aca="false">Sens!$J$4657-Sens!$J$4659</f>
        <v>525.190925266121</v>
      </c>
      <c r="K4753" s="38" t="n">
        <f aca="false">Sens!$K$4657-Sens!$K$4659</f>
        <v>555.765170156304</v>
      </c>
      <c r="L4753" s="38" t="n">
        <f aca="false">Sens!$L$4657-Sens!$L$4659</f>
        <v>588.185734949207</v>
      </c>
      <c r="M4753" s="38" t="n">
        <f aca="false">Sens!$M$4657-Sens!$M$4659</f>
        <v>622.567635538672</v>
      </c>
      <c r="N4753" s="38" t="n">
        <f aca="false">Sens!$N$4657-Sens!$N$4659</f>
        <v>171.24628885875</v>
      </c>
      <c r="O4753" s="38" t="n">
        <f aca="false">Sens!$O$4657-Sens!$O$4659</f>
        <v>205.33105363572</v>
      </c>
    </row>
    <row r="4754" customFormat="false" ht="17.15" hidden="false" customHeight="false" outlineLevel="0" collapsed="false">
      <c r="A4754" s="0" t="s">
        <v>675</v>
      </c>
      <c r="B4754" s="0" t="s">
        <v>73</v>
      </c>
      <c r="C4754" s="38" t="n">
        <f aca="false">Sens!$C$4705*Sens!$C$4656</f>
        <v>0.123617442257179</v>
      </c>
      <c r="D4754" s="38" t="n">
        <f aca="false">Sens!$D$4705*Sens!$D$4656</f>
        <v>0.874366899302609</v>
      </c>
      <c r="E4754" s="38" t="n">
        <f aca="false">Sens!$E$4705*Sens!$E$4656</f>
        <v>1.29318830502574</v>
      </c>
      <c r="F4754" s="38" t="n">
        <f aca="false">Sens!$F$4705*Sens!$F$4656</f>
        <v>1.51802024162534</v>
      </c>
      <c r="G4754" s="38" t="n">
        <f aca="false">Sens!$G$4705*Sens!$G$4656</f>
        <v>2.81130189308167</v>
      </c>
      <c r="H4754" s="38" t="n">
        <f aca="false">Sens!$H$4705*Sens!$H$4656</f>
        <v>7.38966789318209</v>
      </c>
      <c r="I4754" s="38" t="n">
        <f aca="false">Sens!$I$4705*Sens!$I$4656</f>
        <v>12.8987443661473</v>
      </c>
      <c r="J4754" s="38" t="n">
        <f aca="false">Sens!$J$4705*Sens!$J$4656</f>
        <v>18.5570025453645</v>
      </c>
      <c r="K4754" s="38" t="n">
        <f aca="false">Sens!$K$4705*Sens!$K$4656</f>
        <v>24.3158972773405</v>
      </c>
      <c r="L4754" s="38" t="n">
        <f aca="false">Sens!$L$4705*Sens!$L$4656</f>
        <v>29.7827375558674</v>
      </c>
      <c r="M4754" s="38" t="n">
        <f aca="false">Sens!$M$4705*Sens!$M$4656</f>
        <v>35.3532344973194</v>
      </c>
      <c r="N4754" s="38" t="n">
        <f aca="false">Sens!$N$4705*Sens!$N$4656</f>
        <v>0.389180508437431</v>
      </c>
      <c r="O4754" s="38" t="n">
        <f aca="false">Sens!$O$4705*Sens!$O$4656</f>
        <v>0.485052120082802</v>
      </c>
    </row>
    <row r="4755" customFormat="false" ht="17.15" hidden="false" customHeight="false" outlineLevel="0" collapsed="false">
      <c r="A4755" s="0" t="s">
        <v>676</v>
      </c>
      <c r="B4755" s="0" t="s">
        <v>52</v>
      </c>
      <c r="C4755" s="28" t="n">
        <f aca="false">(Sens!$C$4756-Sens!$C$4752+Sens!$C$4754)/Sens!$C$4753</f>
        <v>0.0131526665379575</v>
      </c>
      <c r="D4755" s="28" t="n">
        <f aca="false">(Sens!$D$4756-Sens!$D$4752+Sens!$D$4754)/Sens!$D$4753</f>
        <v>0.0149280116962589</v>
      </c>
      <c r="E4755" s="28" t="n">
        <f aca="false">(Sens!$E$4756-Sens!$E$4752+Sens!$E$4754)/Sens!$E$4753</f>
        <v>0.0268030663774938</v>
      </c>
      <c r="F4755" s="28" t="n">
        <f aca="false">Sens!$O$4755+(Sens!$E$4755-Sens!$N$4755)</f>
        <v>0.0232379346966962</v>
      </c>
      <c r="G4755" s="28" t="n">
        <f aca="false">(Sens!$G$4756-Sens!$G$4752+Sens!$G$4754)/Sens!$G$4753</f>
        <v>0.0248738876928168</v>
      </c>
      <c r="H4755" s="28" t="n">
        <f aca="false">Sens!$G$4755+step_na</f>
        <v>0.0278738876928168</v>
      </c>
      <c r="I4755" s="28" t="n">
        <f aca="false">Sens!$H$4755+step_na</f>
        <v>0.0308738876928168</v>
      </c>
      <c r="J4755" s="28" t="n">
        <f aca="false">Sens!$I$4755+step_na</f>
        <v>0.0338738876928168</v>
      </c>
      <c r="K4755" s="28" t="n">
        <f aca="false">Sens!$J$4755+step_na</f>
        <v>0.0368738876928168</v>
      </c>
      <c r="L4755" s="28" t="n">
        <f aca="false">Sens!$K$4755</f>
        <v>0.0368738876928168</v>
      </c>
      <c r="M4755" s="28" t="n">
        <f aca="false">Sens!$L$4755</f>
        <v>0.0368738876928168</v>
      </c>
      <c r="N4755" s="28" t="n">
        <f aca="false">(Sens!$N$4756-Sens!$N$4752+Sens!$N$4754)/Sens!$N$4753</f>
        <v>0.0168927744775755</v>
      </c>
      <c r="O4755" s="28" t="n">
        <f aca="false">(Sens!$O$4756-Sens!$O$4752+Sens!$O$4754)/Sens!$O$4753</f>
        <v>0.0133276427967779</v>
      </c>
      <c r="P4755" s="8" t="s">
        <v>677</v>
      </c>
    </row>
    <row r="4756" customFormat="false" ht="17.15" hidden="false" customHeight="false" outlineLevel="0" collapsed="false">
      <c r="A4756" s="1" t="s">
        <v>678</v>
      </c>
      <c r="B4756" s="8" t="s">
        <v>73</v>
      </c>
      <c r="C4756" s="38" t="n">
        <f aca="false">Q!$D$22</f>
        <v>24.967</v>
      </c>
      <c r="D4756" s="38" t="n">
        <f aca="false">Q!$E$22</f>
        <v>29.619</v>
      </c>
      <c r="E4756" s="38" t="n">
        <f aca="false">Q!$P$22</f>
        <v>17.39</v>
      </c>
      <c r="F4756" s="38" t="n">
        <f aca="false">Sens!$F$4752+Sens!$F$4753*Sens!$F$4755-Sens!$F$4754</f>
        <v>20.9230952303336</v>
      </c>
      <c r="G4756" s="38" t="n">
        <f aca="false">Sens!$E$4756+Sens!$F$4756</f>
        <v>38.3130952303336</v>
      </c>
      <c r="H4756" s="38" t="n">
        <f aca="false">Sens!$H$4752+Sens!$H$4753*Sens!$H$4755-Sens!$H$4754</f>
        <v>42.2372865623114</v>
      </c>
      <c r="I4756" s="38" t="n">
        <f aca="false">Sens!$I$4752+Sens!$I$4753*Sens!$I$4755-Sens!$I$4754</f>
        <v>45.4106915565213</v>
      </c>
      <c r="J4756" s="38" t="n">
        <f aca="false">Sens!$J$4752+Sens!$J$4753*Sens!$J$4755-Sens!$J$4754</f>
        <v>48.1502550732398</v>
      </c>
      <c r="K4756" s="38" t="n">
        <f aca="false">Sens!$K$4752+Sens!$K$4753*Sens!$K$4755-Sens!$K$4754</f>
        <v>49.9860243093208</v>
      </c>
      <c r="L4756" s="38" t="n">
        <f aca="false">Sens!$L$4752+Sens!$L$4753*Sens!$L$4755-Sens!$L$4754</f>
        <v>51.095526207779</v>
      </c>
      <c r="M4756" s="38" t="n">
        <f aca="false">Sens!$M$4752+Sens!$M$4753*Sens!$M$4755-Sens!$M$4754</f>
        <v>52.7117805103898</v>
      </c>
      <c r="N4756" s="38" t="n">
        <f aca="false">Q!$N$22</f>
        <v>13.358</v>
      </c>
      <c r="O4756" s="38" t="n">
        <f aca="false">Q!$O$22</f>
        <v>16.261</v>
      </c>
    </row>
    <row r="4757" customFormat="false" ht="17.15" hidden="false" customHeight="false" outlineLevel="0" collapsed="false">
      <c r="A4757" s="0" t="s">
        <v>679</v>
      </c>
      <c r="B4757" s="0" t="s">
        <v>73</v>
      </c>
      <c r="C4757" s="38" t="n">
        <f aca="false">Sens!$C$4660*m_ad</f>
        <v>7.57284355857716</v>
      </c>
      <c r="D4757" s="38" t="n">
        <f aca="false">Sens!$D$4660*m_ad</f>
        <v>9.44543827004127</v>
      </c>
      <c r="E4757" s="38" t="n">
        <f aca="false">Sens!$E$4660*m_ad</f>
        <v>5.02428875377928</v>
      </c>
      <c r="F4757" s="38" t="n">
        <f aca="false">Sens!$F$4660*m_ad</f>
        <v>6.78802480890925</v>
      </c>
      <c r="G4757" s="38" t="n">
        <f aca="false">Sens!$G$4660*m_ad</f>
        <v>11.8014732147805</v>
      </c>
      <c r="H4757" s="38" t="n">
        <f aca="false">Sens!$H$4660*m_ad</f>
        <v>14.1682715634442</v>
      </c>
      <c r="I4757" s="38" t="n">
        <f aca="false">Sens!$I$4660*m_ad</f>
        <v>16.5348555113474</v>
      </c>
      <c r="J4757" s="38" t="n">
        <f aca="false">Sens!$J$4660*m_ad</f>
        <v>18.7425403255689</v>
      </c>
      <c r="K4757" s="38" t="n">
        <f aca="false">Sens!$K$4660*m_ad</f>
        <v>20.6167943581258</v>
      </c>
      <c r="L4757" s="38" t="n">
        <f aca="false">Sens!$L$4660*m_ad</f>
        <v>22.6784737939383</v>
      </c>
      <c r="M4757" s="38" t="n">
        <f aca="false">Sens!$M$4660*m_ad</f>
        <v>24.9463211733322</v>
      </c>
      <c r="N4757" s="38" t="n">
        <f aca="false">Sens!$N$4660*m_ad</f>
        <v>3.95314442937518</v>
      </c>
      <c r="O4757" s="38" t="n">
        <f aca="false">Sens!$O$4660*m_ad</f>
        <v>5.50052681786011</v>
      </c>
    </row>
    <row r="4758" customFormat="false" ht="17.15" hidden="false" customHeight="false" outlineLevel="0" collapsed="false">
      <c r="A4758" s="0" t="s">
        <v>680</v>
      </c>
      <c r="B4758" s="0" t="s">
        <v>73</v>
      </c>
      <c r="C4758" s="38" t="n">
        <f aca="false">Sens!$C$4658-Sens!$C$4660</f>
        <v>127.760312882846</v>
      </c>
      <c r="D4758" s="38" t="n">
        <f aca="false">Sens!$D$4658-Sens!$D$4660</f>
        <v>143.003123459917</v>
      </c>
      <c r="E4758" s="38" t="n">
        <f aca="false">Sens!$E$4658-Sens!$E$4660</f>
        <v>71.9374224924414</v>
      </c>
      <c r="F4758" s="38" t="n">
        <f aca="false">Sens!$F$4658-Sens!$F$4660</f>
        <v>87.0563645868046</v>
      </c>
      <c r="G4758" s="38" t="n">
        <f aca="false">Sens!$G$4658-Sens!$G$4660</f>
        <v>159.015467775062</v>
      </c>
      <c r="H4758" s="38" t="n">
        <f aca="false">Sens!$H$4658-Sens!$H$4660</f>
        <v>173.864803403269</v>
      </c>
      <c r="I4758" s="38" t="n">
        <f aca="false">Sens!$I$4658-Sens!$I$4660</f>
        <v>188.068165645601</v>
      </c>
      <c r="J4758" s="38" t="n">
        <f aca="false">Sens!$J$4658-Sens!$J$4660</f>
        <v>201.22681801082</v>
      </c>
      <c r="K4758" s="38" t="n">
        <f aca="false">Sens!$K$4658-Sens!$K$4660</f>
        <v>212.941334991893</v>
      </c>
      <c r="L4758" s="38" t="n">
        <f aca="false">Sens!$L$4658-Sens!$L$4660</f>
        <v>225.363269144856</v>
      </c>
      <c r="M4758" s="38" t="n">
        <f aca="false">Sens!$M$4658-Sens!$M$4660</f>
        <v>238.536688790819</v>
      </c>
      <c r="N4758" s="38" t="n">
        <f aca="false">Sens!$N$4658-Sens!$N$4660</f>
        <v>62.3677111412496</v>
      </c>
      <c r="O4758" s="38" t="n">
        <f aca="false">Sens!$O$4658-Sens!$O$4660</f>
        <v>80.6189463642798</v>
      </c>
    </row>
    <row r="4759" customFormat="false" ht="17.15" hidden="false" customHeight="false" outlineLevel="0" collapsed="false">
      <c r="A4759" s="0" t="s">
        <v>681</v>
      </c>
      <c r="B4759" s="0" t="s">
        <v>73</v>
      </c>
      <c r="C4759" s="38" t="n">
        <f aca="false">Sens!$C$4705*(1-Sens!$C$4656)</f>
        <v>0.0455891896019953</v>
      </c>
      <c r="D4759" s="38" t="n">
        <f aca="false">Sens!$D$4705*(1-Sens!$D$4656)</f>
        <v>0.332050421167231</v>
      </c>
      <c r="E4759" s="38" t="n">
        <f aca="false">Sens!$E$4705*(1-Sens!$E$4656)</f>
        <v>0.481224293644882</v>
      </c>
      <c r="F4759" s="38" t="n">
        <f aca="false">Sens!$F$4705*(1-Sens!$F$4656)</f>
        <v>0.596018918096053</v>
      </c>
      <c r="G4759" s="38" t="n">
        <f aca="false">Sens!$G$4705*(1-Sens!$G$4656)</f>
        <v>1.07714986531035</v>
      </c>
      <c r="H4759" s="38" t="n">
        <f aca="false">Sens!$H$4705*(1-Sens!$H$4656)</f>
        <v>2.83135005721638</v>
      </c>
      <c r="I4759" s="38" t="n">
        <f aca="false">Sens!$I$4705*(1-Sens!$I$4656)</f>
        <v>4.9421518161602</v>
      </c>
      <c r="J4759" s="38" t="n">
        <f aca="false">Sens!$J$4705*(1-Sens!$J$4656)</f>
        <v>7.11011252170866</v>
      </c>
      <c r="K4759" s="38" t="n">
        <f aca="false">Sens!$K$4705*(1-Sens!$K$4656)</f>
        <v>9.31663210615807</v>
      </c>
      <c r="L4759" s="38" t="n">
        <f aca="false">Sens!$L$4705*(1-Sens!$L$4656)</f>
        <v>11.411251074039</v>
      </c>
      <c r="M4759" s="38" t="n">
        <f aca="false">Sens!$M$4705*(1-Sens!$M$4656)</f>
        <v>13.5455860755423</v>
      </c>
      <c r="N4759" s="38" t="n">
        <f aca="false">Sens!$N$4705*(1-Sens!$N$4656)</f>
        <v>0.141739115596548</v>
      </c>
      <c r="O4759" s="38" t="n">
        <f aca="false">Sens!$O$4705*(1-Sens!$O$4656)</f>
        <v>0.190445576353059</v>
      </c>
    </row>
    <row r="4760" customFormat="false" ht="17.15" hidden="false" customHeight="false" outlineLevel="0" collapsed="false">
      <c r="A4760" s="0" t="s">
        <v>682</v>
      </c>
      <c r="B4760" s="0" t="s">
        <v>52</v>
      </c>
      <c r="C4760" s="28" t="n">
        <f aca="false">(Sens!$C$4761-Sens!$C$4757+Sens!$C$4759)/Sens!$C$4758</f>
        <v>-0.0292364215826579</v>
      </c>
      <c r="D4760" s="28" t="n">
        <f aca="false">(Sens!$D$4761-Sens!$D$4757+Sens!$D$4759)/Sens!$D$4758</f>
        <v>-0.0305125352740778</v>
      </c>
      <c r="E4760" s="28" t="n">
        <f aca="false">(Sens!$E$4761-Sens!$E$4757+Sens!$E$4759)/Sens!$E$4758</f>
        <v>-0.019490056934994</v>
      </c>
      <c r="F4760" s="28" t="n">
        <f aca="false">Sens!$O$4760+(Sens!$E$4760-Sens!$N$4760)</f>
        <v>-0.0367332293992226</v>
      </c>
      <c r="G4760" s="28" t="n">
        <f aca="false">(Sens!$G$4761-Sens!$G$4757+Sens!$G$4759)/Sens!$G$4758</f>
        <v>-0.0288599526442178</v>
      </c>
      <c r="H4760" s="28" t="n">
        <f aca="false">Sens!$G$4760+step_in</f>
        <v>-0.0288599526442178</v>
      </c>
      <c r="I4760" s="28" t="n">
        <f aca="false">Sens!$H$4760+step_in</f>
        <v>-0.0288599526442178</v>
      </c>
      <c r="J4760" s="28" t="n">
        <f aca="false">Sens!$I$4760+step_in</f>
        <v>-0.0288599526442178</v>
      </c>
      <c r="K4760" s="28" t="n">
        <f aca="false">Sens!$J$4760+step_in</f>
        <v>-0.0288599526442178</v>
      </c>
      <c r="L4760" s="28" t="n">
        <f aca="false">Sens!$K$4760</f>
        <v>-0.0288599526442178</v>
      </c>
      <c r="M4760" s="28" t="n">
        <f aca="false">Sens!$L$4760</f>
        <v>-0.0288599526442178</v>
      </c>
      <c r="N4760" s="28" t="n">
        <f aca="false">(Sens!$N$4761-Sens!$N$4757+Sens!$N$4759)/Sens!$N$4758</f>
        <v>-0.02085061789158</v>
      </c>
      <c r="O4760" s="28" t="n">
        <f aca="false">(Sens!$O$4761-Sens!$O$4757+Sens!$O$4759)/Sens!$O$4758</f>
        <v>-0.0380937903558086</v>
      </c>
      <c r="P4760" s="8" t="s">
        <v>677</v>
      </c>
    </row>
    <row r="4761" customFormat="false" ht="17.15" hidden="false" customHeight="false" outlineLevel="0" collapsed="false">
      <c r="A4761" s="1" t="s">
        <v>683</v>
      </c>
      <c r="B4761" s="8" t="s">
        <v>73</v>
      </c>
      <c r="C4761" s="38" t="n">
        <f aca="false">Q!$D$23</f>
        <v>3.792</v>
      </c>
      <c r="D4761" s="38" t="n">
        <f aca="false">Q!$E$23</f>
        <v>4.75</v>
      </c>
      <c r="E4761" s="38" t="n">
        <f aca="false">Q!$P$23</f>
        <v>3.141</v>
      </c>
      <c r="F4761" s="38" t="n">
        <f aca="false">Sens!$F$4757+Sens!$F$4758*Sens!$F$4760-Sens!$F$4759</f>
        <v>2.99414447978375</v>
      </c>
      <c r="G4761" s="38" t="n">
        <f aca="false">Sens!$E$4761+Sens!$F$4761</f>
        <v>6.13514447978375</v>
      </c>
      <c r="H4761" s="38" t="n">
        <f aca="false">Sens!$H$4757+Sens!$H$4758*Sens!$H$4760-Sens!$H$4759</f>
        <v>6.31919151351322</v>
      </c>
      <c r="I4761" s="38" t="n">
        <f aca="false">Sens!$I$4757+Sens!$I$4758*Sens!$I$4760-Sens!$I$4759</f>
        <v>6.16506534077027</v>
      </c>
      <c r="J4761" s="38" t="n">
        <f aca="false">Sens!$J$4757+Sens!$J$4758*Sens!$J$4760-Sens!$J$4759</f>
        <v>5.8250313653213</v>
      </c>
      <c r="K4761" s="38" t="n">
        <f aca="false">Sens!$K$4757+Sens!$K$4758*Sens!$K$4760-Sens!$K$4759</f>
        <v>5.15468540810514</v>
      </c>
      <c r="L4761" s="38" t="n">
        <f aca="false">Sens!$L$4757+Sens!$L$4758*Sens!$L$4760-Sens!$L$4759</f>
        <v>4.76324944463266</v>
      </c>
      <c r="M4761" s="38" t="n">
        <f aca="false">Sens!$M$4757+Sens!$M$4758*Sens!$M$4760-Sens!$M$4759</f>
        <v>4.51657755537829</v>
      </c>
      <c r="N4761" s="38" t="n">
        <f aca="false">Q!$N$23</f>
        <v>2.511</v>
      </c>
      <c r="O4761" s="38" t="n">
        <f aca="false">Q!$O$23</f>
        <v>2.239</v>
      </c>
    </row>
    <row r="4762" customFormat="false" ht="17.15" hidden="false" customHeight="false" outlineLevel="0" collapsed="false">
      <c r="A4762" s="0" t="s">
        <v>684</v>
      </c>
      <c r="B4762" s="0" t="s">
        <v>73</v>
      </c>
      <c r="C4762" s="38" t="n">
        <f aca="false">Sens!$C$4702</f>
        <v>1.64417882953695</v>
      </c>
      <c r="D4762" s="38" t="n">
        <f aca="false">Sens!$D$4702</f>
        <v>3.8781008067718</v>
      </c>
      <c r="E4762" s="38" t="n">
        <f aca="false">Sens!$E$4702</f>
        <v>1.41270258088753</v>
      </c>
      <c r="F4762" s="38" t="n">
        <f aca="false">Sens!$F$4702</f>
        <v>6.50727700583486</v>
      </c>
      <c r="G4762" s="38" t="n">
        <f aca="false">Sens!$G$4702</f>
        <v>7.9199795867224</v>
      </c>
      <c r="H4762" s="38" t="n">
        <f aca="false">Sens!$H$4702</f>
        <v>19.2818189481807</v>
      </c>
      <c r="I4762" s="38" t="n">
        <f aca="false">Sens!$I$4702</f>
        <v>30.140114407202</v>
      </c>
      <c r="J4762" s="38" t="n">
        <f aca="false">Sens!$J$4702</f>
        <v>40.3569468829854</v>
      </c>
      <c r="K4762" s="38" t="n">
        <f aca="false">Sens!$K$4702</f>
        <v>50.0782975081929</v>
      </c>
      <c r="L4762" s="38" t="n">
        <f aca="false">Sens!$L$4702</f>
        <v>61.443331993499</v>
      </c>
      <c r="M4762" s="38" t="n">
        <f aca="false">Sens!$M$4702</f>
        <v>72.2498791587849</v>
      </c>
      <c r="N4762" s="38" t="n">
        <f aca="false">Sens!$N$4702</f>
        <v>0.92264103489199</v>
      </c>
      <c r="O4762" s="38" t="n">
        <f aca="false">Sens!$O$4702</f>
        <v>2.95545977187981</v>
      </c>
    </row>
    <row r="4763" customFormat="false" ht="17.15" hidden="false" customHeight="false" outlineLevel="0" collapsed="false">
      <c r="A4763" s="0" t="s">
        <v>604</v>
      </c>
      <c r="B4763" s="0" t="s">
        <v>73</v>
      </c>
      <c r="C4763" s="38" t="n">
        <f aca="false">Sens!$C$4707</f>
        <v>38.1898211704631</v>
      </c>
      <c r="D4763" s="38" t="n">
        <f aca="false">Sens!$D$4707</f>
        <v>41.7278991932282</v>
      </c>
      <c r="E4763" s="38" t="n">
        <f aca="false">Sens!$E$4707</f>
        <v>29.3692974191125</v>
      </c>
      <c r="F4763" s="38" t="n">
        <f aca="false">Sens!$F$4707</f>
        <v>29.458060516894</v>
      </c>
      <c r="G4763" s="38" t="n">
        <f aca="false">Sens!$G$4707</f>
        <v>58.8273579360065</v>
      </c>
      <c r="H4763" s="38" t="n">
        <f aca="false">Sens!$H$4707</f>
        <v>67.8004040185081</v>
      </c>
      <c r="I4763" s="38" t="n">
        <f aca="false">Sens!$I$4707</f>
        <v>78.9527630302702</v>
      </c>
      <c r="J4763" s="38" t="n">
        <f aca="false">Sens!$J$4707</f>
        <v>88.6042681781841</v>
      </c>
      <c r="K4763" s="38" t="n">
        <f aca="false">Sens!$K$4707</f>
        <v>95.6926096324389</v>
      </c>
      <c r="L4763" s="38" t="n">
        <f aca="false">Sens!$L$4707</f>
        <v>103.348018403034</v>
      </c>
      <c r="M4763" s="38" t="n">
        <f aca="false">Sens!$M$4707</f>
        <v>111.615859875277</v>
      </c>
      <c r="N4763" s="38" t="n">
        <f aca="false">Sens!$N$4707</f>
        <v>20.784358965108</v>
      </c>
      <c r="O4763" s="38" t="n">
        <f aca="false">Sens!$O$4707</f>
        <v>20.9435402281202</v>
      </c>
    </row>
    <row r="4764" customFormat="false" ht="17.15" hidden="false" customHeight="false" outlineLevel="0" collapsed="false">
      <c r="A4764" s="1" t="s">
        <v>685</v>
      </c>
      <c r="B4764" s="8" t="s">
        <v>73</v>
      </c>
      <c r="C4764" s="38" t="n">
        <f aca="false">Q!$D$24</f>
        <v>39.834</v>
      </c>
      <c r="D4764" s="38" t="n">
        <f aca="false">Q!$E$24</f>
        <v>45.606</v>
      </c>
      <c r="E4764" s="38" t="n">
        <f aca="false">Q!$P$24</f>
        <v>30.782</v>
      </c>
      <c r="F4764" s="38" t="n">
        <f aca="false">Sens!$F$4762+Sens!$F$4763</f>
        <v>35.9653375227289</v>
      </c>
      <c r="G4764" s="38" t="n">
        <f aca="false">Sens!$G$4762+Sens!$G$4763</f>
        <v>66.7473375227289</v>
      </c>
      <c r="H4764" s="38" t="n">
        <f aca="false">Sens!$H$4762+Sens!$H$4763</f>
        <v>87.0822229666888</v>
      </c>
      <c r="I4764" s="38" t="n">
        <f aca="false">Sens!$I$4762+Sens!$I$4763</f>
        <v>109.092877437472</v>
      </c>
      <c r="J4764" s="38" t="n">
        <f aca="false">Sens!$J$4762+Sens!$J$4763</f>
        <v>128.96121506117</v>
      </c>
      <c r="K4764" s="38" t="n">
        <f aca="false">Sens!$K$4762+Sens!$K$4763</f>
        <v>145.770907140632</v>
      </c>
      <c r="L4764" s="38" t="n">
        <f aca="false">Sens!$L$4762+Sens!$L$4763</f>
        <v>164.791350396533</v>
      </c>
      <c r="M4764" s="38" t="n">
        <f aca="false">Sens!$M$4762+Sens!$M$4763</f>
        <v>183.865739034062</v>
      </c>
      <c r="N4764" s="38" t="n">
        <f aca="false">Q!$N$24</f>
        <v>21.707</v>
      </c>
      <c r="O4764" s="38" t="n">
        <f aca="false">Q!$O$24</f>
        <v>23.899</v>
      </c>
    </row>
    <row r="4765" customFormat="false" ht="17.15" hidden="false" customHeight="false" outlineLevel="0" collapsed="false">
      <c r="A4765" s="5" t="s">
        <v>686</v>
      </c>
      <c r="B4765" s="0" t="s">
        <v>73</v>
      </c>
      <c r="C4765" s="38" t="n">
        <f aca="false">Q!$D$26</f>
        <v>0</v>
      </c>
      <c r="D4765" s="38" t="n">
        <f aca="false">Q!$E$26</f>
        <v>0</v>
      </c>
      <c r="E4765" s="38" t="n">
        <f aca="false">Q!$P$26</f>
        <v>0</v>
      </c>
      <c r="F4765" s="41" t="n">
        <v>0</v>
      </c>
      <c r="G4765" s="38" t="n">
        <f aca="false">Sens!$E$4765+Sens!$F$4765</f>
        <v>0</v>
      </c>
      <c r="H4765" s="41" t="n">
        <v>0</v>
      </c>
      <c r="I4765" s="41" t="n">
        <v>0</v>
      </c>
      <c r="J4765" s="41" t="n">
        <v>0</v>
      </c>
      <c r="K4765" s="41" t="n">
        <v>0</v>
      </c>
      <c r="L4765" s="41" t="n">
        <v>0</v>
      </c>
      <c r="M4765" s="41" t="n">
        <v>0</v>
      </c>
      <c r="N4765" s="38" t="n">
        <f aca="false">Q!$N$26</f>
        <v>0</v>
      </c>
      <c r="O4765" s="38" t="n">
        <f aca="false">Q!$O$26</f>
        <v>0</v>
      </c>
    </row>
    <row r="4766" customFormat="false" ht="15" hidden="false" customHeight="false" outlineLevel="0" collapsed="false">
      <c r="A4766" s="3" t="s">
        <v>494</v>
      </c>
      <c r="B4766" s="8" t="s">
        <v>73</v>
      </c>
      <c r="C4766" s="38" t="n">
        <f aca="false">Q!$D$25</f>
        <v>68.593</v>
      </c>
      <c r="D4766" s="38" t="n">
        <f aca="false">Q!$E$25</f>
        <v>79.975</v>
      </c>
      <c r="E4766" s="38" t="n">
        <f aca="false">Q!$P$25</f>
        <v>51.313</v>
      </c>
      <c r="F4766" s="38" t="n">
        <f aca="false">Sens!$F$4756+Sens!$F$4761+Sens!$F$4764+Sens!$F$4765</f>
        <v>59.8825772328462</v>
      </c>
      <c r="G4766" s="38" t="n">
        <f aca="false">Sens!$G$4756+Sens!$G$4761+Sens!$G$4764+Sens!$G$4765</f>
        <v>111.195577232846</v>
      </c>
      <c r="H4766" s="38" t="n">
        <f aca="false">Sens!$H$4756+Sens!$H$4761+Sens!$H$4764+Sens!$H$4765</f>
        <v>135.638701042513</v>
      </c>
      <c r="I4766" s="38" t="n">
        <f aca="false">Sens!$I$4756+Sens!$I$4761+Sens!$I$4764+Sens!$I$4765</f>
        <v>160.668634334764</v>
      </c>
      <c r="J4766" s="38" t="n">
        <f aca="false">Sens!$J$4756+Sens!$J$4761+Sens!$J$4764+Sens!$J$4765</f>
        <v>182.936501499731</v>
      </c>
      <c r="K4766" s="38" t="n">
        <f aca="false">Sens!$K$4756+Sens!$K$4761+Sens!$K$4764+Sens!$K$4765</f>
        <v>200.911616858058</v>
      </c>
      <c r="L4766" s="38" t="n">
        <f aca="false">Sens!$L$4756+Sens!$L$4761+Sens!$L$4764+Sens!$L$4765</f>
        <v>220.650126048945</v>
      </c>
      <c r="M4766" s="38" t="n">
        <f aca="false">Sens!$M$4756+Sens!$M$4761+Sens!$M$4764+Sens!$M$4765</f>
        <v>241.09409709983</v>
      </c>
      <c r="N4766" s="38" t="n">
        <f aca="false">Q!$N$25</f>
        <v>37.576</v>
      </c>
      <c r="O4766" s="38" t="n">
        <f aca="false">Q!$O$25</f>
        <v>42.399</v>
      </c>
    </row>
    <row r="4767" customFormat="false" ht="17.15" hidden="false" customHeight="false" outlineLevel="0" collapsed="false">
      <c r="A4767" s="24" t="s">
        <v>712</v>
      </c>
      <c r="B4767" s="25" t="s">
        <v>73</v>
      </c>
      <c r="C4767" s="39" t="n">
        <f aca="false">Sens!$C$4756+Sens!$C$4761+Sens!$C$4764+Sens!$C$4765-Sens!$C$4766</f>
        <v>0</v>
      </c>
      <c r="D4767" s="39" t="n">
        <f aca="false">Sens!$D$4756+Sens!$D$4761+Sens!$D$4764+Sens!$D$4765-Sens!$D$4766</f>
        <v>0</v>
      </c>
      <c r="E4767" s="39" t="n">
        <f aca="false">Sens!$E$4756+Sens!$E$4761+Sens!$E$4764+Sens!$E$4765-Sens!$E$4766</f>
        <v>0</v>
      </c>
      <c r="F4767" s="39" t="n">
        <f aca="false">Sens!$F$4756+Sens!$F$4761+Sens!$F$4764+Sens!$F$4765-Sens!$F$4766</f>
        <v>0</v>
      </c>
      <c r="G4767" s="39" t="n">
        <f aca="false">Sens!$G$4756+Sens!$G$4761+Sens!$G$4764+Sens!$G$4765-Sens!$G$4766</f>
        <v>0</v>
      </c>
      <c r="H4767" s="39" t="n">
        <f aca="false">Sens!$H$4756+Sens!$H$4761+Sens!$H$4764+Sens!$H$4765-Sens!$H$4766</f>
        <v>0</v>
      </c>
      <c r="I4767" s="39" t="n">
        <f aca="false">Sens!$I$4756+Sens!$I$4761+Sens!$I$4764+Sens!$I$4765-Sens!$I$4766</f>
        <v>0</v>
      </c>
      <c r="J4767" s="39" t="n">
        <f aca="false">Sens!$J$4756+Sens!$J$4761+Sens!$J$4764+Sens!$J$4765-Sens!$J$4766</f>
        <v>0</v>
      </c>
      <c r="K4767" s="39" t="n">
        <f aca="false">Sens!$K$4756+Sens!$K$4761+Sens!$K$4764+Sens!$K$4765-Sens!$K$4766</f>
        <v>0</v>
      </c>
      <c r="L4767" s="39" t="n">
        <f aca="false">Sens!$L$4756+Sens!$L$4761+Sens!$L$4764+Sens!$L$4765-Sens!$L$4766</f>
        <v>0</v>
      </c>
      <c r="M4767" s="39" t="n">
        <f aca="false">Sens!$M$4756+Sens!$M$4761+Sens!$M$4764+Sens!$M$4765-Sens!$M$4766</f>
        <v>0</v>
      </c>
      <c r="N4767" s="39" t="n">
        <f aca="false">Sens!$N$4756+Sens!$N$4761+Sens!$N$4764+Sens!$N$4765-Sens!$N$4766</f>
        <v>0</v>
      </c>
      <c r="O4767" s="39" t="n">
        <f aca="false">Sens!$O$4756+Sens!$O$4761+Sens!$O$4764+Sens!$O$4765-Sens!$O$4766</f>
        <v>0</v>
      </c>
    </row>
    <row r="4768" customFormat="false" ht="17.15" hidden="false" customHeight="false" outlineLevel="0" collapsed="false">
      <c r="A4768" s="0" t="s">
        <v>688</v>
      </c>
      <c r="B4768" s="0" t="s">
        <v>52</v>
      </c>
      <c r="C4768" s="12" t="n">
        <f aca="false">Sens!$C$4756/Sens!$C$4741</f>
        <v>0.0644314665661928</v>
      </c>
      <c r="D4768" s="12" t="n">
        <f aca="false">Sens!$D$4756/Sens!$D$4741</f>
        <v>0.0694784250712518</v>
      </c>
      <c r="E4768" s="12" t="n">
        <f aca="false">Sens!$E$4756/Sens!$E$4741</f>
        <v>0.0789306463326071</v>
      </c>
      <c r="F4768" s="12" t="n">
        <f aca="false">Sens!$F$4756/Sens!$F$4741</f>
        <v>0.0816338957078875</v>
      </c>
      <c r="G4768" s="12" t="n">
        <f aca="false">Sens!$G$4756/Sens!$G$4741</f>
        <v>0.080384315570057</v>
      </c>
      <c r="H4768" s="12" t="n">
        <f aca="false">Sens!$H$4756/Sens!$H$4741</f>
        <v>0.080035122355679</v>
      </c>
      <c r="I4768" s="12" t="n">
        <f aca="false">Sens!$I$4756/Sens!$I$4741</f>
        <v>0.0786798687862144</v>
      </c>
      <c r="J4768" s="12" t="n">
        <f aca="false">Sens!$J$4756/Sens!$J$4741</f>
        <v>0.0772846370095153</v>
      </c>
      <c r="K4768" s="12" t="n">
        <f aca="false">Sens!$K$4756/Sens!$K$4741</f>
        <v>0.0753502227686655</v>
      </c>
      <c r="L4768" s="12" t="n">
        <f aca="false">Sens!$L$4756/Sens!$L$4741</f>
        <v>0.0723154067793922</v>
      </c>
      <c r="M4768" s="12" t="n">
        <f aca="false">Sens!$M$4756/Sens!$M$4741</f>
        <v>0.070022386735876</v>
      </c>
      <c r="N4768" s="12" t="n">
        <f aca="false">Sens!$N$4756/Sens!$N$4741</f>
        <v>0.069228576611127</v>
      </c>
      <c r="O4768" s="12" t="n">
        <f aca="false">Sens!$O$4756/Sens!$O$4741</f>
        <v>0.069685022498393</v>
      </c>
    </row>
    <row r="4769" customFormat="false" ht="17.15" hidden="false" customHeight="false" outlineLevel="0" collapsed="false">
      <c r="A4769" s="0" t="s">
        <v>689</v>
      </c>
      <c r="B4769" s="0" t="s">
        <v>52</v>
      </c>
      <c r="C4769" s="12" t="n">
        <f aca="false">Sens!$C$4761/Sens!$C$4742</f>
        <v>0.026534925055631</v>
      </c>
      <c r="D4769" s="12" t="n">
        <f aca="false">Sens!$D$4761/Sens!$D$4742</f>
        <v>0.0293401855535103</v>
      </c>
      <c r="E4769" s="12" t="n">
        <f aca="false">Sens!$E$4761/Sens!$E$4742</f>
        <v>0.03831141902276</v>
      </c>
      <c r="F4769" s="12" t="n">
        <f aca="false">Sens!$F$4761/Sens!$F$4742</f>
        <v>0.0297532808235678</v>
      </c>
      <c r="G4769" s="12" t="n">
        <f aca="false">Sens!$G$4761/Sens!$G$4742</f>
        <v>0.0335954317997163</v>
      </c>
      <c r="H4769" s="12" t="n">
        <f aca="false">Sens!$H$4761/Sens!$H$4742</f>
        <v>0.0312519754292078</v>
      </c>
      <c r="I4769" s="12" t="n">
        <f aca="false">Sens!$I$4761/Sens!$I$4742</f>
        <v>0.0278788303191397</v>
      </c>
      <c r="J4769" s="12" t="n">
        <f aca="false">Sens!$J$4761/Sens!$J$4742</f>
        <v>0.0244019313573061</v>
      </c>
      <c r="K4769" s="12" t="n">
        <f aca="false">Sens!$K$4761/Sens!$K$4742</f>
        <v>0.020280070641524</v>
      </c>
      <c r="L4769" s="12" t="n">
        <f aca="false">Sens!$L$4761/Sens!$L$4742</f>
        <v>0.0175947312030086</v>
      </c>
      <c r="M4769" s="12" t="n">
        <f aca="false">Sens!$M$4761/Sens!$M$4742</f>
        <v>0.0156592172424565</v>
      </c>
      <c r="N4769" s="12" t="n">
        <f aca="false">Sens!$N$4761/Sens!$N$4742</f>
        <v>0.0357315650169337</v>
      </c>
      <c r="O4769" s="12" t="n">
        <f aca="false">Sens!$O$4761/Sens!$O$4742</f>
        <v>0.0244378956559703</v>
      </c>
    </row>
    <row r="4770" customFormat="false" ht="17.15" hidden="false" customHeight="false" outlineLevel="0" collapsed="false">
      <c r="A4770" s="13" t="s">
        <v>690</v>
      </c>
      <c r="B4770" s="13" t="s">
        <v>52</v>
      </c>
      <c r="C4770" s="16" t="n">
        <f aca="false">Sens!$C$4764/Sens!$C$4743</f>
        <v>0.370355907620217</v>
      </c>
      <c r="D4770" s="16" t="n">
        <f aca="false">Sens!$D$4764/Sens!$D$4743</f>
        <v>0.35429015342785</v>
      </c>
      <c r="E4770" s="16" t="n">
        <f aca="false">Sens!$E$4764/Sens!$E$4743</f>
        <v>0.385647527531039</v>
      </c>
      <c r="F4770" s="16" t="n">
        <f aca="false">Sens!$F$4764/Sens!$F$4743</f>
        <v>0.384415729470259</v>
      </c>
      <c r="G4770" s="16" t="n">
        <f aca="false">Sens!$G$4764/Sens!$G$4743</f>
        <v>0.38498282105443</v>
      </c>
      <c r="H4770" s="16" t="n">
        <f aca="false">Sens!$H$4764/Sens!$H$4743</f>
        <v>0.361247909668527</v>
      </c>
      <c r="I4770" s="16" t="n">
        <f aca="false">Sens!$I$4764/Sens!$I$4743</f>
        <v>0.349486287974975</v>
      </c>
      <c r="J4770" s="16" t="n">
        <f aca="false">Sens!$J$4764/Sens!$J$4743</f>
        <v>0.339886531832068</v>
      </c>
      <c r="K4770" s="16" t="n">
        <f aca="false">Sens!$K$4764/Sens!$K$4743</f>
        <v>0.33135833762061</v>
      </c>
      <c r="L4770" s="16" t="n">
        <f aca="false">Sens!$L$4764/Sens!$L$4743</f>
        <v>0.328299068185284</v>
      </c>
      <c r="M4770" s="16" t="n">
        <f aca="false">Sens!$M$4764/Sens!$M$4743</f>
        <v>0.325058049465166</v>
      </c>
      <c r="N4770" s="16" t="n">
        <f aca="false">Sens!$N$4764/Sens!$N$4743</f>
        <v>0.360941137346192</v>
      </c>
      <c r="O4770" s="16" t="n">
        <f aca="false">Sens!$O$4764/Sens!$O$4743</f>
        <v>0.348458117664212</v>
      </c>
    </row>
    <row r="4771" customFormat="false" ht="17.15" hidden="false" customHeight="false" outlineLevel="0" collapsed="false">
      <c r="A4771" s="0" t="s">
        <v>691</v>
      </c>
      <c r="B4771" s="0" t="s">
        <v>52</v>
      </c>
      <c r="C4771" s="12" t="n">
        <f aca="false">Sens!$C$4762/Sens!$C$4744</f>
        <v>0.708390794789371</v>
      </c>
      <c r="D4771" s="12" t="n">
        <f aca="false">Sens!$D$4762/Sens!$D$4744</f>
        <v>0.445565630441968</v>
      </c>
      <c r="E4771" s="12" t="n">
        <f aca="false">Sens!$E$4762/Sens!$E$4744</f>
        <v>0.165998118402711</v>
      </c>
      <c r="F4771" s="12" t="n">
        <f aca="false">Sens!$F$4762/Sens!$F$4744</f>
        <v>0.434878595403858</v>
      </c>
      <c r="G4771" s="12" t="n">
        <f aca="false">Sens!$G$4762/Sens!$G$4744</f>
        <v>0.3373967615381</v>
      </c>
      <c r="H4771" s="12" t="n">
        <f aca="false">Sens!$H$4762/Sens!$H$4744</f>
        <v>0.320477578041224</v>
      </c>
      <c r="I4771" s="12" t="n">
        <f aca="false">Sens!$I$4762/Sens!$I$4744</f>
        <v>0.296936118226494</v>
      </c>
      <c r="J4771" s="12" t="n">
        <f aca="false">Sens!$J$4762/Sens!$J$4744</f>
        <v>0.282166278613001</v>
      </c>
      <c r="K4771" s="12" t="n">
        <f aca="false">Sens!$K$4762/Sens!$K$4744</f>
        <v>0.271267685694333</v>
      </c>
      <c r="L4771" s="12" t="n">
        <f aca="false">Sens!$L$4762/Sens!$L$4744</f>
        <v>0.27160960915653</v>
      </c>
      <c r="M4771" s="12" t="n">
        <f aca="false">Sens!$M$4762/Sens!$M$4744</f>
        <v>0.26974494804234</v>
      </c>
      <c r="N4771" s="12" t="n">
        <f aca="false">Sens!$N$4762/Sens!$N$4744</f>
        <v>0.302870734830849</v>
      </c>
      <c r="O4771" s="12" t="n">
        <f aca="false">Sens!$O$4762/Sens!$O$4744</f>
        <v>0.52240134346334</v>
      </c>
    </row>
    <row r="4772" customFormat="false" ht="15" hidden="false" customHeight="false" outlineLevel="0" collapsed="false">
      <c r="A4772" s="5" t="s">
        <v>692</v>
      </c>
      <c r="B4772" s="0" t="s">
        <v>52</v>
      </c>
      <c r="C4772" s="12" t="n">
        <f aca="false">Sens!$C$4766/Sens!$C$4746</f>
        <v>0.107519448742004</v>
      </c>
      <c r="D4772" s="12" t="n">
        <f aca="false">Sens!$D$4766/Sens!$D$4746</f>
        <v>0.111552967957552</v>
      </c>
      <c r="E4772" s="12" t="n">
        <f aca="false">Sens!$E$4766/Sens!$E$4746</f>
        <v>0.13428328426562</v>
      </c>
      <c r="F4772" s="12" t="n">
        <f aca="false">Sens!$F$4766/Sens!$F$4746</f>
        <v>0.132926212451512</v>
      </c>
      <c r="G4772" s="12" t="n">
        <f aca="false">Sens!$G$4766/Sens!$G$4746</f>
        <v>0.133549030959228</v>
      </c>
      <c r="H4772" s="12" t="n">
        <f aca="false">Sens!$H$4766/Sens!$H$4746</f>
        <v>0.139690394514416</v>
      </c>
      <c r="I4772" s="12" t="n">
        <f aca="false">Sens!$I$4766/Sens!$I$4746</f>
        <v>0.144688164284573</v>
      </c>
      <c r="J4772" s="12" t="n">
        <f aca="false">Sens!$J$4766/Sens!$J$4746</f>
        <v>0.147391419021054</v>
      </c>
      <c r="K4772" s="12" t="n">
        <f aca="false">Sens!$K$4766/Sens!$K$4746</f>
        <v>0.148003728177944</v>
      </c>
      <c r="L4772" s="12" t="n">
        <f aca="false">Sens!$L$4766/Sens!$L$4746</f>
        <v>0.149164514525979</v>
      </c>
      <c r="M4772" s="12" t="n">
        <f aca="false">Sens!$M$4766/Sens!$M$4746</f>
        <v>0.150041098108262</v>
      </c>
      <c r="N4772" s="12" t="n">
        <f aca="false">Sens!$N$4766/Sens!$N$4746</f>
        <v>0.116201614873411</v>
      </c>
      <c r="O4772" s="12" t="n">
        <f aca="false">Sens!$O$4766/Sens!$O$4746</f>
        <v>0.107733353660861</v>
      </c>
    </row>
    <row r="4773" customFormat="false" ht="17.15" hidden="false" customHeight="false" outlineLevel="0" collapsed="false">
      <c r="A4773" s="1" t="s">
        <v>693</v>
      </c>
    </row>
    <row r="4774" customFormat="false" ht="17.15" hidden="false" customHeight="false" outlineLevel="0" collapsed="false">
      <c r="A4774" s="5" t="s">
        <v>694</v>
      </c>
      <c r="B4774" s="0" t="s">
        <v>52</v>
      </c>
      <c r="D4774" s="28" t="n">
        <f aca="false">(Q!$E$29+Q!$E$30-(1-ext_sh)*Sens!$D$4698)/Sens!$D$4655</f>
        <v>0.0334674312393194</v>
      </c>
    </row>
    <row r="4775" customFormat="false" ht="17.15" hidden="false" customHeight="false" outlineLevel="0" collapsed="false">
      <c r="A4775" s="0" t="s">
        <v>498</v>
      </c>
      <c r="B4775" s="0" t="s">
        <v>73</v>
      </c>
      <c r="C4775" s="38" t="n">
        <f aca="false">Q!$D$29</f>
        <v>14.285</v>
      </c>
      <c r="D4775" s="38" t="n">
        <f aca="false">Q!$E$29</f>
        <v>15.503</v>
      </c>
      <c r="E4775" s="38" t="n">
        <f aca="false">Q!$P$29</f>
        <v>8.78</v>
      </c>
      <c r="F4775" s="38" t="n">
        <f aca="false">(Sens!$D$4774*Sens!$F$4655+(1-ext_sh)*Sens!$F$4698)*Sens!$F$4656</f>
        <v>9.51361751569285</v>
      </c>
      <c r="G4775" s="38" t="n">
        <f aca="false">Sens!$E$4775+Sens!$F$4775</f>
        <v>18.2936175156929</v>
      </c>
      <c r="H4775" s="38" t="n">
        <f aca="false">(Sens!$D$4774*Sens!$H$4655+(1-ext_sh)*Sens!$H$4698)*Sens!$H$4656</f>
        <v>22.7653661801943</v>
      </c>
      <c r="I4775" s="38" t="n">
        <f aca="false">(Sens!$D$4774*Sens!$I$4655+(1-ext_sh)*Sens!$I$4698)*Sens!$I$4656</f>
        <v>28.4281317305062</v>
      </c>
      <c r="J4775" s="38" t="n">
        <f aca="false">(Sens!$D$4774*Sens!$J$4655+(1-ext_sh)*Sens!$J$4698)*Sens!$J$4656</f>
        <v>34.1182922009732</v>
      </c>
      <c r="K4775" s="38" t="n">
        <f aca="false">(Sens!$D$4774*Sens!$K$4655+(1-ext_sh)*Sens!$K$4698)*Sens!$K$4656</f>
        <v>39.7237727987046</v>
      </c>
      <c r="L4775" s="38" t="n">
        <f aca="false">(Sens!$D$4774*Sens!$L$4655+(1-ext_sh)*Sens!$L$4698)*Sens!$L$4656</f>
        <v>45.1313127180263</v>
      </c>
      <c r="M4775" s="38" t="n">
        <f aca="false">(Sens!$D$4774*Sens!$M$4655+(1-ext_sh)*Sens!$M$4698)*Sens!$M$4656</f>
        <v>50.743940615442</v>
      </c>
      <c r="N4775" s="38" t="n">
        <f aca="false">Q!$N$29</f>
        <v>7.272</v>
      </c>
      <c r="O4775" s="38" t="n">
        <f aca="false">Q!$O$29</f>
        <v>8.231</v>
      </c>
    </row>
    <row r="4776" customFormat="false" ht="17.15" hidden="false" customHeight="false" outlineLevel="0" collapsed="false">
      <c r="A4776" s="0" t="s">
        <v>500</v>
      </c>
      <c r="B4776" s="0" t="s">
        <v>73</v>
      </c>
      <c r="C4776" s="38" t="n">
        <f aca="false">Q!$D$30</f>
        <v>4.462</v>
      </c>
      <c r="D4776" s="38" t="n">
        <f aca="false">Q!$E$30</f>
        <v>4.907</v>
      </c>
      <c r="E4776" s="38" t="n">
        <f aca="false">Q!$P$30</f>
        <v>2.57</v>
      </c>
      <c r="F4776" s="38" t="n">
        <f aca="false">(Sens!$D$4774*Sens!$F$4655+(1-ext_sh)*Sens!$F$4698)*(1-Sens!$F$4656)</f>
        <v>3.7353230631574</v>
      </c>
      <c r="G4776" s="38" t="n">
        <f aca="false">Sens!$E$4776+Sens!$F$4776</f>
        <v>6.3053230631574</v>
      </c>
      <c r="H4776" s="38" t="n">
        <f aca="false">(Sens!$D$4774*Sens!$H$4655+(1-ext_sh)*Sens!$H$4698)*(1-Sens!$H$4656)</f>
        <v>8.72254636724805</v>
      </c>
      <c r="I4776" s="38" t="n">
        <f aca="false">(Sens!$D$4774*Sens!$I$4655+(1-ext_sh)*Sens!$I$4698)*(1-Sens!$I$4656)</f>
        <v>10.8922340713019</v>
      </c>
      <c r="J4776" s="38" t="n">
        <f aca="false">(Sens!$D$4774*Sens!$J$4655+(1-ext_sh)*Sens!$J$4698)*(1-Sens!$J$4656)</f>
        <v>13.0724181345791</v>
      </c>
      <c r="K4776" s="38" t="n">
        <f aca="false">(Sens!$D$4774*Sens!$K$4655+(1-ext_sh)*Sens!$K$4698)*(1-Sens!$K$4656)</f>
        <v>15.2201571183236</v>
      </c>
      <c r="L4776" s="38" t="n">
        <f aca="false">(Sens!$D$4774*Sens!$L$4655+(1-ext_sh)*Sens!$L$4698)*(1-Sens!$L$4656)</f>
        <v>17.2920551631732</v>
      </c>
      <c r="M4776" s="38" t="n">
        <f aca="false">(Sens!$D$4774*Sens!$M$4655+(1-ext_sh)*Sens!$M$4698)*(1-Sens!$M$4656)</f>
        <v>19.4425326336348</v>
      </c>
      <c r="N4776" s="38" t="n">
        <f aca="false">Q!$N$30</f>
        <v>2.316</v>
      </c>
      <c r="O4776" s="38" t="n">
        <f aca="false">Q!$O$30</f>
        <v>2.591</v>
      </c>
    </row>
    <row r="4777" customFormat="false" ht="17.15" hidden="false" customHeight="false" outlineLevel="0" collapsed="false">
      <c r="A4777" s="0" t="s">
        <v>501</v>
      </c>
      <c r="B4777" s="0" t="s">
        <v>73</v>
      </c>
      <c r="C4777" s="38" t="n">
        <f aca="false">Sens!$C$4710</f>
        <v>13.32</v>
      </c>
      <c r="D4777" s="38" t="n">
        <f aca="false">Sens!$D$4710</f>
        <v>21.45</v>
      </c>
      <c r="E4777" s="38" t="n">
        <f aca="false">Sens!$E$4710</f>
        <v>15.353</v>
      </c>
      <c r="F4777" s="38" t="n">
        <f aca="false">Sens!$F$4710</f>
        <v>17.3614451462707</v>
      </c>
      <c r="G4777" s="38" t="n">
        <f aca="false">Sens!$G$4710</f>
        <v>32.7144451462707</v>
      </c>
      <c r="H4777" s="38" t="n">
        <f aca="false">Sens!$H$4710</f>
        <v>56.1966092719415</v>
      </c>
      <c r="I4777" s="38" t="n">
        <f aca="false">Sens!$I$4710</f>
        <v>82.9744039068297</v>
      </c>
      <c r="J4777" s="38" t="n">
        <f aca="false">Sens!$J$4710</f>
        <v>109.943252237669</v>
      </c>
      <c r="K4777" s="38" t="n">
        <f aca="false">Sens!$K$4710</f>
        <v>136.406703436571</v>
      </c>
      <c r="L4777" s="38" t="n">
        <f aca="false">Sens!$L$4710</f>
        <v>161.485870454155</v>
      </c>
      <c r="M4777" s="38" t="n">
        <f aca="false">Sens!$M$4710</f>
        <v>187.389846618199</v>
      </c>
      <c r="N4777" s="38" t="n">
        <f aca="false">Sens!$N$4710</f>
        <v>9.234</v>
      </c>
      <c r="O4777" s="38" t="n">
        <f aca="false">Sens!$O$4710</f>
        <v>12.216</v>
      </c>
    </row>
    <row r="4778" customFormat="false" ht="17.15" hidden="false" customHeight="false" outlineLevel="0" collapsed="false">
      <c r="A4778" s="5" t="s">
        <v>695</v>
      </c>
      <c r="B4778" s="0" t="s">
        <v>73</v>
      </c>
      <c r="C4778" s="38" t="n">
        <f aca="false">Sens!$C$4775+Sens!$C$4776+Sens!$C$4777</f>
        <v>32.067</v>
      </c>
      <c r="D4778" s="38" t="n">
        <f aca="false">Sens!$D$4775+Sens!$D$4776+Sens!$D$4777</f>
        <v>41.86</v>
      </c>
      <c r="E4778" s="38" t="n">
        <f aca="false">Sens!$E$4775+Sens!$E$4776+Sens!$E$4777</f>
        <v>26.703</v>
      </c>
      <c r="F4778" s="38" t="n">
        <f aca="false">Sens!$F$4775+Sens!$F$4776+Sens!$F$4777</f>
        <v>30.6103857251209</v>
      </c>
      <c r="G4778" s="38" t="n">
        <f aca="false">Sens!$G$4775+Sens!$G$4776+Sens!$G$4777</f>
        <v>57.3133857251209</v>
      </c>
      <c r="H4778" s="38" t="n">
        <f aca="false">Sens!$H$4775+Sens!$H$4776+Sens!$H$4777</f>
        <v>87.6845218193838</v>
      </c>
      <c r="I4778" s="38" t="n">
        <f aca="false">Sens!$I$4775+Sens!$I$4776+Sens!$I$4777</f>
        <v>122.294769708638</v>
      </c>
      <c r="J4778" s="38" t="n">
        <f aca="false">Sens!$J$4775+Sens!$J$4776+Sens!$J$4777</f>
        <v>157.133962573221</v>
      </c>
      <c r="K4778" s="38" t="n">
        <f aca="false">Sens!$K$4775+Sens!$K$4776+Sens!$K$4777</f>
        <v>191.350633353599</v>
      </c>
      <c r="L4778" s="38" t="n">
        <f aca="false">Sens!$L$4775+Sens!$L$4776+Sens!$L$4777</f>
        <v>223.909238335354</v>
      </c>
      <c r="M4778" s="38" t="n">
        <f aca="false">Sens!$M$4775+Sens!$M$4776+Sens!$M$4777</f>
        <v>257.576319867276</v>
      </c>
      <c r="N4778" s="38" t="n">
        <f aca="false">Sens!$N$4775+Sens!$N$4776+Sens!$N$4777</f>
        <v>18.822</v>
      </c>
      <c r="O4778" s="38" t="n">
        <f aca="false">Sens!$O$4775+Sens!$O$4776+Sens!$O$4777</f>
        <v>23.038</v>
      </c>
    </row>
    <row r="4779" customFormat="false" ht="17.15" hidden="false" customHeight="false" outlineLevel="0" collapsed="false">
      <c r="A4779" s="0" t="s">
        <v>696</v>
      </c>
      <c r="B4779" s="0" t="s">
        <v>73</v>
      </c>
      <c r="C4779" s="38" t="n">
        <f aca="false">Sens!$C$4752+Sens!$C$4757</f>
        <v>28.107</v>
      </c>
      <c r="D4779" s="38" t="n">
        <f aca="false">Sens!$D$4752+Sens!$D$4757</f>
        <v>34.3175</v>
      </c>
      <c r="E4779" s="38" t="n">
        <f aca="false">Sens!$E$4752+Sens!$E$4757</f>
        <v>18.526</v>
      </c>
      <c r="F4779" s="38" t="n">
        <f aca="false">Sens!$F$4752+Sens!$F$4757</f>
        <v>24.0766690913691</v>
      </c>
      <c r="G4779" s="38" t="n">
        <f aca="false">Sens!$G$4752+Sens!$G$4757</f>
        <v>42.6026690913691</v>
      </c>
      <c r="H4779" s="38" t="n">
        <f aca="false">Sens!$H$4752+Sens!$H$4757</f>
        <v>51.1466809294702</v>
      </c>
      <c r="I4779" s="38" t="n">
        <f aca="false">Sens!$I$4752+Sens!$I$4757</f>
        <v>59.6899187926205</v>
      </c>
      <c r="J4779" s="38" t="n">
        <f aca="false">Sens!$J$4752+Sens!$J$4757</f>
        <v>67.6595395244221</v>
      </c>
      <c r="K4779" s="38" t="n">
        <f aca="false">Sens!$K$4752+Sens!$K$4757</f>
        <v>74.4254934768643</v>
      </c>
      <c r="L4779" s="38" t="n">
        <f aca="false">Sens!$L$4752+Sens!$L$4757</f>
        <v>81.8680428245508</v>
      </c>
      <c r="M4779" s="38" t="n">
        <f aca="false">Sens!$M$4752+Sens!$M$4757</f>
        <v>90.0548471070059</v>
      </c>
      <c r="N4779" s="38" t="n">
        <f aca="false">Sens!$N$4752+Sens!$N$4757</f>
        <v>14.8075</v>
      </c>
      <c r="O4779" s="38" t="n">
        <f aca="false">Sens!$O$4752+Sens!$O$4757</f>
        <v>19.51</v>
      </c>
    </row>
    <row r="4780" customFormat="false" ht="17.15" hidden="false" customHeight="false" outlineLevel="0" collapsed="false">
      <c r="A4780" s="0" t="s">
        <v>697</v>
      </c>
      <c r="B4780" s="0" t="s">
        <v>73</v>
      </c>
      <c r="C4780" s="38" t="n">
        <f aca="false">Sens!$C$4756+Sens!$C$4761+Sens!$C$4775+Sens!$C$4776-Sens!$C$4779</f>
        <v>19.399</v>
      </c>
      <c r="D4780" s="38" t="n">
        <f aca="false">Sens!$D$4756+Sens!$D$4761+Sens!$D$4775+Sens!$D$4776-Sens!$D$4779</f>
        <v>20.4615</v>
      </c>
      <c r="E4780" s="38" t="n">
        <f aca="false">Sens!$E$4756+Sens!$E$4761+Sens!$E$4775+Sens!$E$4776-Sens!$E$4779</f>
        <v>13.355</v>
      </c>
      <c r="F4780" s="38" t="n">
        <f aca="false">Sens!$F$4756+Sens!$F$4761+Sens!$F$4775+Sens!$F$4776-Sens!$F$4779</f>
        <v>13.0895111975985</v>
      </c>
      <c r="G4780" s="38" t="n">
        <f aca="false">Sens!$G$4756+Sens!$G$4761+Sens!$G$4775+Sens!$G$4776-Sens!$G$4779</f>
        <v>26.4445111975985</v>
      </c>
      <c r="H4780" s="38" t="n">
        <f aca="false">Sens!$H$4756+Sens!$H$4761+Sens!$H$4775+Sens!$H$4776-Sens!$H$4779</f>
        <v>28.8977096937968</v>
      </c>
      <c r="I4780" s="38" t="n">
        <f aca="false">Sens!$I$4756+Sens!$I$4761+Sens!$I$4775+Sens!$I$4776-Sens!$I$4779</f>
        <v>31.2062039064791</v>
      </c>
      <c r="J4780" s="38" t="n">
        <f aca="false">Sens!$J$4756+Sens!$J$4761+Sens!$J$4775+Sens!$J$4776-Sens!$J$4779</f>
        <v>33.5064572496913</v>
      </c>
      <c r="K4780" s="38" t="n">
        <f aca="false">Sens!$K$4756+Sens!$K$4761+Sens!$K$4775+Sens!$K$4776-Sens!$K$4779</f>
        <v>35.6591461575899</v>
      </c>
      <c r="L4780" s="38" t="n">
        <f aca="false">Sens!$L$4756+Sens!$L$4761+Sens!$L$4775+Sens!$L$4776-Sens!$L$4779</f>
        <v>36.4141007090604</v>
      </c>
      <c r="M4780" s="38" t="n">
        <f aca="false">Sens!$M$4756+Sens!$M$4761+Sens!$M$4775+Sens!$M$4776-Sens!$M$4779</f>
        <v>37.359984207839</v>
      </c>
      <c r="N4780" s="38" t="n">
        <f aca="false">Sens!$N$4756+Sens!$N$4761+Sens!$N$4775+Sens!$N$4776-Sens!$N$4779</f>
        <v>10.6495</v>
      </c>
      <c r="O4780" s="38" t="n">
        <f aca="false">Sens!$O$4756+Sens!$O$4761+Sens!$O$4775+Sens!$O$4776-Sens!$O$4779</f>
        <v>9.81200000000001</v>
      </c>
    </row>
    <row r="4781" customFormat="false" ht="17.15" hidden="false" customHeight="false" outlineLevel="0" collapsed="false">
      <c r="A4781" s="0" t="s">
        <v>698</v>
      </c>
      <c r="B4781" s="0" t="s">
        <v>73</v>
      </c>
      <c r="C4781" s="38" t="n">
        <f aca="false">Sens!$C$4763+Sens!$C$4777-ext_sh*Sens!$C$4698</f>
        <v>51.3470500115664</v>
      </c>
      <c r="D4781" s="38" t="n">
        <f aca="false">Sens!$D$4763+Sens!$D$4777-ext_sh*Sens!$D$4698</f>
        <v>60.2799375433739</v>
      </c>
      <c r="E4781" s="38" t="n">
        <f aca="false">Sens!$E$4763+Sens!$E$4777-ext_sh*Sens!$E$4698</f>
        <v>39.5095167090767</v>
      </c>
      <c r="F4781" s="38" t="n">
        <f aca="false">Sens!$F$4763+Sens!$F$4777-ext_sh*Sens!$F$4698</f>
        <v>41.606724953129</v>
      </c>
      <c r="G4781" s="38" t="n">
        <f aca="false">Sens!$G$4763+Sens!$G$4777-ext_sh*Sens!$G$4698</f>
        <v>81.1162416622057</v>
      </c>
      <c r="H4781" s="38" t="n">
        <f aca="false">Sens!$H$4763+Sens!$H$4777-ext_sh*Sens!$H$4698</f>
        <v>95.7616595325849</v>
      </c>
      <c r="I4781" s="38" t="n">
        <f aca="false">Sens!$I$4763+Sens!$I$4777-ext_sh*Sens!$I$4698</f>
        <v>111.513312079935</v>
      </c>
      <c r="J4781" s="38" t="n">
        <f aca="false">Sens!$J$4763+Sens!$J$4777-ext_sh*Sens!$J$4698</f>
        <v>125.145150463955</v>
      </c>
      <c r="K4781" s="38" t="n">
        <f aca="false">Sens!$K$4763+Sens!$K$4777-ext_sh*Sens!$K$4698</f>
        <v>135.156762501071</v>
      </c>
      <c r="L4781" s="38" t="n">
        <f aca="false">Sens!$L$4763+Sens!$L$4777-ext_sh*Sens!$L$4698</f>
        <v>145.969303501157</v>
      </c>
      <c r="M4781" s="38" t="n">
        <f aca="false">Sens!$M$4763+Sens!$M$4777-ext_sh*Sens!$M$4698</f>
        <v>157.646847781249</v>
      </c>
      <c r="N4781" s="38" t="n">
        <f aca="false">Sens!$N$4763+Sens!$N$4777-ext_sh*Sens!$N$4698</f>
        <v>28.5693781401809</v>
      </c>
      <c r="O4781" s="38" t="n">
        <f aca="false">Sens!$O$4763+Sens!$O$4777-ext_sh*Sens!$O$4698</f>
        <v>31.7105594031931</v>
      </c>
    </row>
    <row r="4782" customFormat="false" ht="17.15" hidden="false" customHeight="false" outlineLevel="0" collapsed="false">
      <c r="A4782" s="0" t="s">
        <v>699</v>
      </c>
      <c r="B4782" s="0" t="s">
        <v>73</v>
      </c>
      <c r="C4782" s="38" t="n">
        <f aca="false">Sens!$C$4701</f>
        <v>1.80694998843362</v>
      </c>
      <c r="D4782" s="38" t="n">
        <f aca="false">Sens!$D$4701</f>
        <v>6.77606245662607</v>
      </c>
      <c r="E4782" s="38" t="n">
        <f aca="false">Sens!$E$4701</f>
        <v>6.62548329092326</v>
      </c>
      <c r="F4782" s="38" t="n">
        <f aca="false">Sens!$F$4701</f>
        <v>11.7200577158706</v>
      </c>
      <c r="G4782" s="38" t="n">
        <f aca="false">Sens!$G$4701</f>
        <v>18.3455410067939</v>
      </c>
      <c r="H4782" s="38" t="n">
        <f aca="false">Sens!$H$4701</f>
        <v>47.5171727060453</v>
      </c>
      <c r="I4782" s="38" t="n">
        <f aca="false">Sens!$I$4701</f>
        <v>80.5539692643667</v>
      </c>
      <c r="J4782" s="38" t="n">
        <f aca="false">Sens!$J$4701</f>
        <v>113.759316834883</v>
      </c>
      <c r="K4782" s="38" t="n">
        <f aca="false">Sens!$K$4701</f>
        <v>147.020848076132</v>
      </c>
      <c r="L4782" s="38" t="n">
        <f aca="false">Sens!$L$4701</f>
        <v>180.307917349531</v>
      </c>
      <c r="M4782" s="38" t="n">
        <f aca="false">Sens!$M$4701</f>
        <v>213.608737871012</v>
      </c>
      <c r="N4782" s="38" t="n">
        <f aca="false">Sens!$N$4701</f>
        <v>2.37162185981912</v>
      </c>
      <c r="O4782" s="38" t="n">
        <f aca="false">Sens!$O$4701</f>
        <v>4.40444059680694</v>
      </c>
    </row>
    <row r="4783" customFormat="false" ht="17.15" hidden="false" customHeight="false" outlineLevel="0" collapsed="false">
      <c r="A4783" s="0" t="s">
        <v>700</v>
      </c>
      <c r="B4783" s="0" t="s">
        <v>73</v>
      </c>
      <c r="C4783" s="38" t="n">
        <f aca="false">Sens!$C$4766+Sens!$C$4778</f>
        <v>100.66</v>
      </c>
      <c r="D4783" s="38" t="n">
        <f aca="false">Sens!$D$4766+Sens!$D$4778</f>
        <v>121.835</v>
      </c>
      <c r="E4783" s="38" t="n">
        <f aca="false">Sens!$E$4766+Sens!$E$4778</f>
        <v>78.016</v>
      </c>
      <c r="F4783" s="38" t="n">
        <f aca="false">Sens!$F$4766+Sens!$F$4778</f>
        <v>90.4929629579672</v>
      </c>
      <c r="G4783" s="38" t="n">
        <f aca="false">Sens!$G$4766+Sens!$G$4778</f>
        <v>168.508962957967</v>
      </c>
      <c r="H4783" s="38" t="n">
        <f aca="false">Sens!$H$4766+Sens!$H$4778</f>
        <v>223.323222861897</v>
      </c>
      <c r="I4783" s="38" t="n">
        <f aca="false">Sens!$I$4766+Sens!$I$4778</f>
        <v>282.963404043402</v>
      </c>
      <c r="J4783" s="38" t="n">
        <f aca="false">Sens!$J$4766+Sens!$J$4778</f>
        <v>340.070464072952</v>
      </c>
      <c r="K4783" s="38" t="n">
        <f aca="false">Sens!$K$4766+Sens!$K$4778</f>
        <v>392.262250211657</v>
      </c>
      <c r="L4783" s="38" t="n">
        <f aca="false">Sens!$L$4766+Sens!$L$4778</f>
        <v>444.559364384299</v>
      </c>
      <c r="M4783" s="38" t="n">
        <f aca="false">Sens!$M$4766+Sens!$M$4778</f>
        <v>498.670416967106</v>
      </c>
      <c r="N4783" s="38" t="n">
        <f aca="false">Sens!$N$4766+Sens!$N$4778</f>
        <v>56.398</v>
      </c>
      <c r="O4783" s="38" t="n">
        <f aca="false">Sens!$O$4766+Sens!$O$4778</f>
        <v>65.437</v>
      </c>
    </row>
    <row r="4784" customFormat="false" ht="17.15" hidden="false" customHeight="false" outlineLevel="0" collapsed="false">
      <c r="A4784" s="1" t="s">
        <v>701</v>
      </c>
    </row>
    <row r="4785" customFormat="false" ht="15" hidden="false" customHeight="false" outlineLevel="0" collapsed="false">
      <c r="A4785" s="5" t="s">
        <v>504</v>
      </c>
      <c r="B4785" s="0" t="s">
        <v>73</v>
      </c>
      <c r="C4785" s="38" t="n">
        <f aca="false">Q!$D$34</f>
        <v>2.406</v>
      </c>
      <c r="D4785" s="38" t="n">
        <f aca="false">Q!$E$34</f>
        <v>2.274</v>
      </c>
      <c r="E4785" s="38" t="n">
        <f aca="false">Q!$P$34</f>
        <v>2.114</v>
      </c>
      <c r="F4785" s="38" t="n">
        <f aca="false">Sens!$F$4821</f>
        <v>3.24888964316061</v>
      </c>
      <c r="G4785" s="38" t="n">
        <f aca="false">Sens!$E$4785+Sens!$F$4785</f>
        <v>5.36288964316061</v>
      </c>
      <c r="H4785" s="38" t="n">
        <f aca="false">Sens!$H$4821</f>
        <v>7.42354178632123</v>
      </c>
      <c r="I4785" s="38" t="n">
        <f aca="false">Sens!$I$4821</f>
        <v>7.51827597635917</v>
      </c>
      <c r="J4785" s="38" t="n">
        <f aca="false">Sens!$J$4821</f>
        <v>7.76994062068418</v>
      </c>
      <c r="K4785" s="38" t="n">
        <f aca="false">Sens!$K$4821</f>
        <v>7.76994062068418</v>
      </c>
      <c r="L4785" s="38" t="n">
        <f aca="false">Sens!$L$4821</f>
        <v>7.76994062068418</v>
      </c>
      <c r="M4785" s="38" t="n">
        <f aca="false">Sens!$M$4821</f>
        <v>7.76994062068418</v>
      </c>
      <c r="N4785" s="38" t="n">
        <f aca="false">Q!$N$34</f>
        <v>1.057</v>
      </c>
      <c r="O4785" s="38" t="n">
        <f aca="false">Q!$O$34</f>
        <v>1.217</v>
      </c>
    </row>
    <row r="4786" customFormat="false" ht="15" hidden="false" customHeight="false" outlineLevel="0" collapsed="false">
      <c r="A4786" s="5" t="s">
        <v>702</v>
      </c>
      <c r="B4786" s="0" t="s">
        <v>73</v>
      </c>
      <c r="F4786" s="38" t="n">
        <f aca="false">Sens!$F$4822</f>
        <v>2.59</v>
      </c>
      <c r="H4786" s="38" t="n">
        <f aca="false">Sens!$H$4822</f>
        <v>4.00971603121774</v>
      </c>
      <c r="I4786" s="38" t="n">
        <f aca="false">Sens!$I$4822</f>
        <v>2.10589651022864</v>
      </c>
      <c r="J4786" s="38" t="n">
        <f aca="false">Sens!$J$4822</f>
        <v>2.10589651022864</v>
      </c>
      <c r="K4786" s="38" t="n">
        <f aca="false">Sens!$K$4822</f>
        <v>3.77985822695893</v>
      </c>
      <c r="L4786" s="38" t="n">
        <f aca="false">Sens!$L$4822</f>
        <v>7.24081936505971</v>
      </c>
      <c r="M4786" s="38" t="n">
        <f aca="false">Sens!$M$4822</f>
        <v>11.205150593419</v>
      </c>
    </row>
    <row r="4787" customFormat="false" ht="17.15" hidden="false" customHeight="false" outlineLevel="0" collapsed="false">
      <c r="A4787" s="5" t="s">
        <v>703</v>
      </c>
      <c r="B4787" s="0" t="s">
        <v>73</v>
      </c>
      <c r="C4787" s="38" t="n">
        <f aca="false">Q!$D$39</f>
        <v>2.427</v>
      </c>
      <c r="D4787" s="38" t="n">
        <f aca="false">Q!$E$39</f>
        <v>19.61</v>
      </c>
      <c r="E4787" s="38" t="n">
        <f aca="false">Q!$P$39</f>
        <v>71.492</v>
      </c>
      <c r="F4787" s="41" t="n">
        <v>0</v>
      </c>
      <c r="G4787" s="38" t="n">
        <f aca="false">Sens!$E$4787+Sens!$F$4787</f>
        <v>71.492</v>
      </c>
      <c r="H4787" s="41" t="n">
        <v>0</v>
      </c>
      <c r="I4787" s="41" t="n">
        <v>0</v>
      </c>
      <c r="J4787" s="41" t="n">
        <v>0</v>
      </c>
      <c r="K4787" s="41" t="n">
        <v>0</v>
      </c>
      <c r="L4787" s="41" t="n">
        <v>0</v>
      </c>
      <c r="M4787" s="41" t="n">
        <v>0</v>
      </c>
      <c r="N4787" s="38" t="n">
        <f aca="false">Q!$N$39</f>
        <v>6.017</v>
      </c>
      <c r="O4787" s="38" t="n">
        <f aca="false">Q!$O$39</f>
        <v>13.593</v>
      </c>
      <c r="P4787" s="5" t="s">
        <v>704</v>
      </c>
    </row>
    <row r="4788" customFormat="false" ht="15" hidden="false" customHeight="false" outlineLevel="0" collapsed="false">
      <c r="A4788" s="5" t="s">
        <v>507</v>
      </c>
      <c r="B4788" s="0" t="s">
        <v>73</v>
      </c>
      <c r="C4788" s="38" t="n">
        <f aca="false">Q!$D$36</f>
        <v>68.614</v>
      </c>
      <c r="D4788" s="38" t="n">
        <f aca="false">Q!$E$36</f>
        <v>97.311</v>
      </c>
      <c r="E4788" s="38" t="n">
        <f aca="false">Q!$P$36</f>
        <v>120.691</v>
      </c>
      <c r="F4788" s="38" t="n">
        <f aca="false">Sens!$F$4766-Sens!$F$4785+Sens!$F$4786+Sens!$F$4787</f>
        <v>59.2236875896856</v>
      </c>
      <c r="G4788" s="38" t="n">
        <f aca="false">Sens!$E$4788+Sens!$F$4788</f>
        <v>179.914687589686</v>
      </c>
      <c r="H4788" s="38" t="n">
        <f aca="false">Sens!$H$4766-Sens!$H$4785+Sens!$H$4786+Sens!$H$4787</f>
        <v>132.22487528741</v>
      </c>
      <c r="I4788" s="38" t="n">
        <f aca="false">Sens!$I$4766-Sens!$I$4785+Sens!$I$4786+Sens!$I$4787</f>
        <v>155.256254868633</v>
      </c>
      <c r="J4788" s="38" t="n">
        <f aca="false">Sens!$J$4766-Sens!$J$4785+Sens!$J$4786+Sens!$J$4787</f>
        <v>177.272457389275</v>
      </c>
      <c r="K4788" s="38" t="n">
        <f aca="false">Sens!$K$4766-Sens!$K$4785+Sens!$K$4786+Sens!$K$4787</f>
        <v>196.921534464333</v>
      </c>
      <c r="L4788" s="38" t="n">
        <f aca="false">Sens!$L$4766-Sens!$L$4785+Sens!$L$4786+Sens!$L$4787</f>
        <v>220.12100479332</v>
      </c>
      <c r="M4788" s="38" t="n">
        <f aca="false">Sens!$M$4766-Sens!$M$4785+Sens!$M$4786+Sens!$M$4787</f>
        <v>244.529307072564</v>
      </c>
      <c r="N4788" s="38" t="n">
        <f aca="false">Q!$N$36</f>
        <v>42.536</v>
      </c>
      <c r="O4788" s="38" t="n">
        <f aca="false">Q!$O$36</f>
        <v>54.775</v>
      </c>
    </row>
    <row r="4789" customFormat="false" ht="15" hidden="false" customHeight="false" outlineLevel="0" collapsed="false">
      <c r="A4789" s="5" t="s">
        <v>508</v>
      </c>
      <c r="B4789" s="0" t="s">
        <v>73</v>
      </c>
      <c r="C4789" s="38" t="n">
        <f aca="false">Q!$D$37</f>
        <v>9.265</v>
      </c>
      <c r="D4789" s="38" t="n">
        <f aca="false">Q!$E$37</f>
        <v>19.087</v>
      </c>
      <c r="E4789" s="38" t="n">
        <f aca="false">Q!$P$37</f>
        <v>27.759</v>
      </c>
      <c r="F4789" s="38" t="n">
        <f aca="false">Sens!$F$4788*tax</f>
        <v>10.2803157750071</v>
      </c>
      <c r="G4789" s="38" t="n">
        <f aca="false">Sens!$E$4789+Sens!$F$4789</f>
        <v>38.0393157750071</v>
      </c>
      <c r="H4789" s="38" t="n">
        <f aca="false">Sens!$H$4788*tax</f>
        <v>22.9521923842892</v>
      </c>
      <c r="I4789" s="38" t="n">
        <f aca="false">Sens!$I$4788*tax</f>
        <v>26.9500835063251</v>
      </c>
      <c r="J4789" s="38" t="n">
        <f aca="false">Sens!$J$4788*tax</f>
        <v>30.7717555988633</v>
      </c>
      <c r="K4789" s="38" t="n">
        <f aca="false">Sens!$K$4788*tax</f>
        <v>34.1825313414772</v>
      </c>
      <c r="L4789" s="38" t="n">
        <f aca="false">Sens!$L$4788*tax</f>
        <v>38.209600416393</v>
      </c>
      <c r="M4789" s="38" t="n">
        <f aca="false">Sens!$M$4788*tax</f>
        <v>42.4465040131586</v>
      </c>
      <c r="N4789" s="38" t="n">
        <f aca="false">Q!$N$37</f>
        <v>7.231</v>
      </c>
      <c r="O4789" s="38" t="n">
        <f aca="false">Q!$O$37</f>
        <v>11.856</v>
      </c>
    </row>
    <row r="4790" customFormat="false" ht="15" hidden="false" customHeight="false" outlineLevel="0" collapsed="false">
      <c r="A4790" s="3" t="s">
        <v>509</v>
      </c>
      <c r="B4790" s="8" t="s">
        <v>73</v>
      </c>
      <c r="C4790" s="38" t="n">
        <f aca="false">Q!$D$38</f>
        <v>59.248</v>
      </c>
      <c r="D4790" s="38" t="n">
        <f aca="false">Q!$E$38</f>
        <v>77.67</v>
      </c>
      <c r="E4790" s="38" t="n">
        <f aca="false">Q!$P$38</f>
        <v>92.902</v>
      </c>
      <c r="F4790" s="38" t="n">
        <f aca="false">Sens!$F$4788-Sens!$F$4789</f>
        <v>48.9433718146785</v>
      </c>
      <c r="G4790" s="38" t="n">
        <f aca="false">Sens!$E$4790+Sens!$F$4790</f>
        <v>141.845371814679</v>
      </c>
      <c r="H4790" s="38" t="n">
        <f aca="false">Sens!$H$4788-Sens!$H$4789</f>
        <v>109.272682903121</v>
      </c>
      <c r="I4790" s="38" t="n">
        <f aca="false">Sens!$I$4788-Sens!$I$4789</f>
        <v>128.306171362308</v>
      </c>
      <c r="J4790" s="38" t="n">
        <f aca="false">Sens!$J$4788-Sens!$J$4789</f>
        <v>146.500701790412</v>
      </c>
      <c r="K4790" s="38" t="n">
        <f aca="false">Sens!$K$4788-Sens!$K$4789</f>
        <v>162.739003122855</v>
      </c>
      <c r="L4790" s="38" t="n">
        <f aca="false">Sens!$L$4788-Sens!$L$4789</f>
        <v>181.911404376927</v>
      </c>
      <c r="M4790" s="38" t="n">
        <f aca="false">Sens!$M$4788-Sens!$M$4789</f>
        <v>202.082803059406</v>
      </c>
      <c r="N4790" s="38" t="n">
        <f aca="false">Q!$N$38</f>
        <v>35.291</v>
      </c>
      <c r="O4790" s="38" t="n">
        <f aca="false">Q!$O$38</f>
        <v>42.379</v>
      </c>
    </row>
    <row r="4791" customFormat="false" ht="17.15" hidden="false" customHeight="false" outlineLevel="0" collapsed="false">
      <c r="A4791" s="5" t="s">
        <v>512</v>
      </c>
      <c r="B4791" s="5" t="s">
        <v>33</v>
      </c>
      <c r="C4791" s="22" t="n">
        <f aca="false">Q!$D$41</f>
        <v>10.721</v>
      </c>
      <c r="D4791" s="22" t="n">
        <f aca="false">Q!$E$41</f>
        <v>10.827</v>
      </c>
      <c r="E4791" s="22" t="n">
        <f aca="false">(Q!$L$41+Q!$M$41)/2</f>
        <v>10.8885</v>
      </c>
      <c r="F4791" s="22" t="n">
        <f aca="false">Sens!$G$4791</f>
        <v>10.924806</v>
      </c>
      <c r="G4791" s="22" t="n">
        <f aca="false">Q!$M$41*(1+sh_g*0.25)</f>
        <v>10.924806</v>
      </c>
      <c r="H4791" s="22" t="n">
        <f aca="false">Sens!$G$4791*(1+sh_g)</f>
        <v>11.012204448</v>
      </c>
      <c r="I4791" s="22" t="n">
        <f aca="false">Sens!$H$4791*(1+sh_g)</f>
        <v>11.100302083584</v>
      </c>
      <c r="J4791" s="22" t="n">
        <f aca="false">Sens!$I$4791*(1+sh_g)</f>
        <v>11.1891045002527</v>
      </c>
      <c r="K4791" s="22" t="n">
        <f aca="false">Sens!$J$4791*(1+sh_g)</f>
        <v>11.2786173362547</v>
      </c>
      <c r="L4791" s="22" t="n">
        <f aca="false">Sens!$K$4791*(1+sh_g)</f>
        <v>11.3688462749447</v>
      </c>
      <c r="M4791" s="22" t="n">
        <f aca="false">Sens!$L$4791*(1+sh_g)</f>
        <v>11.4597970451443</v>
      </c>
      <c r="P4791" s="5" t="s">
        <v>705</v>
      </c>
    </row>
    <row r="4792" customFormat="false" ht="17.15" hidden="false" customHeight="false" outlineLevel="0" collapsed="false">
      <c r="A4792" s="42" t="s">
        <v>706</v>
      </c>
      <c r="B4792" s="13" t="s">
        <v>27</v>
      </c>
      <c r="C4792" s="43" t="n">
        <f aca="false">Sens!$C$4790/Sens!$C$4791</f>
        <v>5.52635015390355</v>
      </c>
      <c r="D4792" s="43" t="n">
        <f aca="false">Sens!$D$4790/Sens!$D$4791</f>
        <v>7.1737323358271</v>
      </c>
      <c r="E4792" s="43" t="n">
        <f aca="false">Sens!$E$4790/Sens!$E$4791</f>
        <v>8.53212104513937</v>
      </c>
      <c r="F4792" s="13"/>
      <c r="G4792" s="43" t="n">
        <f aca="false">Sens!$G$4790/Sens!$G$4791</f>
        <v>12.9837886196495</v>
      </c>
      <c r="H4792" s="43" t="n">
        <f aca="false">Sens!$H$4790/Sens!$H$4791</f>
        <v>9.92287088558062</v>
      </c>
      <c r="I4792" s="43" t="n">
        <f aca="false">Sens!$I$4790/Sens!$I$4791</f>
        <v>11.5587999674403</v>
      </c>
      <c r="J4792" s="43" t="n">
        <f aca="false">Sens!$J$4790/Sens!$J$4791</f>
        <v>13.0931569892035</v>
      </c>
      <c r="K4792" s="43" t="n">
        <f aca="false">Sens!$K$4790/Sens!$K$4791</f>
        <v>14.4289852444711</v>
      </c>
      <c r="L4792" s="43" t="n">
        <f aca="false">Sens!$L$4790/Sens!$L$4791</f>
        <v>16.0008676322621</v>
      </c>
      <c r="M4792" s="43" t="n">
        <f aca="false">Sens!$M$4790/Sens!$M$4791</f>
        <v>17.6340647450673</v>
      </c>
      <c r="N4792" s="13"/>
      <c r="O4792" s="13"/>
    </row>
    <row r="4793" customFormat="false" ht="17.15" hidden="false" customHeight="false" outlineLevel="0" collapsed="false">
      <c r="A4793" s="0" t="s">
        <v>707</v>
      </c>
      <c r="B4793" s="0" t="s">
        <v>27</v>
      </c>
      <c r="C4793" s="30" t="n">
        <f aca="false">(Sens!$C$4790-Sens!$C$4787*(1-tax))/Sens!$C$4791</f>
        <v>5.33926775917445</v>
      </c>
      <c r="D4793" s="30" t="n">
        <f aca="false">(Sens!$D$4790-Sens!$D$4787*(1-tax))/Sens!$D$4791</f>
        <v>5.67691812755503</v>
      </c>
      <c r="E4793" s="30" t="n">
        <f aca="false">(Sens!$E$4790-Sens!$E$4787*(1-tax))/Sens!$E$4791</f>
        <v>3.10602057006846</v>
      </c>
      <c r="G4793" s="30" t="n">
        <f aca="false">(Sens!$G$4790-Sens!$G$4787*(1-tax))/Sens!$G$4791</f>
        <v>7.57572050175252</v>
      </c>
      <c r="H4793" s="30" t="n">
        <f aca="false">(Sens!$H$4790-Sens!$H$4787*(1-tax))/Sens!$H$4791</f>
        <v>9.92287088558062</v>
      </c>
      <c r="I4793" s="30" t="n">
        <f aca="false">(Sens!$I$4790-Sens!$I$4787*(1-tax))/Sens!$I$4791</f>
        <v>11.5587999674403</v>
      </c>
      <c r="J4793" s="30" t="n">
        <f aca="false">(Sens!$J$4790-Sens!$J$4787*(1-tax))/Sens!$J$4791</f>
        <v>13.0931569892035</v>
      </c>
      <c r="K4793" s="30" t="n">
        <f aca="false">(Sens!$K$4790-Sens!$K$4787*(1-tax))/Sens!$K$4791</f>
        <v>14.4289852444711</v>
      </c>
      <c r="L4793" s="30" t="n">
        <f aca="false">(Sens!$L$4790-Sens!$L$4787*(1-tax))/Sens!$L$4791</f>
        <v>16.0008676322621</v>
      </c>
      <c r="M4793" s="30" t="n">
        <f aca="false">(Sens!$M$4790-Sens!$M$4787*(1-tax))/Sens!$M$4791</f>
        <v>17.6340647450673</v>
      </c>
      <c r="P4793" s="5" t="s">
        <v>708</v>
      </c>
    </row>
    <row r="4794" customFormat="false" ht="17.15" hidden="false" customHeight="false" outlineLevel="0" collapsed="false">
      <c r="A4794" s="0" t="s">
        <v>709</v>
      </c>
      <c r="B4794" s="0" t="s">
        <v>52</v>
      </c>
      <c r="H4794" s="12" t="n">
        <f aca="false">Sens!$H$4792/Sens!$G$4792-1</f>
        <v>-0.23574919645846</v>
      </c>
      <c r="I4794" s="12" t="n">
        <f aca="false">Sens!$I$4792/Sens!$H$4792-1</f>
        <v>0.164864493423664</v>
      </c>
      <c r="J4794" s="12" t="n">
        <f aca="false">Sens!$J$4792/Sens!$I$4792-1</f>
        <v>0.132743626162345</v>
      </c>
      <c r="K4794" s="12" t="n">
        <f aca="false">Sens!$K$4792/Sens!$J$4792-1</f>
        <v>0.102024917013454</v>
      </c>
      <c r="L4794" s="12" t="n">
        <f aca="false">Sens!$L$4792/Sens!$K$4792-1</f>
        <v>0.108939219297719</v>
      </c>
      <c r="M4794" s="12" t="n">
        <f aca="false">Sens!$M$4792/Sens!$L$4792-1</f>
        <v>0.102069284637555</v>
      </c>
    </row>
    <row r="4797" customFormat="false" ht="19.4" hidden="false" customHeight="false" outlineLevel="0" collapsed="false">
      <c r="A4797" s="31" t="s">
        <v>1148</v>
      </c>
    </row>
    <row r="4798" customFormat="false" ht="17.15" hidden="false" customHeight="false" outlineLevel="0" collapsed="false">
      <c r="A4798" s="6" t="s">
        <v>16</v>
      </c>
      <c r="B4798" s="6" t="s">
        <v>17</v>
      </c>
      <c r="C4798" s="20" t="s">
        <v>457</v>
      </c>
      <c r="D4798" s="20" t="s">
        <v>458</v>
      </c>
      <c r="E4798" s="20" t="s">
        <v>540</v>
      </c>
      <c r="F4798" s="20" t="s">
        <v>541</v>
      </c>
      <c r="G4798" s="20" t="s">
        <v>542</v>
      </c>
      <c r="H4798" s="20" t="s">
        <v>543</v>
      </c>
      <c r="I4798" s="20" t="s">
        <v>544</v>
      </c>
      <c r="J4798" s="20" t="s">
        <v>545</v>
      </c>
      <c r="K4798" s="20" t="s">
        <v>546</v>
      </c>
      <c r="L4798" s="20" t="s">
        <v>547</v>
      </c>
      <c r="M4798" s="20" t="s">
        <v>548</v>
      </c>
      <c r="N4798" s="20" t="s">
        <v>549</v>
      </c>
      <c r="O4798" s="20" t="s">
        <v>550</v>
      </c>
      <c r="P4798" s="6" t="s">
        <v>23</v>
      </c>
      <c r="R4798" s="20" t="n">
        <v>2023</v>
      </c>
      <c r="S4798" s="20" t="n">
        <v>2024</v>
      </c>
      <c r="T4798" s="20" t="n">
        <v>2025</v>
      </c>
      <c r="U4798" s="20" t="n">
        <v>2026</v>
      </c>
      <c r="V4798" s="20" t="n">
        <v>2027</v>
      </c>
      <c r="W4798" s="20" t="n">
        <v>2028</v>
      </c>
      <c r="X4798" s="20" t="n">
        <v>2029</v>
      </c>
      <c r="Y4798" s="20" t="n">
        <v>2030</v>
      </c>
      <c r="Z4798" s="20" t="n">
        <v>2031</v>
      </c>
      <c r="AA4798" s="20" t="n">
        <v>2032</v>
      </c>
    </row>
    <row r="4799" customFormat="false" ht="15" hidden="false" customHeight="false" outlineLevel="0" collapsed="false">
      <c r="A4799" s="5" t="s">
        <v>509</v>
      </c>
      <c r="B4799" s="0" t="s">
        <v>73</v>
      </c>
      <c r="C4799" s="38" t="n">
        <f aca="false">Sens!$C$4790</f>
        <v>59.248</v>
      </c>
      <c r="D4799" s="38" t="n">
        <f aca="false">Sens!$D$4790</f>
        <v>77.67</v>
      </c>
      <c r="E4799" s="38" t="n">
        <f aca="false">Sens!$E$4790</f>
        <v>92.902</v>
      </c>
      <c r="F4799" s="38" t="n">
        <f aca="false">Sens!$F$4790</f>
        <v>48.9433718146785</v>
      </c>
      <c r="G4799" s="38" t="n">
        <f aca="false">Sens!$G$4790</f>
        <v>141.845371814679</v>
      </c>
      <c r="H4799" s="38" t="n">
        <f aca="false">Sens!$H$4790</f>
        <v>109.272682903121</v>
      </c>
      <c r="I4799" s="38" t="n">
        <f aca="false">Sens!$I$4790</f>
        <v>128.306171362308</v>
      </c>
      <c r="J4799" s="38" t="n">
        <f aca="false">Sens!$J$4790</f>
        <v>146.500701790412</v>
      </c>
      <c r="K4799" s="38" t="n">
        <f aca="false">Sens!$K$4790</f>
        <v>162.739003122855</v>
      </c>
      <c r="L4799" s="38" t="n">
        <f aca="false">Sens!$L$4790</f>
        <v>181.911404376927</v>
      </c>
      <c r="M4799" s="38" t="n">
        <f aca="false">Sens!$M$4790</f>
        <v>202.082803059406</v>
      </c>
    </row>
    <row r="4800" customFormat="false" ht="17.15" hidden="false" customHeight="false" outlineLevel="0" collapsed="false">
      <c r="A4800" s="5" t="s">
        <v>731</v>
      </c>
      <c r="B4800" s="0" t="s">
        <v>73</v>
      </c>
      <c r="C4800" s="38" t="n">
        <f aca="false">Sens!$C$4778</f>
        <v>32.067</v>
      </c>
      <c r="D4800" s="38" t="n">
        <f aca="false">Sens!$D$4778</f>
        <v>41.86</v>
      </c>
      <c r="E4800" s="38" t="n">
        <f aca="false">Sens!$E$4778</f>
        <v>26.703</v>
      </c>
      <c r="F4800" s="38" t="n">
        <f aca="false">Sens!$F$4778</f>
        <v>30.6103857251209</v>
      </c>
      <c r="G4800" s="38" t="n">
        <f aca="false">Sens!$G$4778</f>
        <v>57.3133857251209</v>
      </c>
      <c r="H4800" s="38" t="n">
        <f aca="false">Sens!$H$4778</f>
        <v>87.6845218193838</v>
      </c>
      <c r="I4800" s="38" t="n">
        <f aca="false">Sens!$I$4778</f>
        <v>122.294769708638</v>
      </c>
      <c r="J4800" s="38" t="n">
        <f aca="false">Sens!$J$4778</f>
        <v>157.133962573221</v>
      </c>
      <c r="K4800" s="38" t="n">
        <f aca="false">Sens!$K$4778</f>
        <v>191.350633353599</v>
      </c>
      <c r="L4800" s="38" t="n">
        <f aca="false">Sens!$L$4778</f>
        <v>223.909238335354</v>
      </c>
      <c r="M4800" s="38" t="n">
        <f aca="false">Sens!$M$4778</f>
        <v>257.576319867276</v>
      </c>
    </row>
    <row r="4801" customFormat="false" ht="15" hidden="false" customHeight="false" outlineLevel="0" collapsed="false">
      <c r="A4801" s="5" t="s">
        <v>732</v>
      </c>
      <c r="B4801" s="0" t="s">
        <v>73</v>
      </c>
      <c r="C4801" s="38" t="n">
        <f aca="false">Q!$D$48</f>
        <v>22.011</v>
      </c>
      <c r="D4801" s="38" t="n">
        <f aca="false">Q!$E$48</f>
        <v>19.467</v>
      </c>
      <c r="E4801" s="38" t="n">
        <f aca="false">Q!$P$48</f>
        <v>10.07</v>
      </c>
      <c r="F4801" s="38" t="n">
        <f aca="false">sbc_r*Sens!$F$4722</f>
        <v>11.2170714500462</v>
      </c>
      <c r="G4801" s="38" t="n">
        <f aca="false">Sens!$E$4801+Sens!$F$4801</f>
        <v>21.2870714500462</v>
      </c>
      <c r="H4801" s="38" t="n">
        <f aca="false">sbc_r*Sens!$H$4722</f>
        <v>24.1772394325528</v>
      </c>
      <c r="I4801" s="38" t="n">
        <f aca="false">sbc_r*Sens!$I$4722</f>
        <v>27.6495284422397</v>
      </c>
      <c r="J4801" s="38" t="n">
        <f aca="false">sbc_r*Sens!$J$4722</f>
        <v>30.9042211184633</v>
      </c>
      <c r="K4801" s="38" t="n">
        <f aca="false">sbc_r*Sens!$K$4722</f>
        <v>33.8004145402678</v>
      </c>
      <c r="L4801" s="38" t="n">
        <f aca="false">sbc_r*Sens!$L$4722</f>
        <v>36.8322537652494</v>
      </c>
      <c r="M4801" s="38" t="n">
        <f aca="false">sbc_r*Sens!$M$4722</f>
        <v>40.0097627968013</v>
      </c>
    </row>
    <row r="4802" customFormat="false" ht="17.15" hidden="false" customHeight="false" outlineLevel="0" collapsed="false">
      <c r="A4802" s="5" t="s">
        <v>733</v>
      </c>
      <c r="B4802" s="0" t="s">
        <v>73</v>
      </c>
      <c r="C4802" s="38" t="n">
        <f aca="false">Q!$D$44-Sens!$C$4799-Sens!$C$4800-Sens!$C$4801</f>
        <v>2.551</v>
      </c>
      <c r="D4802" s="38" t="n">
        <f aca="false">Q!$E$44-Sens!$D$4799-Sens!$D$4800-Sens!$D$4801</f>
        <v>0.51700000000001</v>
      </c>
      <c r="E4802" s="38" t="n">
        <f aca="false">Q!$P$44-Sens!$E$4799-Sens!$E$4800-Sens!$E$4801</f>
        <v>-58.256</v>
      </c>
      <c r="F4802" s="38" t="n">
        <f aca="false">wc_2h26+oth_r*Sens!$F$4722</f>
        <v>7.34599241893378</v>
      </c>
      <c r="G4802" s="38" t="n">
        <f aca="false">Sens!$E$4802+Sens!$F$4802</f>
        <v>-50.9100075810662</v>
      </c>
      <c r="H4802" s="38" t="n">
        <f aca="false">oth_r*Sens!$H$4722</f>
        <v>11.6369707537667</v>
      </c>
      <c r="I4802" s="38" t="n">
        <f aca="false">oth_r*Sens!$I$4722</f>
        <v>13.3082502961262</v>
      </c>
      <c r="J4802" s="38" t="n">
        <f aca="false">oth_r*Sens!$J$4722</f>
        <v>14.8747965344332</v>
      </c>
      <c r="K4802" s="38" t="n">
        <f aca="false">oth_r*Sens!$K$4722</f>
        <v>16.2687901804328</v>
      </c>
      <c r="L4802" s="38" t="n">
        <f aca="false">oth_r*Sens!$L$4722</f>
        <v>17.7280727627002</v>
      </c>
      <c r="M4802" s="38" t="n">
        <f aca="false">oth_r*Sens!$M$4722</f>
        <v>19.2574690270319</v>
      </c>
      <c r="P4802" s="8" t="s">
        <v>734</v>
      </c>
    </row>
    <row r="4803" customFormat="false" ht="15" hidden="false" customHeight="false" outlineLevel="0" collapsed="false">
      <c r="A4803" s="3" t="s">
        <v>515</v>
      </c>
      <c r="B4803" s="8" t="s">
        <v>73</v>
      </c>
      <c r="C4803" s="38" t="n">
        <f aca="false">Q!$D$44</f>
        <v>115.877</v>
      </c>
      <c r="D4803" s="38" t="n">
        <f aca="false">Q!$E$44</f>
        <v>139.514</v>
      </c>
      <c r="E4803" s="38" t="n">
        <f aca="false">Q!$P$44</f>
        <v>71.419</v>
      </c>
      <c r="F4803" s="38" t="n">
        <f aca="false">Sens!$F$4799+Sens!$F$4800+Sens!$F$4801+Sens!$F$4802</f>
        <v>98.1168214087795</v>
      </c>
      <c r="G4803" s="38" t="n">
        <f aca="false">Sens!$E$4803+Sens!$F$4803</f>
        <v>169.535821408779</v>
      </c>
      <c r="H4803" s="38" t="n">
        <f aca="false">Sens!$H$4799+Sens!$H$4800+Sens!$H$4801+Sens!$H$4802</f>
        <v>232.771414908824</v>
      </c>
      <c r="I4803" s="38" t="n">
        <f aca="false">Sens!$I$4799+Sens!$I$4800+Sens!$I$4801+Sens!$I$4802</f>
        <v>291.558719809312</v>
      </c>
      <c r="J4803" s="38" t="n">
        <f aca="false">Sens!$J$4799+Sens!$J$4800+Sens!$J$4801+Sens!$J$4802</f>
        <v>349.413682016529</v>
      </c>
      <c r="K4803" s="38" t="n">
        <f aca="false">Sens!$K$4799+Sens!$K$4800+Sens!$K$4801+Sens!$K$4802</f>
        <v>404.158841197156</v>
      </c>
      <c r="L4803" s="38" t="n">
        <f aca="false">Sens!$L$4799+Sens!$L$4800+Sens!$L$4801+Sens!$L$4802</f>
        <v>460.380969240231</v>
      </c>
      <c r="M4803" s="38" t="n">
        <f aca="false">Sens!$M$4799+Sens!$M$4800+Sens!$M$4801+Sens!$M$4802</f>
        <v>518.926354750515</v>
      </c>
    </row>
    <row r="4804" customFormat="false" ht="17.15" hidden="false" customHeight="false" outlineLevel="0" collapsed="false">
      <c r="A4804" s="5" t="s">
        <v>735</v>
      </c>
      <c r="B4804" s="0" t="s">
        <v>73</v>
      </c>
      <c r="C4804" s="38" t="n">
        <f aca="false">Sens!$C$4691</f>
        <v>25.2781053077374</v>
      </c>
      <c r="D4804" s="38" t="n">
        <f aca="false">Sens!$D$4691</f>
        <v>69.5686316310026</v>
      </c>
      <c r="E4804" s="38" t="n">
        <f aca="false">Sens!$E$4691</f>
        <v>64.1899206485108</v>
      </c>
      <c r="F4804" s="38" t="n">
        <f aca="false">Sens!$F$4691</f>
        <v>96.2481299895</v>
      </c>
      <c r="G4804" s="38" t="n">
        <f aca="false">Sens!$G$4691</f>
        <v>160.438050638011</v>
      </c>
      <c r="H4804" s="38" t="n">
        <f aca="false">Sens!$H$4691</f>
        <v>198.57136494475</v>
      </c>
      <c r="I4804" s="38" t="n">
        <f aca="false">Sens!$I$4691</f>
        <v>204.6464699105</v>
      </c>
      <c r="J4804" s="38" t="n">
        <f aca="false">Sens!$J$4691</f>
        <v>209.8832381105</v>
      </c>
      <c r="K4804" s="38" t="n">
        <f aca="false">Sens!$K$4691</f>
        <v>215.1200063105</v>
      </c>
      <c r="L4804" s="38" t="n">
        <f aca="false">Sens!$L$4691</f>
        <v>251.7773837105</v>
      </c>
      <c r="M4804" s="38" t="n">
        <f aca="false">Sens!$M$4691</f>
        <v>311.87584476575</v>
      </c>
    </row>
    <row r="4805" customFormat="false" ht="17.15" hidden="false" customHeight="false" outlineLevel="0" collapsed="false">
      <c r="A4805" s="5" t="s">
        <v>736</v>
      </c>
      <c r="B4805" s="0" t="s">
        <v>73</v>
      </c>
      <c r="C4805" s="38" t="n">
        <f aca="false">cx_awso*Sens!$C$4720</f>
        <v>21.0469989286053</v>
      </c>
      <c r="D4805" s="38" t="n">
        <f aca="false">cx_awso*Sens!$D$4720</f>
        <v>24.0042459822698</v>
      </c>
      <c r="E4805" s="38" t="n">
        <f aca="false">cx_awso*Sens!$E$4720</f>
        <v>14.261729404886</v>
      </c>
      <c r="F4805" s="38" t="n">
        <f aca="false">cx_awso*Sens!$F$4720</f>
        <v>15.7190020837331</v>
      </c>
      <c r="G4805" s="38" t="n">
        <f aca="false">Sens!$E$4805+Sens!$F$4805</f>
        <v>29.9807314886191</v>
      </c>
      <c r="H4805" s="38" t="n">
        <f aca="false">cx_awso*Sens!$H$4720</f>
        <v>36.1787121536283</v>
      </c>
      <c r="I4805" s="38" t="n">
        <f aca="false">cx_awso*Sens!$I$4720</f>
        <v>42.1296794430021</v>
      </c>
      <c r="J4805" s="38" t="n">
        <f aca="false">cx_awso*Sens!$J$4720</f>
        <v>47.279781889299</v>
      </c>
      <c r="K4805" s="38" t="n">
        <f aca="false">cx_awso*Sens!$K$4720</f>
        <v>51.0621644404429</v>
      </c>
      <c r="L4805" s="38" t="n">
        <f aca="false">cx_awso*Sens!$L$4720</f>
        <v>55.1471375956783</v>
      </c>
      <c r="M4805" s="38" t="n">
        <f aca="false">cx_awso*Sens!$M$4720</f>
        <v>59.5589086033326</v>
      </c>
    </row>
    <row r="4806" customFormat="false" ht="17.15" hidden="false" customHeight="false" outlineLevel="0" collapsed="false">
      <c r="A4806" s="5" t="s">
        <v>737</v>
      </c>
      <c r="B4806" s="0" t="s">
        <v>73</v>
      </c>
      <c r="C4806" s="38" t="n">
        <f aca="false">Q!$D$46-Sens!$C$4804-Sens!$C$4805</f>
        <v>31.3328957636573</v>
      </c>
      <c r="D4806" s="38" t="n">
        <f aca="false">Q!$E$46-Sens!$D$4804-Sens!$D$4805</f>
        <v>34.7471223867276</v>
      </c>
      <c r="E4806" s="38" t="n">
        <f aca="false">Q!$P$46-Sens!$E$4804-Sens!$E$4805</f>
        <v>17.8583499466032</v>
      </c>
      <c r="F4806" s="38" t="n">
        <f aca="false">cx_rt*Sens!$F$4655</f>
        <v>21.0855744229195</v>
      </c>
      <c r="G4806" s="38" t="n">
        <f aca="false">Sens!$E$4806+Sens!$F$4806</f>
        <v>38.9439243695228</v>
      </c>
      <c r="H4806" s="38" t="n">
        <f aca="false">cx_rt*Sens!$H$4655</f>
        <v>43.1200434029767</v>
      </c>
      <c r="I4806" s="38" t="n">
        <f aca="false">cx_rt*Sens!$I$4655</f>
        <v>47.1583152318763</v>
      </c>
      <c r="J4806" s="38" t="n">
        <f aca="false">cx_rt*Sens!$J$4655</f>
        <v>50.9060281137911</v>
      </c>
      <c r="K4806" s="38" t="n">
        <f aca="false">cx_rt*Sens!$K$4655</f>
        <v>54.2035645673053</v>
      </c>
      <c r="L4806" s="38" t="n">
        <f aca="false">cx_rt*Sens!$L$4655</f>
        <v>57.7318979121519</v>
      </c>
      <c r="M4806" s="38" t="n">
        <f aca="false">cx_rt*Sens!$M$4655</f>
        <v>61.5084196557756</v>
      </c>
    </row>
    <row r="4807" customFormat="false" ht="15" hidden="false" customHeight="false" outlineLevel="0" collapsed="false">
      <c r="A4807" s="3" t="s">
        <v>738</v>
      </c>
      <c r="B4807" s="8" t="s">
        <v>73</v>
      </c>
      <c r="C4807" s="38" t="n">
        <f aca="false">Q!$D$46</f>
        <v>77.658</v>
      </c>
      <c r="D4807" s="38" t="n">
        <f aca="false">Q!$E$46</f>
        <v>128.32</v>
      </c>
      <c r="E4807" s="38" t="n">
        <f aca="false">Q!$P$46</f>
        <v>96.31</v>
      </c>
      <c r="F4807" s="38" t="n">
        <f aca="false">Sens!$F$4804+Sens!$F$4805+Sens!$F$4806</f>
        <v>133.052706496153</v>
      </c>
      <c r="G4807" s="38" t="n">
        <f aca="false">Sens!$E$4807+Sens!$F$4807</f>
        <v>229.362706496153</v>
      </c>
      <c r="H4807" s="38" t="n">
        <f aca="false">Sens!$H$4804+Sens!$H$4805+Sens!$H$4806</f>
        <v>277.870120501355</v>
      </c>
      <c r="I4807" s="38" t="n">
        <f aca="false">Sens!$I$4804+Sens!$I$4805+Sens!$I$4806</f>
        <v>293.934464585378</v>
      </c>
      <c r="J4807" s="38" t="n">
        <f aca="false">Sens!$J$4804+Sens!$J$4805+Sens!$J$4806</f>
        <v>308.06904811359</v>
      </c>
      <c r="K4807" s="38" t="n">
        <f aca="false">Sens!$K$4804+Sens!$K$4805+Sens!$K$4806</f>
        <v>320.385735318248</v>
      </c>
      <c r="L4807" s="38" t="n">
        <f aca="false">Sens!$L$4804+Sens!$L$4805+Sens!$L$4806</f>
        <v>364.65641921833</v>
      </c>
      <c r="M4807" s="38" t="n">
        <f aca="false">Sens!$M$4804+Sens!$M$4805+Sens!$M$4806</f>
        <v>432.943173024858</v>
      </c>
    </row>
    <row r="4808" customFormat="false" ht="17.15" hidden="false" customHeight="false" outlineLevel="0" collapsed="false">
      <c r="A4808" s="5" t="s">
        <v>523</v>
      </c>
      <c r="B4808" s="0" t="s">
        <v>73</v>
      </c>
      <c r="C4808" s="38" t="n">
        <f aca="false">Q!$D$50</f>
        <v>2.043</v>
      </c>
      <c r="D4808" s="38" t="n">
        <f aca="false">Q!$E$50</f>
        <v>1.557</v>
      </c>
      <c r="E4808" s="38" t="n">
        <f aca="false">lease_pr/2</f>
        <v>0.8</v>
      </c>
      <c r="F4808" s="38" t="n">
        <f aca="false">lease_pr/2</f>
        <v>0.8</v>
      </c>
      <c r="G4808" s="38" t="n">
        <f aca="false">Sens!$E$4808+Sens!$F$4808</f>
        <v>1.6</v>
      </c>
      <c r="H4808" s="38" t="n">
        <f aca="false">lease_pr</f>
        <v>1.6</v>
      </c>
      <c r="I4808" s="38" t="n">
        <f aca="false">lease_pr</f>
        <v>1.6</v>
      </c>
      <c r="J4808" s="38" t="n">
        <f aca="false">lease_pr</f>
        <v>1.6</v>
      </c>
      <c r="K4808" s="38" t="n">
        <f aca="false">lease_pr</f>
        <v>1.6</v>
      </c>
      <c r="L4808" s="38" t="n">
        <f aca="false">lease_pr</f>
        <v>1.6</v>
      </c>
      <c r="M4808" s="38" t="n">
        <f aca="false">lease_pr</f>
        <v>1.6</v>
      </c>
      <c r="P4808" s="8" t="s">
        <v>739</v>
      </c>
    </row>
    <row r="4809" customFormat="false" ht="15" hidden="false" customHeight="false" outlineLevel="0" collapsed="false">
      <c r="A4809" s="46" t="s">
        <v>740</v>
      </c>
      <c r="B4809" s="13" t="s">
        <v>73</v>
      </c>
      <c r="C4809" s="47" t="n">
        <f aca="false">Sens!$C$4803-Sens!$C$4807-Sens!$C$4808</f>
        <v>36.176</v>
      </c>
      <c r="D4809" s="47" t="n">
        <f aca="false">Sens!$D$4803-Sens!$D$4807-Sens!$D$4808</f>
        <v>9.63700000000002</v>
      </c>
      <c r="E4809" s="47" t="n">
        <f aca="false">Sens!$E$4803-Sens!$E$4807-Sens!$E$4808</f>
        <v>-25.691</v>
      </c>
      <c r="F4809" s="47" t="n">
        <f aca="false">Sens!$F$4803-Sens!$F$4807-Sens!$F$4808</f>
        <v>-35.7358850873731</v>
      </c>
      <c r="G4809" s="47" t="n">
        <f aca="false">Sens!$G$4803-Sens!$G$4807-Sens!$G$4808</f>
        <v>-61.4268850873731</v>
      </c>
      <c r="H4809" s="47" t="n">
        <f aca="false">Sens!$H$4803-Sens!$H$4807-Sens!$H$4808</f>
        <v>-46.6987055925312</v>
      </c>
      <c r="I4809" s="47" t="n">
        <f aca="false">Sens!$I$4803-Sens!$I$4807-Sens!$I$4808</f>
        <v>-3.97574477606648</v>
      </c>
      <c r="J4809" s="47" t="n">
        <f aca="false">Sens!$J$4803-Sens!$J$4807-Sens!$J$4808</f>
        <v>39.7446339029391</v>
      </c>
      <c r="K4809" s="47" t="n">
        <f aca="false">Sens!$K$4803-Sens!$K$4807-Sens!$K$4808</f>
        <v>82.1731058789073</v>
      </c>
      <c r="L4809" s="47" t="n">
        <f aca="false">Sens!$L$4803-Sens!$L$4807-Sens!$L$4808</f>
        <v>94.1245500219009</v>
      </c>
      <c r="M4809" s="47" t="n">
        <f aca="false">Sens!$M$4803-Sens!$M$4807-Sens!$M$4808</f>
        <v>84.3831817256571</v>
      </c>
      <c r="N4809" s="13"/>
      <c r="O4809" s="13"/>
    </row>
    <row r="4810" customFormat="false" ht="17.15" hidden="false" customHeight="false" outlineLevel="0" collapsed="false">
      <c r="A4810" s="5" t="s">
        <v>741</v>
      </c>
      <c r="B4810" s="0" t="s">
        <v>73</v>
      </c>
      <c r="C4810" s="38" t="n">
        <f aca="false">dps*Sens!$C$4791</f>
        <v>0</v>
      </c>
      <c r="D4810" s="38" t="n">
        <f aca="false">dps*Sens!$D$4791</f>
        <v>0</v>
      </c>
      <c r="E4810" s="38" t="n">
        <f aca="false">dps*Sens!$E$4791</f>
        <v>0</v>
      </c>
      <c r="F4810" s="38" t="n">
        <f aca="false">0</f>
        <v>0</v>
      </c>
      <c r="G4810" s="38" t="n">
        <f aca="false">dps*Sens!$G$4791</f>
        <v>0</v>
      </c>
      <c r="H4810" s="38" t="n">
        <f aca="false">dps*Sens!$H$4791</f>
        <v>0</v>
      </c>
      <c r="I4810" s="38" t="n">
        <f aca="false">dps*Sens!$I$4791</f>
        <v>0</v>
      </c>
      <c r="J4810" s="38" t="n">
        <f aca="false">dps*Sens!$J$4791</f>
        <v>0</v>
      </c>
      <c r="K4810" s="38" t="n">
        <f aca="false">dps*Sens!$K$4791</f>
        <v>0</v>
      </c>
      <c r="L4810" s="38" t="n">
        <f aca="false">dps*Sens!$L$4791</f>
        <v>0</v>
      </c>
      <c r="M4810" s="38" t="n">
        <f aca="false">dps*Sens!$M$4791</f>
        <v>0</v>
      </c>
      <c r="P4810" s="8" t="s">
        <v>742</v>
      </c>
    </row>
    <row r="4811" customFormat="false" ht="17.15" hidden="false" customHeight="false" outlineLevel="0" collapsed="false">
      <c r="A4811" s="5" t="s">
        <v>743</v>
      </c>
      <c r="B4811" s="0" t="s">
        <v>73</v>
      </c>
      <c r="C4811" s="38" t="n">
        <f aca="false">0</f>
        <v>0</v>
      </c>
      <c r="D4811" s="38" t="n">
        <f aca="false">0</f>
        <v>0</v>
      </c>
      <c r="E4811" s="38" t="n">
        <f aca="false">0</f>
        <v>0</v>
      </c>
      <c r="F4811" s="38" t="n">
        <f aca="false">0</f>
        <v>0</v>
      </c>
      <c r="G4811" s="38" t="n">
        <f aca="false">0</f>
        <v>0</v>
      </c>
      <c r="H4811" s="38" t="n">
        <f aca="false">0</f>
        <v>0</v>
      </c>
      <c r="I4811" s="38" t="n">
        <f aca="false">0</f>
        <v>0</v>
      </c>
      <c r="J4811" s="38" t="n">
        <f aca="false">0</f>
        <v>0</v>
      </c>
      <c r="K4811" s="38" t="n">
        <f aca="false">0</f>
        <v>0</v>
      </c>
      <c r="L4811" s="38" t="n">
        <f aca="false">0</f>
        <v>0</v>
      </c>
      <c r="M4811" s="38" t="n">
        <f aca="false">0</f>
        <v>0</v>
      </c>
      <c r="P4811" s="8" t="s">
        <v>744</v>
      </c>
    </row>
    <row r="4812" customFormat="false" ht="15" hidden="false" customHeight="false" outlineLevel="0" collapsed="false">
      <c r="A4812" s="3" t="s">
        <v>745</v>
      </c>
      <c r="B4812" s="8" t="s">
        <v>73</v>
      </c>
      <c r="C4812" s="38" t="n">
        <f aca="false">Sens!$C$4809-Sens!$C$4810</f>
        <v>36.176</v>
      </c>
      <c r="D4812" s="38" t="n">
        <f aca="false">Sens!$D$4809-Sens!$D$4810</f>
        <v>9.63700000000002</v>
      </c>
      <c r="E4812" s="38" t="n">
        <f aca="false">Sens!$E$4809-Sens!$E$4810</f>
        <v>-25.691</v>
      </c>
      <c r="F4812" s="38" t="n">
        <f aca="false">Sens!$F$4809-Sens!$F$4810</f>
        <v>-35.7358850873731</v>
      </c>
      <c r="G4812" s="38" t="n">
        <f aca="false">Sens!$G$4809-Sens!$G$4810</f>
        <v>-61.4268850873731</v>
      </c>
      <c r="H4812" s="38" t="n">
        <f aca="false">Sens!$H$4809-Sens!$H$4810</f>
        <v>-46.6987055925312</v>
      </c>
      <c r="I4812" s="38" t="n">
        <f aca="false">Sens!$I$4809-Sens!$I$4810</f>
        <v>-3.97574477606648</v>
      </c>
      <c r="J4812" s="38" t="n">
        <f aca="false">Sens!$J$4809-Sens!$J$4810</f>
        <v>39.7446339029391</v>
      </c>
      <c r="K4812" s="38" t="n">
        <f aca="false">Sens!$K$4809-Sens!$K$4810</f>
        <v>82.1731058789073</v>
      </c>
      <c r="L4812" s="38" t="n">
        <f aca="false">Sens!$L$4809-Sens!$L$4810</f>
        <v>94.1245500219009</v>
      </c>
      <c r="M4812" s="38" t="n">
        <f aca="false">Sens!$M$4809-Sens!$M$4810</f>
        <v>84.3831817256571</v>
      </c>
    </row>
    <row r="4813" customFormat="false" ht="17.15" hidden="false" customHeight="false" outlineLevel="0" collapsed="false">
      <c r="A4813" s="5" t="s">
        <v>746</v>
      </c>
      <c r="B4813" s="0" t="s">
        <v>73</v>
      </c>
      <c r="E4813" s="38" t="n">
        <f aca="false">Q!$P$53</f>
        <v>39.767</v>
      </c>
      <c r="F4813" s="38" t="n">
        <f aca="false">inv_2h26</f>
        <v>21.3</v>
      </c>
      <c r="G4813" s="38" t="n">
        <f aca="false">Sens!$E$4813+Sens!$F$4813</f>
        <v>61.067</v>
      </c>
      <c r="H4813" s="41" t="n">
        <v>0</v>
      </c>
      <c r="I4813" s="41" t="n">
        <v>0</v>
      </c>
      <c r="J4813" s="41" t="n">
        <v>0</v>
      </c>
      <c r="K4813" s="41" t="n">
        <v>0</v>
      </c>
      <c r="L4813" s="41" t="n">
        <v>0</v>
      </c>
      <c r="M4813" s="41" t="n">
        <v>0</v>
      </c>
    </row>
    <row r="4814" customFormat="false" ht="17.15" hidden="false" customHeight="false" outlineLevel="0" collapsed="false">
      <c r="A4814" s="5" t="s">
        <v>747</v>
      </c>
      <c r="B4814" s="0" t="s">
        <v>73</v>
      </c>
      <c r="F4814" s="38" t="n">
        <f aca="false">iss_2h26</f>
        <v>29.25</v>
      </c>
      <c r="G4814" s="38" t="n">
        <f aca="false">Sens!$F$4814</f>
        <v>29.25</v>
      </c>
      <c r="H4814" s="41" t="n">
        <v>0</v>
      </c>
      <c r="I4814" s="41" t="n">
        <v>0</v>
      </c>
      <c r="J4814" s="41" t="n">
        <v>0</v>
      </c>
      <c r="K4814" s="41" t="n">
        <v>0</v>
      </c>
      <c r="L4814" s="41" t="n">
        <v>0</v>
      </c>
      <c r="M4814" s="41" t="n">
        <v>0</v>
      </c>
    </row>
    <row r="4815" customFormat="false" ht="17.15" hidden="false" customHeight="false" outlineLevel="0" collapsed="false">
      <c r="A4815" s="5" t="s">
        <v>748</v>
      </c>
      <c r="B4815" s="0" t="s">
        <v>73</v>
      </c>
      <c r="F4815" s="38" t="n">
        <f aca="false">cash_q2</f>
        <v>122.988</v>
      </c>
      <c r="G4815" s="38" t="n">
        <f aca="false">cash_q2</f>
        <v>122.988</v>
      </c>
      <c r="H4815" s="38" t="n">
        <f aca="false">Sens!$G$4818</f>
        <v>95.2021149126269</v>
      </c>
      <c r="I4815" s="38" t="n">
        <f aca="false">Sens!$H$4818</f>
        <v>50</v>
      </c>
      <c r="J4815" s="38" t="n">
        <f aca="false">Sens!$I$4818</f>
        <v>50</v>
      </c>
      <c r="K4815" s="38" t="n">
        <f aca="false">Sens!$J$4818</f>
        <v>89.7446339029391</v>
      </c>
      <c r="L4815" s="38" t="n">
        <f aca="false">Sens!$K$4818</f>
        <v>171.917739781846</v>
      </c>
      <c r="M4815" s="38" t="n">
        <f aca="false">Sens!$L$4818</f>
        <v>266.042289803747</v>
      </c>
    </row>
    <row r="4816" customFormat="false" ht="15" hidden="false" customHeight="false" outlineLevel="0" collapsed="false">
      <c r="A4816" s="5" t="s">
        <v>749</v>
      </c>
      <c r="B4816" s="0" t="s">
        <v>73</v>
      </c>
      <c r="F4816" s="38" t="n">
        <f aca="false">Sens!$F$4815+Sens!$F$4812-Sens!$F$4811-Sens!$F$4813+Sens!$F$4814</f>
        <v>95.2021149126269</v>
      </c>
      <c r="H4816" s="38" t="n">
        <f aca="false">Sens!$H$4815+Sens!$H$4812-Sens!$H$4811-Sens!$H$4813+Sens!$H$4814</f>
        <v>48.5034093200957</v>
      </c>
      <c r="I4816" s="38" t="n">
        <f aca="false">Sens!$I$4815+Sens!$I$4812-Sens!$I$4811-Sens!$I$4813+Sens!$I$4814</f>
        <v>46.0242552239335</v>
      </c>
      <c r="J4816" s="38" t="n">
        <f aca="false">Sens!$J$4815+Sens!$J$4812-Sens!$J$4811-Sens!$J$4813+Sens!$J$4814</f>
        <v>89.7446339029391</v>
      </c>
      <c r="K4816" s="38" t="n">
        <f aca="false">Sens!$K$4815+Sens!$K$4812-Sens!$K$4811-Sens!$K$4813+Sens!$K$4814</f>
        <v>171.917739781846</v>
      </c>
      <c r="L4816" s="38" t="n">
        <f aca="false">Sens!$L$4815+Sens!$L$4812-Sens!$L$4811-Sens!$L$4813+Sens!$L$4814</f>
        <v>266.042289803747</v>
      </c>
      <c r="M4816" s="38" t="n">
        <f aca="false">Sens!$M$4815+Sens!$M$4812-Sens!$M$4811-Sens!$M$4813+Sens!$M$4814</f>
        <v>350.425471529404</v>
      </c>
    </row>
    <row r="4817" customFormat="false" ht="17.15" hidden="false" customHeight="false" outlineLevel="0" collapsed="false">
      <c r="A4817" s="5" t="s">
        <v>750</v>
      </c>
      <c r="B4817" s="0" t="s">
        <v>73</v>
      </c>
      <c r="F4817" s="38" t="n">
        <f aca="false">MAX(0,min_cash-Sens!$F$4816)</f>
        <v>0</v>
      </c>
      <c r="G4817" s="38" t="n">
        <f aca="false">Sens!$F$4817</f>
        <v>0</v>
      </c>
      <c r="H4817" s="38" t="n">
        <f aca="false">MAX(0,min_cash-Sens!$H$4816)</f>
        <v>1.49659067990431</v>
      </c>
      <c r="I4817" s="38" t="n">
        <f aca="false">MAX(0,min_cash-Sens!$I$4816)</f>
        <v>3.97574477606648</v>
      </c>
      <c r="J4817" s="38" t="n">
        <f aca="false">MAX(0,min_cash-Sens!$J$4816)</f>
        <v>0</v>
      </c>
      <c r="K4817" s="38" t="n">
        <f aca="false">MAX(0,min_cash-Sens!$K$4816)</f>
        <v>0</v>
      </c>
      <c r="L4817" s="38" t="n">
        <f aca="false">MAX(0,min_cash-Sens!$L$4816)</f>
        <v>0</v>
      </c>
      <c r="M4817" s="38" t="n">
        <f aca="false">MAX(0,min_cash-Sens!$M$4816)</f>
        <v>0</v>
      </c>
      <c r="P4817" s="5" t="s">
        <v>751</v>
      </c>
    </row>
    <row r="4818" customFormat="false" ht="15" hidden="false" customHeight="false" outlineLevel="0" collapsed="false">
      <c r="A4818" s="5" t="s">
        <v>752</v>
      </c>
      <c r="B4818" s="0" t="s">
        <v>73</v>
      </c>
      <c r="D4818" s="38" t="n">
        <f aca="false">Q!$E$61</f>
        <v>123.029</v>
      </c>
      <c r="E4818" s="38" t="n">
        <f aca="false">Q!$M$61</f>
        <v>122.988</v>
      </c>
      <c r="F4818" s="38" t="n">
        <f aca="false">Sens!$F$4816+Sens!$F$4817</f>
        <v>95.2021149126269</v>
      </c>
      <c r="G4818" s="38" t="n">
        <f aca="false">Sens!$F$4818</f>
        <v>95.2021149126269</v>
      </c>
      <c r="H4818" s="38" t="n">
        <f aca="false">Sens!$H$4816+Sens!$H$4817</f>
        <v>50</v>
      </c>
      <c r="I4818" s="38" t="n">
        <f aca="false">Sens!$I$4816+Sens!$I$4817</f>
        <v>50</v>
      </c>
      <c r="J4818" s="38" t="n">
        <f aca="false">Sens!$J$4816+Sens!$J$4817</f>
        <v>89.7446339029391</v>
      </c>
      <c r="K4818" s="38" t="n">
        <f aca="false">Sens!$K$4816+Sens!$K$4817</f>
        <v>171.917739781846</v>
      </c>
      <c r="L4818" s="38" t="n">
        <f aca="false">Sens!$L$4816+Sens!$L$4817</f>
        <v>266.042289803747</v>
      </c>
      <c r="M4818" s="38" t="n">
        <f aca="false">Sens!$M$4816+Sens!$M$4817</f>
        <v>350.425471529404</v>
      </c>
    </row>
    <row r="4819" customFormat="false" ht="15" hidden="false" customHeight="false" outlineLevel="0" collapsed="false">
      <c r="A4819" s="5" t="s">
        <v>753</v>
      </c>
      <c r="B4819" s="0" t="s">
        <v>73</v>
      </c>
      <c r="D4819" s="38" t="n">
        <f aca="false">Q!$E$62</f>
        <v>68.836</v>
      </c>
      <c r="E4819" s="38" t="n">
        <f aca="false">Q!$M$62</f>
        <v>132.995</v>
      </c>
      <c r="F4819" s="38" t="n">
        <f aca="false">debt_q2+Sens!$F$4814+Sens!$F$4817</f>
        <v>162.245</v>
      </c>
      <c r="G4819" s="38" t="n">
        <f aca="false">Sens!$F$4819</f>
        <v>162.245</v>
      </c>
      <c r="H4819" s="38" t="n">
        <f aca="false">Sens!$G$4819+Sens!$H$4817</f>
        <v>163.741590679904</v>
      </c>
      <c r="I4819" s="38" t="n">
        <f aca="false">Sens!$H$4819+Sens!$I$4817</f>
        <v>167.717335455971</v>
      </c>
      <c r="J4819" s="38" t="n">
        <f aca="false">Sens!$I$4819+Sens!$J$4817</f>
        <v>167.717335455971</v>
      </c>
      <c r="K4819" s="38" t="n">
        <f aca="false">Sens!$J$4819+Sens!$K$4817</f>
        <v>167.717335455971</v>
      </c>
      <c r="L4819" s="38" t="n">
        <f aca="false">Sens!$K$4819+Sens!$L$4817</f>
        <v>167.717335455971</v>
      </c>
      <c r="M4819" s="38" t="n">
        <f aca="false">Sens!$L$4819+Sens!$M$4817</f>
        <v>167.717335455971</v>
      </c>
    </row>
    <row r="4820" customFormat="false" ht="15" hidden="false" customHeight="false" outlineLevel="0" collapsed="false">
      <c r="A4820" s="5" t="s">
        <v>754</v>
      </c>
      <c r="B4820" s="0" t="s">
        <v>73</v>
      </c>
      <c r="D4820" s="38" t="n">
        <f aca="false">Sens!$D$4819-Sens!$D$4818</f>
        <v>-54.193</v>
      </c>
      <c r="E4820" s="38" t="n">
        <f aca="false">Sens!$E$4819-Sens!$E$4818</f>
        <v>10.007</v>
      </c>
      <c r="F4820" s="38" t="n">
        <f aca="false">Sens!$F$4819-Sens!$F$4818</f>
        <v>67.0428850873731</v>
      </c>
      <c r="G4820" s="38" t="n">
        <f aca="false">Sens!$G$4819-Sens!$G$4818</f>
        <v>67.0428850873731</v>
      </c>
      <c r="H4820" s="38" t="n">
        <f aca="false">Sens!$H$4819-Sens!$H$4818</f>
        <v>113.741590679904</v>
      </c>
      <c r="I4820" s="38" t="n">
        <f aca="false">Sens!$I$4819-Sens!$I$4818</f>
        <v>117.717335455971</v>
      </c>
      <c r="J4820" s="38" t="n">
        <f aca="false">Sens!$J$4819-Sens!$J$4818</f>
        <v>77.9727015530317</v>
      </c>
      <c r="K4820" s="38" t="n">
        <f aca="false">Sens!$K$4819-Sens!$K$4818</f>
        <v>-4.20040432587558</v>
      </c>
      <c r="L4820" s="38" t="n">
        <f aca="false">Sens!$L$4819-Sens!$L$4818</f>
        <v>-98.3249543477765</v>
      </c>
      <c r="M4820" s="38" t="n">
        <f aca="false">Sens!$M$4819-Sens!$M$4818</f>
        <v>-182.708136073434</v>
      </c>
    </row>
    <row r="4821" customFormat="false" ht="17.15" hidden="false" customHeight="false" outlineLevel="0" collapsed="false">
      <c r="A4821" s="5" t="s">
        <v>755</v>
      </c>
      <c r="B4821" s="0" t="s">
        <v>73</v>
      </c>
      <c r="F4821" s="38" t="n">
        <f aca="false">debt_q2*kd_book*0.5+iss_2h26*kd_new*0.25</f>
        <v>3.24888964316061</v>
      </c>
      <c r="H4821" s="38" t="n">
        <f aca="false">debt_q2*kd_book+(Sens!$G$4819-debt_q2)*kd_new</f>
        <v>7.42354178632123</v>
      </c>
      <c r="I4821" s="38" t="n">
        <f aca="false">debt_q2*kd_book+(Sens!$H$4819-debt_q2)*kd_new</f>
        <v>7.51827597635917</v>
      </c>
      <c r="J4821" s="38" t="n">
        <f aca="false">debt_q2*kd_book+(Sens!$I$4819-debt_q2)*kd_new</f>
        <v>7.76994062068418</v>
      </c>
      <c r="K4821" s="38" t="n">
        <f aca="false">debt_q2*kd_book+(Sens!$J$4819-debt_q2)*kd_new</f>
        <v>7.76994062068418</v>
      </c>
      <c r="L4821" s="38" t="n">
        <f aca="false">debt_q2*kd_book+(Sens!$K$4819-debt_q2)*kd_new</f>
        <v>7.76994062068418</v>
      </c>
      <c r="M4821" s="38" t="n">
        <f aca="false">debt_q2*kd_book+(Sens!$L$4819-debt_q2)*kd_new</f>
        <v>7.76994062068418</v>
      </c>
    </row>
    <row r="4822" customFormat="false" ht="17.15" hidden="false" customHeight="false" outlineLevel="0" collapsed="false">
      <c r="A4822" s="5" t="s">
        <v>756</v>
      </c>
      <c r="B4822" s="0" t="s">
        <v>73</v>
      </c>
      <c r="F4822" s="38" t="n">
        <f aca="false">cash_q2*y_cash*0.5</f>
        <v>2.59</v>
      </c>
      <c r="H4822" s="38" t="n">
        <f aca="false">Sens!$G$4818*y_cash</f>
        <v>4.00971603121774</v>
      </c>
      <c r="I4822" s="38" t="n">
        <f aca="false">Sens!$H$4818*y_cash</f>
        <v>2.10589651022864</v>
      </c>
      <c r="J4822" s="38" t="n">
        <f aca="false">Sens!$I$4818*y_cash</f>
        <v>2.10589651022864</v>
      </c>
      <c r="K4822" s="38" t="n">
        <f aca="false">Sens!$J$4818*y_cash</f>
        <v>3.77985822695893</v>
      </c>
      <c r="L4822" s="38" t="n">
        <f aca="false">Sens!$K$4818*y_cash</f>
        <v>7.24081936505971</v>
      </c>
      <c r="M4822" s="38" t="n">
        <f aca="false">Sens!$L$4818*y_cash</f>
        <v>11.205150593419</v>
      </c>
    </row>
    <row r="4823" customFormat="false" ht="17.15" hidden="false" customHeight="false" outlineLevel="0" collapsed="false">
      <c r="A4823" s="46" t="s">
        <v>757</v>
      </c>
      <c r="B4823" s="13" t="s">
        <v>73</v>
      </c>
      <c r="C4823" s="13"/>
      <c r="D4823" s="13"/>
      <c r="E4823" s="13"/>
      <c r="F4823" s="13"/>
      <c r="G4823" s="47" t="n">
        <f aca="false">SUM(Sens!$G$4812:$K$4812)</f>
        <v>9.81640432587554</v>
      </c>
      <c r="H4823" s="13"/>
      <c r="I4823" s="13"/>
      <c r="J4823" s="13"/>
      <c r="K4823" s="13"/>
      <c r="L4823" s="13"/>
      <c r="M4823" s="13"/>
      <c r="N4823" s="13"/>
      <c r="O4823" s="13"/>
    </row>
    <row r="4824" customFormat="false" ht="17.15" hidden="false" customHeight="false" outlineLevel="0" collapsed="false">
      <c r="A4824" s="0" t="s">
        <v>724</v>
      </c>
      <c r="B4824" s="0" t="s">
        <v>73</v>
      </c>
      <c r="G4824" s="38" t="n">
        <f aca="false">SUM(Sens!$G$4817:$K$4817)</f>
        <v>5.47233545597079</v>
      </c>
    </row>
    <row r="4827" customFormat="false" ht="19.4" hidden="false" customHeight="false" outlineLevel="0" collapsed="false">
      <c r="A4827" s="31" t="s">
        <v>1149</v>
      </c>
    </row>
    <row r="4828" customFormat="false" ht="17.15" hidden="false" customHeight="false" outlineLevel="0" collapsed="false">
      <c r="A4828" s="6" t="s">
        <v>16</v>
      </c>
      <c r="B4828" s="6" t="s">
        <v>17</v>
      </c>
      <c r="C4828" s="20" t="s">
        <v>457</v>
      </c>
      <c r="D4828" s="20" t="s">
        <v>458</v>
      </c>
      <c r="E4828" s="20" t="s">
        <v>540</v>
      </c>
      <c r="F4828" s="20" t="s">
        <v>541</v>
      </c>
      <c r="G4828" s="20" t="s">
        <v>542</v>
      </c>
      <c r="H4828" s="20" t="s">
        <v>543</v>
      </c>
      <c r="I4828" s="20" t="s">
        <v>544</v>
      </c>
      <c r="J4828" s="20" t="s">
        <v>545</v>
      </c>
      <c r="K4828" s="20" t="s">
        <v>546</v>
      </c>
      <c r="L4828" s="20" t="s">
        <v>547</v>
      </c>
      <c r="M4828" s="20" t="s">
        <v>548</v>
      </c>
      <c r="N4828" s="20" t="s">
        <v>549</v>
      </c>
      <c r="O4828" s="20" t="s">
        <v>550</v>
      </c>
      <c r="P4828" s="6" t="s">
        <v>23</v>
      </c>
      <c r="R4828" s="20" t="n">
        <v>2023</v>
      </c>
      <c r="S4828" s="20" t="n">
        <v>2024</v>
      </c>
      <c r="T4828" s="20" t="n">
        <v>2025</v>
      </c>
      <c r="U4828" s="20" t="n">
        <v>2026</v>
      </c>
      <c r="V4828" s="20" t="n">
        <v>2027</v>
      </c>
      <c r="W4828" s="20" t="n">
        <v>2028</v>
      </c>
      <c r="X4828" s="20" t="n">
        <v>2029</v>
      </c>
      <c r="Y4828" s="20" t="n">
        <v>2030</v>
      </c>
      <c r="Z4828" s="20" t="n">
        <v>2031</v>
      </c>
      <c r="AA4828" s="20" t="n">
        <v>2032</v>
      </c>
    </row>
    <row r="4829" customFormat="false" ht="17.15" hidden="false" customHeight="false" outlineLevel="0" collapsed="false">
      <c r="A4829" s="1" t="s">
        <v>852</v>
      </c>
    </row>
    <row r="4830" customFormat="false" ht="17.15" hidden="false" customHeight="false" outlineLevel="0" collapsed="false">
      <c r="A4830" s="0" t="s">
        <v>853</v>
      </c>
      <c r="B4830" s="0" t="s">
        <v>73</v>
      </c>
      <c r="H4830" s="38" t="n">
        <f aca="false">Sens!$H$4766*(1-tax)</f>
        <v>112.093921330558</v>
      </c>
      <c r="I4830" s="38" t="n">
        <f aca="false">Sens!$I$4766*(1-tax)</f>
        <v>132.779045500917</v>
      </c>
      <c r="J4830" s="38" t="n">
        <f aca="false">Sens!$J$4766*(1-tax)</f>
        <v>151.181555485193</v>
      </c>
      <c r="K4830" s="38" t="n">
        <f aca="false">Sens!$K$4766*(1-tax)</f>
        <v>166.036468953087</v>
      </c>
      <c r="L4830" s="38" t="n">
        <f aca="false">Sens!$L$4766*(1-tax)</f>
        <v>182.348678369869</v>
      </c>
      <c r="M4830" s="38" t="n">
        <f aca="false">Sens!$M$4766*(1-tax)</f>
        <v>199.243892383632</v>
      </c>
    </row>
    <row r="4831" customFormat="false" ht="15" hidden="false" customHeight="false" outlineLevel="0" collapsed="false">
      <c r="A4831" s="5" t="s">
        <v>854</v>
      </c>
      <c r="B4831" s="0" t="s">
        <v>73</v>
      </c>
      <c r="H4831" s="38" t="n">
        <f aca="false">Sens!$H$4778</f>
        <v>87.6845218193838</v>
      </c>
      <c r="I4831" s="38" t="n">
        <f aca="false">Sens!$I$4778</f>
        <v>122.294769708638</v>
      </c>
      <c r="J4831" s="38" t="n">
        <f aca="false">Sens!$J$4778</f>
        <v>157.133962573221</v>
      </c>
      <c r="K4831" s="38" t="n">
        <f aca="false">Sens!$K$4778</f>
        <v>191.350633353599</v>
      </c>
      <c r="L4831" s="38" t="n">
        <f aca="false">Sens!$L$4778</f>
        <v>223.909238335354</v>
      </c>
      <c r="M4831" s="38" t="n">
        <f aca="false">Sens!$M$4778</f>
        <v>257.576319867276</v>
      </c>
    </row>
    <row r="4832" customFormat="false" ht="15" hidden="false" customHeight="false" outlineLevel="0" collapsed="false">
      <c r="A4832" s="5" t="s">
        <v>855</v>
      </c>
      <c r="B4832" s="0" t="s">
        <v>73</v>
      </c>
      <c r="H4832" s="38" t="n">
        <f aca="false">Sens!$H$4807</f>
        <v>277.870120501355</v>
      </c>
      <c r="I4832" s="38" t="n">
        <f aca="false">Sens!$I$4807</f>
        <v>293.934464585378</v>
      </c>
      <c r="J4832" s="38" t="n">
        <f aca="false">Sens!$J$4807</f>
        <v>308.06904811359</v>
      </c>
      <c r="K4832" s="38" t="n">
        <f aca="false">Sens!$K$4807</f>
        <v>320.385735318248</v>
      </c>
      <c r="L4832" s="38" t="n">
        <f aca="false">Sens!$L$4807</f>
        <v>364.65641921833</v>
      </c>
      <c r="M4832" s="38" t="n">
        <f aca="false">Sens!$M$4807</f>
        <v>432.943173024858</v>
      </c>
    </row>
    <row r="4833" customFormat="false" ht="15" hidden="false" customHeight="false" outlineLevel="0" collapsed="false">
      <c r="A4833" s="5" t="s">
        <v>856</v>
      </c>
      <c r="B4833" s="0" t="s">
        <v>73</v>
      </c>
      <c r="H4833" s="38" t="n">
        <f aca="false">Sens!$H$4808</f>
        <v>1.6</v>
      </c>
      <c r="I4833" s="38" t="n">
        <f aca="false">Sens!$I$4808</f>
        <v>1.6</v>
      </c>
      <c r="J4833" s="38" t="n">
        <f aca="false">Sens!$J$4808</f>
        <v>1.6</v>
      </c>
      <c r="K4833" s="38" t="n">
        <f aca="false">Sens!$K$4808</f>
        <v>1.6</v>
      </c>
      <c r="L4833" s="38" t="n">
        <f aca="false">Sens!$L$4808</f>
        <v>1.6</v>
      </c>
      <c r="M4833" s="38" t="n">
        <f aca="false">Sens!$M$4808</f>
        <v>1.6</v>
      </c>
    </row>
    <row r="4834" customFormat="false" ht="15" hidden="false" customHeight="false" outlineLevel="0" collapsed="false">
      <c r="A4834" s="5" t="s">
        <v>857</v>
      </c>
      <c r="B4834" s="0" t="s">
        <v>73</v>
      </c>
      <c r="H4834" s="38" t="n">
        <f aca="false">Sens!$H$4802</f>
        <v>11.6369707537667</v>
      </c>
      <c r="I4834" s="38" t="n">
        <f aca="false">Sens!$I$4802</f>
        <v>13.3082502961262</v>
      </c>
      <c r="J4834" s="38" t="n">
        <f aca="false">Sens!$J$4802</f>
        <v>14.8747965344332</v>
      </c>
      <c r="K4834" s="38" t="n">
        <f aca="false">Sens!$K$4802</f>
        <v>16.2687901804328</v>
      </c>
      <c r="L4834" s="38" t="n">
        <f aca="false">Sens!$L$4802</f>
        <v>17.7280727627002</v>
      </c>
      <c r="M4834" s="38" t="n">
        <f aca="false">Sens!$M$4802</f>
        <v>19.2574690270319</v>
      </c>
    </row>
    <row r="4835" customFormat="false" ht="17.15" hidden="false" customHeight="false" outlineLevel="0" collapsed="false">
      <c r="A4835" s="1" t="s">
        <v>858</v>
      </c>
      <c r="B4835" s="8" t="s">
        <v>73</v>
      </c>
      <c r="H4835" s="38" t="n">
        <f aca="false">Sens!$H$4830+Sens!$H$4831-Sens!$H$4832-Sens!$H$4833+Sens!$H$4834</f>
        <v>-68.0547065976468</v>
      </c>
      <c r="I4835" s="38" t="n">
        <f aca="false">Sens!$I$4830+Sens!$I$4831-Sens!$I$4832-Sens!$I$4833+Sens!$I$4834</f>
        <v>-27.1523990796972</v>
      </c>
      <c r="J4835" s="38" t="n">
        <f aca="false">Sens!$J$4830+Sens!$J$4831-Sens!$J$4832-Sens!$J$4833+Sens!$J$4834</f>
        <v>13.5212664792573</v>
      </c>
      <c r="K4835" s="38" t="n">
        <f aca="false">Sens!$K$4830+Sens!$K$4831-Sens!$K$4832-Sens!$K$4833+Sens!$K$4834</f>
        <v>51.6701571688709</v>
      </c>
      <c r="L4835" s="38" t="n">
        <f aca="false">Sens!$L$4830+Sens!$L$4831-Sens!$L$4832-Sens!$L$4833+Sens!$L$4834</f>
        <v>57.7295702495933</v>
      </c>
      <c r="M4835" s="38" t="n">
        <f aca="false">Sens!$M$4830+Sens!$M$4831-Sens!$M$4832-Sens!$M$4833+Sens!$M$4834</f>
        <v>41.534508253082</v>
      </c>
    </row>
    <row r="4836" customFormat="false" ht="15" hidden="false" customHeight="false" outlineLevel="0" collapsed="false">
      <c r="A4836" s="5" t="s">
        <v>859</v>
      </c>
      <c r="B4836" s="0" t="s">
        <v>57</v>
      </c>
      <c r="H4836" s="51" t="n">
        <f aca="false">1/(1+(wacc+0.01))^(2027-2026-0.5)</f>
        <v>0.938694997022825</v>
      </c>
      <c r="I4836" s="51" t="n">
        <f aca="false">1/(1+(wacc+0.01))^(2028-2026-0.5)</f>
        <v>0.827129498438054</v>
      </c>
      <c r="J4836" s="51" t="n">
        <f aca="false">1/(1+(wacc+0.01))^(2029-2026-0.5)</f>
        <v>0.728823749307521</v>
      </c>
      <c r="K4836" s="51" t="n">
        <f aca="false">1/(1+(wacc+0.01))^(2030-2026-0.5)</f>
        <v>0.642201805833012</v>
      </c>
      <c r="L4836" s="51" t="n">
        <f aca="false">1/(1+(wacc+0.01))^(2031-2026-0.5)</f>
        <v>0.565875027819879</v>
      </c>
      <c r="M4836" s="51" t="n">
        <f aca="false">1/(1+(wacc+0.01))^(2032-2026-0.5)</f>
        <v>0.498619817324855</v>
      </c>
    </row>
    <row r="4837" customFormat="false" ht="15" hidden="false" customHeight="false" outlineLevel="0" collapsed="false">
      <c r="A4837" s="5" t="s">
        <v>860</v>
      </c>
      <c r="B4837" s="0" t="s">
        <v>73</v>
      </c>
      <c r="H4837" s="38" t="n">
        <f aca="false">Sens!$H$4835*Sens!$H$4836</f>
        <v>-63.8826126070673</v>
      </c>
      <c r="I4837" s="38" t="n">
        <f aca="false">Sens!$I$4835*Sens!$I$4836</f>
        <v>-22.4585502321799</v>
      </c>
      <c r="J4837" s="38" t="n">
        <f aca="false">Sens!$J$4835*Sens!$J$4836</f>
        <v>9.8546201307984</v>
      </c>
      <c r="K4837" s="38" t="n">
        <f aca="false">Sens!$K$4835*Sens!$K$4836</f>
        <v>33.1826682415244</v>
      </c>
      <c r="L4837" s="38" t="n">
        <f aca="false">Sens!$L$4835*Sens!$L$4836</f>
        <v>32.6677221710182</v>
      </c>
      <c r="M4837" s="38" t="n">
        <f aca="false">Sens!$M$4835*Sens!$M$4836</f>
        <v>20.7099289178294</v>
      </c>
    </row>
    <row r="4838" customFormat="false" ht="15" hidden="false" customHeight="false" outlineLevel="0" collapsed="false">
      <c r="A4838" s="5" t="s">
        <v>861</v>
      </c>
      <c r="B4838" s="0" t="s">
        <v>73</v>
      </c>
      <c r="C4838" s="38" t="n">
        <f aca="false">SUM(Sens!$H$4837:$M$4837)</f>
        <v>10.0737766219234</v>
      </c>
    </row>
    <row r="4839" customFormat="false" ht="17.15" hidden="false" customHeight="false" outlineLevel="0" collapsed="false">
      <c r="A4839" s="5" t="s">
        <v>862</v>
      </c>
      <c r="B4839" s="0" t="s">
        <v>73</v>
      </c>
      <c r="C4839" s="38" t="n">
        <f aca="false">Sens!$M$4830*(1+tg)*(1-tg/ronic)/((wacc+0.01)-tg)</f>
        <v>1486.63035476332</v>
      </c>
    </row>
    <row r="4840" customFormat="false" ht="15" hidden="false" customHeight="false" outlineLevel="0" collapsed="false">
      <c r="A4840" s="5" t="s">
        <v>863</v>
      </c>
      <c r="B4840" s="0" t="s">
        <v>73</v>
      </c>
      <c r="C4840" s="38" t="n">
        <f aca="false">Sens!$C$4839/(1+(wacc+0.01))^6</f>
        <v>695.820203680024</v>
      </c>
    </row>
    <row r="4841" customFormat="false" ht="17.15" hidden="false" customHeight="false" outlineLevel="0" collapsed="false">
      <c r="A4841" s="5" t="s">
        <v>864</v>
      </c>
      <c r="B4841" s="0" t="s">
        <v>73</v>
      </c>
      <c r="C4841" s="38" t="n">
        <f aca="false">Sens!$C$4838+Sens!$C$4840</f>
        <v>705.893980301947</v>
      </c>
    </row>
    <row r="4842" customFormat="false" ht="17.15" hidden="false" customHeight="false" outlineLevel="0" collapsed="false">
      <c r="A4842" s="5" t="s">
        <v>865</v>
      </c>
      <c r="B4842" s="0" t="s">
        <v>52</v>
      </c>
      <c r="C4842" s="12" t="n">
        <f aca="false">Sens!$C$4840/Sens!$C$4841</f>
        <v>0.985729051524686</v>
      </c>
    </row>
    <row r="4843" customFormat="false" ht="17.15" hidden="false" customHeight="false" outlineLevel="0" collapsed="false">
      <c r="A4843" s="5" t="s">
        <v>866</v>
      </c>
      <c r="B4843" s="0" t="s">
        <v>73</v>
      </c>
      <c r="C4843" s="38" t="n">
        <f aca="false">Sens!$G$4820</f>
        <v>67.0428850873731</v>
      </c>
    </row>
    <row r="4844" customFormat="false" ht="17.15" hidden="false" customHeight="false" outlineLevel="0" collapsed="false">
      <c r="A4844" s="5" t="s">
        <v>867</v>
      </c>
      <c r="B4844" s="0" t="s">
        <v>73</v>
      </c>
      <c r="C4844" s="38" t="n">
        <f aca="false">(ant_val*ant_sh+oai_val*oai_sh)*(1-liq_disc)</f>
        <v>178.944</v>
      </c>
    </row>
    <row r="4845" customFormat="false" ht="15" hidden="false" customHeight="false" outlineLevel="0" collapsed="false">
      <c r="A4845" s="5" t="s">
        <v>868</v>
      </c>
      <c r="B4845" s="0" t="s">
        <v>73</v>
      </c>
      <c r="C4845" s="38" t="n">
        <f aca="false">Sens!$C$4841-Sens!$C$4843+Sens!$C$4844</f>
        <v>817.795095214574</v>
      </c>
    </row>
    <row r="4846" customFormat="false" ht="17.15" hidden="false" customHeight="false" outlineLevel="0" collapsed="false">
      <c r="A4846" s="5" t="s">
        <v>869</v>
      </c>
      <c r="B4846" s="0" t="s">
        <v>27</v>
      </c>
      <c r="C4846" s="30" t="n">
        <f aca="false">Sens!$C$4845/sh_val</f>
        <v>74.140690393272</v>
      </c>
    </row>
    <row r="4847" customFormat="false" ht="17.15" hidden="false" customHeight="false" outlineLevel="0" collapsed="false">
      <c r="A4847" s="1" t="s">
        <v>870</v>
      </c>
      <c r="B4847" s="8" t="s">
        <v>27</v>
      </c>
      <c r="C4847" s="30" t="n">
        <f aca="false">Sens!$C$4846*(1+ke)^tp_yf</f>
        <v>81.8843089014481</v>
      </c>
    </row>
    <row r="4848" customFormat="false" ht="17.15" hidden="false" customHeight="false" outlineLevel="0" collapsed="false">
      <c r="A4848" s="3" t="s">
        <v>871</v>
      </c>
    </row>
    <row r="4849" customFormat="false" ht="17.15" hidden="false" customHeight="false" outlineLevel="0" collapsed="false">
      <c r="A4849" s="5" t="s">
        <v>872</v>
      </c>
      <c r="B4849" s="0" t="s">
        <v>73</v>
      </c>
      <c r="C4849" s="38" t="n">
        <f aca="false">0.25*Sens!$H$4779+0.75*Sens!$I$4779</f>
        <v>57.5541093268329</v>
      </c>
    </row>
    <row r="4850" customFormat="false" ht="15" hidden="false" customHeight="false" outlineLevel="0" collapsed="false">
      <c r="A4850" s="5" t="s">
        <v>873</v>
      </c>
      <c r="B4850" s="0" t="s">
        <v>57</v>
      </c>
      <c r="C4850" s="30" t="n">
        <f aca="false">m_ads*m_x</f>
        <v>9.11</v>
      </c>
    </row>
    <row r="4851" customFormat="false" ht="17.15" hidden="false" customHeight="false" outlineLevel="0" collapsed="false">
      <c r="A4851" s="5" t="s">
        <v>874</v>
      </c>
      <c r="B4851" s="0" t="s">
        <v>73</v>
      </c>
      <c r="C4851" s="38" t="n">
        <f aca="false">Sens!$C$4849*Sens!$C$4850</f>
        <v>524.317935967448</v>
      </c>
    </row>
    <row r="4852" customFormat="false" ht="17.15" hidden="false" customHeight="false" outlineLevel="0" collapsed="false">
      <c r="A4852" s="5" t="s">
        <v>875</v>
      </c>
      <c r="B4852" s="0" t="s">
        <v>73</v>
      </c>
      <c r="C4852" s="38" t="n">
        <f aca="false">0.25*Sens!$H$4780+0.75*Sens!$I$4780</f>
        <v>30.6290803533085</v>
      </c>
    </row>
    <row r="4853" customFormat="false" ht="15" hidden="false" customHeight="false" outlineLevel="0" collapsed="false">
      <c r="A4853" s="5" t="s">
        <v>876</v>
      </c>
      <c r="B4853" s="0" t="s">
        <v>57</v>
      </c>
      <c r="C4853" s="30" t="n">
        <f aca="false">m_retail*m_x</f>
        <v>17.72</v>
      </c>
    </row>
    <row r="4854" customFormat="false" ht="17.15" hidden="false" customHeight="false" outlineLevel="0" collapsed="false">
      <c r="A4854" s="5" t="s">
        <v>877</v>
      </c>
      <c r="B4854" s="0" t="s">
        <v>73</v>
      </c>
      <c r="C4854" s="38" t="n">
        <f aca="false">Sens!$C$4852*Sens!$C$4853</f>
        <v>542.747303860627</v>
      </c>
    </row>
    <row r="4855" customFormat="false" ht="17.15" hidden="false" customHeight="false" outlineLevel="0" collapsed="false">
      <c r="A4855" s="0" t="s">
        <v>878</v>
      </c>
      <c r="B4855" s="0" t="s">
        <v>73</v>
      </c>
      <c r="C4855" s="38" t="n">
        <f aca="false">0.25*Sens!$H$4781+0.75*Sens!$I$4781</f>
        <v>107.575398943098</v>
      </c>
    </row>
    <row r="4856" customFormat="false" ht="17.15" hidden="false" customHeight="false" outlineLevel="0" collapsed="false">
      <c r="A4856" s="0" t="s">
        <v>879</v>
      </c>
      <c r="B4856" s="0" t="s">
        <v>57</v>
      </c>
      <c r="C4856" s="30" t="n">
        <f aca="false">m_cloud*m_x</f>
        <v>13.82</v>
      </c>
    </row>
    <row r="4857" customFormat="false" ht="17.15" hidden="false" customHeight="false" outlineLevel="0" collapsed="false">
      <c r="A4857" s="0" t="s">
        <v>880</v>
      </c>
      <c r="B4857" s="0" t="s">
        <v>73</v>
      </c>
      <c r="C4857" s="38" t="n">
        <f aca="false">Sens!$C$4855*Sens!$C$4856</f>
        <v>1486.69201339361</v>
      </c>
    </row>
    <row r="4858" customFormat="false" ht="17.15" hidden="false" customHeight="false" outlineLevel="0" collapsed="false">
      <c r="A4858" s="0" t="s">
        <v>881</v>
      </c>
      <c r="B4858" s="0" t="s">
        <v>73</v>
      </c>
      <c r="C4858" s="38" t="n">
        <f aca="false">0.25*Sens!$H$4782+0.75*Sens!$I$4782</f>
        <v>72.2947701247864</v>
      </c>
    </row>
    <row r="4859" customFormat="false" ht="17.15" hidden="false" customHeight="false" outlineLevel="0" collapsed="false">
      <c r="A4859" s="0" t="s">
        <v>882</v>
      </c>
      <c r="B4859" s="0" t="s">
        <v>57</v>
      </c>
      <c r="C4859" s="30" t="n">
        <f aca="false">m_ai</f>
        <v>6</v>
      </c>
    </row>
    <row r="4860" customFormat="false" ht="17.15" hidden="false" customHeight="false" outlineLevel="0" collapsed="false">
      <c r="A4860" s="0" t="s">
        <v>883</v>
      </c>
      <c r="B4860" s="0" t="s">
        <v>73</v>
      </c>
      <c r="C4860" s="38" t="n">
        <f aca="false">Sens!$C$4858*Sens!$C$4859</f>
        <v>433.768620748718</v>
      </c>
    </row>
    <row r="4861" customFormat="false" ht="17.15" hidden="false" customHeight="false" outlineLevel="0" collapsed="false">
      <c r="A4861" s="5" t="s">
        <v>884</v>
      </c>
      <c r="B4861" s="0" t="s">
        <v>73</v>
      </c>
      <c r="C4861" s="38" t="n">
        <f aca="false">Sens!$C$4851+Sens!$C$4854+Sens!$C$4857+Sens!$C$4860</f>
        <v>2987.5258739704</v>
      </c>
    </row>
    <row r="4862" customFormat="false" ht="17.15" hidden="false" customHeight="false" outlineLevel="0" collapsed="false">
      <c r="A4862" s="5" t="s">
        <v>885</v>
      </c>
      <c r="B4862" s="0" t="s">
        <v>73</v>
      </c>
      <c r="C4862" s="38" t="n">
        <f aca="false">Sens!$H$4820</f>
        <v>113.741590679904</v>
      </c>
    </row>
    <row r="4863" customFormat="false" ht="15" hidden="false" customHeight="false" outlineLevel="0" collapsed="false">
      <c r="A4863" s="5" t="s">
        <v>886</v>
      </c>
      <c r="B4863" s="0" t="s">
        <v>73</v>
      </c>
      <c r="C4863" s="38" t="n">
        <f aca="false">Sens!$C$4861-Sens!$C$4862+Sens!$C$4844</f>
        <v>3052.7282832905</v>
      </c>
    </row>
    <row r="4864" customFormat="false" ht="15" hidden="false" customHeight="false" outlineLevel="0" collapsed="false">
      <c r="A4864" s="3" t="s">
        <v>887</v>
      </c>
      <c r="B4864" s="8" t="s">
        <v>27</v>
      </c>
      <c r="C4864" s="30" t="n">
        <f aca="false">Sens!$C$4863/sh_val</f>
        <v>276.758058137828</v>
      </c>
    </row>
    <row r="4865" customFormat="false" ht="17.15" hidden="false" customHeight="false" outlineLevel="0" collapsed="false">
      <c r="A4865" s="46" t="s">
        <v>888</v>
      </c>
      <c r="B4865" s="13" t="s">
        <v>27</v>
      </c>
      <c r="C4865" s="43" t="n">
        <f aca="false">w_dcf*Sens!$C$4847+(1-w_dcf)*Sens!$C$4864</f>
        <v>179.321183519638</v>
      </c>
      <c r="D4865" s="13"/>
      <c r="E4865" s="13"/>
      <c r="F4865" s="13"/>
      <c r="G4865" s="13"/>
      <c r="H4865" s="13"/>
      <c r="I4865" s="13"/>
      <c r="J4865" s="13"/>
      <c r="K4865" s="13"/>
      <c r="L4865" s="13"/>
      <c r="M4865" s="13"/>
      <c r="N4865" s="13"/>
      <c r="O4865" s="13"/>
    </row>
    <row r="4866" customFormat="false" ht="17.15" hidden="false" customHeight="false" outlineLevel="0" collapsed="false">
      <c r="A4866" s="5" t="s">
        <v>889</v>
      </c>
      <c r="B4866" s="0" t="s">
        <v>27</v>
      </c>
      <c r="C4866" s="30" t="n">
        <f aca="false">0.45*Sens!$C$4847+0.55*Sens!$C$4864</f>
        <v>189.064870981457</v>
      </c>
    </row>
    <row r="4869" customFormat="false" ht="19.4" hidden="false" customHeight="false" outlineLevel="0" collapsed="false">
      <c r="A4869" s="31" t="s">
        <v>1150</v>
      </c>
    </row>
    <row r="4870" customFormat="false" ht="17.15" hidden="false" customHeight="false" outlineLevel="0" collapsed="false">
      <c r="A4870" s="6" t="s">
        <v>16</v>
      </c>
      <c r="B4870" s="6" t="s">
        <v>17</v>
      </c>
      <c r="C4870" s="20" t="s">
        <v>457</v>
      </c>
      <c r="D4870" s="20" t="s">
        <v>458</v>
      </c>
      <c r="E4870" s="20" t="s">
        <v>540</v>
      </c>
      <c r="F4870" s="20" t="s">
        <v>541</v>
      </c>
      <c r="G4870" s="20" t="s">
        <v>542</v>
      </c>
      <c r="H4870" s="20" t="s">
        <v>543</v>
      </c>
      <c r="I4870" s="20" t="s">
        <v>544</v>
      </c>
      <c r="J4870" s="20" t="s">
        <v>545</v>
      </c>
      <c r="K4870" s="20" t="s">
        <v>546</v>
      </c>
      <c r="L4870" s="20" t="s">
        <v>547</v>
      </c>
      <c r="M4870" s="20" t="s">
        <v>548</v>
      </c>
      <c r="N4870" s="20" t="s">
        <v>549</v>
      </c>
      <c r="O4870" s="20" t="s">
        <v>550</v>
      </c>
      <c r="P4870" s="6" t="s">
        <v>23</v>
      </c>
      <c r="R4870" s="20" t="n">
        <v>2023</v>
      </c>
      <c r="S4870" s="20" t="n">
        <v>2024</v>
      </c>
      <c r="T4870" s="20" t="n">
        <v>2025</v>
      </c>
      <c r="U4870" s="20" t="n">
        <v>2026</v>
      </c>
      <c r="V4870" s="20" t="n">
        <v>2027</v>
      </c>
      <c r="W4870" s="20" t="n">
        <v>2028</v>
      </c>
      <c r="X4870" s="20" t="n">
        <v>2029</v>
      </c>
      <c r="Y4870" s="20" t="n">
        <v>2030</v>
      </c>
      <c r="Z4870" s="20" t="n">
        <v>2031</v>
      </c>
      <c r="AA4870" s="20" t="n">
        <v>2032</v>
      </c>
    </row>
    <row r="4871" customFormat="false" ht="17.15" hidden="false" customHeight="false" outlineLevel="0" collapsed="false">
      <c r="A4871" s="1" t="s">
        <v>621</v>
      </c>
    </row>
    <row r="4872" customFormat="false" ht="17.15" hidden="false" customHeight="false" outlineLevel="0" collapsed="false">
      <c r="A4872" s="0" t="s">
        <v>479</v>
      </c>
      <c r="B4872" s="0" t="s">
        <v>73</v>
      </c>
      <c r="C4872" s="38" t="n">
        <f aca="false">Q!$D$10</f>
        <v>247.029</v>
      </c>
      <c r="D4872" s="38" t="n">
        <f aca="false">Q!$E$10</f>
        <v>269.287</v>
      </c>
      <c r="E4872" s="38" t="n">
        <f aca="false">Q!$P$10</f>
        <v>134.686</v>
      </c>
      <c r="F4872" s="38" t="n">
        <f aca="false">Sens!$O$4872*(1+Sens!$F$4873)-pd_amt*Q!$O$10/(Q!$O$10+Q!$O$12)</f>
        <v>160.728085930082</v>
      </c>
      <c r="G4872" s="38" t="n">
        <f aca="false">Sens!$E$4872+Sens!$F$4872</f>
        <v>295.414085930082</v>
      </c>
      <c r="H4872" s="38" t="n">
        <f aca="false">Sens!$G$4872*(1+Sens!$H$4873)</f>
        <v>320.828163943375</v>
      </c>
      <c r="I4872" s="38" t="n">
        <f aca="false">Sens!$H$4872*(1+Sens!$I$4873)</f>
        <v>344.575578072228</v>
      </c>
      <c r="J4872" s="38" t="n">
        <f aca="false">Sens!$I$4872*(1+Sens!$J$4873)</f>
        <v>365.942555779681</v>
      </c>
      <c r="K4872" s="38" t="n">
        <f aca="false">Sens!$J$4872*(1+Sens!$K$4873)</f>
        <v>384.239683568665</v>
      </c>
      <c r="L4872" s="38" t="n">
        <f aca="false">Sens!$K$4872*(1+Sens!$L$4873)</f>
        <v>403.451667747098</v>
      </c>
      <c r="M4872" s="38" t="n">
        <f aca="false">Sens!$L$4872*(1+Sens!$M$4873)</f>
        <v>423.624251134453</v>
      </c>
      <c r="N4872" s="38" t="n">
        <f aca="false">Q!$N$10</f>
        <v>118.892</v>
      </c>
      <c r="O4872" s="38" t="n">
        <f aca="false">Q!$O$10</f>
        <v>150.395</v>
      </c>
      <c r="P4872" s="8" t="s">
        <v>622</v>
      </c>
    </row>
    <row r="4873" customFormat="false" ht="17.15" hidden="false" customHeight="false" outlineLevel="0" collapsed="false">
      <c r="A4873" s="0" t="s">
        <v>623</v>
      </c>
      <c r="B4873" s="0" t="s">
        <v>52</v>
      </c>
      <c r="E4873" s="12" t="n">
        <f aca="false">Sens!$E$4872/Sens!$N$4872-1</f>
        <v>0.132843252699929</v>
      </c>
      <c r="F4873" s="12" t="n">
        <f aca="false">Sens!$O$4872/(Q!$F$10+Q!$G$10)-1</f>
        <v>0.0980382135842941</v>
      </c>
      <c r="G4873" s="12" t="n">
        <f aca="false">Sens!$G$4872/Sens!$D$4872-1</f>
        <v>0.0970231980380869</v>
      </c>
      <c r="H4873" s="12" t="n">
        <f aca="false">Sens!$F$4873+(g_os-Sens!$F$4873)*1/4</f>
        <v>0.0860286601882206</v>
      </c>
      <c r="I4873" s="12" t="n">
        <f aca="false">Sens!$F$4873+(g_os-Sens!$F$4873)*2/4</f>
        <v>0.074019106792147</v>
      </c>
      <c r="J4873" s="12" t="n">
        <f aca="false">Sens!$F$4873+(g_os-Sens!$F$4873)*3/4</f>
        <v>0.0620095533960735</v>
      </c>
      <c r="K4873" s="12" t="n">
        <f aca="false">Sens!$F$4873+(g_os-Sens!$F$4873)*4/4</f>
        <v>0.05</v>
      </c>
      <c r="L4873" s="12" t="n">
        <f aca="false">g_os</f>
        <v>0.05</v>
      </c>
      <c r="M4873" s="12" t="n">
        <f aca="false">g_os</f>
        <v>0.05</v>
      </c>
      <c r="P4873" s="8" t="s">
        <v>624</v>
      </c>
    </row>
    <row r="4874" customFormat="false" ht="17.15" hidden="false" customHeight="false" outlineLevel="0" collapsed="false">
      <c r="A4874" s="0" t="s">
        <v>480</v>
      </c>
      <c r="B4874" s="0" t="s">
        <v>73</v>
      </c>
      <c r="C4874" s="38" t="n">
        <f aca="false">Q!$D$11</f>
        <v>21.215</v>
      </c>
      <c r="D4874" s="38" t="n">
        <f aca="false">Q!$E$11</f>
        <v>22.561</v>
      </c>
      <c r="E4874" s="38" t="n">
        <f aca="false">Q!$P$11</f>
        <v>11.579</v>
      </c>
      <c r="F4874" s="38" t="n">
        <f aca="false">Sens!$O$4874*(1+Sens!$F$4875)</f>
        <v>12.0952613121125</v>
      </c>
      <c r="G4874" s="38" t="n">
        <f aca="false">Sens!$E$4874+Sens!$F$4874</f>
        <v>23.6742613121125</v>
      </c>
      <c r="H4874" s="38" t="n">
        <f aca="false">Sens!$G$4874*(1+Sens!$H$4875)</f>
        <v>24.8803243963206</v>
      </c>
      <c r="I4874" s="38" t="n">
        <f aca="false">Sens!$H$4874*(1+Sens!$I$4875)</f>
        <v>25.9741308664154</v>
      </c>
      <c r="J4874" s="38" t="n">
        <f aca="false">Sens!$I$4874*(1+Sens!$J$4875)</f>
        <v>26.9346894124267</v>
      </c>
      <c r="K4874" s="38" t="n">
        <f aca="false">Sens!$J$4874*(1+Sens!$K$4875)</f>
        <v>27.7427300947995</v>
      </c>
      <c r="L4874" s="38" t="n">
        <f aca="false">Sens!$K$4874*(1+Sens!$L$4875)</f>
        <v>28.5750119976435</v>
      </c>
      <c r="M4874" s="38" t="n">
        <f aca="false">Sens!$L$4874*(1+Sens!$M$4875)</f>
        <v>29.4322623575728</v>
      </c>
      <c r="N4874" s="38" t="n">
        <f aca="false">Q!$N$11</f>
        <v>11.128</v>
      </c>
      <c r="O4874" s="38" t="n">
        <f aca="false">Q!$O$11</f>
        <v>11.433</v>
      </c>
      <c r="P4874" s="8" t="s">
        <v>622</v>
      </c>
    </row>
    <row r="4875" customFormat="false" ht="17.15" hidden="false" customHeight="false" outlineLevel="0" collapsed="false">
      <c r="A4875" s="0" t="s">
        <v>625</v>
      </c>
      <c r="B4875" s="0" t="s">
        <v>52</v>
      </c>
      <c r="E4875" s="12" t="n">
        <f aca="false">Sens!$E$4874/Sens!$N$4874-1</f>
        <v>0.0405283968368082</v>
      </c>
      <c r="F4875" s="12" t="n">
        <f aca="false">Sens!$O$4874/(Q!$F$11+Q!$G$11)-1</f>
        <v>0.0579254187100955</v>
      </c>
      <c r="G4875" s="12" t="n">
        <f aca="false">Sens!$G$4874/Sens!$D$4874-1</f>
        <v>0.0493445021103904</v>
      </c>
      <c r="H4875" s="12" t="n">
        <f aca="false">Sens!$F$4875+(g_ps-Sens!$F$4875)*1/4</f>
        <v>0.0509440640325716</v>
      </c>
      <c r="I4875" s="12" t="n">
        <f aca="false">Sens!$F$4875+(g_ps-Sens!$F$4875)*2/4</f>
        <v>0.0439627093550477</v>
      </c>
      <c r="J4875" s="12" t="n">
        <f aca="false">Sens!$F$4875+(g_ps-Sens!$F$4875)*3/4</f>
        <v>0.0369813546775239</v>
      </c>
      <c r="K4875" s="12" t="n">
        <f aca="false">Sens!$F$4875+(g_ps-Sens!$F$4875)*4/4</f>
        <v>0.03</v>
      </c>
      <c r="L4875" s="12" t="n">
        <f aca="false">g_ps</f>
        <v>0.03</v>
      </c>
      <c r="M4875" s="12" t="n">
        <f aca="false">g_ps</f>
        <v>0.03</v>
      </c>
      <c r="P4875" s="8" t="s">
        <v>626</v>
      </c>
    </row>
    <row r="4876" customFormat="false" ht="17.15" hidden="false" customHeight="false" outlineLevel="0" collapsed="false">
      <c r="A4876" s="0" t="s">
        <v>481</v>
      </c>
      <c r="B4876" s="0" t="s">
        <v>73</v>
      </c>
      <c r="C4876" s="38" t="n">
        <f aca="false">Q!$D$12</f>
        <v>156.146</v>
      </c>
      <c r="D4876" s="38" t="n">
        <f aca="false">Q!$E$12</f>
        <v>172.162</v>
      </c>
      <c r="E4876" s="38" t="n">
        <f aca="false">Q!$P$12</f>
        <v>88.358</v>
      </c>
      <c r="F4876" s="38" t="n">
        <f aca="false">Sens!$O$4876*(1+Sens!$F$4877)-pd_amt*Q!$O$12/(Q!$O$10+Q!$O$12)</f>
        <v>103.62028337149</v>
      </c>
      <c r="G4876" s="38" t="n">
        <f aca="false">Sens!$E$4876+Sens!$F$4876</f>
        <v>191.97828337149</v>
      </c>
      <c r="H4876" s="38" t="n">
        <f aca="false">Sens!$G$4876*(1+Sens!$H$4877)</f>
        <v>212.128608444755</v>
      </c>
      <c r="I4876" s="38" t="n">
        <f aca="false">Sens!$H$4876*(1+Sens!$I$4877)</f>
        <v>231.92183134134</v>
      </c>
      <c r="J4876" s="38" t="n">
        <f aca="false">Sens!$I$4876*(1+Sens!$J$4877)</f>
        <v>250.859136487863</v>
      </c>
      <c r="K4876" s="38" t="n">
        <f aca="false">Sens!$J$4876*(1+Sens!$K$4877)</f>
        <v>268.419276042014</v>
      </c>
      <c r="L4876" s="38" t="n">
        <f aca="false">Sens!$K$4876*(1+Sens!$L$4877)</f>
        <v>287.208625364954</v>
      </c>
      <c r="M4876" s="38" t="n">
        <f aca="false">Sens!$L$4876*(1+Sens!$M$4877)</f>
        <v>307.313229140501</v>
      </c>
      <c r="N4876" s="38" t="n">
        <f aca="false">Q!$N$12</f>
        <v>76.86</v>
      </c>
      <c r="O4876" s="38" t="n">
        <f aca="false">Q!$O$12</f>
        <v>95.302</v>
      </c>
      <c r="P4876" s="8" t="s">
        <v>622</v>
      </c>
    </row>
    <row r="4877" customFormat="false" ht="17.15" hidden="false" customHeight="false" outlineLevel="0" collapsed="false">
      <c r="A4877" s="0" t="s">
        <v>627</v>
      </c>
      <c r="B4877" s="0" t="s">
        <v>52</v>
      </c>
      <c r="E4877" s="12" t="n">
        <f aca="false">Sens!$E$4876/Sens!$N$4876-1</f>
        <v>0.1495966692688</v>
      </c>
      <c r="F4877" s="12" t="n">
        <f aca="false">Sens!$O$4876/(Q!$F$12+Q!$G$12)-1</f>
        <v>0.11661530890813</v>
      </c>
      <c r="G4877" s="12" t="n">
        <f aca="false">Sens!$G$4876/Sens!$D$4876-1</f>
        <v>0.115102539303041</v>
      </c>
      <c r="H4877" s="12" t="n">
        <f aca="false">Sens!$F$4877+(g_sp-Sens!$F$4877)*1/4</f>
        <v>0.104961481681098</v>
      </c>
      <c r="I4877" s="12" t="n">
        <f aca="false">Sens!$F$4877+(g_sp-Sens!$F$4877)*2/4</f>
        <v>0.0933076544540651</v>
      </c>
      <c r="J4877" s="12" t="n">
        <f aca="false">Sens!$F$4877+(g_sp-Sens!$F$4877)*3/4</f>
        <v>0.0816538272270325</v>
      </c>
      <c r="K4877" s="12" t="n">
        <f aca="false">Sens!$F$4877+(g_sp-Sens!$F$4877)*4/4</f>
        <v>0.07</v>
      </c>
      <c r="L4877" s="12" t="n">
        <f aca="false">g_sp</f>
        <v>0.07</v>
      </c>
      <c r="M4877" s="12" t="n">
        <f aca="false">g_sp</f>
        <v>0.07</v>
      </c>
      <c r="P4877" s="8" t="s">
        <v>628</v>
      </c>
    </row>
    <row r="4878" customFormat="false" ht="17.15" hidden="false" customHeight="false" outlineLevel="0" collapsed="false">
      <c r="A4878" s="0" t="s">
        <v>482</v>
      </c>
      <c r="B4878" s="0" t="s">
        <v>73</v>
      </c>
      <c r="C4878" s="38" t="n">
        <f aca="false">Q!$D$13</f>
        <v>56.214</v>
      </c>
      <c r="D4878" s="38" t="n">
        <f aca="false">Q!$E$13</f>
        <v>68.635</v>
      </c>
      <c r="E4878" s="38" t="n">
        <f aca="false">Q!$P$13</f>
        <v>37.052</v>
      </c>
      <c r="F4878" s="38" t="n">
        <f aca="false">Sens!$O$4878*(1+Sens!$F$4879)</f>
        <v>48.1533381827382</v>
      </c>
      <c r="G4878" s="38" t="n">
        <f aca="false">Sens!$E$4878+Sens!$F$4878</f>
        <v>85.2053381827382</v>
      </c>
      <c r="H4878" s="38" t="n">
        <f aca="false">Sens!$G$4878*(1+Sens!$H$4879)</f>
        <v>102.29336185894</v>
      </c>
      <c r="I4878" s="38" t="n">
        <f aca="false">Sens!$H$4878*(1+Sens!$I$4879)</f>
        <v>119.379837585241</v>
      </c>
      <c r="J4878" s="38" t="n">
        <f aca="false">Sens!$I$4878*(1+Sens!$J$4879)</f>
        <v>135.319079048844</v>
      </c>
      <c r="K4878" s="38" t="n">
        <f aca="false">Sens!$J$4878*(1+Sens!$K$4879)</f>
        <v>148.850986953729</v>
      </c>
      <c r="L4878" s="38" t="n">
        <f aca="false">Sens!$K$4878*(1+Sens!$L$4879)</f>
        <v>163.736085649102</v>
      </c>
      <c r="M4878" s="38" t="n">
        <f aca="false">Sens!$L$4878*(1+Sens!$M$4879)</f>
        <v>180.109694214012</v>
      </c>
      <c r="N4878" s="38" t="n">
        <f aca="false">Q!$N$13</f>
        <v>29.615</v>
      </c>
      <c r="O4878" s="38" t="n">
        <f aca="false">Q!$O$13</f>
        <v>39.02</v>
      </c>
      <c r="P4878" s="8" t="s">
        <v>622</v>
      </c>
    </row>
    <row r="4879" customFormat="false" ht="17.15" hidden="false" customHeight="false" outlineLevel="0" collapsed="false">
      <c r="A4879" s="0" t="s">
        <v>629</v>
      </c>
      <c r="B4879" s="0" t="s">
        <v>52</v>
      </c>
      <c r="E4879" s="12" t="n">
        <f aca="false">Sens!$E$4878/Sens!$N$4878-1</f>
        <v>0.25112274185379</v>
      </c>
      <c r="F4879" s="12" t="n">
        <f aca="false">Sens!$O$4878/(Q!$F$13+Q!$G$13)-1</f>
        <v>0.234068123596572</v>
      </c>
      <c r="G4879" s="12" t="n">
        <f aca="false">Sens!$G$4878/Sens!$D$4878-1</f>
        <v>0.241426942270536</v>
      </c>
      <c r="H4879" s="12" t="n">
        <f aca="false">Sens!$F$4879+(g_ad-Sens!$F$4879)*1/4</f>
        <v>0.200551092697429</v>
      </c>
      <c r="I4879" s="12" t="n">
        <f aca="false">Sens!$F$4879+(g_ad-Sens!$F$4879)*2/4</f>
        <v>0.167034061798286</v>
      </c>
      <c r="J4879" s="12" t="n">
        <f aca="false">Sens!$F$4879+(g_ad-Sens!$F$4879)*3/4</f>
        <v>0.133517030899143</v>
      </c>
      <c r="K4879" s="12" t="n">
        <f aca="false">Sens!$F$4879+(g_ad-Sens!$F$4879)*4/4</f>
        <v>0.1</v>
      </c>
      <c r="L4879" s="12" t="n">
        <f aca="false">g_ad</f>
        <v>0.1</v>
      </c>
      <c r="M4879" s="12" t="n">
        <f aca="false">g_ad</f>
        <v>0.1</v>
      </c>
      <c r="P4879" s="8" t="s">
        <v>630</v>
      </c>
    </row>
    <row r="4880" customFormat="false" ht="17.15" hidden="false" customHeight="false" outlineLevel="0" collapsed="false">
      <c r="A4880" s="0" t="s">
        <v>483</v>
      </c>
      <c r="B4880" s="0" t="s">
        <v>73</v>
      </c>
      <c r="C4880" s="38" t="n">
        <f aca="false">Q!$D$14</f>
        <v>44.374</v>
      </c>
      <c r="D4880" s="38" t="n">
        <f aca="false">Q!$E$14</f>
        <v>49.619</v>
      </c>
      <c r="E4880" s="38" t="n">
        <f aca="false">Q!$P$14</f>
        <v>27.157</v>
      </c>
      <c r="F4880" s="38" t="n">
        <f aca="false">Sens!$O$4880*(1+Sens!$F$4881)</f>
        <v>28.9776360923374</v>
      </c>
      <c r="G4880" s="38" t="n">
        <f aca="false">Sens!$E$4880+Sens!$F$4880</f>
        <v>56.1346360923374</v>
      </c>
      <c r="H4880" s="38" t="n">
        <f aca="false">Sens!$G$4880*(1+Sens!$H$4881)</f>
        <v>62.4937078946075</v>
      </c>
      <c r="I4880" s="38" t="n">
        <f aca="false">Sens!$H$4880*(1+Sens!$I$4881)</f>
        <v>68.6715233062498</v>
      </c>
      <c r="J4880" s="38" t="n">
        <f aca="false">Sens!$I$4880*(1+Sens!$J$4881)</f>
        <v>74.4692882949818</v>
      </c>
      <c r="K4880" s="38" t="n">
        <f aca="false">Sens!$J$4880*(1+Sens!$K$4881)</f>
        <v>79.6821384756306</v>
      </c>
      <c r="L4880" s="38" t="n">
        <f aca="false">Sens!$K$4880*(1+Sens!$L$4881)</f>
        <v>85.2598881689247</v>
      </c>
      <c r="M4880" s="38" t="n">
        <f aca="false">Sens!$L$4880*(1+Sens!$M$4881)</f>
        <v>91.2280803407494</v>
      </c>
      <c r="N4880" s="38" t="n">
        <f aca="false">Q!$N$14</f>
        <v>23.923</v>
      </c>
      <c r="O4880" s="38" t="n">
        <f aca="false">Q!$O$14</f>
        <v>25.696</v>
      </c>
      <c r="P4880" s="8" t="s">
        <v>622</v>
      </c>
    </row>
    <row r="4881" customFormat="false" ht="17.15" hidden="false" customHeight="false" outlineLevel="0" collapsed="false">
      <c r="A4881" s="0" t="s">
        <v>631</v>
      </c>
      <c r="B4881" s="0" t="s">
        <v>52</v>
      </c>
      <c r="E4881" s="12" t="n">
        <f aca="false">Sens!$E$4880/Sens!$N$4880-1</f>
        <v>0.135183714417088</v>
      </c>
      <c r="F4881" s="12" t="n">
        <f aca="false">Sens!$O$4880/(Q!$F$14+Q!$G$14)-1</f>
        <v>0.127709997366804</v>
      </c>
      <c r="G4881" s="12" t="n">
        <f aca="false">Sens!$G$4880/Sens!$D$4880-1</f>
        <v>0.131313329416905</v>
      </c>
      <c r="H4881" s="12" t="n">
        <f aca="false">Sens!$F$4881+(g_sub-Sens!$F$4881)*1/4</f>
        <v>0.113282498025103</v>
      </c>
      <c r="I4881" s="12" t="n">
        <f aca="false">Sens!$F$4881+(g_sub-Sens!$F$4881)*2/4</f>
        <v>0.0988549986834021</v>
      </c>
      <c r="J4881" s="12" t="n">
        <f aca="false">Sens!$F$4881+(g_sub-Sens!$F$4881)*3/4</f>
        <v>0.084427499341701</v>
      </c>
      <c r="K4881" s="12" t="n">
        <f aca="false">Sens!$F$4881+(g_sub-Sens!$F$4881)*4/4</f>
        <v>0.07</v>
      </c>
      <c r="L4881" s="12" t="n">
        <f aca="false">g_sub</f>
        <v>0.07</v>
      </c>
      <c r="M4881" s="12" t="n">
        <f aca="false">g_sub</f>
        <v>0.07</v>
      </c>
      <c r="P4881" s="8" t="s">
        <v>632</v>
      </c>
    </row>
    <row r="4882" customFormat="false" ht="17.15" hidden="false" customHeight="false" outlineLevel="0" collapsed="false">
      <c r="A4882" s="0" t="s">
        <v>484</v>
      </c>
      <c r="B4882" s="0" t="s">
        <v>73</v>
      </c>
      <c r="C4882" s="38" t="n">
        <f aca="false">Q!$D$15</f>
        <v>5.425</v>
      </c>
      <c r="D4882" s="38" t="n">
        <f aca="false">Q!$E$15</f>
        <v>5.935</v>
      </c>
      <c r="E4882" s="38" t="n">
        <f aca="false">Q!$P$15</f>
        <v>3.474</v>
      </c>
      <c r="F4882" s="38" t="n">
        <f aca="false">Sens!$O$4882*(1+Sens!$F$4883)</f>
        <v>3.36182431966931</v>
      </c>
      <c r="G4882" s="38" t="n">
        <f aca="false">Sens!$E$4882+Sens!$F$4882</f>
        <v>6.83582431966931</v>
      </c>
      <c r="H4882" s="38" t="n">
        <f aca="false">Sens!$G$4882*(1+Sens!$H$4883)</f>
        <v>7.31157108370141</v>
      </c>
      <c r="I4882" s="38" t="n">
        <f aca="false">Sens!$H$4882*(1+Sens!$I$4883)</f>
        <v>7.77266852639815</v>
      </c>
      <c r="J4882" s="38" t="n">
        <f aca="false">Sens!$I$4882*(1+Sens!$J$4883)</f>
        <v>8.2120733019884</v>
      </c>
      <c r="K4882" s="38" t="n">
        <f aca="false">Sens!$J$4882*(1+Sens!$K$4883)</f>
        <v>8.62267696708783</v>
      </c>
      <c r="L4882" s="38" t="n">
        <f aca="false">Sens!$K$4882*(1+Sens!$L$4883)</f>
        <v>9.05381081544222</v>
      </c>
      <c r="M4882" s="38" t="n">
        <f aca="false">Sens!$L$4882*(1+Sens!$M$4883)</f>
        <v>9.50650135621433</v>
      </c>
      <c r="N4882" s="38" t="n">
        <f aca="false">Q!$N$15</f>
        <v>2.811</v>
      </c>
      <c r="O4882" s="38" t="n">
        <f aca="false">Q!$O$15</f>
        <v>3.124</v>
      </c>
      <c r="P4882" s="8" t="s">
        <v>622</v>
      </c>
    </row>
    <row r="4883" customFormat="false" ht="17.15" hidden="false" customHeight="false" outlineLevel="0" collapsed="false">
      <c r="A4883" s="0" t="s">
        <v>633</v>
      </c>
      <c r="B4883" s="0" t="s">
        <v>52</v>
      </c>
      <c r="E4883" s="12" t="n">
        <f aca="false">Sens!$E$4882/Sens!$N$4882-1</f>
        <v>0.235859124866596</v>
      </c>
      <c r="F4883" s="12" t="n">
        <f aca="false">Sens!$O$4882/(Q!$F$15+Q!$G$15)-1</f>
        <v>0.0761281433000345</v>
      </c>
      <c r="G4883" s="12" t="n">
        <f aca="false">Sens!$G$4882/Sens!$D$4882-1</f>
        <v>0.151781688234087</v>
      </c>
      <c r="H4883" s="12" t="n">
        <f aca="false">Sens!$F$4883+(g_ot-Sens!$F$4883)*1/4</f>
        <v>0.0695961074750259</v>
      </c>
      <c r="I4883" s="12" t="n">
        <f aca="false">Sens!$F$4883+(g_ot-Sens!$F$4883)*2/4</f>
        <v>0.0630640716500172</v>
      </c>
      <c r="J4883" s="12" t="n">
        <f aca="false">Sens!$F$4883+(g_ot-Sens!$F$4883)*3/4</f>
        <v>0.0565320358250086</v>
      </c>
      <c r="K4883" s="12" t="n">
        <f aca="false">Sens!$F$4883+(g_ot-Sens!$F$4883)*4/4</f>
        <v>0.05</v>
      </c>
      <c r="L4883" s="12" t="n">
        <f aca="false">g_ot</f>
        <v>0.05</v>
      </c>
      <c r="M4883" s="12" t="n">
        <f aca="false">g_ot</f>
        <v>0.05</v>
      </c>
      <c r="P4883" s="8" t="s">
        <v>634</v>
      </c>
    </row>
    <row r="4884" customFormat="false" ht="17.15" hidden="false" customHeight="false" outlineLevel="0" collapsed="false">
      <c r="A4884" s="3" t="s">
        <v>635</v>
      </c>
      <c r="B4884" s="8" t="s">
        <v>73</v>
      </c>
      <c r="C4884" s="38" t="n">
        <f aca="false">Sens!$C$4872+Sens!$C$4874+Sens!$C$4876+Sens!$C$4878+Sens!$C$4880+Sens!$C$4882</f>
        <v>530.403</v>
      </c>
      <c r="D4884" s="38" t="n">
        <f aca="false">Sens!$D$4872+Sens!$D$4874+Sens!$D$4876+Sens!$D$4878+Sens!$D$4880+Sens!$D$4882</f>
        <v>588.199</v>
      </c>
      <c r="E4884" s="38" t="n">
        <f aca="false">Sens!$E$4872+Sens!$E$4874+Sens!$E$4876+Sens!$E$4878+Sens!$E$4880+Sens!$E$4882</f>
        <v>302.306</v>
      </c>
      <c r="F4884" s="38" t="n">
        <f aca="false">Sens!$F$4872+Sens!$F$4874+Sens!$F$4876+Sens!$F$4878+Sens!$F$4880+Sens!$F$4882</f>
        <v>356.93642920843</v>
      </c>
      <c r="G4884" s="38" t="n">
        <f aca="false">Sens!$G$4872+Sens!$G$4874+Sens!$G$4876+Sens!$G$4878+Sens!$G$4880+Sens!$G$4882</f>
        <v>659.24242920843</v>
      </c>
      <c r="H4884" s="38" t="n">
        <f aca="false">Sens!$H$4872+Sens!$H$4874+Sens!$H$4876+Sens!$H$4878+Sens!$H$4880+Sens!$H$4882</f>
        <v>729.935737621701</v>
      </c>
      <c r="I4884" s="38" t="n">
        <f aca="false">Sens!$I$4872+Sens!$I$4874+Sens!$I$4876+Sens!$I$4878+Sens!$I$4880+Sens!$I$4882</f>
        <v>798.295569697873</v>
      </c>
      <c r="J4884" s="38" t="n">
        <f aca="false">Sens!$J$4872+Sens!$J$4874+Sens!$J$4876+Sens!$J$4878+Sens!$J$4880+Sens!$J$4882</f>
        <v>861.736822325785</v>
      </c>
      <c r="K4884" s="38" t="n">
        <f aca="false">Sens!$K$4872+Sens!$K$4874+Sens!$K$4876+Sens!$K$4878+Sens!$K$4880+Sens!$K$4882</f>
        <v>917.557492101925</v>
      </c>
      <c r="L4884" s="38" t="n">
        <f aca="false">Sens!$L$4872+Sens!$L$4874+Sens!$L$4876+Sens!$L$4878+Sens!$L$4880+Sens!$L$4882</f>
        <v>977.285089743165</v>
      </c>
      <c r="M4884" s="38" t="n">
        <f aca="false">Sens!$M$4872+Sens!$M$4874+Sens!$M$4876+Sens!$M$4878+Sens!$M$4880+Sens!$M$4882</f>
        <v>1041.2140185435</v>
      </c>
      <c r="N4884" s="38" t="n">
        <f aca="false">Sens!$N$4872+Sens!$N$4874+Sens!$N$4876+Sens!$N$4878+Sens!$N$4880+Sens!$N$4882</f>
        <v>263.229</v>
      </c>
      <c r="O4884" s="38" t="n">
        <f aca="false">Sens!$O$4872+Sens!$O$4874+Sens!$O$4876+Sens!$O$4878+Sens!$O$4880+Sens!$O$4882</f>
        <v>324.97</v>
      </c>
    </row>
    <row r="4885" customFormat="false" ht="17.15" hidden="false" customHeight="false" outlineLevel="0" collapsed="false">
      <c r="A4885" s="5" t="s">
        <v>636</v>
      </c>
      <c r="B4885" s="0" t="s">
        <v>52</v>
      </c>
      <c r="C4885" s="12" t="n">
        <f aca="false">Q!$D$5/(Q!$D$5+Q!$D$6)</f>
        <v>0.730570905519011</v>
      </c>
      <c r="D4885" s="12" t="n">
        <f aca="false">Q!$E$5/(Q!$E$5+Q!$E$6)</f>
        <v>0.724763217890544</v>
      </c>
      <c r="E4885" s="12" t="n">
        <f aca="false">Q!$P$5/(Q!$P$5+Q!$P$6)</f>
        <v>0.728797972914861</v>
      </c>
      <c r="F4885" s="12" t="n">
        <f aca="false">Sens!$O$4885</f>
        <v>0.718066283041511</v>
      </c>
      <c r="G4885" s="12" t="n">
        <f aca="false">Sens!$G$4886/Sens!$G$4884</f>
        <v>0.722987468473627</v>
      </c>
      <c r="H4885" s="12" t="n">
        <f aca="false">Sens!$G$4885</f>
        <v>0.722987468473627</v>
      </c>
      <c r="I4885" s="12" t="n">
        <f aca="false">Sens!$G$4885</f>
        <v>0.722987468473627</v>
      </c>
      <c r="J4885" s="12" t="n">
        <f aca="false">Sens!$G$4885</f>
        <v>0.722987468473627</v>
      </c>
      <c r="K4885" s="12" t="n">
        <f aca="false">Sens!$G$4885</f>
        <v>0.722987468473627</v>
      </c>
      <c r="L4885" s="12" t="n">
        <f aca="false">Sens!$G$4885</f>
        <v>0.722987468473627</v>
      </c>
      <c r="M4885" s="12" t="n">
        <f aca="false">Sens!$G$4885</f>
        <v>0.722987468473627</v>
      </c>
      <c r="N4885" s="12" t="n">
        <f aca="false">Q!$N$5/(Q!$N$5+Q!$N$6)</f>
        <v>0.733030935041352</v>
      </c>
      <c r="O4885" s="12" t="n">
        <f aca="false">Q!$O$5/(Q!$O$5+Q!$O$6)</f>
        <v>0.718066283041511</v>
      </c>
      <c r="P4885" s="8" t="s">
        <v>637</v>
      </c>
    </row>
    <row r="4886" customFormat="false" ht="17.15" hidden="false" customHeight="false" outlineLevel="0" collapsed="false">
      <c r="A4886" s="1" t="s">
        <v>472</v>
      </c>
      <c r="B4886" s="8" t="s">
        <v>73</v>
      </c>
      <c r="C4886" s="38" t="n">
        <f aca="false">Q!$D$5</f>
        <v>387.497</v>
      </c>
      <c r="D4886" s="38" t="n">
        <f aca="false">Q!$E$5</f>
        <v>426.305</v>
      </c>
      <c r="E4886" s="38" t="n">
        <f aca="false">Q!$P$5</f>
        <v>220.32</v>
      </c>
      <c r="F4886" s="38" t="n">
        <f aca="false">Sens!$F$4884*Sens!$F$4885</f>
        <v>256.304015003807</v>
      </c>
      <c r="G4886" s="38" t="n">
        <f aca="false">Sens!$E$4886+Sens!$F$4886</f>
        <v>476.624015003807</v>
      </c>
      <c r="H4886" s="38" t="n">
        <f aca="false">Sens!$H$4884*Sens!$H$4885</f>
        <v>527.734391091543</v>
      </c>
      <c r="I4886" s="38" t="n">
        <f aca="false">Sens!$I$4884*Sens!$I$4885</f>
        <v>577.157693029577</v>
      </c>
      <c r="J4886" s="38" t="n">
        <f aca="false">Sens!$J$4884*Sens!$J$4885</f>
        <v>623.024923663827</v>
      </c>
      <c r="K4886" s="38" t="n">
        <f aca="false">Sens!$K$4884*Sens!$K$4885</f>
        <v>663.382568393781</v>
      </c>
      <c r="L4886" s="38" t="n">
        <f aca="false">Sens!$L$4884*Sens!$L$4885</f>
        <v>706.564873010432</v>
      </c>
      <c r="M4886" s="38" t="n">
        <f aca="false">Sens!$M$4884*Sens!$M$4885</f>
        <v>752.784687406019</v>
      </c>
      <c r="N4886" s="38" t="n">
        <f aca="false">Q!$N$5</f>
        <v>192.955</v>
      </c>
      <c r="O4886" s="38" t="n">
        <f aca="false">Q!$O$5</f>
        <v>233.35</v>
      </c>
      <c r="P4886" s="5" t="s">
        <v>638</v>
      </c>
    </row>
    <row r="4887" customFormat="false" ht="17.15" hidden="false" customHeight="false" outlineLevel="0" collapsed="false">
      <c r="A4887" s="1" t="s">
        <v>475</v>
      </c>
      <c r="B4887" s="8" t="s">
        <v>73</v>
      </c>
      <c r="C4887" s="38" t="n">
        <f aca="false">Q!$D$6</f>
        <v>142.906</v>
      </c>
      <c r="D4887" s="38" t="n">
        <f aca="false">Q!$E$6</f>
        <v>161.894</v>
      </c>
      <c r="E4887" s="38" t="n">
        <f aca="false">Q!$P$6</f>
        <v>81.986</v>
      </c>
      <c r="F4887" s="38" t="n">
        <f aca="false">Sens!$F$4884*(1-Sens!$F$4885)</f>
        <v>100.632414204623</v>
      </c>
      <c r="G4887" s="38" t="n">
        <f aca="false">Sens!$E$4887+Sens!$F$4887</f>
        <v>182.618414204623</v>
      </c>
      <c r="H4887" s="38" t="n">
        <f aca="false">Sens!$H$4884*(1-Sens!$H$4885)</f>
        <v>202.201346530158</v>
      </c>
      <c r="I4887" s="38" t="n">
        <f aca="false">Sens!$I$4884*(1-Sens!$I$4885)</f>
        <v>221.137876668296</v>
      </c>
      <c r="J4887" s="38" t="n">
        <f aca="false">Sens!$J$4884*(1-Sens!$J$4885)</f>
        <v>238.711898661958</v>
      </c>
      <c r="K4887" s="38" t="n">
        <f aca="false">Sens!$K$4884*(1-Sens!$K$4885)</f>
        <v>254.174923708144</v>
      </c>
      <c r="L4887" s="38" t="n">
        <f aca="false">Sens!$L$4884*(1-Sens!$L$4885)</f>
        <v>270.720216732733</v>
      </c>
      <c r="M4887" s="38" t="n">
        <f aca="false">Sens!$M$4884*(1-Sens!$M$4885)</f>
        <v>288.429331137484</v>
      </c>
      <c r="N4887" s="38" t="n">
        <f aca="false">Q!$N$6</f>
        <v>70.274</v>
      </c>
      <c r="O4887" s="38" t="n">
        <f aca="false">Q!$O$6</f>
        <v>91.62</v>
      </c>
      <c r="P4887" s="5" t="s">
        <v>639</v>
      </c>
    </row>
    <row r="4888" customFormat="false" ht="17.15" hidden="false" customHeight="false" outlineLevel="0" collapsed="false">
      <c r="A4888" s="5" t="s">
        <v>640</v>
      </c>
      <c r="B4888" s="0" t="s">
        <v>73</v>
      </c>
      <c r="C4888" s="38" t="n">
        <f aca="false">Sens!$C$4878*Sens!$C$4885</f>
        <v>41.0683128828457</v>
      </c>
      <c r="D4888" s="38" t="n">
        <f aca="false">Sens!$D$4878*Sens!$D$4885</f>
        <v>49.7441234599175</v>
      </c>
      <c r="E4888" s="38" t="n">
        <f aca="false">Sens!$E$4878*Sens!$E$4885</f>
        <v>27.0034224924414</v>
      </c>
      <c r="F4888" s="38" t="n">
        <f aca="false">Sens!$F$4878*Sens!$F$4885</f>
        <v>34.5772885649197</v>
      </c>
      <c r="G4888" s="38" t="n">
        <f aca="false">Sens!$G$4878*Sens!$G$4885</f>
        <v>61.6023917531772</v>
      </c>
      <c r="H4888" s="38" t="n">
        <f aca="false">Sens!$H$4878*Sens!$H$4885</f>
        <v>73.9568187320519</v>
      </c>
      <c r="I4888" s="38" t="n">
        <f aca="false">Sens!$I$4878*Sens!$I$4885</f>
        <v>86.3101265625461</v>
      </c>
      <c r="J4888" s="38" t="n">
        <f aca="false">Sens!$J$4878*Sens!$J$4885</f>
        <v>97.8339983977065</v>
      </c>
      <c r="K4888" s="38" t="n">
        <f aca="false">Sens!$K$4878*Sens!$K$4885</f>
        <v>107.617398237477</v>
      </c>
      <c r="L4888" s="38" t="n">
        <f aca="false">Sens!$L$4878*Sens!$L$4885</f>
        <v>118.379138061225</v>
      </c>
      <c r="M4888" s="38" t="n">
        <f aca="false">Sens!$M$4878*Sens!$M$4885</f>
        <v>130.217051867347</v>
      </c>
      <c r="N4888" s="38" t="n">
        <f aca="false">Sens!$N$4878*Sens!$N$4885</f>
        <v>21.7087111412496</v>
      </c>
      <c r="O4888" s="38" t="n">
        <f aca="false">Sens!$O$4878*Sens!$O$4885</f>
        <v>28.0189463642798</v>
      </c>
      <c r="P4888" s="5" t="s">
        <v>641</v>
      </c>
    </row>
    <row r="4889" customFormat="false" ht="15" hidden="false" customHeight="false" outlineLevel="0" collapsed="false">
      <c r="A4889" s="5" t="s">
        <v>642</v>
      </c>
      <c r="B4889" s="0" t="s">
        <v>73</v>
      </c>
      <c r="C4889" s="38" t="n">
        <f aca="false">Sens!$C$4878-Sens!$C$4888</f>
        <v>15.1456871171543</v>
      </c>
      <c r="D4889" s="38" t="n">
        <f aca="false">Sens!$D$4878-Sens!$D$4888</f>
        <v>18.8908765400825</v>
      </c>
      <c r="E4889" s="38" t="n">
        <f aca="false">Sens!$E$4878-Sens!$E$4888</f>
        <v>10.0485775075586</v>
      </c>
      <c r="F4889" s="38" t="n">
        <f aca="false">Sens!$F$4878-Sens!$F$4888</f>
        <v>13.5760496178185</v>
      </c>
      <c r="G4889" s="38" t="n">
        <f aca="false">Sens!$G$4878-Sens!$G$4888</f>
        <v>23.6029464295611</v>
      </c>
      <c r="H4889" s="38" t="n">
        <f aca="false">Sens!$H$4878-Sens!$H$4888</f>
        <v>28.3365431268884</v>
      </c>
      <c r="I4889" s="38" t="n">
        <f aca="false">Sens!$I$4878-Sens!$I$4888</f>
        <v>33.0697110226949</v>
      </c>
      <c r="J4889" s="38" t="n">
        <f aca="false">Sens!$J$4878-Sens!$J$4888</f>
        <v>37.4850806511378</v>
      </c>
      <c r="K4889" s="38" t="n">
        <f aca="false">Sens!$K$4878-Sens!$K$4888</f>
        <v>41.2335887162515</v>
      </c>
      <c r="L4889" s="38" t="n">
        <f aca="false">Sens!$L$4878-Sens!$L$4888</f>
        <v>45.3569475878767</v>
      </c>
      <c r="M4889" s="38" t="n">
        <f aca="false">Sens!$M$4878-Sens!$M$4888</f>
        <v>49.8926423466644</v>
      </c>
      <c r="N4889" s="38" t="n">
        <f aca="false">Sens!$N$4878-Sens!$N$4888</f>
        <v>7.90628885875037</v>
      </c>
      <c r="O4889" s="38" t="n">
        <f aca="false">Sens!$O$4878-Sens!$O$4888</f>
        <v>11.0010536357202</v>
      </c>
    </row>
    <row r="4890" customFormat="false" ht="19.4" hidden="false" customHeight="false" outlineLevel="0" collapsed="false">
      <c r="A4890" s="31" t="s">
        <v>1151</v>
      </c>
    </row>
    <row r="4891" customFormat="false" ht="17.15" hidden="false" customHeight="false" outlineLevel="0" collapsed="false">
      <c r="A4891" s="6" t="s">
        <v>16</v>
      </c>
      <c r="B4891" s="6" t="s">
        <v>17</v>
      </c>
      <c r="C4891" s="20" t="s">
        <v>457</v>
      </c>
      <c r="D4891" s="20" t="s">
        <v>458</v>
      </c>
      <c r="E4891" s="20" t="s">
        <v>540</v>
      </c>
      <c r="F4891" s="20" t="s">
        <v>541</v>
      </c>
      <c r="G4891" s="20" t="s">
        <v>542</v>
      </c>
      <c r="H4891" s="20" t="s">
        <v>543</v>
      </c>
      <c r="I4891" s="20" t="s">
        <v>544</v>
      </c>
      <c r="J4891" s="20" t="s">
        <v>545</v>
      </c>
      <c r="K4891" s="20" t="s">
        <v>546</v>
      </c>
      <c r="L4891" s="20" t="s">
        <v>547</v>
      </c>
      <c r="M4891" s="20" t="s">
        <v>548</v>
      </c>
      <c r="N4891" s="20" t="s">
        <v>549</v>
      </c>
      <c r="O4891" s="20" t="s">
        <v>550</v>
      </c>
      <c r="P4891" s="6" t="s">
        <v>23</v>
      </c>
      <c r="R4891" s="20" t="n">
        <v>2023</v>
      </c>
      <c r="S4891" s="20" t="n">
        <v>2024</v>
      </c>
      <c r="T4891" s="20" t="n">
        <v>2025</v>
      </c>
      <c r="U4891" s="20" t="n">
        <v>2026</v>
      </c>
      <c r="V4891" s="20" t="n">
        <v>2027</v>
      </c>
      <c r="W4891" s="20" t="n">
        <v>2028</v>
      </c>
      <c r="X4891" s="20" t="n">
        <v>2029</v>
      </c>
      <c r="Y4891" s="20" t="n">
        <v>2030</v>
      </c>
      <c r="Z4891" s="20" t="n">
        <v>2031</v>
      </c>
      <c r="AA4891" s="20" t="n">
        <v>2032</v>
      </c>
    </row>
    <row r="4892" customFormat="false" ht="17.15" hidden="false" customHeight="false" outlineLevel="0" collapsed="false">
      <c r="A4892" s="1" t="s">
        <v>551</v>
      </c>
    </row>
    <row r="4893" customFormat="false" ht="17.15" hidden="false" customHeight="false" outlineLevel="0" collapsed="false">
      <c r="A4893" s="14" t="s">
        <v>552</v>
      </c>
      <c r="B4893" s="13" t="s">
        <v>108</v>
      </c>
      <c r="C4893" s="32" t="n">
        <f aca="false">mw_ye24</f>
        <v>360</v>
      </c>
      <c r="D4893" s="32" t="n">
        <f aca="false">mw_ye25</f>
        <v>1440</v>
      </c>
      <c r="E4893" s="32" t="n">
        <f aca="false">mw_open</f>
        <v>2080</v>
      </c>
      <c r="F4893" s="32" t="n">
        <f aca="false">Sens!$E$4893+pace_B*0.5</f>
        <v>3897.15</v>
      </c>
      <c r="G4893" s="32" t="n">
        <f aca="false">Sens!$F$4893</f>
        <v>3897.15</v>
      </c>
      <c r="H4893" s="32" t="n">
        <f aca="false">Sens!$G$4893+pace_B</f>
        <v>7531.45</v>
      </c>
      <c r="I4893" s="32" t="n">
        <f aca="false">Sens!$H$4893+pace_B</f>
        <v>11165.75</v>
      </c>
      <c r="J4893" s="32" t="n">
        <f aca="false">Sens!$I$4893+pace_B</f>
        <v>14800.05</v>
      </c>
      <c r="K4893" s="32" t="n">
        <f aca="false">Sens!$J$4893+pace_B</f>
        <v>18434.35</v>
      </c>
      <c r="L4893" s="32" t="n">
        <f aca="false">Sens!$K$4893+pace_B</f>
        <v>22068.65</v>
      </c>
      <c r="M4893" s="32" t="n">
        <f aca="false">Sens!$L$4893+pace_B</f>
        <v>25702.95</v>
      </c>
      <c r="N4893" s="32" t="n">
        <f aca="false">(mw_ye24+mw_ye25)/2</f>
        <v>900</v>
      </c>
      <c r="O4893" s="32" t="n">
        <f aca="false">mw_ye25</f>
        <v>1440</v>
      </c>
      <c r="P4893" s="5" t="s">
        <v>553</v>
      </c>
    </row>
    <row r="4894" customFormat="false" ht="17.15" hidden="false" customHeight="false" outlineLevel="0" collapsed="false">
      <c r="A4894" s="5" t="s">
        <v>554</v>
      </c>
      <c r="B4894" s="0" t="s">
        <v>108</v>
      </c>
      <c r="C4894" s="33" t="n">
        <f aca="false">(mw_ye23+mw_ye24)/2</f>
        <v>240</v>
      </c>
      <c r="D4894" s="33" t="n">
        <f aca="false">(Sens!$C$4893+Sens!$D$4893)/2</f>
        <v>900</v>
      </c>
      <c r="E4894" s="33" t="n">
        <f aca="false">(Sens!$D$4893+Sens!$E$4893)/2</f>
        <v>1760</v>
      </c>
      <c r="F4894" s="33" t="n">
        <f aca="false">(Sens!$E$4893+Sens!$F$4893)/2</f>
        <v>2988.575</v>
      </c>
      <c r="G4894" s="33" t="n">
        <f aca="false">(Sens!$E$4894+Sens!$F$4894)/2</f>
        <v>2374.2875</v>
      </c>
      <c r="H4894" s="33" t="n">
        <f aca="false">(Sens!$G$4893+Sens!$H$4893)/2</f>
        <v>5714.3</v>
      </c>
      <c r="I4894" s="33" t="n">
        <f aca="false">(Sens!$H$4893+Sens!$I$4893)/2</f>
        <v>9348.6</v>
      </c>
      <c r="J4894" s="33" t="n">
        <f aca="false">(Sens!$I$4893+Sens!$J$4893)/2</f>
        <v>12982.9</v>
      </c>
      <c r="K4894" s="33" t="n">
        <f aca="false">(Sens!$J$4893+Sens!$K$4893)/2</f>
        <v>16617.2</v>
      </c>
      <c r="L4894" s="33" t="n">
        <f aca="false">(Sens!$K$4893+Sens!$L$4893)/2</f>
        <v>20251.5</v>
      </c>
      <c r="M4894" s="33" t="n">
        <f aca="false">(Sens!$L$4893+Sens!$M$4893)/2</f>
        <v>23885.8</v>
      </c>
      <c r="N4894" s="33" t="n">
        <f aca="false">(Sens!$C$4893+Sens!$N$4893)/2</f>
        <v>630</v>
      </c>
      <c r="O4894" s="33" t="n">
        <f aca="false">(Sens!$N$4893+Sens!$O$4893)/2</f>
        <v>1170</v>
      </c>
    </row>
    <row r="4895" customFormat="false" ht="15" hidden="false" customHeight="false" outlineLevel="0" collapsed="false">
      <c r="A4895" s="5" t="s">
        <v>555</v>
      </c>
      <c r="B4895" s="5" t="s">
        <v>102</v>
      </c>
      <c r="C4895" s="34" t="n">
        <v>1</v>
      </c>
      <c r="D4895" s="34" t="n">
        <v>1</v>
      </c>
      <c r="E4895" s="34" t="n">
        <v>0.5</v>
      </c>
      <c r="F4895" s="34" t="n">
        <v>0.5</v>
      </c>
      <c r="G4895" s="34" t="n">
        <v>1</v>
      </c>
      <c r="H4895" s="34" t="n">
        <v>1</v>
      </c>
      <c r="I4895" s="34" t="n">
        <v>1</v>
      </c>
      <c r="J4895" s="34" t="n">
        <v>1</v>
      </c>
      <c r="K4895" s="34" t="n">
        <v>1</v>
      </c>
      <c r="L4895" s="34" t="n">
        <v>1</v>
      </c>
      <c r="M4895" s="34" t="n">
        <v>1</v>
      </c>
      <c r="N4895" s="34" t="n">
        <v>0.5</v>
      </c>
      <c r="O4895" s="34" t="n">
        <v>0.5</v>
      </c>
    </row>
    <row r="4896" customFormat="false" ht="17.15" hidden="false" customHeight="false" outlineLevel="0" collapsed="false">
      <c r="A4896" s="5" t="s">
        <v>556</v>
      </c>
      <c r="B4896" s="0" t="s">
        <v>108</v>
      </c>
      <c r="C4896" s="33" t="n">
        <f aca="false">Sens!$C$4893-mw_ye23</f>
        <v>240</v>
      </c>
      <c r="D4896" s="33" t="n">
        <f aca="false">Sens!$D$4893-Sens!$C$4893</f>
        <v>1080</v>
      </c>
      <c r="E4896" s="33" t="n">
        <f aca="false">Sens!$E$4893-Sens!$D$4893</f>
        <v>640</v>
      </c>
      <c r="F4896" s="33" t="n">
        <f aca="false">Sens!$F$4893-Sens!$E$4893</f>
        <v>1817.15</v>
      </c>
      <c r="G4896" s="33" t="n">
        <f aca="false">Sens!$E$4896+Sens!$F$4896</f>
        <v>2457.15</v>
      </c>
      <c r="H4896" s="33" t="n">
        <f aca="false">Sens!$H$4893-Sens!$G$4893</f>
        <v>3634.3</v>
      </c>
      <c r="I4896" s="33" t="n">
        <f aca="false">Sens!$I$4893-Sens!$H$4893</f>
        <v>3634.3</v>
      </c>
      <c r="J4896" s="33" t="n">
        <f aca="false">Sens!$J$4893-Sens!$I$4893</f>
        <v>3634.3</v>
      </c>
      <c r="K4896" s="33" t="n">
        <f aca="false">Sens!$K$4893-Sens!$J$4893</f>
        <v>3634.3</v>
      </c>
      <c r="L4896" s="33" t="n">
        <f aca="false">Sens!$L$4893-Sens!$K$4893</f>
        <v>3634.3</v>
      </c>
      <c r="M4896" s="33" t="n">
        <f aca="false">Sens!$M$4893-Sens!$L$4893</f>
        <v>3634.3</v>
      </c>
      <c r="N4896" s="33" t="n">
        <f aca="false">Sens!$N$4893-Sens!$C$4893</f>
        <v>540</v>
      </c>
      <c r="O4896" s="33" t="n">
        <f aca="false">Sens!$O$4893-Sens!$N$4893</f>
        <v>540</v>
      </c>
    </row>
    <row r="4897" customFormat="false" ht="17.15" hidden="false" customHeight="false" outlineLevel="0" collapsed="false">
      <c r="A4897" s="5" t="s">
        <v>557</v>
      </c>
      <c r="B4897" s="0" t="s">
        <v>108</v>
      </c>
      <c r="C4897" s="33" t="n">
        <f aca="false">Sens!$C$4896/ext_sh</f>
        <v>300</v>
      </c>
      <c r="D4897" s="33" t="n">
        <f aca="false">Sens!$D$4896/ext_sh</f>
        <v>1350</v>
      </c>
      <c r="E4897" s="33" t="n">
        <f aca="false">Sens!$E$4896/ext_sh</f>
        <v>800</v>
      </c>
      <c r="F4897" s="33" t="n">
        <f aca="false">Sens!$F$4896/ext_sh</f>
        <v>2271.4375</v>
      </c>
      <c r="G4897" s="33" t="n">
        <f aca="false">Sens!$G$4896/ext_sh</f>
        <v>3071.4375</v>
      </c>
      <c r="H4897" s="33" t="n">
        <f aca="false">Sens!$H$4896/ext_sh</f>
        <v>4542.875</v>
      </c>
      <c r="I4897" s="33" t="n">
        <f aca="false">Sens!$I$4896/ext_sh</f>
        <v>4542.875</v>
      </c>
      <c r="J4897" s="33" t="n">
        <f aca="false">Sens!$J$4896/ext_sh</f>
        <v>4542.875</v>
      </c>
      <c r="K4897" s="33" t="n">
        <f aca="false">Sens!$K$4896/ext_sh</f>
        <v>4542.875</v>
      </c>
      <c r="L4897" s="33" t="n">
        <f aca="false">Sens!$L$4896/ext_sh</f>
        <v>4542.875</v>
      </c>
      <c r="M4897" s="33" t="n">
        <f aca="false">Sens!$M$4896/ext_sh</f>
        <v>4542.875</v>
      </c>
      <c r="N4897" s="33" t="n">
        <f aca="false">Sens!$N$4896/ext_sh</f>
        <v>675</v>
      </c>
      <c r="O4897" s="33" t="n">
        <f aca="false">Sens!$O$4896/ext_sh</f>
        <v>675</v>
      </c>
      <c r="P4897" s="8" t="s">
        <v>558</v>
      </c>
      <c r="R4897" s="33" t="n">
        <f aca="false">mw_ye23/ext_sh</f>
        <v>150</v>
      </c>
      <c r="S4897" s="33" t="n">
        <f aca="false">Sens!$C$4897</f>
        <v>300</v>
      </c>
      <c r="T4897" s="33" t="n">
        <f aca="false">Sens!$D$4897</f>
        <v>1350</v>
      </c>
      <c r="U4897" s="33" t="n">
        <f aca="false">Sens!$G$4897</f>
        <v>3071.4375</v>
      </c>
      <c r="V4897" s="33" t="n">
        <f aca="false">Sens!$H$4897</f>
        <v>4542.875</v>
      </c>
      <c r="W4897" s="33" t="n">
        <f aca="false">Sens!$I$4897</f>
        <v>4542.875</v>
      </c>
      <c r="X4897" s="33" t="n">
        <f aca="false">Sens!$J$4897</f>
        <v>4542.875</v>
      </c>
      <c r="Y4897" s="33" t="n">
        <f aca="false">Sens!$K$4897</f>
        <v>4542.875</v>
      </c>
      <c r="Z4897" s="33" t="n">
        <f aca="false">Sens!$L$4897</f>
        <v>4542.875</v>
      </c>
      <c r="AA4897" s="33" t="n">
        <f aca="false">Sens!$M$4897</f>
        <v>4542.875</v>
      </c>
    </row>
    <row r="4898" customFormat="false" ht="17.15" hidden="false" customHeight="false" outlineLevel="0" collapsed="false">
      <c r="A4898" s="1" t="s">
        <v>559</v>
      </c>
    </row>
    <row r="4899" customFormat="false" ht="17.15" hidden="false" customHeight="false" outlineLevel="0" collapsed="false">
      <c r="A4899" s="0" t="s">
        <v>560</v>
      </c>
      <c r="B4899" s="0" t="s">
        <v>52</v>
      </c>
      <c r="F4899" s="35" t="n">
        <f aca="false">na_vr26</f>
        <v>0</v>
      </c>
      <c r="G4899" s="35" t="n">
        <f aca="false">na_vr26</f>
        <v>0</v>
      </c>
      <c r="H4899" s="35" t="n">
        <f aca="false">na_vr27</f>
        <v>0.5</v>
      </c>
      <c r="I4899" s="35" t="n">
        <f aca="false">na_vr28</f>
        <v>1</v>
      </c>
      <c r="J4899" s="35" t="n">
        <f aca="false">na_vr28</f>
        <v>1</v>
      </c>
      <c r="K4899" s="35" t="n">
        <f aca="false">na_vr28</f>
        <v>1</v>
      </c>
      <c r="L4899" s="35" t="n">
        <f aca="false">na_vr28</f>
        <v>1</v>
      </c>
      <c r="M4899" s="35" t="n">
        <f aca="false">na_vr28</f>
        <v>1</v>
      </c>
    </row>
    <row r="4900" customFormat="false" ht="17.15" hidden="false" customHeight="false" outlineLevel="0" collapsed="false">
      <c r="A4900" s="5" t="s">
        <v>561</v>
      </c>
      <c r="B4900" s="0" t="s">
        <v>151</v>
      </c>
      <c r="F4900" s="36" t="n">
        <f aca="false">cust_sh*tk_he_gb300*cf_chip+(1-cust_sh)*((1-Sens!$F$4899)*tk_he_gb300+Sens!$F$4899*tk_he_vr200)</f>
        <v>10.8864110021101</v>
      </c>
      <c r="G4900" s="36" t="n">
        <f aca="false">cust_sh*tk_he_gb300*cf_chip+(1-cust_sh)*((1-Sens!$G$4899)*tk_he_gb300+Sens!$G$4899*tk_he_vr200)</f>
        <v>10.8864110021101</v>
      </c>
      <c r="H4900" s="36" t="n">
        <f aca="false">cust_sh*tk_he_gb300*cf_chip+(1-cust_sh)*((1-Sens!$H$4899)*tk_he_gb300+Sens!$H$4899*tk_he_vr200)</f>
        <v>11.2211760027286</v>
      </c>
      <c r="I4900" s="36" t="n">
        <f aca="false">cust_sh*tk_he_gb300*cf_chip+(1-cust_sh)*((1-Sens!$I$4899)*tk_he_gb300+Sens!$I$4899*tk_he_vr200)</f>
        <v>11.5559410033471</v>
      </c>
      <c r="J4900" s="36" t="n">
        <f aca="false">cust_sh*tk_he_gb300*cf_chip+(1-cust_sh)*((1-Sens!$J$4899)*tk_he_gb300+Sens!$J$4899*tk_he_vr200)</f>
        <v>11.5559410033471</v>
      </c>
      <c r="K4900" s="36" t="n">
        <f aca="false">cust_sh*tk_he_gb300*cf_chip+(1-cust_sh)*((1-Sens!$K$4899)*tk_he_gb300+Sens!$K$4899*tk_he_vr200)</f>
        <v>11.5559410033471</v>
      </c>
      <c r="L4900" s="36" t="n">
        <f aca="false">cust_sh*tk_he_gb300*cf_chip+(1-cust_sh)*((1-Sens!$L$4899)*tk_he_gb300+Sens!$L$4899*tk_he_vr200)</f>
        <v>11.5559410033471</v>
      </c>
      <c r="M4900" s="36" t="n">
        <f aca="false">cust_sh*tk_he_gb300*cf_chip+(1-cust_sh)*((1-Sens!$M$4899)*tk_he_gb300+Sens!$M$4899*tk_he_vr200)</f>
        <v>11.5559410033471</v>
      </c>
    </row>
    <row r="4901" customFormat="false" ht="17.15" hidden="false" customHeight="false" outlineLevel="0" collapsed="false">
      <c r="A4901" s="5" t="s">
        <v>562</v>
      </c>
      <c r="B4901" s="0" t="s">
        <v>151</v>
      </c>
      <c r="F4901" s="36" t="n">
        <f aca="false">cust_sh*tk_ox_gb300+(1-cust_sh)*((1-Sens!$F$4899)*tk_ox_gb300+Sens!$F$4899*tk_ox_vr200)</f>
        <v>1.98263481314457</v>
      </c>
      <c r="G4901" s="36" t="n">
        <f aca="false">cust_sh*tk_ox_gb300+(1-cust_sh)*((1-Sens!$G$4899)*tk_ox_gb300+Sens!$G$4899*tk_ox_vr200)</f>
        <v>1.98263481314457</v>
      </c>
      <c r="H4901" s="36" t="n">
        <f aca="false">cust_sh*tk_ox_gb300+(1-cust_sh)*((1-Sens!$H$4899)*tk_ox_gb300+Sens!$H$4899*tk_ox_vr200)</f>
        <v>2.01034999693694</v>
      </c>
      <c r="I4901" s="36" t="n">
        <f aca="false">cust_sh*tk_ox_gb300+(1-cust_sh)*((1-Sens!$I$4899)*tk_ox_gb300+Sens!$I$4899*tk_ox_vr200)</f>
        <v>2.0380651807293</v>
      </c>
      <c r="J4901" s="36" t="n">
        <f aca="false">cust_sh*tk_ox_gb300+(1-cust_sh)*((1-Sens!$J$4899)*tk_ox_gb300+Sens!$J$4899*tk_ox_vr200)</f>
        <v>2.0380651807293</v>
      </c>
      <c r="K4901" s="36" t="n">
        <f aca="false">cust_sh*tk_ox_gb300+(1-cust_sh)*((1-Sens!$K$4899)*tk_ox_gb300+Sens!$K$4899*tk_ox_vr200)</f>
        <v>2.0380651807293</v>
      </c>
      <c r="L4901" s="36" t="n">
        <f aca="false">cust_sh*tk_ox_gb300+(1-cust_sh)*((1-Sens!$L$4899)*tk_ox_gb300+Sens!$L$4899*tk_ox_vr200)</f>
        <v>2.0380651807293</v>
      </c>
      <c r="M4901" s="36" t="n">
        <f aca="false">cust_sh*tk_ox_gb300+(1-cust_sh)*((1-Sens!$M$4899)*tk_ox_gb300+Sens!$M$4899*tk_ox_vr200)</f>
        <v>2.0380651807293</v>
      </c>
    </row>
    <row r="4902" customFormat="false" ht="17.15" hidden="false" customHeight="false" outlineLevel="0" collapsed="false">
      <c r="A4902" s="5" t="s">
        <v>563</v>
      </c>
      <c r="B4902" s="0" t="s">
        <v>170</v>
      </c>
      <c r="F4902" s="36" t="n">
        <f aca="false">cust_sh*tk_cx_gb300*cf_cx+(1-cust_sh)*((1-Sens!$F$4899)*tk_cx_gb300+Sens!$F$4899*tk_cx_vr200)</f>
        <v>32.237224</v>
      </c>
      <c r="G4902" s="36" t="n">
        <f aca="false">cust_sh*tk_cx_gb300*cf_cx+(1-cust_sh)*((1-Sens!$G$4899)*tk_cx_gb300+Sens!$G$4899*tk_cx_vr200)</f>
        <v>32.237224</v>
      </c>
      <c r="H4902" s="36" t="n">
        <f aca="false">cust_sh*tk_cx_gb300*cf_cx+(1-cust_sh)*((1-Sens!$H$4899)*tk_cx_gb300+Sens!$H$4899*tk_cx_vr200)</f>
        <v>33.574506</v>
      </c>
      <c r="I4902" s="36" t="n">
        <f aca="false">cust_sh*tk_cx_gb300*cf_cx+(1-cust_sh)*((1-Sens!$I$4899)*tk_cx_gb300+Sens!$I$4899*tk_cx_vr200)</f>
        <v>34.911788</v>
      </c>
      <c r="J4902" s="36" t="n">
        <f aca="false">cust_sh*tk_cx_gb300*cf_cx+(1-cust_sh)*((1-Sens!$J$4899)*tk_cx_gb300+Sens!$J$4899*tk_cx_vr200)</f>
        <v>34.911788</v>
      </c>
      <c r="K4902" s="36" t="n">
        <f aca="false">cust_sh*tk_cx_gb300*cf_cx+(1-cust_sh)*((1-Sens!$K$4899)*tk_cx_gb300+Sens!$K$4899*tk_cx_vr200)</f>
        <v>34.911788</v>
      </c>
      <c r="L4902" s="36" t="n">
        <f aca="false">cust_sh*tk_cx_gb300*cf_cx+(1-cust_sh)*((1-Sens!$L$4899)*tk_cx_gb300+Sens!$L$4899*tk_cx_vr200)</f>
        <v>34.911788</v>
      </c>
      <c r="M4902" s="36" t="n">
        <f aca="false">cust_sh*tk_cx_gb300*cf_cx+(1-cust_sh)*((1-Sens!$M$4899)*tk_cx_gb300+Sens!$M$4899*tk_cx_vr200)</f>
        <v>34.911788</v>
      </c>
    </row>
    <row r="4903" customFormat="false" ht="17.15" hidden="false" customHeight="false" outlineLevel="0" collapsed="false">
      <c r="A4903" s="5" t="s">
        <v>564</v>
      </c>
      <c r="B4903" s="0" t="s">
        <v>108</v>
      </c>
      <c r="F4903" s="33" t="n">
        <f aca="false">Sens!$F$4893-mw_open</f>
        <v>1817.15</v>
      </c>
      <c r="G4903" s="33" t="n">
        <f aca="false">Sens!$F$4903</f>
        <v>1817.15</v>
      </c>
      <c r="H4903" s="33" t="n">
        <f aca="false">Sens!$H$4893-mw_open</f>
        <v>5451.45</v>
      </c>
      <c r="I4903" s="33" t="n">
        <f aca="false">Sens!$I$4893-mw_open</f>
        <v>9085.75</v>
      </c>
      <c r="J4903" s="33" t="n">
        <f aca="false">Sens!$J$4893-mw_open</f>
        <v>12720.05</v>
      </c>
      <c r="K4903" s="33" t="n">
        <f aca="false">Sens!$K$4893-mw_open</f>
        <v>16354.35</v>
      </c>
      <c r="L4903" s="33" t="n">
        <f aca="false">Sens!$L$4893-mw_open</f>
        <v>19988.65</v>
      </c>
      <c r="M4903" s="33" t="n">
        <f aca="false">Sens!$M$4893-mw_open</f>
        <v>23622.95</v>
      </c>
    </row>
    <row r="4904" customFormat="false" ht="17.15" hidden="false" customHeight="false" outlineLevel="0" collapsed="false">
      <c r="A4904" s="0" t="s">
        <v>565</v>
      </c>
      <c r="B4904" s="0" t="s">
        <v>566</v>
      </c>
      <c r="F4904" s="33" t="n">
        <f aca="false">Sens!$F$4896*Sens!$F$4900</f>
        <v>19782.2417524844</v>
      </c>
      <c r="G4904" s="33" t="n">
        <f aca="false">Sens!$F$4904</f>
        <v>19782.2417524844</v>
      </c>
      <c r="H4904" s="33" t="n">
        <f aca="false">Sens!$G$4904+Sens!$H$4896*Sens!$H$4900</f>
        <v>60563.3616992009</v>
      </c>
      <c r="I4904" s="33" t="n">
        <f aca="false">Sens!$H$4904+Sens!$I$4896*Sens!$I$4900</f>
        <v>102561.118087665</v>
      </c>
      <c r="J4904" s="33" t="n">
        <f aca="false">Sens!$I$4904+Sens!$J$4896*Sens!$J$4900</f>
        <v>144558.87447613</v>
      </c>
      <c r="K4904" s="33" t="n">
        <f aca="false">Sens!$J$4904+Sens!$K$4896*Sens!$K$4900</f>
        <v>186556.630864594</v>
      </c>
      <c r="L4904" s="33" t="n">
        <f aca="false">Sens!$K$4904+Sens!$L$4896*Sens!$L$4900</f>
        <v>228554.387253058</v>
      </c>
      <c r="M4904" s="33" t="n">
        <f aca="false">Sens!$L$4904+Sens!$M$4896*Sens!$M$4900</f>
        <v>270552.143641523</v>
      </c>
    </row>
    <row r="4905" customFormat="false" ht="17.15" hidden="false" customHeight="false" outlineLevel="0" collapsed="false">
      <c r="A4905" s="0" t="s">
        <v>567</v>
      </c>
      <c r="B4905" s="0" t="s">
        <v>566</v>
      </c>
      <c r="F4905" s="33" t="n">
        <f aca="false">Sens!$F$4896*Sens!$F$4901</f>
        <v>3602.74485070566</v>
      </c>
      <c r="G4905" s="33" t="n">
        <f aca="false">Sens!$F$4905</f>
        <v>3602.74485070566</v>
      </c>
      <c r="H4905" s="33" t="n">
        <f aca="false">Sens!$G$4905+Sens!$H$4896*Sens!$H$4901</f>
        <v>10908.9598445736</v>
      </c>
      <c r="I4905" s="33" t="n">
        <f aca="false">Sens!$H$4905+Sens!$I$4896*Sens!$I$4901</f>
        <v>18315.9001308981</v>
      </c>
      <c r="J4905" s="33" t="n">
        <f aca="false">Sens!$I$4905+Sens!$J$4896*Sens!$J$4901</f>
        <v>25722.8404172225</v>
      </c>
      <c r="K4905" s="33" t="n">
        <f aca="false">Sens!$J$4905+Sens!$K$4896*Sens!$K$4901</f>
        <v>33129.780703547</v>
      </c>
      <c r="L4905" s="33" t="n">
        <f aca="false">Sens!$K$4905+Sens!$L$4896*Sens!$L$4901</f>
        <v>40536.7209898715</v>
      </c>
      <c r="M4905" s="33" t="n">
        <f aca="false">Sens!$L$4905+Sens!$M$4896*Sens!$M$4901</f>
        <v>47943.661276196</v>
      </c>
    </row>
    <row r="4906" customFormat="false" ht="17.15" hidden="false" customHeight="false" outlineLevel="0" collapsed="false">
      <c r="A4906" s="5" t="s">
        <v>568</v>
      </c>
      <c r="B4906" s="0" t="s">
        <v>151</v>
      </c>
      <c r="F4906" s="36" t="n">
        <f aca="false">IF(Sens!$F$4903&gt;0,Sens!$F$4904/Sens!$F$4903,Sens!$F$4900)</f>
        <v>10.8864110021101</v>
      </c>
      <c r="G4906" s="36" t="n">
        <f aca="false">IF(Sens!$G$4903&gt;0,Sens!$G$4904/Sens!$G$4903,Sens!$G$4900)</f>
        <v>10.8864110021101</v>
      </c>
      <c r="H4906" s="36" t="n">
        <f aca="false">IF(Sens!$H$4903&gt;0,Sens!$H$4904/Sens!$H$4903,Sens!$H$4900)</f>
        <v>11.1095876691891</v>
      </c>
      <c r="I4906" s="36" t="n">
        <f aca="false">IF(Sens!$I$4903&gt;0,Sens!$I$4904/Sens!$I$4903,Sens!$I$4900)</f>
        <v>11.2881290028523</v>
      </c>
      <c r="J4906" s="36" t="n">
        <f aca="false">IF(Sens!$J$4903&gt;0,Sens!$J$4904/Sens!$J$4903,Sens!$J$4900)</f>
        <v>11.3646467172794</v>
      </c>
      <c r="K4906" s="36" t="n">
        <f aca="false">IF(Sens!$K$4903&gt;0,Sens!$K$4904/Sens!$K$4903,Sens!$K$4900)</f>
        <v>11.4071565586278</v>
      </c>
      <c r="L4906" s="36" t="n">
        <f aca="false">IF(Sens!$L$4903&gt;0,Sens!$L$4904/Sens!$L$4903,Sens!$L$4900)</f>
        <v>11.4342082758495</v>
      </c>
      <c r="M4906" s="36" t="n">
        <f aca="false">IF(Sens!$M$4903&gt;0,Sens!$M$4904/Sens!$M$4903,Sens!$M$4900)</f>
        <v>11.4529363877722</v>
      </c>
    </row>
    <row r="4907" customFormat="false" ht="17.15" hidden="false" customHeight="false" outlineLevel="0" collapsed="false">
      <c r="A4907" s="5" t="s">
        <v>569</v>
      </c>
      <c r="B4907" s="0" t="s">
        <v>151</v>
      </c>
      <c r="F4907" s="36" t="n">
        <f aca="false">IF(Sens!$F$4903&gt;0,Sens!$F$4905/Sens!$F$4903,Sens!$F$4901)</f>
        <v>1.98263481314457</v>
      </c>
      <c r="G4907" s="36" t="n">
        <f aca="false">IF(Sens!$G$4903&gt;0,Sens!$G$4905/Sens!$G$4903,Sens!$G$4901)</f>
        <v>1.98263481314457</v>
      </c>
      <c r="H4907" s="36" t="n">
        <f aca="false">IF(Sens!$H$4903&gt;0,Sens!$H$4905/Sens!$H$4903,Sens!$H$4901)</f>
        <v>2.00111160233948</v>
      </c>
      <c r="I4907" s="36" t="n">
        <f aca="false">IF(Sens!$I$4903&gt;0,Sens!$I$4905/Sens!$I$4903,Sens!$I$4901)</f>
        <v>2.01589303369541</v>
      </c>
      <c r="J4907" s="36" t="n">
        <f aca="false">IF(Sens!$J$4903&gt;0,Sens!$J$4905/Sens!$J$4903,Sens!$J$4901)</f>
        <v>2.02222793284795</v>
      </c>
      <c r="K4907" s="36" t="n">
        <f aca="false">IF(Sens!$K$4903&gt;0,Sens!$K$4905/Sens!$K$4903,Sens!$K$4901)</f>
        <v>2.02574732126603</v>
      </c>
      <c r="L4907" s="36" t="n">
        <f aca="false">IF(Sens!$L$4903&gt;0,Sens!$L$4905/Sens!$L$4903,Sens!$L$4901)</f>
        <v>2.02798693207753</v>
      </c>
      <c r="M4907" s="36" t="n">
        <f aca="false">IF(Sens!$M$4903&gt;0,Sens!$M$4905/Sens!$M$4903,Sens!$M$4901)</f>
        <v>2.02953743187011</v>
      </c>
    </row>
    <row r="4908" customFormat="false" ht="17.15" hidden="false" customHeight="false" outlineLevel="0" collapsed="false">
      <c r="A4908" s="14" t="s">
        <v>570</v>
      </c>
      <c r="B4908" s="13" t="s">
        <v>151</v>
      </c>
      <c r="C4908" s="13"/>
      <c r="D4908" s="13"/>
      <c r="E4908" s="13"/>
      <c r="F4908" s="37" t="n">
        <f aca="false">Sens!$F$4906*k_B</f>
        <v>10.7987645808025</v>
      </c>
      <c r="G4908" s="37" t="n">
        <f aca="false">Sens!$G$4906*k_B</f>
        <v>10.7987645808025</v>
      </c>
      <c r="H4908" s="37" t="n">
        <f aca="false">Sens!$H$4906*k_B</f>
        <v>11.0201444540452</v>
      </c>
      <c r="I4908" s="37" t="n">
        <f aca="false">Sens!$I$4906*k_B</f>
        <v>11.1972483526393</v>
      </c>
      <c r="J4908" s="37" t="n">
        <f aca="false">Sens!$J$4906*k_B</f>
        <v>11.2731500234653</v>
      </c>
      <c r="K4908" s="37" t="n">
        <f aca="false">Sens!$K$4906*k_B</f>
        <v>11.3153176183687</v>
      </c>
      <c r="L4908" s="37" t="n">
        <f aca="false">Sens!$L$4906*k_B</f>
        <v>11.3421515423981</v>
      </c>
      <c r="M4908" s="37" t="n">
        <f aca="false">Sens!$M$4906*k_B</f>
        <v>11.3607288744184</v>
      </c>
      <c r="N4908" s="13"/>
      <c r="O4908" s="13"/>
      <c r="P4908" s="5" t="s">
        <v>571</v>
      </c>
    </row>
    <row r="4909" customFormat="false" ht="17.15" hidden="false" customHeight="false" outlineLevel="0" collapsed="false">
      <c r="A4909" s="5" t="s">
        <v>572</v>
      </c>
      <c r="B4909" s="0" t="s">
        <v>108</v>
      </c>
      <c r="F4909" s="33" t="n">
        <f aca="false">Sens!$F$4903/2</f>
        <v>908.575</v>
      </c>
      <c r="H4909" s="33" t="n">
        <f aca="false">(Sens!$G$4903+Sens!$H$4903)/2</f>
        <v>3634.3</v>
      </c>
      <c r="I4909" s="33" t="n">
        <f aca="false">(Sens!$H$4903+Sens!$I$4903)/2</f>
        <v>7268.6</v>
      </c>
      <c r="J4909" s="33" t="n">
        <f aca="false">(Sens!$I$4903+Sens!$J$4903)/2</f>
        <v>10902.9</v>
      </c>
      <c r="K4909" s="33" t="n">
        <f aca="false">(Sens!$J$4903+Sens!$K$4903)/2</f>
        <v>14537.2</v>
      </c>
      <c r="L4909" s="33" t="n">
        <f aca="false">(Sens!$K$4903+Sens!$L$4903)/2</f>
        <v>18171.5</v>
      </c>
      <c r="M4909" s="33" t="n">
        <f aca="false">(Sens!$L$4903+Sens!$M$4903)/2</f>
        <v>21805.8</v>
      </c>
    </row>
    <row r="4910" customFormat="false" ht="17.15" hidden="false" customHeight="false" outlineLevel="0" collapsed="false">
      <c r="A4910" s="1" t="s">
        <v>573</v>
      </c>
    </row>
    <row r="4911" customFormat="false" ht="17.15" hidden="false" customHeight="false" outlineLevel="0" collapsed="false">
      <c r="A4911" s="1" t="s">
        <v>574</v>
      </c>
      <c r="B4911" s="8" t="s">
        <v>73</v>
      </c>
      <c r="C4911" s="38" t="n">
        <f aca="false">Sens!$C$4894*rpm_open*Sens!$C$4895/1000</f>
        <v>2.32100535697364</v>
      </c>
      <c r="D4911" s="38" t="n">
        <f aca="false">Sens!$D$4894*rpm_open*Sens!$D$4895/1000</f>
        <v>8.70377008865116</v>
      </c>
      <c r="E4911" s="38" t="n">
        <f aca="false">Sens!$E$4894*rpm_open*Sens!$E$4895/1000</f>
        <v>8.51035297557002</v>
      </c>
      <c r="F4911" s="38" t="n">
        <f aca="false">(mw_open*rpm_open+Sens!$F$4909*Sens!$F$4908)*Sens!$F$4895/1000</f>
        <v>14.9634336447205</v>
      </c>
      <c r="G4911" s="38" t="n">
        <f aca="false">Sens!$E$4911+Sens!$F$4911</f>
        <v>23.4737866202905</v>
      </c>
      <c r="H4911" s="38" t="n">
        <f aca="false">(mw_open*rpm_open+Sens!$H$4909*Sens!$H$4908)/1000</f>
        <v>60.1658907497746</v>
      </c>
      <c r="I4911" s="38" t="n">
        <f aca="false">(mw_open*rpm_open+Sens!$I$4909*Sens!$I$4908)/1000</f>
        <v>101.503699136432</v>
      </c>
      <c r="J4911" s="38" t="n">
        <f aca="false">(mw_open*rpm_open+Sens!$J$4909*Sens!$J$4908)/1000</f>
        <v>143.025407151278</v>
      </c>
      <c r="K4911" s="38" t="n">
        <f aca="false">(mw_open*rpm_open+Sens!$K$4909*Sens!$K$4908)/1000</f>
        <v>184.608415042187</v>
      </c>
      <c r="L4911" s="38" t="n">
        <f aca="false">(mw_open*rpm_open+Sens!$L$4909*Sens!$L$4908)/1000</f>
        <v>226.219286513125</v>
      </c>
      <c r="M4911" s="38" t="n">
        <f aca="false">(mw_open*rpm_open+Sens!$M$4909*Sens!$M$4908)/1000</f>
        <v>267.845161450232</v>
      </c>
      <c r="N4911" s="38" t="n">
        <f aca="false">Sens!$N$4894*rpm_open*Sens!$N$4895/1000</f>
        <v>3.04631953102791</v>
      </c>
      <c r="O4911" s="38" t="n">
        <f aca="false">Sens!$O$4894*rpm_open*Sens!$O$4895/1000</f>
        <v>5.65745055762326</v>
      </c>
      <c r="P4911" s="5" t="s">
        <v>575</v>
      </c>
    </row>
    <row r="4912" customFormat="false" ht="17.15" hidden="false" customHeight="false" outlineLevel="0" collapsed="false">
      <c r="A4912" s="5" t="s">
        <v>576</v>
      </c>
      <c r="B4912" s="0" t="s">
        <v>151</v>
      </c>
      <c r="C4912" s="36" t="n">
        <f aca="false">Sens!$C$4911*1000/(Sens!$C$4894*Sens!$C$4895)</f>
        <v>9.67085565405685</v>
      </c>
      <c r="D4912" s="36" t="n">
        <f aca="false">Sens!$D$4911*1000/(Sens!$D$4894*Sens!$D$4895)</f>
        <v>9.67085565405685</v>
      </c>
      <c r="E4912" s="36" t="n">
        <f aca="false">Sens!$E$4911*1000/(Sens!$E$4894*Sens!$E$4895)</f>
        <v>9.67085565405685</v>
      </c>
      <c r="F4912" s="36" t="n">
        <f aca="false">Sens!$F$4911*1000/(Sens!$F$4894*Sens!$F$4895)</f>
        <v>10.0137581588017</v>
      </c>
      <c r="G4912" s="36" t="n">
        <f aca="false">Sens!$G$4911*1000/(Sens!$G$4894*Sens!$G$4895)</f>
        <v>9.88666562928478</v>
      </c>
      <c r="H4912" s="36" t="n">
        <f aca="false">Sens!$H$4911*1000/(Sens!$H$4894*Sens!$H$4895)</f>
        <v>10.5290045586992</v>
      </c>
      <c r="I4912" s="36" t="n">
        <f aca="false">Sens!$I$4911*1000/(Sens!$I$4894*Sens!$I$4895)</f>
        <v>10.8576363451674</v>
      </c>
      <c r="J4912" s="36" t="n">
        <f aca="false">Sens!$J$4911*1000/(Sens!$J$4894*Sens!$J$4895)</f>
        <v>11.0164452588619</v>
      </c>
      <c r="K4912" s="36" t="n">
        <f aca="false">Sens!$K$4911*1000/(Sens!$K$4894*Sens!$K$4895)</f>
        <v>11.1094778327388</v>
      </c>
      <c r="L4912" s="36" t="n">
        <f aca="false">Sens!$L$4911*1000/(Sens!$L$4894*Sens!$L$4895)</f>
        <v>11.1704953466718</v>
      </c>
      <c r="M4912" s="36" t="n">
        <f aca="false">Sens!$M$4911*1000/(Sens!$M$4894*Sens!$M$4895)</f>
        <v>11.2135729785158</v>
      </c>
      <c r="N4912" s="36" t="n">
        <f aca="false">Sens!$N$4911*1000/(Sens!$N$4894*Sens!$N$4895)</f>
        <v>9.67085565405685</v>
      </c>
      <c r="O4912" s="36" t="n">
        <f aca="false">Sens!$O$4911*1000/(Sens!$O$4894*Sens!$O$4895)</f>
        <v>9.67085565405685</v>
      </c>
    </row>
    <row r="4913" customFormat="false" ht="17.15" hidden="false" customHeight="false" outlineLevel="0" collapsed="false">
      <c r="A4913" s="0" t="s">
        <v>577</v>
      </c>
      <c r="B4913" s="0" t="s">
        <v>73</v>
      </c>
      <c r="C4913" s="38" t="n">
        <f aca="false">Sens!$C$4894/ext_sh*(ox_open+rent_mw)*Sens!$C$4895/1000</f>
        <v>0.642569210675032</v>
      </c>
      <c r="D4913" s="38" t="n">
        <f aca="false">Sens!$D$4894/ext_sh*(ox_open+rent_mw)*Sens!$D$4895/1000</f>
        <v>2.40963454003137</v>
      </c>
      <c r="E4913" s="38" t="n">
        <f aca="false">Sens!$E$4894/ext_sh*(ox_open+rent_mw)*Sens!$E$4895/1000</f>
        <v>2.35608710580845</v>
      </c>
      <c r="F4913" s="38" t="n">
        <f aca="false">((mw_open*ox_open+Sens!$F$4909*Sens!$F$4907)/ext_sh+Sens!$F$4894/ext_sh*rent_mw)*Sens!$F$4895/1000</f>
        <v>4.05421991106232</v>
      </c>
      <c r="G4913" s="38" t="n">
        <f aca="false">Sens!$E$4913+Sens!$F$4913</f>
        <v>6.41030701687077</v>
      </c>
      <c r="H4913" s="38" t="n">
        <f aca="false">((mw_open*ox_open+Sens!$H$4909*Sens!$H$4907)/ext_sh+Sens!$H$4894/ext_sh*rent_mw)*Sens!$H$4895/1000</f>
        <v>15.8108975546616</v>
      </c>
      <c r="I4913" s="38" t="n">
        <f aca="false">((mw_open*ox_open+Sens!$I$4909*Sens!$I$4907)/ext_sh+Sens!$I$4894/ext_sh*rent_mw)*Sens!$I$4895/1000</f>
        <v>26.1871623400817</v>
      </c>
      <c r="J4913" s="38" t="n">
        <f aca="false">((mw_open*ox_open+Sens!$J$4909*Sens!$J$4907)/ext_sh+Sens!$J$4894/ext_sh*rent_mw)*Sens!$J$4895/1000</f>
        <v>36.5826128954935</v>
      </c>
      <c r="K4913" s="38" t="n">
        <f aca="false">((mw_open*ox_open+Sens!$K$4909*Sens!$K$4907)/ext_sh+Sens!$K$4894/ext_sh*rent_mw)*Sens!$K$4895/1000</f>
        <v>46.9844587075692</v>
      </c>
      <c r="L4913" s="38" t="n">
        <f aca="false">((mw_open*ox_open+Sens!$L$4909*Sens!$L$4907)/ext_sh+Sens!$L$4894/ext_sh*rent_mw)*Sens!$L$4895/1000</f>
        <v>57.3892114544922</v>
      </c>
      <c r="M4913" s="38" t="n">
        <f aca="false">((mw_open*ox_open+Sens!$M$4909*Sens!$M$4907)/ext_sh+Sens!$M$4894/ext_sh*rent_mw)*Sens!$M$4895/1000</f>
        <v>67.7955294740252</v>
      </c>
      <c r="N4913" s="38" t="n">
        <f aca="false">Sens!$N$4894/ext_sh*(ox_open+rent_mw)*Sens!$N$4895/1000</f>
        <v>0.84337208901098</v>
      </c>
      <c r="O4913" s="38" t="n">
        <f aca="false">Sens!$O$4894/ext_sh*(ox_open+rent_mw)*Sens!$O$4895/1000</f>
        <v>1.56626245102039</v>
      </c>
    </row>
    <row r="4914" customFormat="false" ht="17.15" hidden="false" customHeight="false" outlineLevel="0" collapsed="false">
      <c r="A4914" s="0" t="s">
        <v>578</v>
      </c>
      <c r="B4914" s="0" t="s">
        <v>73</v>
      </c>
      <c r="C4914" s="38" t="n">
        <f aca="false">Q!$D$7</f>
        <v>107.556</v>
      </c>
      <c r="D4914" s="38" t="n">
        <f aca="false">Q!$E$7</f>
        <v>128.725</v>
      </c>
      <c r="E4914" s="38" t="n">
        <f aca="false">Q!$P$7</f>
        <v>79.819</v>
      </c>
      <c r="N4914" s="38" t="n">
        <f aca="false">Q!$N$7</f>
        <v>60.14</v>
      </c>
      <c r="O4914" s="38" t="n">
        <f aca="false">Q!$O$7</f>
        <v>68.585</v>
      </c>
    </row>
    <row r="4915" customFormat="false" ht="17.15" hidden="false" customHeight="false" outlineLevel="0" collapsed="false">
      <c r="A4915" s="1" t="s">
        <v>579</v>
      </c>
      <c r="B4915" s="8" t="s">
        <v>73</v>
      </c>
      <c r="C4915" s="38" t="n">
        <f aca="false">Sens!$C$4914-Sens!$C$4911</f>
        <v>105.234994643026</v>
      </c>
      <c r="D4915" s="38" t="n">
        <f aca="false">Sens!$D$4914-Sens!$D$4911</f>
        <v>120.021229911349</v>
      </c>
      <c r="E4915" s="38" t="n">
        <f aca="false">Sens!$E$4914-Sens!$E$4911</f>
        <v>71.30864702443</v>
      </c>
      <c r="F4915" s="38" t="n">
        <f aca="false">Sens!$O$4915*(1+Sens!$F$4916)</f>
        <v>78.5950104186653</v>
      </c>
      <c r="G4915" s="38" t="n">
        <f aca="false">Sens!$E$4915+Sens!$F$4915</f>
        <v>149.903657443095</v>
      </c>
      <c r="H4915" s="38" t="n">
        <f aca="false">Sens!$G$4915*(1+Sens!$H$4916)</f>
        <v>180.893560768142</v>
      </c>
      <c r="I4915" s="38" t="n">
        <f aca="false">Sens!$H$4915*(1+Sens!$I$4916)</f>
        <v>210.64839721501</v>
      </c>
      <c r="J4915" s="38" t="n">
        <f aca="false">Sens!$I$4915*(1+Sens!$J$4916)</f>
        <v>236.398909446495</v>
      </c>
      <c r="K4915" s="38" t="n">
        <f aca="false">Sens!$J$4915*(1+Sens!$K$4916)</f>
        <v>255.310822202215</v>
      </c>
      <c r="L4915" s="38" t="n">
        <f aca="false">Sens!$K$4915*(1+Sens!$L$4916)</f>
        <v>275.735687978392</v>
      </c>
      <c r="M4915" s="38" t="n">
        <f aca="false">Sens!$L$4915*(1+Sens!$M$4916)</f>
        <v>297.794543016663</v>
      </c>
      <c r="N4915" s="38" t="n">
        <f aca="false">Sens!$N$4914-Sens!$N$4911</f>
        <v>57.0936804689721</v>
      </c>
      <c r="O4915" s="38" t="n">
        <f aca="false">Sens!$O$4914-Sens!$O$4911</f>
        <v>62.9275494423768</v>
      </c>
      <c r="P4915" s="5" t="s">
        <v>580</v>
      </c>
    </row>
    <row r="4916" customFormat="false" ht="17.15" hidden="false" customHeight="false" outlineLevel="0" collapsed="false">
      <c r="A4916" s="0" t="s">
        <v>581</v>
      </c>
      <c r="B4916" s="0" t="s">
        <v>52</v>
      </c>
      <c r="E4916" s="12" t="n">
        <f aca="false">Sens!$E$4915/Sens!$N$4915-1</f>
        <v>0.248976181579029</v>
      </c>
      <c r="F4916" s="12" t="n">
        <f aca="false">Sens!$E$4916</f>
        <v>0.248976181579029</v>
      </c>
      <c r="G4916" s="12" t="n">
        <f aca="false">Sens!$G$4915/Sens!$D$4915-1</f>
        <v>0.248976181579029</v>
      </c>
      <c r="H4916" s="12" t="n">
        <f aca="false">Sens!$E$4916+(g_awso_lt-Sens!$E$4916)*1/4</f>
        <v>0.206732136184272</v>
      </c>
      <c r="I4916" s="12" t="n">
        <f aca="false">Sens!$E$4916+(g_awso_lt-Sens!$E$4916)*2/4</f>
        <v>0.164488090789515</v>
      </c>
      <c r="J4916" s="12" t="n">
        <f aca="false">Sens!$E$4916+(g_awso_lt-Sens!$E$4916)*3/4</f>
        <v>0.122244045394757</v>
      </c>
      <c r="K4916" s="12" t="n">
        <f aca="false">Sens!$E$4916+(g_awso_lt-Sens!$E$4916)*4/4</f>
        <v>0.08</v>
      </c>
      <c r="L4916" s="12" t="n">
        <f aca="false">g_awso_lt</f>
        <v>0.08</v>
      </c>
      <c r="M4916" s="12" t="n">
        <f aca="false">g_awso_lt</f>
        <v>0.08</v>
      </c>
      <c r="P4916" s="8" t="s">
        <v>582</v>
      </c>
    </row>
    <row r="4917" customFormat="false" ht="17.15" hidden="false" customHeight="false" outlineLevel="0" collapsed="false">
      <c r="A4917" s="1" t="s">
        <v>583</v>
      </c>
    </row>
    <row r="4918" customFormat="false" ht="17.15" hidden="false" customHeight="false" outlineLevel="0" collapsed="false">
      <c r="A4918" s="0" t="s">
        <v>584</v>
      </c>
      <c r="B4918" s="0" t="s">
        <v>73</v>
      </c>
      <c r="F4918" s="38" t="n">
        <f aca="false">cx_rt*Sens!$F$4884+cx_awso*Sens!$F$4915</f>
        <v>36.8045765066526</v>
      </c>
    </row>
    <row r="4919" customFormat="false" ht="17.15" hidden="false" customHeight="false" outlineLevel="0" collapsed="false">
      <c r="A4919" s="0" t="s">
        <v>585</v>
      </c>
      <c r="B4919" s="0" t="s">
        <v>52</v>
      </c>
      <c r="C4919" s="12" t="n">
        <f aca="false">tk_cx_h100/(tk_cx_h100+tk_fac*(1-colo_sh))</f>
        <v>0.730756458006641</v>
      </c>
      <c r="D4919" s="12" t="n">
        <f aca="false">tk_cx_h100/(tk_cx_h100+tk_fac*(1-colo_sh))</f>
        <v>0.730756458006641</v>
      </c>
      <c r="E4919" s="12" t="n">
        <f aca="false">Sens!$F$4919</f>
        <v>0.760792334328868</v>
      </c>
      <c r="F4919" s="12" t="n">
        <f aca="false">Sens!$F$4902/(Sens!$F$4902+tk_fac*(1-colo_sh))</f>
        <v>0.760792334328868</v>
      </c>
      <c r="G4919" s="12" t="n">
        <f aca="false">Sens!$G$4902/(Sens!$G$4902+tk_fac*(1-colo_sh))</f>
        <v>0.760792334328868</v>
      </c>
      <c r="H4919" s="12" t="n">
        <f aca="false">Sens!$H$4902/(Sens!$H$4902+tk_fac*(1-colo_sh))</f>
        <v>0.768110668862996</v>
      </c>
      <c r="I4919" s="12" t="n">
        <f aca="false">Sens!$I$4902/(Sens!$I$4902+tk_fac*(1-colo_sh))</f>
        <v>0.77499450139483</v>
      </c>
      <c r="J4919" s="12" t="n">
        <f aca="false">Sens!$J$4902/(Sens!$J$4902+tk_fac*(1-colo_sh))</f>
        <v>0.77499450139483</v>
      </c>
      <c r="K4919" s="12" t="n">
        <f aca="false">Sens!$K$4902/(Sens!$K$4902+tk_fac*(1-colo_sh))</f>
        <v>0.77499450139483</v>
      </c>
      <c r="L4919" s="12" t="n">
        <f aca="false">Sens!$L$4902/(Sens!$L$4902+tk_fac*(1-colo_sh))</f>
        <v>0.77499450139483</v>
      </c>
      <c r="M4919" s="12" t="n">
        <f aca="false">Sens!$M$4902/(Sens!$M$4902+tk_fac*(1-colo_sh))</f>
        <v>0.77499450139483</v>
      </c>
    </row>
    <row r="4920" customFormat="false" ht="17.15" hidden="false" customHeight="false" outlineLevel="0" collapsed="false">
      <c r="A4920" s="1" t="s">
        <v>586</v>
      </c>
      <c r="B4920" s="8" t="s">
        <v>73</v>
      </c>
      <c r="C4920" s="38" t="n">
        <f aca="false">Q!$D$46-cx_rt*Q!$D$16-cx_awso*Sens!$C$4915</f>
        <v>25.2781053077374</v>
      </c>
      <c r="D4920" s="38" t="n">
        <f aca="false">Q!$E$46-cx_rt*Q!$E$16-cx_awso*Sens!$D$4915</f>
        <v>69.5686316310026</v>
      </c>
      <c r="E4920" s="38" t="n">
        <f aca="false">Q!$P$46-cx_rt*Q!$P$16-cx_awso*Sens!$E$4915</f>
        <v>64.1899206485108</v>
      </c>
      <c r="F4920" s="38" t="n">
        <f aca="false">MAX(Sens!$F$4897*(Sens!$F$4902+tk_fac*(1-colo_sh))/1000,capex_g26-Q!$P$46-Sens!$F$4918)</f>
        <v>96.2481299895</v>
      </c>
      <c r="G4920" s="38" t="n">
        <f aca="false">Sens!$E$4920+Sens!$F$4920</f>
        <v>160.438050638011</v>
      </c>
      <c r="H4920" s="38" t="n">
        <f aca="false">Sens!$H$4897*(Sens!$H$4902+tk_fac*(1-colo_sh))/1000+Sens!$H$4921</f>
        <v>198.57136494475</v>
      </c>
      <c r="I4920" s="38" t="n">
        <f aca="false">Sens!$I$4897*(Sens!$I$4902+tk_fac*(1-colo_sh))/1000+Sens!$I$4921</f>
        <v>204.6464699105</v>
      </c>
      <c r="J4920" s="38" t="n">
        <f aca="false">Sens!$J$4897*(Sens!$J$4902+tk_fac*(1-colo_sh))/1000+Sens!$J$4921</f>
        <v>209.8832381105</v>
      </c>
      <c r="K4920" s="38" t="n">
        <f aca="false">Sens!$K$4897*(Sens!$K$4902+tk_fac*(1-colo_sh))/1000+Sens!$K$4921</f>
        <v>215.1200063105</v>
      </c>
      <c r="L4920" s="38" t="n">
        <f aca="false">Sens!$L$4897*(Sens!$L$4902+tk_fac*(1-colo_sh))/1000+Sens!$L$4921</f>
        <v>251.7773837105</v>
      </c>
      <c r="M4920" s="38" t="n">
        <f aca="false">Sens!$M$4897*(Sens!$M$4902+tk_fac*(1-colo_sh))/1000+Sens!$M$4921</f>
        <v>311.87584476575</v>
      </c>
      <c r="P4920" s="5" t="s">
        <v>587</v>
      </c>
      <c r="R4920" s="38" t="n">
        <f aca="false">Q!$C$46-cx_rt*Q!$C$16-cx_awso*(Q!$C$7-mw_ye23/2*rpm_open/1000)</f>
        <v>1.50429979529945</v>
      </c>
      <c r="S4920" s="38" t="n">
        <f aca="false">Sens!$C$4920</f>
        <v>25.2781053077374</v>
      </c>
      <c r="T4920" s="38" t="n">
        <f aca="false">Sens!$D$4920</f>
        <v>69.5686316310026</v>
      </c>
      <c r="U4920" s="38" t="n">
        <f aca="false">Sens!$G$4920</f>
        <v>160.438050638011</v>
      </c>
      <c r="V4920" s="38" t="n">
        <f aca="false">Sens!$H$4920</f>
        <v>198.57136494475</v>
      </c>
      <c r="W4920" s="38" t="n">
        <f aca="false">Sens!$I$4920</f>
        <v>204.6464699105</v>
      </c>
      <c r="X4920" s="38" t="n">
        <f aca="false">Sens!$J$4920</f>
        <v>209.8832381105</v>
      </c>
      <c r="Y4920" s="38" t="n">
        <f aca="false">Sens!$K$4920</f>
        <v>215.1200063105</v>
      </c>
      <c r="Z4920" s="38" t="n">
        <f aca="false">Sens!$L$4920</f>
        <v>251.7773837105</v>
      </c>
      <c r="AA4920" s="38" t="n">
        <f aca="false">Sens!$M$4920</f>
        <v>311.87584476575</v>
      </c>
    </row>
    <row r="4921" customFormat="false" ht="17.15" hidden="false" customHeight="false" outlineLevel="0" collapsed="false">
      <c r="A4921" s="0" t="s">
        <v>588</v>
      </c>
      <c r="B4921" s="0" t="s">
        <v>73</v>
      </c>
      <c r="H4921" s="38" t="n">
        <f aca="false">SUMPRODUCT(--(Sens!$R$4891:$AA$4891=2027-tk_life),Sens!$R$4897:$AA$4897)*Sens!$H$4902/1000</f>
        <v>0</v>
      </c>
      <c r="I4921" s="38" t="n">
        <f aca="false">SUMPRODUCT(--(Sens!$R$4891:$AA$4891=2028-tk_life),Sens!$R$4897:$AA$4897)*Sens!$I$4902/1000</f>
        <v>0</v>
      </c>
      <c r="J4921" s="38" t="n">
        <f aca="false">SUMPRODUCT(--(Sens!$R$4891:$AA$4891=2029-tk_life),Sens!$R$4897:$AA$4897)*Sens!$J$4902/1000</f>
        <v>5.2367682</v>
      </c>
      <c r="K4921" s="38" t="n">
        <f aca="false">SUMPRODUCT(--(Sens!$R$4891:$AA$4891=2030-tk_life),Sens!$R$4897:$AA$4897)*Sens!$K$4902/1000</f>
        <v>10.4735364</v>
      </c>
      <c r="L4921" s="38" t="n">
        <f aca="false">SUMPRODUCT(--(Sens!$R$4891:$AA$4891=2031-tk_life),Sens!$R$4897:$AA$4897)*Sens!$L$4902/1000</f>
        <v>47.1309138</v>
      </c>
      <c r="M4921" s="38" t="n">
        <f aca="false">SUMPRODUCT(--(Sens!$R$4891:$AA$4891=2032-tk_life),Sens!$R$4897:$AA$4897)*Sens!$M$4902/1000</f>
        <v>107.22937485525</v>
      </c>
    </row>
    <row r="4922" customFormat="false" ht="17.15" hidden="false" customHeight="false" outlineLevel="0" collapsed="false">
      <c r="A4922" s="5" t="s">
        <v>589</v>
      </c>
      <c r="B4922" s="0" t="s">
        <v>73</v>
      </c>
      <c r="C4922" s="38" t="n">
        <f aca="false">Sens!$C$4920*Sens!$C$4919</f>
        <v>18.472138699801</v>
      </c>
      <c r="D4922" s="38" t="n">
        <f aca="false">Sens!$D$4920*Sens!$D$4919</f>
        <v>50.8377268390402</v>
      </c>
      <c r="E4922" s="38" t="n">
        <f aca="false">Sens!$E$4920*Sens!$E$4919</f>
        <v>48.8351995705653</v>
      </c>
      <c r="F4922" s="38" t="n">
        <f aca="false">Sens!$F$4920*Sens!$F$4919</f>
        <v>73.2248394895</v>
      </c>
      <c r="G4922" s="38" t="n">
        <f aca="false">Sens!$E$4922+Sens!$F$4922</f>
        <v>122.060039060065</v>
      </c>
      <c r="H4922" s="38" t="n">
        <f aca="false">(Sens!$H$4920-Sens!$H$4921)*Sens!$H$4919+Sens!$H$4921</f>
        <v>152.52478394475</v>
      </c>
      <c r="I4922" s="38" t="n">
        <f aca="false">(Sens!$I$4920-Sens!$I$4921)*Sens!$I$4919+Sens!$I$4921</f>
        <v>158.5998889105</v>
      </c>
      <c r="J4922" s="38" t="n">
        <f aca="false">(Sens!$J$4920-Sens!$J$4921)*Sens!$J$4919+Sens!$J$4921</f>
        <v>163.8366571105</v>
      </c>
      <c r="K4922" s="38" t="n">
        <f aca="false">(Sens!$K$4920-Sens!$K$4921)*Sens!$K$4919+Sens!$K$4921</f>
        <v>169.0734253105</v>
      </c>
      <c r="L4922" s="38" t="n">
        <f aca="false">(Sens!$L$4920-Sens!$L$4921)*Sens!$L$4919+Sens!$L$4921</f>
        <v>205.7308027105</v>
      </c>
      <c r="M4922" s="38" t="n">
        <f aca="false">(Sens!$M$4920-Sens!$M$4921)*Sens!$M$4919+Sens!$M$4921</f>
        <v>265.82926376575</v>
      </c>
      <c r="R4922" s="38" t="n">
        <f aca="false">Sens!$R$4920*Sens!$C$4919</f>
        <v>1.09927679019314</v>
      </c>
      <c r="S4922" s="38" t="n">
        <f aca="false">Sens!$C$4922</f>
        <v>18.472138699801</v>
      </c>
      <c r="T4922" s="38" t="n">
        <f aca="false">Sens!$D$4922</f>
        <v>50.8377268390402</v>
      </c>
      <c r="U4922" s="38" t="n">
        <f aca="false">Sens!$G$4922</f>
        <v>122.060039060065</v>
      </c>
      <c r="V4922" s="38" t="n">
        <f aca="false">Sens!$H$4922</f>
        <v>152.52478394475</v>
      </c>
      <c r="W4922" s="38" t="n">
        <f aca="false">Sens!$I$4922</f>
        <v>158.5998889105</v>
      </c>
      <c r="X4922" s="38" t="n">
        <f aca="false">Sens!$J$4922</f>
        <v>163.8366571105</v>
      </c>
      <c r="Y4922" s="38" t="n">
        <f aca="false">Sens!$K$4922</f>
        <v>169.0734253105</v>
      </c>
      <c r="Z4922" s="38" t="n">
        <f aca="false">Sens!$L$4922</f>
        <v>205.7308027105</v>
      </c>
      <c r="AA4922" s="38" t="n">
        <f aca="false">Sens!$M$4922</f>
        <v>265.82926376575</v>
      </c>
    </row>
    <row r="4923" customFormat="false" ht="15" hidden="false" customHeight="false" outlineLevel="0" collapsed="false">
      <c r="A4923" s="5" t="s">
        <v>590</v>
      </c>
      <c r="B4923" s="0" t="s">
        <v>73</v>
      </c>
      <c r="C4923" s="38" t="n">
        <f aca="false">Sens!$C$4920-Sens!$C$4922</f>
        <v>6.80596660793636</v>
      </c>
      <c r="D4923" s="38" t="n">
        <f aca="false">Sens!$D$4920-Sens!$D$4922</f>
        <v>18.7309047919624</v>
      </c>
      <c r="E4923" s="38" t="n">
        <f aca="false">Sens!$E$4920-Sens!$E$4922</f>
        <v>15.3547210779455</v>
      </c>
      <c r="F4923" s="38" t="n">
        <f aca="false">Sens!$F$4920-Sens!$F$4922</f>
        <v>23.0232905</v>
      </c>
      <c r="G4923" s="38" t="n">
        <f aca="false">Sens!$G$4920-Sens!$G$4922</f>
        <v>38.3780115779455</v>
      </c>
      <c r="H4923" s="38" t="n">
        <f aca="false">Sens!$H$4920-Sens!$H$4922</f>
        <v>46.046581</v>
      </c>
      <c r="I4923" s="38" t="n">
        <f aca="false">Sens!$I$4920-Sens!$I$4922</f>
        <v>46.046581</v>
      </c>
      <c r="J4923" s="38" t="n">
        <f aca="false">Sens!$J$4920-Sens!$J$4922</f>
        <v>46.046581</v>
      </c>
      <c r="K4923" s="38" t="n">
        <f aca="false">Sens!$K$4920-Sens!$K$4922</f>
        <v>46.046581</v>
      </c>
      <c r="L4923" s="38" t="n">
        <f aca="false">Sens!$L$4920-Sens!$L$4922</f>
        <v>46.046581</v>
      </c>
      <c r="M4923" s="38" t="n">
        <f aca="false">Sens!$M$4920-Sens!$M$4922</f>
        <v>46.046581</v>
      </c>
      <c r="R4923" s="38" t="n">
        <f aca="false">Sens!$R$4920-Sens!$R$4922</f>
        <v>0.405023005106309</v>
      </c>
      <c r="S4923" s="38" t="n">
        <f aca="false">Sens!$S$4920-Sens!$S$4922</f>
        <v>6.80596660793636</v>
      </c>
      <c r="T4923" s="38" t="n">
        <f aca="false">Sens!$T$4920-Sens!$T$4922</f>
        <v>18.7309047919624</v>
      </c>
      <c r="U4923" s="38" t="n">
        <f aca="false">Sens!$U$4920-Sens!$U$4922</f>
        <v>38.3780115779455</v>
      </c>
      <c r="V4923" s="38" t="n">
        <f aca="false">Sens!$V$4920-Sens!$V$4922</f>
        <v>46.046581</v>
      </c>
      <c r="W4923" s="38" t="n">
        <f aca="false">Sens!$W$4920-Sens!$W$4922</f>
        <v>46.046581</v>
      </c>
      <c r="X4923" s="38" t="n">
        <f aca="false">Sens!$X$4920-Sens!$X$4922</f>
        <v>46.046581</v>
      </c>
      <c r="Y4923" s="38" t="n">
        <f aca="false">Sens!$Y$4920-Sens!$Y$4922</f>
        <v>46.046581</v>
      </c>
      <c r="Z4923" s="38" t="n">
        <f aca="false">Sens!$Z$4920-Sens!$Z$4922</f>
        <v>46.046581</v>
      </c>
      <c r="AA4923" s="38" t="n">
        <f aca="false">Sens!$AA$4920-Sens!$AA$4922</f>
        <v>46.046581</v>
      </c>
    </row>
    <row r="4924" customFormat="false" ht="17.15" hidden="false" customHeight="false" outlineLevel="0" collapsed="false">
      <c r="A4924" s="0" t="s">
        <v>591</v>
      </c>
      <c r="B4924" s="0" t="s">
        <v>52</v>
      </c>
      <c r="C4924" s="12" t="n">
        <f aca="false">Sens!$C$4920/Sens!$C$5036</f>
        <v>0.325505489553393</v>
      </c>
      <c r="D4924" s="12" t="n">
        <f aca="false">Sens!$D$4920/Sens!$D$5036</f>
        <v>0.54214956071542</v>
      </c>
      <c r="E4924" s="12" t="n">
        <f aca="false">Sens!$E$4920/Sens!$E$5036</f>
        <v>0.666492790452817</v>
      </c>
      <c r="F4924" s="12" t="n">
        <f aca="false">Sens!$F$4920/Sens!$F$5036</f>
        <v>0.723383481058938</v>
      </c>
      <c r="G4924" s="12" t="n">
        <f aca="false">Sens!$G$4920/Sens!$G$5036</f>
        <v>0.699494931364102</v>
      </c>
      <c r="H4924" s="12" t="n">
        <f aca="false">Sens!$H$4920/Sens!$H$5036</f>
        <v>0.714619350171483</v>
      </c>
      <c r="I4924" s="12" t="n">
        <f aca="false">Sens!$I$4920/Sens!$I$5036</f>
        <v>0.696231624961614</v>
      </c>
      <c r="J4924" s="12" t="n">
        <f aca="false">Sens!$J$4920/Sens!$J$5036</f>
        <v>0.681286352509885</v>
      </c>
      <c r="K4924" s="12" t="n">
        <f aca="false">Sens!$K$4920/Sens!$K$5036</f>
        <v>0.671440649805508</v>
      </c>
      <c r="L4924" s="12" t="n">
        <f aca="false">Sens!$L$4920/Sens!$L$5036</f>
        <v>0.6904509846562</v>
      </c>
      <c r="M4924" s="12" t="n">
        <f aca="false">Sens!$M$4920/Sens!$M$5036</f>
        <v>0.720362080285865</v>
      </c>
    </row>
    <row r="4925" customFormat="false" ht="17.15" hidden="false" customHeight="false" outlineLevel="0" collapsed="false">
      <c r="A4925" s="0" t="s">
        <v>592</v>
      </c>
      <c r="B4925" s="0" t="s">
        <v>73</v>
      </c>
      <c r="C4925" s="38" t="n">
        <f aca="false">Sens!$S$4925</f>
        <v>0.183212798365523</v>
      </c>
      <c r="D4925" s="38" t="n">
        <f aca="false">Sens!$T$4925</f>
        <v>3.2619025816657</v>
      </c>
      <c r="E4925" s="38" t="n">
        <f aca="false">Sens!$G$4925/2</f>
        <v>5.86742852741953</v>
      </c>
      <c r="F4925" s="38" t="n">
        <f aca="false">Sens!$G$4925/2</f>
        <v>5.86742852741953</v>
      </c>
      <c r="G4925" s="38" t="n">
        <f aca="false">Sens!$U$4925</f>
        <v>11.7348570548391</v>
      </c>
      <c r="H4925" s="38" t="n">
        <f aca="false">Sens!$V$4925</f>
        <v>32.0781968981833</v>
      </c>
      <c r="I4925" s="38" t="n">
        <f aca="false">Sens!$W$4925</f>
        <v>57.4989942223083</v>
      </c>
      <c r="J4925" s="38" t="n">
        <f aca="false">Sens!$X$4925</f>
        <v>83.932309040725</v>
      </c>
      <c r="K4925" s="38" t="n">
        <f aca="false">Sens!$Y$4925</f>
        <v>111.055205760776</v>
      </c>
      <c r="L4925" s="38" t="n">
        <f aca="false">Sens!$Z$4925</f>
        <v>136.155420195893</v>
      </c>
      <c r="M4925" s="38" t="n">
        <f aca="false">Sens!$AA$4925</f>
        <v>161.970932841136</v>
      </c>
      <c r="N4925" s="38" t="n">
        <f aca="false">Sens!$D$4925/2</f>
        <v>1.63095129083285</v>
      </c>
      <c r="O4925" s="38" t="n">
        <f aca="false">Sens!$D$4925/2</f>
        <v>1.63095129083285</v>
      </c>
      <c r="R4925" s="38" t="n">
        <f aca="false">SUMPRODUCT(--(Sens!$R$4891:$AA$4891&lt;Sens!R$4891),--(Sens!$R$4891:$AA$4891&gt;=Sens!R$4891-tk_life),Sens!$R$4922:$AA$4922)/tk_life</f>
        <v>0</v>
      </c>
      <c r="S4925" s="38" t="n">
        <f aca="false">SUMPRODUCT(--(Sens!$R$4891:$AA$4891&lt;Sens!S$4891),--(Sens!$R$4891:$AA$4891&gt;=Sens!S$4891-tk_life),Sens!$R$4922:$AA$4922)/tk_life</f>
        <v>0.183212798365523</v>
      </c>
      <c r="T4925" s="38" t="n">
        <f aca="false">SUMPRODUCT(--(Sens!$R$4891:$AA$4891&lt;Sens!T$4891),--(Sens!$R$4891:$AA$4891&gt;=Sens!T$4891-tk_life),Sens!$R$4922:$AA$4922)/tk_life</f>
        <v>3.2619025816657</v>
      </c>
      <c r="U4925" s="38" t="n">
        <f aca="false">SUMPRODUCT(--(Sens!$R$4891:$AA$4891&lt;Sens!U$4891),--(Sens!$R$4891:$AA$4891&gt;=Sens!U$4891-tk_life),Sens!$R$4922:$AA$4922)/tk_life</f>
        <v>11.7348570548391</v>
      </c>
      <c r="V4925" s="38" t="n">
        <f aca="false">SUMPRODUCT(--(Sens!$R$4891:$AA$4891&lt;Sens!V$4891),--(Sens!$R$4891:$AA$4891&gt;=Sens!V$4891-tk_life),Sens!$R$4922:$AA$4922)/tk_life</f>
        <v>32.0781968981833</v>
      </c>
      <c r="W4925" s="38" t="n">
        <f aca="false">SUMPRODUCT(--(Sens!$R$4891:$AA$4891&lt;Sens!W$4891),--(Sens!$R$4891:$AA$4891&gt;=Sens!W$4891-tk_life),Sens!$R$4922:$AA$4922)/tk_life</f>
        <v>57.4989942223083</v>
      </c>
      <c r="X4925" s="38" t="n">
        <f aca="false">SUMPRODUCT(--(Sens!$R$4891:$AA$4891&lt;Sens!X$4891),--(Sens!$R$4891:$AA$4891&gt;=Sens!X$4891-tk_life),Sens!$R$4922:$AA$4922)/tk_life</f>
        <v>83.932309040725</v>
      </c>
      <c r="Y4925" s="38" t="n">
        <f aca="false">SUMPRODUCT(--(Sens!$R$4891:$AA$4891&lt;Sens!Y$4891),--(Sens!$R$4891:$AA$4891&gt;=Sens!Y$4891-tk_life),Sens!$R$4922:$AA$4922)/tk_life</f>
        <v>111.055205760776</v>
      </c>
      <c r="Z4925" s="38" t="n">
        <f aca="false">SUMPRODUCT(--(Sens!$R$4891:$AA$4891&lt;Sens!Z$4891),--(Sens!$R$4891:$AA$4891&gt;=Sens!Z$4891-tk_life),Sens!$R$4922:$AA$4922)/tk_life</f>
        <v>136.155420195893</v>
      </c>
      <c r="AA4925" s="38" t="n">
        <f aca="false">SUMPRODUCT(--(Sens!$R$4891:$AA$4891&lt;Sens!AA$4891),--(Sens!$R$4891:$AA$4891&gt;=Sens!AA$4891-tk_life),Sens!$R$4922:$AA$4922)/tk_life</f>
        <v>161.970932841136</v>
      </c>
    </row>
    <row r="4926" customFormat="false" ht="17.15" hidden="false" customHeight="false" outlineLevel="0" collapsed="false">
      <c r="A4926" s="0" t="s">
        <v>593</v>
      </c>
      <c r="B4926" s="0" t="s">
        <v>73</v>
      </c>
      <c r="C4926" s="38" t="n">
        <f aca="false">Sens!$S$4926</f>
        <v>0.0202511502553155</v>
      </c>
      <c r="D4926" s="38" t="n">
        <f aca="false">Sens!$T$4926</f>
        <v>0.360549480652134</v>
      </c>
      <c r="E4926" s="38" t="n">
        <f aca="false">Sens!$G$4926/2</f>
        <v>0.648547360125127</v>
      </c>
      <c r="F4926" s="38" t="n">
        <f aca="false">Sens!$G$4926/2</f>
        <v>0.648547360125127</v>
      </c>
      <c r="G4926" s="38" t="n">
        <f aca="false">Sens!$U$4926</f>
        <v>1.29709472025025</v>
      </c>
      <c r="H4926" s="38" t="n">
        <f aca="false">Sens!$V$4926</f>
        <v>3.21599529914753</v>
      </c>
      <c r="I4926" s="38" t="n">
        <f aca="false">Sens!$W$4926</f>
        <v>5.51832434914753</v>
      </c>
      <c r="J4926" s="38" t="n">
        <f aca="false">Sens!$X$4926</f>
        <v>7.82065339914753</v>
      </c>
      <c r="K4926" s="38" t="n">
        <f aca="false">Sens!$Y$4926</f>
        <v>10.1229824491475</v>
      </c>
      <c r="L4926" s="38" t="n">
        <f aca="false">Sens!$Z$4926</f>
        <v>12.4253114991475</v>
      </c>
      <c r="M4926" s="38" t="n">
        <f aca="false">Sens!$AA$4926</f>
        <v>14.7276405491475</v>
      </c>
      <c r="N4926" s="38" t="n">
        <f aca="false">Sens!$D$4926/2</f>
        <v>0.180274740326067</v>
      </c>
      <c r="O4926" s="38" t="n">
        <f aca="false">Sens!$D$4926/2</f>
        <v>0.180274740326067</v>
      </c>
      <c r="R4926" s="38" t="n">
        <f aca="false">SUMPRODUCT(--(Sens!$R$4891:$AA$4891&lt;Sens!R$4891),Sens!$R$4923:$AA$4923)/fac_life</f>
        <v>0</v>
      </c>
      <c r="S4926" s="38" t="n">
        <f aca="false">SUMPRODUCT(--(Sens!$R$4891:$AA$4891&lt;Sens!S$4891),Sens!$R$4923:$AA$4923)/fac_life</f>
        <v>0.0202511502553155</v>
      </c>
      <c r="T4926" s="38" t="n">
        <f aca="false">SUMPRODUCT(--(Sens!$R$4891:$AA$4891&lt;Sens!T$4891),Sens!$R$4923:$AA$4923)/fac_life</f>
        <v>0.360549480652134</v>
      </c>
      <c r="U4926" s="38" t="n">
        <f aca="false">SUMPRODUCT(--(Sens!$R$4891:$AA$4891&lt;Sens!U$4891),Sens!$R$4923:$AA$4923)/fac_life</f>
        <v>1.29709472025025</v>
      </c>
      <c r="V4926" s="38" t="n">
        <f aca="false">SUMPRODUCT(--(Sens!$R$4891:$AA$4891&lt;Sens!V$4891),Sens!$R$4923:$AA$4923)/fac_life</f>
        <v>3.21599529914753</v>
      </c>
      <c r="W4926" s="38" t="n">
        <f aca="false">SUMPRODUCT(--(Sens!$R$4891:$AA$4891&lt;Sens!W$4891),Sens!$R$4923:$AA$4923)/fac_life</f>
        <v>5.51832434914753</v>
      </c>
      <c r="X4926" s="38" t="n">
        <f aca="false">SUMPRODUCT(--(Sens!$R$4891:$AA$4891&lt;Sens!X$4891),Sens!$R$4923:$AA$4923)/fac_life</f>
        <v>7.82065339914753</v>
      </c>
      <c r="Y4926" s="38" t="n">
        <f aca="false">SUMPRODUCT(--(Sens!$R$4891:$AA$4891&lt;Sens!Y$4891),Sens!$R$4923:$AA$4923)/fac_life</f>
        <v>10.1229824491475</v>
      </c>
      <c r="Z4926" s="38" t="n">
        <f aca="false">SUMPRODUCT(--(Sens!$R$4891:$AA$4891&lt;Sens!Z$4891),Sens!$R$4923:$AA$4923)/fac_life</f>
        <v>12.4253114991475</v>
      </c>
      <c r="AA4926" s="38" t="n">
        <f aca="false">SUMPRODUCT(--(Sens!$R$4891:$AA$4891&lt;Sens!AA$4891),Sens!$R$4923:$AA$4923)/fac_life</f>
        <v>14.7276405491475</v>
      </c>
    </row>
    <row r="4927" customFormat="false" ht="17.15" hidden="false" customHeight="false" outlineLevel="0" collapsed="false">
      <c r="A4927" s="1" t="s">
        <v>594</v>
      </c>
      <c r="B4927" s="8" t="s">
        <v>73</v>
      </c>
      <c r="C4927" s="38" t="n">
        <f aca="false">Sens!$C$4925+Sens!$C$4926</f>
        <v>0.203463948620839</v>
      </c>
      <c r="D4927" s="38" t="n">
        <f aca="false">Sens!$D$4925+Sens!$D$4926</f>
        <v>3.62245206231783</v>
      </c>
      <c r="E4927" s="38" t="n">
        <f aca="false">Sens!$E$4925+Sens!$E$4926</f>
        <v>6.51597588754466</v>
      </c>
      <c r="F4927" s="38" t="n">
        <f aca="false">Sens!$F$4925+Sens!$F$4926</f>
        <v>6.51597588754466</v>
      </c>
      <c r="G4927" s="38" t="n">
        <f aca="false">Sens!$G$4925+Sens!$G$4926</f>
        <v>13.0319517750893</v>
      </c>
      <c r="H4927" s="38" t="n">
        <f aca="false">Sens!$H$4925+Sens!$H$4926</f>
        <v>35.2941921973308</v>
      </c>
      <c r="I4927" s="38" t="n">
        <f aca="false">Sens!$I$4925+Sens!$I$4926</f>
        <v>63.0173185714558</v>
      </c>
      <c r="J4927" s="38" t="n">
        <f aca="false">Sens!$J$4925+Sens!$J$4926</f>
        <v>91.7529624398725</v>
      </c>
      <c r="K4927" s="38" t="n">
        <f aca="false">Sens!$K$4925+Sens!$K$4926</f>
        <v>121.178188209924</v>
      </c>
      <c r="L4927" s="38" t="n">
        <f aca="false">Sens!$L$4925+Sens!$L$4926</f>
        <v>148.58073169504</v>
      </c>
      <c r="M4927" s="38" t="n">
        <f aca="false">Sens!$M$4925+Sens!$M$4926</f>
        <v>176.698573390283</v>
      </c>
      <c r="N4927" s="38" t="n">
        <f aca="false">Sens!$N$4925+Sens!$N$4926</f>
        <v>1.81122603115892</v>
      </c>
      <c r="O4927" s="38" t="n">
        <f aca="false">Sens!$O$4925+Sens!$O$4926</f>
        <v>1.81122603115892</v>
      </c>
      <c r="R4927" s="38" t="n">
        <f aca="false">Sens!$R$4925+Sens!$R$4926</f>
        <v>0</v>
      </c>
      <c r="S4927" s="38" t="n">
        <f aca="false">Sens!$S$4925+Sens!$S$4926</f>
        <v>0.203463948620839</v>
      </c>
      <c r="T4927" s="38" t="n">
        <f aca="false">Sens!$T$4925+Sens!$T$4926</f>
        <v>3.62245206231783</v>
      </c>
      <c r="U4927" s="38" t="n">
        <f aca="false">Sens!$U$4925+Sens!$U$4926</f>
        <v>13.0319517750893</v>
      </c>
      <c r="V4927" s="38" t="n">
        <f aca="false">Sens!$V$4925+Sens!$V$4926</f>
        <v>35.2941921973308</v>
      </c>
      <c r="W4927" s="38" t="n">
        <f aca="false">Sens!$W$4925+Sens!$W$4926</f>
        <v>63.0173185714558</v>
      </c>
      <c r="X4927" s="38" t="n">
        <f aca="false">Sens!$X$4925+Sens!$X$4926</f>
        <v>91.7529624398725</v>
      </c>
      <c r="Y4927" s="38" t="n">
        <f aca="false">Sens!$Y$4925+Sens!$Y$4926</f>
        <v>121.178188209924</v>
      </c>
      <c r="Z4927" s="38" t="n">
        <f aca="false">Sens!$Z$4925+Sens!$Z$4926</f>
        <v>148.58073169504</v>
      </c>
      <c r="AA4927" s="38" t="n">
        <f aca="false">Sens!$AA$4925+Sens!$AA$4926</f>
        <v>176.698573390283</v>
      </c>
    </row>
    <row r="4928" customFormat="false" ht="17.15" hidden="false" customHeight="false" outlineLevel="0" collapsed="false">
      <c r="A4928" s="0" t="s">
        <v>595</v>
      </c>
      <c r="B4928" s="0" t="s">
        <v>73</v>
      </c>
      <c r="C4928" s="38" t="n">
        <f aca="false">Sens!$S$4928</f>
        <v>26.578941154416</v>
      </c>
      <c r="D4928" s="38" t="n">
        <f aca="false">Sens!$T$4928</f>
        <v>92.5251207231008</v>
      </c>
      <c r="G4928" s="38" t="n">
        <f aca="false">Sens!$U$4928</f>
        <v>239.931219586022</v>
      </c>
      <c r="H4928" s="38" t="n">
        <f aca="false">Sens!$V$4928</f>
        <v>403.208392333442</v>
      </c>
      <c r="I4928" s="38" t="n">
        <f aca="false">Sens!$W$4928</f>
        <v>544.837543672486</v>
      </c>
      <c r="J4928" s="38" t="n">
        <f aca="false">Sens!$X$4928</f>
        <v>662.967819343113</v>
      </c>
      <c r="K4928" s="38" t="n">
        <f aca="false">Sens!$Y$4928</f>
        <v>756.90963744369</v>
      </c>
      <c r="L4928" s="38" t="n">
        <f aca="false">Sens!$Z$4928</f>
        <v>860.10628945915</v>
      </c>
      <c r="M4928" s="38" t="n">
        <f aca="false">Sens!$AA$4928</f>
        <v>995.283560834616</v>
      </c>
      <c r="R4928" s="38" t="n">
        <f aca="false">SUM(Sens!$R$4920:$R$4920)-SUM(Sens!$R$4927:$R$4927)</f>
        <v>1.50429979529945</v>
      </c>
      <c r="S4928" s="38" t="n">
        <f aca="false">SUM(Sens!$R$4920:$S$4920)-SUM(Sens!$R$4927:$S$4927)</f>
        <v>26.578941154416</v>
      </c>
      <c r="T4928" s="38" t="n">
        <f aca="false">SUM(Sens!$R$4920:$T$4920)-SUM(Sens!$R$4927:$T$4927)</f>
        <v>92.5251207231008</v>
      </c>
      <c r="U4928" s="38" t="n">
        <f aca="false">SUM(Sens!$R$4920:$U$4920)-SUM(Sens!$R$4927:$U$4927)</f>
        <v>239.931219586022</v>
      </c>
      <c r="V4928" s="38" t="n">
        <f aca="false">SUM(Sens!$R$4920:$V$4920)-SUM(Sens!$R$4927:$V$4927)</f>
        <v>403.208392333442</v>
      </c>
      <c r="W4928" s="38" t="n">
        <f aca="false">SUM(Sens!$R$4920:$W$4920)-SUM(Sens!$R$4927:$W$4927)</f>
        <v>544.837543672486</v>
      </c>
      <c r="X4928" s="38" t="n">
        <f aca="false">SUM(Sens!$R$4920:$X$4920)-SUM(Sens!$R$4927:$X$4927)</f>
        <v>662.967819343113</v>
      </c>
      <c r="Y4928" s="38" t="n">
        <f aca="false">SUM(Sens!$R$4920:$Y$4920)-SUM(Sens!$R$4927:$Y$4927)</f>
        <v>756.90963744369</v>
      </c>
      <c r="Z4928" s="38" t="n">
        <f aca="false">SUM(Sens!$R$4920:$Z$4920)-SUM(Sens!$R$4927:$Z$4927)</f>
        <v>860.10628945915</v>
      </c>
      <c r="AA4928" s="38" t="n">
        <f aca="false">SUM(Sens!$R$4920:$AA$4920)-SUM(Sens!$R$4927:$AA$4927)</f>
        <v>995.283560834616</v>
      </c>
    </row>
    <row r="4929" customFormat="false" ht="17.15" hidden="false" customHeight="false" outlineLevel="0" collapsed="false">
      <c r="A4929" s="1" t="s">
        <v>596</v>
      </c>
    </row>
    <row r="4930" customFormat="false" ht="17.15" hidden="false" customHeight="false" outlineLevel="0" collapsed="false">
      <c r="A4930" s="0" t="s">
        <v>597</v>
      </c>
      <c r="B4930" s="0" t="s">
        <v>73</v>
      </c>
      <c r="C4930" s="38" t="n">
        <f aca="false">Sens!$C$4911-ext_sh*Sens!$C$4913</f>
        <v>1.80694998843362</v>
      </c>
      <c r="D4930" s="38" t="n">
        <f aca="false">Sens!$D$4911-ext_sh*Sens!$D$4913</f>
        <v>6.77606245662607</v>
      </c>
      <c r="E4930" s="38" t="n">
        <f aca="false">Sens!$E$4911-ext_sh*Sens!$E$4913</f>
        <v>6.62548329092326</v>
      </c>
      <c r="F4930" s="38" t="n">
        <f aca="false">Sens!$F$4911-ext_sh*Sens!$F$4913</f>
        <v>11.7200577158706</v>
      </c>
      <c r="G4930" s="38" t="n">
        <f aca="false">Sens!$G$4911-ext_sh*Sens!$G$4913</f>
        <v>18.3455410067939</v>
      </c>
      <c r="H4930" s="38" t="n">
        <f aca="false">Sens!$H$4911-ext_sh*Sens!$H$4913</f>
        <v>47.5171727060453</v>
      </c>
      <c r="I4930" s="38" t="n">
        <f aca="false">Sens!$I$4911-ext_sh*Sens!$I$4913</f>
        <v>80.5539692643667</v>
      </c>
      <c r="J4930" s="38" t="n">
        <f aca="false">Sens!$J$4911-ext_sh*Sens!$J$4913</f>
        <v>113.759316834883</v>
      </c>
      <c r="K4930" s="38" t="n">
        <f aca="false">Sens!$K$4911-ext_sh*Sens!$K$4913</f>
        <v>147.020848076132</v>
      </c>
      <c r="L4930" s="38" t="n">
        <f aca="false">Sens!$L$4911-ext_sh*Sens!$L$4913</f>
        <v>180.307917349531</v>
      </c>
      <c r="M4930" s="38" t="n">
        <f aca="false">Sens!$M$4911-ext_sh*Sens!$M$4913</f>
        <v>213.608737871012</v>
      </c>
      <c r="N4930" s="38" t="n">
        <f aca="false">Sens!$N$4911-ext_sh*Sens!$N$4913</f>
        <v>2.37162185981912</v>
      </c>
      <c r="O4930" s="38" t="n">
        <f aca="false">Sens!$O$4911-ext_sh*Sens!$O$4913</f>
        <v>4.40444059680694</v>
      </c>
    </row>
    <row r="4931" customFormat="false" ht="17.15" hidden="false" customHeight="false" outlineLevel="0" collapsed="false">
      <c r="A4931" s="1" t="s">
        <v>598</v>
      </c>
      <c r="B4931" s="8" t="s">
        <v>73</v>
      </c>
      <c r="C4931" s="38" t="n">
        <f aca="false">Sens!$C$4930-ext_sh*Sens!$C$4927</f>
        <v>1.64417882953695</v>
      </c>
      <c r="D4931" s="38" t="n">
        <f aca="false">Sens!$D$4930-ext_sh*Sens!$D$4927</f>
        <v>3.8781008067718</v>
      </c>
      <c r="E4931" s="38" t="n">
        <f aca="false">Sens!$E$4930-ext_sh*Sens!$E$4927</f>
        <v>1.41270258088753</v>
      </c>
      <c r="F4931" s="38" t="n">
        <f aca="false">Sens!$F$4930-ext_sh*Sens!$F$4927</f>
        <v>6.50727700583486</v>
      </c>
      <c r="G4931" s="38" t="n">
        <f aca="false">Sens!$G$4930-ext_sh*Sens!$G$4927</f>
        <v>7.9199795867224</v>
      </c>
      <c r="H4931" s="38" t="n">
        <f aca="false">Sens!$H$4930-ext_sh*Sens!$H$4927</f>
        <v>19.2818189481807</v>
      </c>
      <c r="I4931" s="38" t="n">
        <f aca="false">Sens!$I$4930-ext_sh*Sens!$I$4927</f>
        <v>30.140114407202</v>
      </c>
      <c r="J4931" s="38" t="n">
        <f aca="false">Sens!$J$4930-ext_sh*Sens!$J$4927</f>
        <v>40.3569468829854</v>
      </c>
      <c r="K4931" s="38" t="n">
        <f aca="false">Sens!$K$4930-ext_sh*Sens!$K$4927</f>
        <v>50.0782975081929</v>
      </c>
      <c r="L4931" s="38" t="n">
        <f aca="false">Sens!$L$4930-ext_sh*Sens!$L$4927</f>
        <v>61.443331993499</v>
      </c>
      <c r="M4931" s="38" t="n">
        <f aca="false">Sens!$M$4930-ext_sh*Sens!$M$4927</f>
        <v>72.2498791587849</v>
      </c>
      <c r="N4931" s="38" t="n">
        <f aca="false">Sens!$N$4930-ext_sh*Sens!$N$4927</f>
        <v>0.92264103489199</v>
      </c>
      <c r="O4931" s="38" t="n">
        <f aca="false">Sens!$O$4930-ext_sh*Sens!$O$4927</f>
        <v>2.95545977187981</v>
      </c>
    </row>
    <row r="4932" customFormat="false" ht="17.15" hidden="false" customHeight="false" outlineLevel="0" collapsed="false">
      <c r="A4932" s="0" t="s">
        <v>599</v>
      </c>
      <c r="B4932" s="0" t="s">
        <v>52</v>
      </c>
      <c r="C4932" s="12" t="n">
        <f aca="false">Sens!$C$4931/Sens!$C$4911</f>
        <v>0.708390794789371</v>
      </c>
      <c r="D4932" s="12" t="n">
        <f aca="false">Sens!$D$4931/Sens!$D$4911</f>
        <v>0.445565630441968</v>
      </c>
      <c r="E4932" s="12" t="n">
        <f aca="false">Sens!$E$4931/Sens!$E$4911</f>
        <v>0.165998118402711</v>
      </c>
      <c r="F4932" s="12" t="n">
        <f aca="false">Sens!$F$4931/Sens!$F$4911</f>
        <v>0.434878595403858</v>
      </c>
      <c r="G4932" s="12" t="n">
        <f aca="false">Sens!$G$4931/Sens!$G$4911</f>
        <v>0.3373967615381</v>
      </c>
      <c r="H4932" s="12" t="n">
        <f aca="false">Sens!$H$4931/Sens!$H$4911</f>
        <v>0.320477578041224</v>
      </c>
      <c r="I4932" s="12" t="n">
        <f aca="false">Sens!$I$4931/Sens!$I$4911</f>
        <v>0.296936118226494</v>
      </c>
      <c r="J4932" s="12" t="n">
        <f aca="false">Sens!$J$4931/Sens!$J$4911</f>
        <v>0.282166278613001</v>
      </c>
      <c r="K4932" s="12" t="n">
        <f aca="false">Sens!$K$4931/Sens!$K$4911</f>
        <v>0.271267685694333</v>
      </c>
      <c r="L4932" s="12" t="n">
        <f aca="false">Sens!$L$4931/Sens!$L$4911</f>
        <v>0.27160960915653</v>
      </c>
      <c r="M4932" s="12" t="n">
        <f aca="false">Sens!$M$4931/Sens!$M$4911</f>
        <v>0.26974494804234</v>
      </c>
      <c r="N4932" s="12" t="n">
        <f aca="false">Sens!$N$4931/Sens!$N$4911</f>
        <v>0.302870734830849</v>
      </c>
      <c r="O4932" s="12" t="n">
        <f aca="false">Sens!$O$4931/Sens!$O$4911</f>
        <v>0.52240134346334</v>
      </c>
    </row>
    <row r="4933" customFormat="false" ht="17.15" hidden="false" customHeight="false" outlineLevel="0" collapsed="false">
      <c r="A4933" s="5" t="s">
        <v>600</v>
      </c>
      <c r="B4933" s="0" t="s">
        <v>73</v>
      </c>
      <c r="C4933" s="38" t="n">
        <f aca="false">rd2*(1-ext_sh)/ext_sh*Sens!$C$4894*he_open*Sens!$C$4895/1000</f>
        <v>0</v>
      </c>
      <c r="D4933" s="38" t="n">
        <f aca="false">rd2*(1-ext_sh)/ext_sh*Sens!$D$4894*he_open*Sens!$D$4895/1000</f>
        <v>0</v>
      </c>
      <c r="E4933" s="38" t="n">
        <f aca="false">rd2*(1-ext_sh)/ext_sh*Sens!$E$4894*he_open*Sens!$E$4895/1000</f>
        <v>0</v>
      </c>
      <c r="F4933" s="38" t="n">
        <f aca="false">rd2*(1-ext_sh)/ext_sh*(mw_open*he_open+Sens!$F$4909*Sens!$F$4906)*Sens!$F$4895/1000</f>
        <v>0</v>
      </c>
      <c r="G4933" s="38" t="n">
        <f aca="false">Sens!$E$4933+Sens!$F$4933</f>
        <v>0</v>
      </c>
      <c r="H4933" s="38" t="n">
        <f aca="false">rd2*(1-ext_sh)/ext_sh*(mw_open*he_open+Sens!$H$4909*Sens!$H$4906)*Sens!$H$4895/1000</f>
        <v>0</v>
      </c>
      <c r="I4933" s="38" t="n">
        <f aca="false">rd2*(1-ext_sh)/ext_sh*(mw_open*he_open+Sens!$I$4909*Sens!$I$4906)*Sens!$I$4895/1000</f>
        <v>0</v>
      </c>
      <c r="J4933" s="38" t="n">
        <f aca="false">rd2*(1-ext_sh)/ext_sh*(mw_open*he_open+Sens!$J$4909*Sens!$J$4906)*Sens!$J$4895/1000</f>
        <v>0</v>
      </c>
      <c r="K4933" s="38" t="n">
        <f aca="false">rd2*(1-ext_sh)/ext_sh*(mw_open*he_open+Sens!$K$4909*Sens!$K$4906)*Sens!$K$4895/1000</f>
        <v>0</v>
      </c>
      <c r="L4933" s="38" t="n">
        <f aca="false">rd2*(1-ext_sh)/ext_sh*(mw_open*he_open+Sens!$L$4909*Sens!$L$4906)*Sens!$L$4895/1000</f>
        <v>0</v>
      </c>
      <c r="M4933" s="38" t="n">
        <f aca="false">rd2*(1-ext_sh)/ext_sh*(mw_open*he_open+Sens!$M$4909*Sens!$M$4906)*Sens!$M$4895/1000</f>
        <v>0</v>
      </c>
      <c r="N4933" s="38" t="n">
        <f aca="false">rd2*(1-ext_sh)/ext_sh*Sens!$N$4894*he_open*Sens!$N$4895/1000</f>
        <v>0</v>
      </c>
      <c r="O4933" s="38" t="n">
        <f aca="false">rd2*(1-ext_sh)/ext_sh*Sens!$O$4894*he_open*Sens!$O$4895/1000</f>
        <v>0</v>
      </c>
      <c r="P4933" s="8" t="s">
        <v>601</v>
      </c>
    </row>
    <row r="4934" customFormat="false" ht="17.15" hidden="false" customHeight="false" outlineLevel="0" collapsed="false">
      <c r="A4934" s="5" t="s">
        <v>602</v>
      </c>
      <c r="B4934" s="0" t="s">
        <v>73</v>
      </c>
      <c r="C4934" s="38" t="n">
        <f aca="false">(1-ext_sh)*(Sens!$C$4913+Sens!$C$4927)-Sens!$C$4933</f>
        <v>0.169206631859174</v>
      </c>
      <c r="D4934" s="38" t="n">
        <f aca="false">(1-ext_sh)*(Sens!$D$4913+Sens!$D$4927)-Sens!$D$4933</f>
        <v>1.20641732046984</v>
      </c>
      <c r="E4934" s="38" t="n">
        <f aca="false">(1-ext_sh)*(Sens!$E$4913+Sens!$E$4927)-Sens!$E$4933</f>
        <v>1.77441259867062</v>
      </c>
      <c r="F4934" s="38" t="n">
        <f aca="false">(1-ext_sh)*(Sens!$F$4913+Sens!$F$4927)-Sens!$F$4933</f>
        <v>2.1140391597214</v>
      </c>
      <c r="G4934" s="38" t="n">
        <f aca="false">(1-ext_sh)*(Sens!$G$4913+Sens!$G$4927)-Sens!$G$4933</f>
        <v>3.88845175839202</v>
      </c>
      <c r="H4934" s="38" t="n">
        <f aca="false">(1-ext_sh)*(Sens!$H$4913+Sens!$H$4927)-Sens!$H$4933</f>
        <v>10.2210179503985</v>
      </c>
      <c r="I4934" s="38" t="n">
        <f aca="false">(1-ext_sh)*(Sens!$I$4913+Sens!$I$4927)-Sens!$I$4933</f>
        <v>17.8408961823075</v>
      </c>
      <c r="J4934" s="38" t="n">
        <f aca="false">(1-ext_sh)*(Sens!$J$4913+Sens!$J$4927)-Sens!$J$4933</f>
        <v>25.6671150670732</v>
      </c>
      <c r="K4934" s="38" t="n">
        <f aca="false">(1-ext_sh)*(Sens!$K$4913+Sens!$K$4927)-Sens!$K$4933</f>
        <v>33.6325293834986</v>
      </c>
      <c r="L4934" s="38" t="n">
        <f aca="false">(1-ext_sh)*(Sens!$L$4913+Sens!$L$4927)-Sens!$L$4933</f>
        <v>41.1939886299065</v>
      </c>
      <c r="M4934" s="38" t="n">
        <f aca="false">(1-ext_sh)*(Sens!$M$4913+Sens!$M$4927)-Sens!$M$4933</f>
        <v>48.8988205728617</v>
      </c>
      <c r="N4934" s="38" t="n">
        <f aca="false">(1-ext_sh)*(Sens!$N$4913+Sens!$N$4927)-Sens!$N$4933</f>
        <v>0.530919624033979</v>
      </c>
      <c r="O4934" s="38" t="n">
        <f aca="false">(1-ext_sh)*(Sens!$O$4913+Sens!$O$4927)-Sens!$O$4933</f>
        <v>0.675497696435861</v>
      </c>
    </row>
    <row r="4935" customFormat="false" ht="17.15" hidden="false" customHeight="false" outlineLevel="0" collapsed="false">
      <c r="A4935" s="0" t="s">
        <v>603</v>
      </c>
      <c r="B4935" s="0" t="s">
        <v>73</v>
      </c>
      <c r="C4935" s="38" t="n">
        <f aca="false">Q!$D$24</f>
        <v>39.834</v>
      </c>
      <c r="D4935" s="38" t="n">
        <f aca="false">Q!$E$24</f>
        <v>45.606</v>
      </c>
      <c r="E4935" s="38" t="n">
        <f aca="false">Q!$P$24</f>
        <v>30.782</v>
      </c>
      <c r="N4935" s="38" t="n">
        <f aca="false">Q!$N$24</f>
        <v>21.707</v>
      </c>
      <c r="O4935" s="38" t="n">
        <f aca="false">Q!$O$24</f>
        <v>23.899</v>
      </c>
    </row>
    <row r="4936" customFormat="false" ht="17.15" hidden="false" customHeight="false" outlineLevel="0" collapsed="false">
      <c r="A4936" s="0" t="s">
        <v>604</v>
      </c>
      <c r="B4936" s="0" t="s">
        <v>73</v>
      </c>
      <c r="C4936" s="38" t="n">
        <f aca="false">Sens!$C$4935-Sens!$C$4931</f>
        <v>38.1898211704631</v>
      </c>
      <c r="D4936" s="38" t="n">
        <f aca="false">Sens!$D$4935-Sens!$D$4931</f>
        <v>41.7278991932282</v>
      </c>
      <c r="E4936" s="38" t="n">
        <f aca="false">Sens!$E$4935-Sens!$E$4931</f>
        <v>29.3692974191125</v>
      </c>
      <c r="F4936" s="38" t="n">
        <f aca="false">Sens!$F$4915*Sens!$F$4937</f>
        <v>29.458060516894</v>
      </c>
      <c r="G4936" s="38" t="n">
        <f aca="false">Sens!$E$4936+Sens!$F$4936</f>
        <v>58.8273579360065</v>
      </c>
      <c r="H4936" s="38" t="n">
        <f aca="false">Sens!$H$4915*Sens!$H$4937</f>
        <v>67.8004040185081</v>
      </c>
      <c r="I4936" s="38" t="n">
        <f aca="false">Sens!$I$4915*Sens!$I$4937</f>
        <v>78.9527630302702</v>
      </c>
      <c r="J4936" s="38" t="n">
        <f aca="false">Sens!$J$4915*Sens!$J$4937</f>
        <v>88.6042681781841</v>
      </c>
      <c r="K4936" s="38" t="n">
        <f aca="false">Sens!$K$4915*Sens!$K$4937</f>
        <v>95.6926096324389</v>
      </c>
      <c r="L4936" s="38" t="n">
        <f aca="false">Sens!$L$4915*Sens!$L$4937</f>
        <v>103.348018403034</v>
      </c>
      <c r="M4936" s="38" t="n">
        <f aca="false">Sens!$M$4915*Sens!$M$4937</f>
        <v>111.615859875277</v>
      </c>
      <c r="N4936" s="38" t="n">
        <f aca="false">Sens!$N$4935-Sens!$N$4931</f>
        <v>20.784358965108</v>
      </c>
      <c r="O4936" s="38" t="n">
        <f aca="false">Sens!$O$4935-Sens!$O$4931</f>
        <v>20.9435402281202</v>
      </c>
      <c r="P4936" s="5" t="s">
        <v>605</v>
      </c>
    </row>
    <row r="4937" customFormat="false" ht="17.15" hidden="false" customHeight="false" outlineLevel="0" collapsed="false">
      <c r="A4937" s="0" t="s">
        <v>606</v>
      </c>
      <c r="B4937" s="0" t="s">
        <v>52</v>
      </c>
      <c r="C4937" s="12" t="n">
        <f aca="false">Sens!$C$4936/Sens!$C$4915</f>
        <v>0.362900395443635</v>
      </c>
      <c r="D4937" s="12" t="n">
        <f aca="false">Sens!$D$4936/Sens!$D$4915</f>
        <v>0.34767098474203</v>
      </c>
      <c r="E4937" s="12" t="n">
        <f aca="false">Sens!$E$4936/Sens!$E$4915</f>
        <v>0.411861655558416</v>
      </c>
      <c r="F4937" s="12" t="n">
        <f aca="false">(Sens!$O$4936+Sens!$E$4936)/(Sens!$O$4915+Sens!$E$4915)</f>
        <v>0.37480827803158</v>
      </c>
      <c r="G4937" s="12" t="n">
        <f aca="false">Sens!$G$4936/Sens!$G$4915</f>
        <v>0.392434440489471</v>
      </c>
      <c r="H4937" s="12" t="n">
        <f aca="false">Sens!$F$4937</f>
        <v>0.37480827803158</v>
      </c>
      <c r="I4937" s="12" t="n">
        <f aca="false">Sens!$F$4937</f>
        <v>0.37480827803158</v>
      </c>
      <c r="J4937" s="12" t="n">
        <f aca="false">Sens!$F$4937</f>
        <v>0.37480827803158</v>
      </c>
      <c r="K4937" s="12" t="n">
        <f aca="false">Sens!$F$4937</f>
        <v>0.37480827803158</v>
      </c>
      <c r="L4937" s="12" t="n">
        <f aca="false">Sens!$F$4937</f>
        <v>0.37480827803158</v>
      </c>
      <c r="M4937" s="12" t="n">
        <f aca="false">Sens!$F$4937</f>
        <v>0.37480827803158</v>
      </c>
      <c r="N4937" s="12" t="n">
        <f aca="false">Sens!$N$4936/Sens!$N$4915</f>
        <v>0.364039571356823</v>
      </c>
      <c r="O4937" s="12" t="n">
        <f aca="false">Sens!$O$4936/Sens!$O$4915</f>
        <v>0.332819892300086</v>
      </c>
      <c r="P4937" s="8" t="s">
        <v>607</v>
      </c>
    </row>
    <row r="4938" customFormat="false" ht="17.15" hidden="false" customHeight="false" outlineLevel="0" collapsed="false">
      <c r="A4938" s="0" t="s">
        <v>608</v>
      </c>
      <c r="B4938" s="0" t="s">
        <v>52</v>
      </c>
      <c r="D4938" s="12" t="n">
        <f aca="false">(Q!$E$31-ext_sh*Sens!$D$4927)/Sens!$D$4915</f>
        <v>0.154572973163571</v>
      </c>
    </row>
    <row r="4939" customFormat="false" ht="17.15" hidden="false" customHeight="false" outlineLevel="0" collapsed="false">
      <c r="A4939" s="0" t="s">
        <v>609</v>
      </c>
      <c r="B4939" s="0" t="s">
        <v>73</v>
      </c>
      <c r="C4939" s="38" t="n">
        <f aca="false">Q!$D$31</f>
        <v>13.32</v>
      </c>
      <c r="D4939" s="38" t="n">
        <f aca="false">Q!$E$31</f>
        <v>21.45</v>
      </c>
      <c r="E4939" s="38" t="n">
        <f aca="false">Q!$P$31</f>
        <v>15.353</v>
      </c>
      <c r="F4939" s="38" t="n">
        <f aca="false">ext_sh*Sens!$F$4927+Sens!$D$4938*Sens!$F$4915</f>
        <v>17.3614451462707</v>
      </c>
      <c r="G4939" s="38" t="n">
        <f aca="false">Sens!$E$4939+Sens!$F$4939</f>
        <v>32.7144451462707</v>
      </c>
      <c r="H4939" s="38" t="n">
        <f aca="false">ext_sh*Sens!$H$4927+Sens!$D$4938*Sens!$H$4915</f>
        <v>56.1966092719415</v>
      </c>
      <c r="I4939" s="38" t="n">
        <f aca="false">ext_sh*Sens!$I$4927+Sens!$D$4938*Sens!$I$4915</f>
        <v>82.9744039068297</v>
      </c>
      <c r="J4939" s="38" t="n">
        <f aca="false">ext_sh*Sens!$J$4927+Sens!$D$4938*Sens!$J$4915</f>
        <v>109.943252237669</v>
      </c>
      <c r="K4939" s="38" t="n">
        <f aca="false">ext_sh*Sens!$K$4927+Sens!$D$4938*Sens!$K$4915</f>
        <v>136.406703436571</v>
      </c>
      <c r="L4939" s="38" t="n">
        <f aca="false">ext_sh*Sens!$L$4927+Sens!$D$4938*Sens!$L$4915</f>
        <v>161.485870454155</v>
      </c>
      <c r="M4939" s="38" t="n">
        <f aca="false">ext_sh*Sens!$M$4927+Sens!$D$4938*Sens!$M$4915</f>
        <v>187.389846618199</v>
      </c>
      <c r="N4939" s="38" t="n">
        <f aca="false">Q!$N$31</f>
        <v>9.234</v>
      </c>
      <c r="O4939" s="38" t="n">
        <f aca="false">Q!$O$31</f>
        <v>12.216</v>
      </c>
    </row>
    <row r="4940" customFormat="false" ht="17.15" hidden="false" customHeight="false" outlineLevel="0" collapsed="false">
      <c r="A4940" s="1" t="s">
        <v>610</v>
      </c>
    </row>
    <row r="4941" customFormat="false" ht="17.15" hidden="false" customHeight="false" outlineLevel="0" collapsed="false">
      <c r="A4941" s="14" t="s">
        <v>611</v>
      </c>
      <c r="B4941" s="13" t="s">
        <v>52</v>
      </c>
      <c r="C4941" s="13"/>
      <c r="D4941" s="13"/>
      <c r="E4941" s="13"/>
      <c r="F4941" s="13"/>
      <c r="G4941" s="16" t="n">
        <f aca="false">Sens!$G$4931*(1-tax)/(ext_sh*(Sens!$D$4928+Sens!$G$4928)/2)</f>
        <v>0.0492184452944045</v>
      </c>
      <c r="H4941" s="16" t="n">
        <f aca="false">Sens!$H$4931*(1-tax)/(ext_sh*(Sens!$G$4928+Sens!$H$4928)/2)</f>
        <v>0.0619414246858107</v>
      </c>
      <c r="I4941" s="16" t="n">
        <f aca="false">Sens!$I$4931*(1-tax)/(ext_sh*(Sens!$H$4928+Sens!$I$4928)/2)</f>
        <v>0.0656831488051666</v>
      </c>
      <c r="J4941" s="16" t="n">
        <f aca="false">Sens!$J$4931*(1-tax)/(ext_sh*(Sens!$I$4928+Sens!$J$4928)/2)</f>
        <v>0.0690334849962116</v>
      </c>
      <c r="K4941" s="16" t="n">
        <f aca="false">Sens!$K$4931*(1-tax)/(ext_sh*(Sens!$J$4928+Sens!$K$4928)/2)</f>
        <v>0.0728680488295485</v>
      </c>
      <c r="L4941" s="16" t="n">
        <f aca="false">Sens!$L$4931*(1-tax)/(ext_sh*(Sens!$K$4928+Sens!$L$4928)/2)</f>
        <v>0.0785052878122331</v>
      </c>
      <c r="M4941" s="16" t="n">
        <f aca="false">Sens!$M$4931*(1-tax)/(ext_sh*(Sens!$L$4928+Sens!$M$4928)/2)</f>
        <v>0.0804526580722741</v>
      </c>
      <c r="N4941" s="13"/>
      <c r="O4941" s="13"/>
      <c r="P4941" s="8" t="s">
        <v>612</v>
      </c>
    </row>
    <row r="4942" customFormat="false" ht="17.15" hidden="false" customHeight="false" outlineLevel="0" collapsed="false">
      <c r="A4942" s="5" t="s">
        <v>613</v>
      </c>
      <c r="B4942" s="0" t="s">
        <v>57</v>
      </c>
      <c r="H4942" s="36" t="n">
        <f aca="false">Sens!$H$4911*1000/(mw_open*he_open+Sens!$H$4909*Sens!$H$4906)</f>
        <v>0.991949006767191</v>
      </c>
      <c r="I4942" s="36" t="n">
        <f aca="false">Sens!$I$4911*1000/(mw_open*he_open+Sens!$I$4909*Sens!$I$4906)</f>
        <v>0.991949006767191</v>
      </c>
      <c r="J4942" s="36" t="n">
        <f aca="false">Sens!$J$4911*1000/(mw_open*he_open+Sens!$J$4909*Sens!$J$4906)</f>
        <v>0.991949006767191</v>
      </c>
      <c r="K4942" s="36" t="n">
        <f aca="false">Sens!$K$4911*1000/(mw_open*he_open+Sens!$K$4909*Sens!$K$4906)</f>
        <v>0.991949006767191</v>
      </c>
      <c r="L4942" s="36" t="n">
        <f aca="false">Sens!$L$4911*1000/(mw_open*he_open+Sens!$L$4909*Sens!$L$4906)</f>
        <v>0.991949006767191</v>
      </c>
      <c r="M4942" s="36" t="n">
        <f aca="false">Sens!$M$4911*1000/(mw_open*he_open+Sens!$M$4909*Sens!$M$4906)</f>
        <v>0.991949006767192</v>
      </c>
    </row>
    <row r="4943" customFormat="false" ht="17.15" hidden="false" customHeight="false" outlineLevel="0" collapsed="false">
      <c r="A4943" s="5" t="s">
        <v>614</v>
      </c>
      <c r="B4943" s="0" t="s">
        <v>57</v>
      </c>
      <c r="H4943" s="36" t="n">
        <f aca="false">Sens!$H$4942*(Sens!$H$4911+wacc*ext_sh*(Sens!$G$4928+Sens!$H$4928)/2/(1-tax)-Sens!$H$4931)/Sens!$H$4911</f>
        <v>1.3149781212103</v>
      </c>
      <c r="I4943" s="36" t="n">
        <f aca="false">Sens!$I$4942*(Sens!$I$4911+wacc*ext_sh*(Sens!$H$4928+Sens!$I$4928)/2/(1-tax)-Sens!$I$4931)/Sens!$I$4911</f>
        <v>1.25742005569107</v>
      </c>
      <c r="J4943" s="36" t="n">
        <f aca="false">Sens!$J$4942*(Sens!$J$4911+wacc*ext_sh*(Sens!$I$4928+Sens!$J$4928)/2/(1-tax)-Sens!$J$4931)/Sens!$J$4911</f>
        <v>1.21838845868559</v>
      </c>
      <c r="K4943" s="36" t="n">
        <f aca="false">Sens!$K$4942*(Sens!$K$4911+wacc*ext_sh*(Sens!$J$4928+Sens!$K$4928)/2/(1-tax)-Sens!$K$4931)/Sens!$K$4911</f>
        <v>1.18402644209548</v>
      </c>
      <c r="L4943" s="36" t="n">
        <f aca="false">Sens!$L$4942*(Sens!$L$4911+wacc*ext_sh*(Sens!$K$4928+Sens!$L$4928)/2/(1-tax)-Sens!$L$4931)/Sens!$L$4911</f>
        <v>1.15111215322059</v>
      </c>
      <c r="M4943" s="36" t="n">
        <f aca="false">Sens!$M$4942*(Sens!$M$4911+wacc*ext_sh*(Sens!$L$4928+Sens!$M$4928)/2/(1-tax)-Sens!$M$4931)/Sens!$M$4911</f>
        <v>1.1397166845677</v>
      </c>
    </row>
    <row r="4944" customFormat="false" ht="17.15" hidden="false" customHeight="false" outlineLevel="0" collapsed="false">
      <c r="A4944" s="5" t="s">
        <v>615</v>
      </c>
      <c r="B4944" s="0" t="s">
        <v>52</v>
      </c>
      <c r="C4944" s="12" t="n">
        <f aca="false">Sens!$C$4912/tk_pq</f>
        <v>0.195316432429398</v>
      </c>
      <c r="D4944" s="12" t="n">
        <f aca="false">Sens!$D$4912/tk_pq</f>
        <v>0.195316432429398</v>
      </c>
      <c r="E4944" s="12" t="n">
        <f aca="false">Sens!$E$4912/tk_pq</f>
        <v>0.195316432429398</v>
      </c>
      <c r="F4944" s="12" t="n">
        <f aca="false">Sens!$F$4912/tk_pq</f>
        <v>0.202241827274866</v>
      </c>
      <c r="G4944" s="12" t="n">
        <f aca="false">Sens!$G$4912/tk_pq</f>
        <v>0.199675016194063</v>
      </c>
      <c r="H4944" s="12" t="n">
        <f aca="false">Sens!$H$4912/tk_pq</f>
        <v>0.212647947710325</v>
      </c>
      <c r="I4944" s="12" t="n">
        <f aca="false">Sens!$I$4912/tk_pq</f>
        <v>0.219285125475351</v>
      </c>
      <c r="J4944" s="12" t="n">
        <f aca="false">Sens!$J$4912/tk_pq</f>
        <v>0.222492493217189</v>
      </c>
      <c r="K4944" s="12" t="n">
        <f aca="false">Sens!$K$4912/tk_pq</f>
        <v>0.224371415939166</v>
      </c>
      <c r="L4944" s="12" t="n">
        <f aca="false">Sens!$L$4912/tk_pq</f>
        <v>0.225603749825993</v>
      </c>
      <c r="M4944" s="12" t="n">
        <f aca="false">Sens!$M$4912/tk_pq</f>
        <v>0.22647376274628</v>
      </c>
      <c r="N4944" s="12" t="n">
        <f aca="false">Sens!$N$4912/tk_pq</f>
        <v>0.195316432429398</v>
      </c>
      <c r="O4944" s="12" t="n">
        <f aca="false">Sens!$O$4912/tk_pq</f>
        <v>0.195316432429398</v>
      </c>
      <c r="P4944" s="5" t="s">
        <v>616</v>
      </c>
    </row>
    <row r="4947" customFormat="false" ht="17.15" hidden="false" customHeight="false" outlineLevel="0" collapsed="false">
      <c r="A4947" s="1" t="s">
        <v>643</v>
      </c>
    </row>
    <row r="4948" customFormat="false" ht="17.15" hidden="false" customHeight="false" outlineLevel="0" collapsed="false">
      <c r="A4948" s="0" t="s">
        <v>644</v>
      </c>
      <c r="B4948" s="0" t="s">
        <v>73</v>
      </c>
      <c r="C4948" s="38" t="n">
        <f aca="false">Sens!$C$4911</f>
        <v>2.32100535697364</v>
      </c>
      <c r="D4948" s="38" t="n">
        <f aca="false">Sens!$D$4911</f>
        <v>8.70377008865116</v>
      </c>
      <c r="E4948" s="38" t="n">
        <f aca="false">Sens!$E$4911</f>
        <v>8.51035297557002</v>
      </c>
      <c r="F4948" s="38" t="n">
        <f aca="false">Sens!$F$4911</f>
        <v>14.9634336447205</v>
      </c>
      <c r="G4948" s="38" t="n">
        <f aca="false">Sens!$G$4911</f>
        <v>23.4737866202905</v>
      </c>
      <c r="H4948" s="38" t="n">
        <f aca="false">Sens!$H$4911</f>
        <v>60.1658907497746</v>
      </c>
      <c r="I4948" s="38" t="n">
        <f aca="false">Sens!$I$4911</f>
        <v>101.503699136432</v>
      </c>
      <c r="J4948" s="38" t="n">
        <f aca="false">Sens!$J$4911</f>
        <v>143.025407151278</v>
      </c>
      <c r="K4948" s="38" t="n">
        <f aca="false">Sens!$K$4911</f>
        <v>184.608415042187</v>
      </c>
      <c r="L4948" s="38" t="n">
        <f aca="false">Sens!$L$4911</f>
        <v>226.219286513125</v>
      </c>
      <c r="M4948" s="38" t="n">
        <f aca="false">Sens!$M$4911</f>
        <v>267.845161450232</v>
      </c>
      <c r="N4948" s="38" t="n">
        <f aca="false">Sens!$N$4911</f>
        <v>3.04631953102791</v>
      </c>
      <c r="O4948" s="38" t="n">
        <f aca="false">Sens!$O$4911</f>
        <v>5.65745055762326</v>
      </c>
      <c r="P4948" s="8" t="s">
        <v>645</v>
      </c>
    </row>
    <row r="4949" customFormat="false" ht="17.15" hidden="false" customHeight="false" outlineLevel="0" collapsed="false">
      <c r="A4949" s="0" t="s">
        <v>646</v>
      </c>
      <c r="B4949" s="0" t="s">
        <v>73</v>
      </c>
      <c r="C4949" s="38" t="n">
        <f aca="false">Sens!$C$4915</f>
        <v>105.234994643026</v>
      </c>
      <c r="D4949" s="38" t="n">
        <f aca="false">Sens!$D$4915</f>
        <v>120.021229911349</v>
      </c>
      <c r="E4949" s="38" t="n">
        <f aca="false">Sens!$E$4915</f>
        <v>71.30864702443</v>
      </c>
      <c r="F4949" s="38" t="n">
        <f aca="false">Sens!$F$4915</f>
        <v>78.5950104186653</v>
      </c>
      <c r="G4949" s="38" t="n">
        <f aca="false">Sens!$G$4915</f>
        <v>149.903657443095</v>
      </c>
      <c r="H4949" s="38" t="n">
        <f aca="false">Sens!$H$4915</f>
        <v>180.893560768142</v>
      </c>
      <c r="I4949" s="38" t="n">
        <f aca="false">Sens!$I$4915</f>
        <v>210.64839721501</v>
      </c>
      <c r="J4949" s="38" t="n">
        <f aca="false">Sens!$J$4915</f>
        <v>236.398909446495</v>
      </c>
      <c r="K4949" s="38" t="n">
        <f aca="false">Sens!$K$4915</f>
        <v>255.310822202215</v>
      </c>
      <c r="L4949" s="38" t="n">
        <f aca="false">Sens!$L$4915</f>
        <v>275.735687978392</v>
      </c>
      <c r="M4949" s="38" t="n">
        <f aca="false">Sens!$M$4915</f>
        <v>297.794543016663</v>
      </c>
      <c r="N4949" s="38" t="n">
        <f aca="false">Sens!$N$4915</f>
        <v>57.0936804689721</v>
      </c>
      <c r="O4949" s="38" t="n">
        <f aca="false">Sens!$O$4915</f>
        <v>62.9275494423768</v>
      </c>
      <c r="P4949" s="8" t="s">
        <v>645</v>
      </c>
    </row>
    <row r="4950" customFormat="false" ht="17.15" hidden="false" customHeight="false" outlineLevel="0" collapsed="false">
      <c r="A4950" s="1" t="s">
        <v>476</v>
      </c>
      <c r="B4950" s="8" t="s">
        <v>73</v>
      </c>
      <c r="C4950" s="38" t="n">
        <f aca="false">Q!$D$7</f>
        <v>107.556</v>
      </c>
      <c r="D4950" s="38" t="n">
        <f aca="false">Q!$E$7</f>
        <v>128.725</v>
      </c>
      <c r="E4950" s="38" t="n">
        <f aca="false">Q!$P$7</f>
        <v>79.819</v>
      </c>
      <c r="F4950" s="38" t="n">
        <f aca="false">Sens!$F$4948+Sens!$F$4949</f>
        <v>93.5584440633857</v>
      </c>
      <c r="G4950" s="38" t="n">
        <f aca="false">Sens!$G$4948+Sens!$G$4949</f>
        <v>173.377444063386</v>
      </c>
      <c r="H4950" s="38" t="n">
        <f aca="false">Sens!$H$4948+Sens!$H$4949</f>
        <v>241.059451517916</v>
      </c>
      <c r="I4950" s="38" t="n">
        <f aca="false">Sens!$I$4948+Sens!$I$4949</f>
        <v>312.152096351442</v>
      </c>
      <c r="J4950" s="38" t="n">
        <f aca="false">Sens!$J$4948+Sens!$J$4949</f>
        <v>379.424316597773</v>
      </c>
      <c r="K4950" s="38" t="n">
        <f aca="false">Sens!$K$4948+Sens!$K$4949</f>
        <v>439.919237244402</v>
      </c>
      <c r="L4950" s="38" t="n">
        <f aca="false">Sens!$L$4948+Sens!$L$4949</f>
        <v>501.954974491517</v>
      </c>
      <c r="M4950" s="38" t="n">
        <f aca="false">Sens!$M$4948+Sens!$M$4949</f>
        <v>565.639704466895</v>
      </c>
      <c r="N4950" s="38" t="n">
        <f aca="false">Q!$N$7</f>
        <v>60.14</v>
      </c>
      <c r="O4950" s="38" t="n">
        <f aca="false">Q!$O$7</f>
        <v>68.585</v>
      </c>
      <c r="P4950" s="5" t="s">
        <v>647</v>
      </c>
    </row>
    <row r="4951" customFormat="false" ht="15" hidden="false" customHeight="false" outlineLevel="0" collapsed="false">
      <c r="A4951" s="3" t="s">
        <v>648</v>
      </c>
      <c r="B4951" s="8" t="s">
        <v>73</v>
      </c>
      <c r="C4951" s="38" t="n">
        <f aca="false">Q!$D$8</f>
        <v>637.959</v>
      </c>
      <c r="D4951" s="38" t="n">
        <f aca="false">Q!$E$8</f>
        <v>716.924</v>
      </c>
      <c r="E4951" s="38" t="n">
        <f aca="false">Q!$P$8</f>
        <v>382.125</v>
      </c>
      <c r="F4951" s="38" t="n">
        <f aca="false">Sens!$F$4884+Sens!$F$4950</f>
        <v>450.494873271816</v>
      </c>
      <c r="G4951" s="38" t="n">
        <f aca="false">Sens!$G$4884+Sens!$G$4950</f>
        <v>832.619873271816</v>
      </c>
      <c r="H4951" s="38" t="n">
        <f aca="false">Sens!$H$4884+Sens!$H$4950</f>
        <v>970.995189139617</v>
      </c>
      <c r="I4951" s="38" t="n">
        <f aca="false">Sens!$I$4884+Sens!$I$4950</f>
        <v>1110.44766604932</v>
      </c>
      <c r="J4951" s="38" t="n">
        <f aca="false">Sens!$J$4884+Sens!$J$4950</f>
        <v>1241.16113892356</v>
      </c>
      <c r="K4951" s="38" t="n">
        <f aca="false">Sens!$K$4884+Sens!$K$4950</f>
        <v>1357.47672934633</v>
      </c>
      <c r="L4951" s="38" t="n">
        <f aca="false">Sens!$L$4884+Sens!$L$4950</f>
        <v>1479.24006423468</v>
      </c>
      <c r="M4951" s="38" t="n">
        <f aca="false">Sens!$M$4884+Sens!$M$4950</f>
        <v>1606.8537230104</v>
      </c>
      <c r="N4951" s="38" t="n">
        <f aca="false">Q!$N$8</f>
        <v>323.369</v>
      </c>
      <c r="O4951" s="38" t="n">
        <f aca="false">Q!$O$8</f>
        <v>393.555</v>
      </c>
    </row>
    <row r="4952" customFormat="false" ht="17.15" hidden="false" customHeight="false" outlineLevel="0" collapsed="false">
      <c r="A4952" s="24" t="s">
        <v>656</v>
      </c>
      <c r="B4952" s="25" t="s">
        <v>73</v>
      </c>
      <c r="C4952" s="39" t="n">
        <f aca="false">Sens!$C$4884-(Sens!$C$4886+Sens!$C$4887)</f>
        <v>0</v>
      </c>
      <c r="D4952" s="39" t="n">
        <f aca="false">Sens!$D$4884-(Sens!$D$4886+Sens!$D$4887)</f>
        <v>0</v>
      </c>
      <c r="E4952" s="39" t="n">
        <f aca="false">Sens!$E$4884-(Sens!$E$4886+Sens!$E$4887)</f>
        <v>0</v>
      </c>
      <c r="F4952" s="39" t="n">
        <f aca="false">Sens!$F$4884-(Sens!$F$4886+Sens!$F$4887)</f>
        <v>0</v>
      </c>
      <c r="G4952" s="39" t="n">
        <f aca="false">Sens!$G$4884-(Sens!$G$4886+Sens!$G$4887)</f>
        <v>0</v>
      </c>
      <c r="H4952" s="39" t="n">
        <f aca="false">Sens!$H$4884-(Sens!$H$4886+Sens!$H$4887)</f>
        <v>0</v>
      </c>
      <c r="I4952" s="39" t="n">
        <f aca="false">Sens!$I$4884-(Sens!$I$4886+Sens!$I$4887)</f>
        <v>0</v>
      </c>
      <c r="J4952" s="39" t="n">
        <f aca="false">Sens!$J$4884-(Sens!$J$4886+Sens!$J$4887)</f>
        <v>0</v>
      </c>
      <c r="K4952" s="39" t="n">
        <f aca="false">Sens!$K$4884-(Sens!$K$4886+Sens!$K$4887)</f>
        <v>0</v>
      </c>
      <c r="L4952" s="39" t="n">
        <f aca="false">Sens!$L$4884-(Sens!$L$4886+Sens!$L$4887)</f>
        <v>0</v>
      </c>
      <c r="M4952" s="39" t="n">
        <f aca="false">Sens!$M$4884-(Sens!$M$4886+Sens!$M$4887)</f>
        <v>0</v>
      </c>
      <c r="N4952" s="39" t="n">
        <f aca="false">Sens!$N$4884-(Sens!$N$4886+Sens!$N$4887)</f>
        <v>0</v>
      </c>
      <c r="O4952" s="39" t="n">
        <f aca="false">Sens!$O$4884-(Sens!$O$4886+Sens!$O$4887)</f>
        <v>0</v>
      </c>
    </row>
    <row r="4953" customFormat="false" ht="17.15" hidden="false" customHeight="false" outlineLevel="0" collapsed="false">
      <c r="A4953" s="24" t="s">
        <v>657</v>
      </c>
      <c r="B4953" s="25" t="s">
        <v>73</v>
      </c>
      <c r="C4953" s="39" t="n">
        <f aca="false">Sens!$C$4948+Sens!$C$4949-Sens!$C$4950</f>
        <v>0</v>
      </c>
      <c r="D4953" s="39" t="n">
        <f aca="false">Sens!$D$4948+Sens!$D$4949-Sens!$D$4950</f>
        <v>0</v>
      </c>
      <c r="E4953" s="39" t="n">
        <f aca="false">Sens!$E$4948+Sens!$E$4949-Sens!$E$4950</f>
        <v>0</v>
      </c>
      <c r="F4953" s="39" t="n">
        <f aca="false">Sens!$F$4948+Sens!$F$4949-Sens!$F$4950</f>
        <v>0</v>
      </c>
      <c r="G4953" s="39" t="n">
        <f aca="false">Sens!$G$4948+Sens!$G$4949-Sens!$G$4950</f>
        <v>0</v>
      </c>
      <c r="H4953" s="39" t="n">
        <f aca="false">Sens!$H$4948+Sens!$H$4949-Sens!$H$4950</f>
        <v>0</v>
      </c>
      <c r="I4953" s="39" t="n">
        <f aca="false">Sens!$I$4948+Sens!$I$4949-Sens!$I$4950</f>
        <v>0</v>
      </c>
      <c r="J4953" s="39" t="n">
        <f aca="false">Sens!$J$4948+Sens!$J$4949-Sens!$J$4950</f>
        <v>0</v>
      </c>
      <c r="K4953" s="39" t="n">
        <f aca="false">Sens!$K$4948+Sens!$K$4949-Sens!$K$4950</f>
        <v>0</v>
      </c>
      <c r="L4953" s="39" t="n">
        <f aca="false">Sens!$L$4948+Sens!$L$4949-Sens!$L$4950</f>
        <v>0</v>
      </c>
      <c r="M4953" s="39" t="n">
        <f aca="false">Sens!$M$4948+Sens!$M$4949-Sens!$M$4950</f>
        <v>0</v>
      </c>
      <c r="N4953" s="39" t="n">
        <f aca="false">Sens!$N$4948+Sens!$N$4949-Sens!$N$4950</f>
        <v>0</v>
      </c>
      <c r="O4953" s="39" t="n">
        <f aca="false">Sens!$O$4948+Sens!$O$4949-Sens!$O$4950</f>
        <v>0</v>
      </c>
    </row>
    <row r="4954" customFormat="false" ht="17.15" hidden="false" customHeight="false" outlineLevel="0" collapsed="false">
      <c r="A4954" s="24" t="s">
        <v>658</v>
      </c>
      <c r="B4954" s="25" t="s">
        <v>73</v>
      </c>
      <c r="C4954" s="39" t="n">
        <f aca="false">Sens!$C$4886+Sens!$C$4887+Sens!$C$4950-Sens!$C$4951</f>
        <v>0</v>
      </c>
      <c r="D4954" s="39" t="n">
        <f aca="false">Sens!$D$4886+Sens!$D$4887+Sens!$D$4950-Sens!$D$4951</f>
        <v>0</v>
      </c>
      <c r="E4954" s="39" t="n">
        <f aca="false">Sens!$E$4886+Sens!$E$4887+Sens!$E$4950-Sens!$E$4951</f>
        <v>0</v>
      </c>
      <c r="F4954" s="39" t="n">
        <f aca="false">Sens!$F$4886+Sens!$F$4887+Sens!$F$4950-Sens!$F$4951</f>
        <v>0</v>
      </c>
      <c r="G4954" s="39" t="n">
        <f aca="false">Sens!$G$4886+Sens!$G$4887+Sens!$G$4950-Sens!$G$4951</f>
        <v>0</v>
      </c>
      <c r="H4954" s="39" t="n">
        <f aca="false">Sens!$H$4886+Sens!$H$4887+Sens!$H$4950-Sens!$H$4951</f>
        <v>0</v>
      </c>
      <c r="I4954" s="39" t="n">
        <f aca="false">Sens!$I$4886+Sens!$I$4887+Sens!$I$4950-Sens!$I$4951</f>
        <v>0</v>
      </c>
      <c r="J4954" s="39" t="n">
        <f aca="false">Sens!$J$4886+Sens!$J$4887+Sens!$J$4950-Sens!$J$4951</f>
        <v>0</v>
      </c>
      <c r="K4954" s="39" t="n">
        <f aca="false">Sens!$K$4886+Sens!$K$4887+Sens!$K$4950-Sens!$K$4951</f>
        <v>0</v>
      </c>
      <c r="L4954" s="39" t="n">
        <f aca="false">Sens!$L$4886+Sens!$L$4887+Sens!$L$4950-Sens!$L$4951</f>
        <v>0</v>
      </c>
      <c r="M4954" s="39" t="n">
        <f aca="false">Sens!$M$4886+Sens!$M$4887+Sens!$M$4950-Sens!$M$4951</f>
        <v>0</v>
      </c>
      <c r="N4954" s="39" t="n">
        <f aca="false">Sens!$N$4886+Sens!$N$4887+Sens!$N$4950-Sens!$N$4951</f>
        <v>0</v>
      </c>
      <c r="O4954" s="39" t="n">
        <f aca="false">Sens!$O$4886+Sens!$O$4887+Sens!$O$4950-Sens!$O$4951</f>
        <v>0</v>
      </c>
    </row>
    <row r="4955" customFormat="false" ht="15" hidden="false" customHeight="false" outlineLevel="0" collapsed="false">
      <c r="A4955" s="5" t="s">
        <v>652</v>
      </c>
      <c r="B4955" s="0" t="s">
        <v>52</v>
      </c>
      <c r="G4955" s="12" t="n">
        <f aca="false">Sens!$G$4951/Sens!$D$4951-1</f>
        <v>0.161378156222718</v>
      </c>
      <c r="H4955" s="12" t="n">
        <f aca="false">Sens!$H$4951/Sens!$G$4951-1</f>
        <v>0.166192665236357</v>
      </c>
      <c r="I4955" s="12" t="n">
        <f aca="false">Sens!$I$4951/Sens!$H$4951-1</f>
        <v>0.143618092519351</v>
      </c>
      <c r="J4955" s="12" t="n">
        <f aca="false">Sens!$J$4951/Sens!$I$4951-1</f>
        <v>0.117712411733268</v>
      </c>
      <c r="K4955" s="12" t="n">
        <f aca="false">Sens!$K$4951/Sens!$J$4951-1</f>
        <v>0.0937151404237868</v>
      </c>
      <c r="L4955" s="12" t="n">
        <f aca="false">Sens!$L$4951/Sens!$K$4951-1</f>
        <v>0.0896982852494186</v>
      </c>
      <c r="M4955" s="12" t="n">
        <f aca="false">Sens!$M$4951/Sens!$L$4951-1</f>
        <v>0.0862697420528154</v>
      </c>
    </row>
    <row r="4956" customFormat="false" ht="17.15" hidden="false" customHeight="false" outlineLevel="0" collapsed="false">
      <c r="A4956" s="0" t="s">
        <v>653</v>
      </c>
      <c r="B4956" s="0" t="s">
        <v>52</v>
      </c>
      <c r="C4956" s="12" t="n">
        <f aca="false">Sens!$C$4950/Sens!$C$4951</f>
        <v>0.168593906504964</v>
      </c>
      <c r="D4956" s="12" t="n">
        <f aca="false">Sens!$D$4950/Sens!$D$4951</f>
        <v>0.179551807444025</v>
      </c>
      <c r="E4956" s="12" t="n">
        <f aca="false">Sens!$E$4950/Sens!$E$4951</f>
        <v>0.208881910369643</v>
      </c>
      <c r="F4956" s="12" t="n">
        <f aca="false">Sens!$F$4950/Sens!$F$4951</f>
        <v>0.207679264769203</v>
      </c>
      <c r="G4956" s="12" t="n">
        <f aca="false">Sens!$G$4950/Sens!$G$4951</f>
        <v>0.208231210458731</v>
      </c>
      <c r="H4956" s="12" t="n">
        <f aca="false">Sens!$H$4950/Sens!$H$4951</f>
        <v>0.248260191414043</v>
      </c>
      <c r="I4956" s="12" t="n">
        <f aca="false">Sens!$I$4950/Sens!$I$4951</f>
        <v>0.28110473450946</v>
      </c>
      <c r="J4956" s="12" t="n">
        <f aca="false">Sens!$J$4950/Sens!$J$4951</f>
        <v>0.30570109287086</v>
      </c>
      <c r="K4956" s="12" t="n">
        <f aca="false">Sens!$K$4950/Sens!$K$4951</f>
        <v>0.324071291782835</v>
      </c>
      <c r="L4956" s="12" t="n">
        <f aca="false">Sens!$L$4950/Sens!$L$4951</f>
        <v>0.339333003903741</v>
      </c>
      <c r="M4956" s="12" t="n">
        <f aca="false">Sens!$M$4950/Sens!$M$4951</f>
        <v>0.3520169237354</v>
      </c>
      <c r="N4956" s="12" t="n">
        <f aca="false">Sens!$N$4950/Sens!$N$4951</f>
        <v>0.185979484737251</v>
      </c>
      <c r="O4956" s="12" t="n">
        <f aca="false">Sens!$O$4950/Sens!$O$4951</f>
        <v>0.174270432341096</v>
      </c>
    </row>
    <row r="4957" customFormat="false" ht="17.15" hidden="false" customHeight="false" outlineLevel="0" collapsed="false">
      <c r="A4957" s="0" t="s">
        <v>654</v>
      </c>
      <c r="B4957" s="0" t="s">
        <v>52</v>
      </c>
      <c r="C4957" s="12" t="n">
        <f aca="false">Sens!$C$4948/Sens!$C$4950</f>
        <v>0.0215795060896058</v>
      </c>
      <c r="D4957" s="12" t="n">
        <f aca="false">Sens!$D$4948/Sens!$D$4950</f>
        <v>0.0676152269462122</v>
      </c>
      <c r="E4957" s="12" t="n">
        <f aca="false">Sens!$E$4948/Sens!$E$4950</f>
        <v>0.106620641395783</v>
      </c>
      <c r="F4957" s="12" t="n">
        <f aca="false">Sens!$F$4948/Sens!$F$4950</f>
        <v>0.159936751776064</v>
      </c>
      <c r="G4957" s="12" t="n">
        <f aca="false">Sens!$G$4948/Sens!$G$4950</f>
        <v>0.135391237003751</v>
      </c>
      <c r="H4957" s="12" t="n">
        <f aca="false">Sens!$H$4948/Sens!$H$4950</f>
        <v>0.249589428545194</v>
      </c>
      <c r="I4957" s="12" t="n">
        <f aca="false">Sens!$I$4948/Sens!$I$4950</f>
        <v>0.325173850577483</v>
      </c>
      <c r="J4957" s="12" t="n">
        <f aca="false">Sens!$J$4948/Sens!$J$4950</f>
        <v>0.376953718817392</v>
      </c>
      <c r="K4957" s="12" t="n">
        <f aca="false">Sens!$K$4948/Sens!$K$4950</f>
        <v>0.419641605578676</v>
      </c>
      <c r="L4957" s="12" t="n">
        <f aca="false">Sens!$L$4948/Sens!$L$4950</f>
        <v>0.450676451094615</v>
      </c>
      <c r="M4957" s="12" t="n">
        <f aca="false">Sens!$M$4948/Sens!$M$4950</f>
        <v>0.473526096798086</v>
      </c>
      <c r="N4957" s="12" t="n">
        <f aca="false">Sens!$N$4948/Sens!$N$4950</f>
        <v>0.0506537999838362</v>
      </c>
      <c r="O4957" s="12" t="n">
        <f aca="false">Sens!$O$4948/Sens!$O$4950</f>
        <v>0.0824881615167056</v>
      </c>
    </row>
    <row r="4960" customFormat="false" ht="19.4" hidden="false" customHeight="false" outlineLevel="0" collapsed="false">
      <c r="A4960" s="31" t="s">
        <v>1152</v>
      </c>
    </row>
    <row r="4961" customFormat="false" ht="17.15" hidden="false" customHeight="false" outlineLevel="0" collapsed="false">
      <c r="A4961" s="6" t="s">
        <v>16</v>
      </c>
      <c r="B4961" s="6" t="s">
        <v>17</v>
      </c>
      <c r="C4961" s="20" t="s">
        <v>457</v>
      </c>
      <c r="D4961" s="20" t="s">
        <v>458</v>
      </c>
      <c r="E4961" s="20" t="s">
        <v>540</v>
      </c>
      <c r="F4961" s="20" t="s">
        <v>541</v>
      </c>
      <c r="G4961" s="20" t="s">
        <v>542</v>
      </c>
      <c r="H4961" s="20" t="s">
        <v>543</v>
      </c>
      <c r="I4961" s="20" t="s">
        <v>544</v>
      </c>
      <c r="J4961" s="20" t="s">
        <v>545</v>
      </c>
      <c r="K4961" s="20" t="s">
        <v>546</v>
      </c>
      <c r="L4961" s="20" t="s">
        <v>547</v>
      </c>
      <c r="M4961" s="20" t="s">
        <v>548</v>
      </c>
      <c r="N4961" s="20" t="s">
        <v>549</v>
      </c>
      <c r="O4961" s="20" t="s">
        <v>550</v>
      </c>
      <c r="P4961" s="6" t="s">
        <v>23</v>
      </c>
      <c r="R4961" s="20" t="n">
        <v>2023</v>
      </c>
      <c r="S4961" s="20" t="n">
        <v>2024</v>
      </c>
      <c r="T4961" s="20" t="n">
        <v>2025</v>
      </c>
      <c r="U4961" s="20" t="n">
        <v>2026</v>
      </c>
      <c r="V4961" s="20" t="n">
        <v>2027</v>
      </c>
      <c r="W4961" s="20" t="n">
        <v>2028</v>
      </c>
      <c r="X4961" s="20" t="n">
        <v>2029</v>
      </c>
      <c r="Y4961" s="20" t="n">
        <v>2030</v>
      </c>
      <c r="Z4961" s="20" t="n">
        <v>2031</v>
      </c>
      <c r="AA4961" s="20" t="n">
        <v>2032</v>
      </c>
    </row>
    <row r="4962" customFormat="false" ht="17.15" hidden="false" customHeight="false" outlineLevel="0" collapsed="false">
      <c r="A4962" s="1" t="s">
        <v>669</v>
      </c>
    </row>
    <row r="4963" customFormat="false" ht="15" hidden="false" customHeight="false" outlineLevel="0" collapsed="false">
      <c r="A4963" s="0" t="s">
        <v>479</v>
      </c>
      <c r="B4963" s="0" t="s">
        <v>73</v>
      </c>
      <c r="C4963" s="38" t="n">
        <f aca="false">Sens!$C$4872</f>
        <v>247.029</v>
      </c>
      <c r="D4963" s="38" t="n">
        <f aca="false">Sens!$D$4872</f>
        <v>269.287</v>
      </c>
      <c r="E4963" s="38" t="n">
        <f aca="false">Sens!$E$4872</f>
        <v>134.686</v>
      </c>
      <c r="F4963" s="38" t="n">
        <f aca="false">Sens!$F$4872</f>
        <v>160.728085930082</v>
      </c>
      <c r="G4963" s="38" t="n">
        <f aca="false">Sens!$G$4872</f>
        <v>295.414085930082</v>
      </c>
      <c r="H4963" s="38" t="n">
        <f aca="false">Sens!$H$4872</f>
        <v>320.828163943375</v>
      </c>
      <c r="I4963" s="38" t="n">
        <f aca="false">Sens!$I$4872</f>
        <v>344.575578072228</v>
      </c>
      <c r="J4963" s="38" t="n">
        <f aca="false">Sens!$J$4872</f>
        <v>365.942555779681</v>
      </c>
      <c r="K4963" s="38" t="n">
        <f aca="false">Sens!$K$4872</f>
        <v>384.239683568665</v>
      </c>
      <c r="L4963" s="38" t="n">
        <f aca="false">Sens!$L$4872</f>
        <v>403.451667747098</v>
      </c>
      <c r="M4963" s="38" t="n">
        <f aca="false">Sens!$M$4872</f>
        <v>423.624251134453</v>
      </c>
      <c r="N4963" s="38" t="n">
        <f aca="false">Sens!$N$4872</f>
        <v>118.892</v>
      </c>
      <c r="O4963" s="38" t="n">
        <f aca="false">Sens!$O$4872</f>
        <v>150.395</v>
      </c>
    </row>
    <row r="4964" customFormat="false" ht="15" hidden="false" customHeight="false" outlineLevel="0" collapsed="false">
      <c r="A4964" s="0" t="s">
        <v>480</v>
      </c>
      <c r="B4964" s="0" t="s">
        <v>73</v>
      </c>
      <c r="C4964" s="38" t="n">
        <f aca="false">Sens!$C$4874</f>
        <v>21.215</v>
      </c>
      <c r="D4964" s="38" t="n">
        <f aca="false">Sens!$D$4874</f>
        <v>22.561</v>
      </c>
      <c r="E4964" s="38" t="n">
        <f aca="false">Sens!$E$4874</f>
        <v>11.579</v>
      </c>
      <c r="F4964" s="38" t="n">
        <f aca="false">Sens!$F$4874</f>
        <v>12.0952613121125</v>
      </c>
      <c r="G4964" s="38" t="n">
        <f aca="false">Sens!$G$4874</f>
        <v>23.6742613121125</v>
      </c>
      <c r="H4964" s="38" t="n">
        <f aca="false">Sens!$H$4874</f>
        <v>24.8803243963206</v>
      </c>
      <c r="I4964" s="38" t="n">
        <f aca="false">Sens!$I$4874</f>
        <v>25.9741308664154</v>
      </c>
      <c r="J4964" s="38" t="n">
        <f aca="false">Sens!$J$4874</f>
        <v>26.9346894124267</v>
      </c>
      <c r="K4964" s="38" t="n">
        <f aca="false">Sens!$K$4874</f>
        <v>27.7427300947995</v>
      </c>
      <c r="L4964" s="38" t="n">
        <f aca="false">Sens!$L$4874</f>
        <v>28.5750119976435</v>
      </c>
      <c r="M4964" s="38" t="n">
        <f aca="false">Sens!$M$4874</f>
        <v>29.4322623575728</v>
      </c>
      <c r="N4964" s="38" t="n">
        <f aca="false">Sens!$N$4874</f>
        <v>11.128</v>
      </c>
      <c r="O4964" s="38" t="n">
        <f aca="false">Sens!$O$4874</f>
        <v>11.433</v>
      </c>
    </row>
    <row r="4965" customFormat="false" ht="15" hidden="false" customHeight="false" outlineLevel="0" collapsed="false">
      <c r="A4965" s="0" t="s">
        <v>481</v>
      </c>
      <c r="B4965" s="0" t="s">
        <v>73</v>
      </c>
      <c r="C4965" s="38" t="n">
        <f aca="false">Sens!$C$4876</f>
        <v>156.146</v>
      </c>
      <c r="D4965" s="38" t="n">
        <f aca="false">Sens!$D$4876</f>
        <v>172.162</v>
      </c>
      <c r="E4965" s="38" t="n">
        <f aca="false">Sens!$E$4876</f>
        <v>88.358</v>
      </c>
      <c r="F4965" s="38" t="n">
        <f aca="false">Sens!$F$4876</f>
        <v>103.62028337149</v>
      </c>
      <c r="G4965" s="38" t="n">
        <f aca="false">Sens!$G$4876</f>
        <v>191.97828337149</v>
      </c>
      <c r="H4965" s="38" t="n">
        <f aca="false">Sens!$H$4876</f>
        <v>212.128608444755</v>
      </c>
      <c r="I4965" s="38" t="n">
        <f aca="false">Sens!$I$4876</f>
        <v>231.92183134134</v>
      </c>
      <c r="J4965" s="38" t="n">
        <f aca="false">Sens!$J$4876</f>
        <v>250.859136487863</v>
      </c>
      <c r="K4965" s="38" t="n">
        <f aca="false">Sens!$K$4876</f>
        <v>268.419276042014</v>
      </c>
      <c r="L4965" s="38" t="n">
        <f aca="false">Sens!$L$4876</f>
        <v>287.208625364954</v>
      </c>
      <c r="M4965" s="38" t="n">
        <f aca="false">Sens!$M$4876</f>
        <v>307.313229140501</v>
      </c>
      <c r="N4965" s="38" t="n">
        <f aca="false">Sens!$N$4876</f>
        <v>76.86</v>
      </c>
      <c r="O4965" s="38" t="n">
        <f aca="false">Sens!$O$4876</f>
        <v>95.302</v>
      </c>
    </row>
    <row r="4966" customFormat="false" ht="15" hidden="false" customHeight="false" outlineLevel="0" collapsed="false">
      <c r="A4966" s="0" t="s">
        <v>482</v>
      </c>
      <c r="B4966" s="0" t="s">
        <v>73</v>
      </c>
      <c r="C4966" s="38" t="n">
        <f aca="false">Sens!$C$4878</f>
        <v>56.214</v>
      </c>
      <c r="D4966" s="38" t="n">
        <f aca="false">Sens!$D$4878</f>
        <v>68.635</v>
      </c>
      <c r="E4966" s="38" t="n">
        <f aca="false">Sens!$E$4878</f>
        <v>37.052</v>
      </c>
      <c r="F4966" s="38" t="n">
        <f aca="false">Sens!$F$4878</f>
        <v>48.1533381827382</v>
      </c>
      <c r="G4966" s="38" t="n">
        <f aca="false">Sens!$G$4878</f>
        <v>85.2053381827382</v>
      </c>
      <c r="H4966" s="38" t="n">
        <f aca="false">Sens!$H$4878</f>
        <v>102.29336185894</v>
      </c>
      <c r="I4966" s="38" t="n">
        <f aca="false">Sens!$I$4878</f>
        <v>119.379837585241</v>
      </c>
      <c r="J4966" s="38" t="n">
        <f aca="false">Sens!$J$4878</f>
        <v>135.319079048844</v>
      </c>
      <c r="K4966" s="38" t="n">
        <f aca="false">Sens!$K$4878</f>
        <v>148.850986953729</v>
      </c>
      <c r="L4966" s="38" t="n">
        <f aca="false">Sens!$L$4878</f>
        <v>163.736085649102</v>
      </c>
      <c r="M4966" s="38" t="n">
        <f aca="false">Sens!$M$4878</f>
        <v>180.109694214012</v>
      </c>
      <c r="N4966" s="38" t="n">
        <f aca="false">Sens!$N$4878</f>
        <v>29.615</v>
      </c>
      <c r="O4966" s="38" t="n">
        <f aca="false">Sens!$O$4878</f>
        <v>39.02</v>
      </c>
    </row>
    <row r="4967" customFormat="false" ht="15" hidden="false" customHeight="false" outlineLevel="0" collapsed="false">
      <c r="A4967" s="0" t="s">
        <v>483</v>
      </c>
      <c r="B4967" s="0" t="s">
        <v>73</v>
      </c>
      <c r="C4967" s="38" t="n">
        <f aca="false">Sens!$C$4880</f>
        <v>44.374</v>
      </c>
      <c r="D4967" s="38" t="n">
        <f aca="false">Sens!$D$4880</f>
        <v>49.619</v>
      </c>
      <c r="E4967" s="38" t="n">
        <f aca="false">Sens!$E$4880</f>
        <v>27.157</v>
      </c>
      <c r="F4967" s="38" t="n">
        <f aca="false">Sens!$F$4880</f>
        <v>28.9776360923374</v>
      </c>
      <c r="G4967" s="38" t="n">
        <f aca="false">Sens!$G$4880</f>
        <v>56.1346360923374</v>
      </c>
      <c r="H4967" s="38" t="n">
        <f aca="false">Sens!$H$4880</f>
        <v>62.4937078946075</v>
      </c>
      <c r="I4967" s="38" t="n">
        <f aca="false">Sens!$I$4880</f>
        <v>68.6715233062498</v>
      </c>
      <c r="J4967" s="38" t="n">
        <f aca="false">Sens!$J$4880</f>
        <v>74.4692882949818</v>
      </c>
      <c r="K4967" s="38" t="n">
        <f aca="false">Sens!$K$4880</f>
        <v>79.6821384756306</v>
      </c>
      <c r="L4967" s="38" t="n">
        <f aca="false">Sens!$L$4880</f>
        <v>85.2598881689247</v>
      </c>
      <c r="M4967" s="38" t="n">
        <f aca="false">Sens!$M$4880</f>
        <v>91.2280803407494</v>
      </c>
      <c r="N4967" s="38" t="n">
        <f aca="false">Sens!$N$4880</f>
        <v>23.923</v>
      </c>
      <c r="O4967" s="38" t="n">
        <f aca="false">Sens!$O$4880</f>
        <v>25.696</v>
      </c>
    </row>
    <row r="4968" customFormat="false" ht="15" hidden="false" customHeight="false" outlineLevel="0" collapsed="false">
      <c r="A4968" s="0" t="s">
        <v>484</v>
      </c>
      <c r="B4968" s="0" t="s">
        <v>73</v>
      </c>
      <c r="C4968" s="38" t="n">
        <f aca="false">Sens!$C$4882</f>
        <v>5.425</v>
      </c>
      <c r="D4968" s="38" t="n">
        <f aca="false">Sens!$D$4882</f>
        <v>5.935</v>
      </c>
      <c r="E4968" s="38" t="n">
        <f aca="false">Sens!$E$4882</f>
        <v>3.474</v>
      </c>
      <c r="F4968" s="38" t="n">
        <f aca="false">Sens!$F$4882</f>
        <v>3.36182431966931</v>
      </c>
      <c r="G4968" s="38" t="n">
        <f aca="false">Sens!$G$4882</f>
        <v>6.83582431966931</v>
      </c>
      <c r="H4968" s="38" t="n">
        <f aca="false">Sens!$H$4882</f>
        <v>7.31157108370141</v>
      </c>
      <c r="I4968" s="38" t="n">
        <f aca="false">Sens!$I$4882</f>
        <v>7.77266852639815</v>
      </c>
      <c r="J4968" s="38" t="n">
        <f aca="false">Sens!$J$4882</f>
        <v>8.2120733019884</v>
      </c>
      <c r="K4968" s="38" t="n">
        <f aca="false">Sens!$K$4882</f>
        <v>8.62267696708783</v>
      </c>
      <c r="L4968" s="38" t="n">
        <f aca="false">Sens!$L$4882</f>
        <v>9.05381081544222</v>
      </c>
      <c r="M4968" s="38" t="n">
        <f aca="false">Sens!$M$4882</f>
        <v>9.50650135621433</v>
      </c>
      <c r="N4968" s="38" t="n">
        <f aca="false">Sens!$N$4882</f>
        <v>2.811</v>
      </c>
      <c r="O4968" s="38" t="n">
        <f aca="false">Sens!$O$4882</f>
        <v>3.124</v>
      </c>
    </row>
    <row r="4969" customFormat="false" ht="17.15" hidden="false" customHeight="false" outlineLevel="0" collapsed="false">
      <c r="A4969" s="0" t="s">
        <v>670</v>
      </c>
      <c r="B4969" s="0" t="s">
        <v>73</v>
      </c>
      <c r="C4969" s="38" t="n">
        <f aca="false">Sens!$C$4950</f>
        <v>107.556</v>
      </c>
      <c r="D4969" s="38" t="n">
        <f aca="false">Sens!$D$4950</f>
        <v>128.725</v>
      </c>
      <c r="E4969" s="38" t="n">
        <f aca="false">Sens!$E$4950</f>
        <v>79.819</v>
      </c>
      <c r="F4969" s="38" t="n">
        <f aca="false">Sens!$F$4950</f>
        <v>93.5584440633857</v>
      </c>
      <c r="G4969" s="38" t="n">
        <f aca="false">Sens!$G$4950</f>
        <v>173.377444063386</v>
      </c>
      <c r="H4969" s="38" t="n">
        <f aca="false">Sens!$H$4950</f>
        <v>241.059451517916</v>
      </c>
      <c r="I4969" s="38" t="n">
        <f aca="false">Sens!$I$4950</f>
        <v>312.152096351442</v>
      </c>
      <c r="J4969" s="38" t="n">
        <f aca="false">Sens!$J$4950</f>
        <v>379.424316597773</v>
      </c>
      <c r="K4969" s="38" t="n">
        <f aca="false">Sens!$K$4950</f>
        <v>439.919237244402</v>
      </c>
      <c r="L4969" s="38" t="n">
        <f aca="false">Sens!$L$4950</f>
        <v>501.954974491517</v>
      </c>
      <c r="M4969" s="38" t="n">
        <f aca="false">Sens!$M$4950</f>
        <v>565.639704466895</v>
      </c>
      <c r="N4969" s="38" t="n">
        <f aca="false">Sens!$N$4950</f>
        <v>60.14</v>
      </c>
      <c r="O4969" s="38" t="n">
        <f aca="false">Sens!$O$4950</f>
        <v>68.585</v>
      </c>
    </row>
    <row r="4970" customFormat="false" ht="15" hidden="false" customHeight="false" outlineLevel="0" collapsed="false">
      <c r="A4970" s="1" t="s">
        <v>472</v>
      </c>
      <c r="B4970" s="8" t="s">
        <v>73</v>
      </c>
      <c r="C4970" s="38" t="n">
        <f aca="false">Sens!$C$4886</f>
        <v>387.497</v>
      </c>
      <c r="D4970" s="38" t="n">
        <f aca="false">Sens!$D$4886</f>
        <v>426.305</v>
      </c>
      <c r="E4970" s="38" t="n">
        <f aca="false">Sens!$E$4886</f>
        <v>220.32</v>
      </c>
      <c r="F4970" s="38" t="n">
        <f aca="false">Sens!$F$4886</f>
        <v>256.304015003807</v>
      </c>
      <c r="G4970" s="38" t="n">
        <f aca="false">Sens!$G$4886</f>
        <v>476.624015003807</v>
      </c>
      <c r="H4970" s="38" t="n">
        <f aca="false">Sens!$H$4886</f>
        <v>527.734391091543</v>
      </c>
      <c r="I4970" s="38" t="n">
        <f aca="false">Sens!$I$4886</f>
        <v>577.157693029577</v>
      </c>
      <c r="J4970" s="38" t="n">
        <f aca="false">Sens!$J$4886</f>
        <v>623.024923663827</v>
      </c>
      <c r="K4970" s="38" t="n">
        <f aca="false">Sens!$K$4886</f>
        <v>663.382568393781</v>
      </c>
      <c r="L4970" s="38" t="n">
        <f aca="false">Sens!$L$4886</f>
        <v>706.564873010432</v>
      </c>
      <c r="M4970" s="38" t="n">
        <f aca="false">Sens!$M$4886</f>
        <v>752.784687406019</v>
      </c>
      <c r="N4970" s="38" t="n">
        <f aca="false">Sens!$N$4886</f>
        <v>192.955</v>
      </c>
      <c r="O4970" s="38" t="n">
        <f aca="false">Sens!$O$4886</f>
        <v>233.35</v>
      </c>
    </row>
    <row r="4971" customFormat="false" ht="15" hidden="false" customHeight="false" outlineLevel="0" collapsed="false">
      <c r="A4971" s="1" t="s">
        <v>475</v>
      </c>
      <c r="B4971" s="8" t="s">
        <v>73</v>
      </c>
      <c r="C4971" s="38" t="n">
        <f aca="false">Sens!$C$4887</f>
        <v>142.906</v>
      </c>
      <c r="D4971" s="38" t="n">
        <f aca="false">Sens!$D$4887</f>
        <v>161.894</v>
      </c>
      <c r="E4971" s="38" t="n">
        <f aca="false">Sens!$E$4887</f>
        <v>81.986</v>
      </c>
      <c r="F4971" s="38" t="n">
        <f aca="false">Sens!$F$4887</f>
        <v>100.632414204623</v>
      </c>
      <c r="G4971" s="38" t="n">
        <f aca="false">Sens!$G$4887</f>
        <v>182.618414204623</v>
      </c>
      <c r="H4971" s="38" t="n">
        <f aca="false">Sens!$H$4887</f>
        <v>202.201346530158</v>
      </c>
      <c r="I4971" s="38" t="n">
        <f aca="false">Sens!$I$4887</f>
        <v>221.137876668296</v>
      </c>
      <c r="J4971" s="38" t="n">
        <f aca="false">Sens!$J$4887</f>
        <v>238.711898661958</v>
      </c>
      <c r="K4971" s="38" t="n">
        <f aca="false">Sens!$K$4887</f>
        <v>254.174923708144</v>
      </c>
      <c r="L4971" s="38" t="n">
        <f aca="false">Sens!$L$4887</f>
        <v>270.720216732733</v>
      </c>
      <c r="M4971" s="38" t="n">
        <f aca="false">Sens!$M$4887</f>
        <v>288.429331137484</v>
      </c>
      <c r="N4971" s="38" t="n">
        <f aca="false">Sens!$N$4887</f>
        <v>70.274</v>
      </c>
      <c r="O4971" s="38" t="n">
        <f aca="false">Sens!$O$4887</f>
        <v>91.62</v>
      </c>
    </row>
    <row r="4972" customFormat="false" ht="15" hidden="false" customHeight="false" outlineLevel="0" collapsed="false">
      <c r="A4972" s="1" t="s">
        <v>476</v>
      </c>
      <c r="B4972" s="8" t="s">
        <v>73</v>
      </c>
      <c r="C4972" s="38" t="n">
        <f aca="false">Sens!$C$4950</f>
        <v>107.556</v>
      </c>
      <c r="D4972" s="38" t="n">
        <f aca="false">Sens!$D$4950</f>
        <v>128.725</v>
      </c>
      <c r="E4972" s="38" t="n">
        <f aca="false">Sens!$E$4950</f>
        <v>79.819</v>
      </c>
      <c r="F4972" s="38" t="n">
        <f aca="false">Sens!$F$4950</f>
        <v>93.5584440633857</v>
      </c>
      <c r="G4972" s="38" t="n">
        <f aca="false">Sens!$G$4950</f>
        <v>173.377444063386</v>
      </c>
      <c r="H4972" s="38" t="n">
        <f aca="false">Sens!$H$4950</f>
        <v>241.059451517916</v>
      </c>
      <c r="I4972" s="38" t="n">
        <f aca="false">Sens!$I$4950</f>
        <v>312.152096351442</v>
      </c>
      <c r="J4972" s="38" t="n">
        <f aca="false">Sens!$J$4950</f>
        <v>379.424316597773</v>
      </c>
      <c r="K4972" s="38" t="n">
        <f aca="false">Sens!$K$4950</f>
        <v>439.919237244402</v>
      </c>
      <c r="L4972" s="38" t="n">
        <f aca="false">Sens!$L$4950</f>
        <v>501.954974491517</v>
      </c>
      <c r="M4972" s="38" t="n">
        <f aca="false">Sens!$M$4950</f>
        <v>565.639704466895</v>
      </c>
      <c r="N4972" s="38" t="n">
        <f aca="false">Sens!$N$4950</f>
        <v>60.14</v>
      </c>
      <c r="O4972" s="38" t="n">
        <f aca="false">Sens!$O$4950</f>
        <v>68.585</v>
      </c>
    </row>
    <row r="4973" customFormat="false" ht="17.15" hidden="false" customHeight="false" outlineLevel="0" collapsed="false">
      <c r="A4973" s="0" t="s">
        <v>644</v>
      </c>
      <c r="B4973" s="0" t="s">
        <v>73</v>
      </c>
      <c r="C4973" s="38" t="n">
        <f aca="false">Sens!$C$4948</f>
        <v>2.32100535697364</v>
      </c>
      <c r="D4973" s="38" t="n">
        <f aca="false">Sens!$D$4948</f>
        <v>8.70377008865116</v>
      </c>
      <c r="E4973" s="38" t="n">
        <f aca="false">Sens!$E$4948</f>
        <v>8.51035297557002</v>
      </c>
      <c r="F4973" s="38" t="n">
        <f aca="false">Sens!$F$4948</f>
        <v>14.9634336447205</v>
      </c>
      <c r="G4973" s="38" t="n">
        <f aca="false">Sens!$G$4948</f>
        <v>23.4737866202905</v>
      </c>
      <c r="H4973" s="38" t="n">
        <f aca="false">Sens!$H$4948</f>
        <v>60.1658907497746</v>
      </c>
      <c r="I4973" s="38" t="n">
        <f aca="false">Sens!$I$4948</f>
        <v>101.503699136432</v>
      </c>
      <c r="J4973" s="38" t="n">
        <f aca="false">Sens!$J$4948</f>
        <v>143.025407151278</v>
      </c>
      <c r="K4973" s="38" t="n">
        <f aca="false">Sens!$K$4948</f>
        <v>184.608415042187</v>
      </c>
      <c r="L4973" s="38" t="n">
        <f aca="false">Sens!$L$4948</f>
        <v>226.219286513125</v>
      </c>
      <c r="M4973" s="38" t="n">
        <f aca="false">Sens!$M$4948</f>
        <v>267.845161450232</v>
      </c>
      <c r="N4973" s="38" t="n">
        <f aca="false">Sens!$N$4948</f>
        <v>3.04631953102791</v>
      </c>
      <c r="O4973" s="38" t="n">
        <f aca="false">Sens!$O$4948</f>
        <v>5.65745055762326</v>
      </c>
    </row>
    <row r="4974" customFormat="false" ht="17.15" hidden="false" customHeight="false" outlineLevel="0" collapsed="false">
      <c r="A4974" s="0" t="s">
        <v>646</v>
      </c>
      <c r="B4974" s="0" t="s">
        <v>73</v>
      </c>
      <c r="C4974" s="38" t="n">
        <f aca="false">Sens!$C$4949</f>
        <v>105.234994643026</v>
      </c>
      <c r="D4974" s="38" t="n">
        <f aca="false">Sens!$D$4949</f>
        <v>120.021229911349</v>
      </c>
      <c r="E4974" s="38" t="n">
        <f aca="false">Sens!$E$4949</f>
        <v>71.30864702443</v>
      </c>
      <c r="F4974" s="38" t="n">
        <f aca="false">Sens!$F$4949</f>
        <v>78.5950104186653</v>
      </c>
      <c r="G4974" s="38" t="n">
        <f aca="false">Sens!$G$4949</f>
        <v>149.903657443095</v>
      </c>
      <c r="H4974" s="38" t="n">
        <f aca="false">Sens!$H$4949</f>
        <v>180.893560768142</v>
      </c>
      <c r="I4974" s="38" t="n">
        <f aca="false">Sens!$I$4949</f>
        <v>210.64839721501</v>
      </c>
      <c r="J4974" s="38" t="n">
        <f aca="false">Sens!$J$4949</f>
        <v>236.398909446495</v>
      </c>
      <c r="K4974" s="38" t="n">
        <f aca="false">Sens!$K$4949</f>
        <v>255.310822202215</v>
      </c>
      <c r="L4974" s="38" t="n">
        <f aca="false">Sens!$L$4949</f>
        <v>275.735687978392</v>
      </c>
      <c r="M4974" s="38" t="n">
        <f aca="false">Sens!$M$4949</f>
        <v>297.794543016663</v>
      </c>
      <c r="N4974" s="38" t="n">
        <f aca="false">Sens!$N$4949</f>
        <v>57.0936804689721</v>
      </c>
      <c r="O4974" s="38" t="n">
        <f aca="false">Sens!$O$4949</f>
        <v>62.9275494423768</v>
      </c>
    </row>
    <row r="4975" customFormat="false" ht="15" hidden="false" customHeight="false" outlineLevel="0" collapsed="false">
      <c r="A4975" s="3" t="s">
        <v>477</v>
      </c>
      <c r="B4975" s="8" t="s">
        <v>73</v>
      </c>
      <c r="C4975" s="38" t="n">
        <f aca="false">Sens!$C$4951</f>
        <v>637.959</v>
      </c>
      <c r="D4975" s="38" t="n">
        <f aca="false">Sens!$D$4951</f>
        <v>716.924</v>
      </c>
      <c r="E4975" s="38" t="n">
        <f aca="false">Sens!$E$4951</f>
        <v>382.125</v>
      </c>
      <c r="F4975" s="38" t="n">
        <f aca="false">Sens!$F$4951</f>
        <v>450.494873271816</v>
      </c>
      <c r="G4975" s="38" t="n">
        <f aca="false">Sens!$G$4951</f>
        <v>832.619873271816</v>
      </c>
      <c r="H4975" s="38" t="n">
        <f aca="false">Sens!$H$4951</f>
        <v>970.995189139617</v>
      </c>
      <c r="I4975" s="38" t="n">
        <f aca="false">Sens!$I$4951</f>
        <v>1110.44766604932</v>
      </c>
      <c r="J4975" s="38" t="n">
        <f aca="false">Sens!$J$4951</f>
        <v>1241.16113892356</v>
      </c>
      <c r="K4975" s="38" t="n">
        <f aca="false">Sens!$K$4951</f>
        <v>1357.47672934633</v>
      </c>
      <c r="L4975" s="38" t="n">
        <f aca="false">Sens!$L$4951</f>
        <v>1479.24006423468</v>
      </c>
      <c r="M4975" s="38" t="n">
        <f aca="false">Sens!$M$4951</f>
        <v>1606.8537230104</v>
      </c>
      <c r="N4975" s="38" t="n">
        <f aca="false">Sens!$N$4951</f>
        <v>323.369</v>
      </c>
      <c r="O4975" s="38" t="n">
        <f aca="false">Sens!$O$4951</f>
        <v>393.555</v>
      </c>
    </row>
    <row r="4976" customFormat="false" ht="17.15" hidden="false" customHeight="false" outlineLevel="0" collapsed="false">
      <c r="A4976" s="24" t="s">
        <v>656</v>
      </c>
      <c r="B4976" s="25" t="s">
        <v>73</v>
      </c>
      <c r="C4976" s="39" t="n">
        <f aca="false">Sens!$C$4963+Sens!$C$4964+Sens!$C$4965+Sens!$C$4966+Sens!$C$4967+Sens!$C$4968-(Sens!$C$4970+Sens!$C$4971)</f>
        <v>0</v>
      </c>
      <c r="D4976" s="39" t="n">
        <f aca="false">Sens!$D$4963+Sens!$D$4964+Sens!$D$4965+Sens!$D$4966+Sens!$D$4967+Sens!$D$4968-(Sens!$D$4970+Sens!$D$4971)</f>
        <v>0</v>
      </c>
      <c r="E4976" s="39" t="n">
        <f aca="false">Sens!$E$4963+Sens!$E$4964+Sens!$E$4965+Sens!$E$4966+Sens!$E$4967+Sens!$E$4968-(Sens!$E$4970+Sens!$E$4971)</f>
        <v>0</v>
      </c>
      <c r="F4976" s="39" t="n">
        <f aca="false">Sens!$F$4963+Sens!$F$4964+Sens!$F$4965+Sens!$F$4966+Sens!$F$4967+Sens!$F$4968-(Sens!$F$4970+Sens!$F$4971)</f>
        <v>0</v>
      </c>
      <c r="G4976" s="39" t="n">
        <f aca="false">Sens!$G$4963+Sens!$G$4964+Sens!$G$4965+Sens!$G$4966+Sens!$G$4967+Sens!$G$4968-(Sens!$G$4970+Sens!$G$4971)</f>
        <v>0</v>
      </c>
      <c r="H4976" s="39" t="n">
        <f aca="false">Sens!$H$4963+Sens!$H$4964+Sens!$H$4965+Sens!$H$4966+Sens!$H$4967+Sens!$H$4968-(Sens!$H$4970+Sens!$H$4971)</f>
        <v>0</v>
      </c>
      <c r="I4976" s="39" t="n">
        <f aca="false">Sens!$I$4963+Sens!$I$4964+Sens!$I$4965+Sens!$I$4966+Sens!$I$4967+Sens!$I$4968-(Sens!$I$4970+Sens!$I$4971)</f>
        <v>0</v>
      </c>
      <c r="J4976" s="39" t="n">
        <f aca="false">Sens!$J$4963+Sens!$J$4964+Sens!$J$4965+Sens!$J$4966+Sens!$J$4967+Sens!$J$4968-(Sens!$J$4970+Sens!$J$4971)</f>
        <v>0</v>
      </c>
      <c r="K4976" s="39" t="n">
        <f aca="false">Sens!$K$4963+Sens!$K$4964+Sens!$K$4965+Sens!$K$4966+Sens!$K$4967+Sens!$K$4968-(Sens!$K$4970+Sens!$K$4971)</f>
        <v>0</v>
      </c>
      <c r="L4976" s="39" t="n">
        <f aca="false">Sens!$L$4963+Sens!$L$4964+Sens!$L$4965+Sens!$L$4966+Sens!$L$4967+Sens!$L$4968-(Sens!$L$4970+Sens!$L$4971)</f>
        <v>0</v>
      </c>
      <c r="M4976" s="39" t="n">
        <f aca="false">Sens!$M$4963+Sens!$M$4964+Sens!$M$4965+Sens!$M$4966+Sens!$M$4967+Sens!$M$4968-(Sens!$M$4970+Sens!$M$4971)</f>
        <v>0</v>
      </c>
      <c r="N4976" s="39" t="n">
        <f aca="false">Sens!$N$4963+Sens!$N$4964+Sens!$N$4965+Sens!$N$4966+Sens!$N$4967+Sens!$N$4968-(Sens!$N$4970+Sens!$N$4971)</f>
        <v>0</v>
      </c>
      <c r="O4976" s="39" t="n">
        <f aca="false">Sens!$O$4963+Sens!$O$4964+Sens!$O$4965+Sens!$O$4966+Sens!$O$4967+Sens!$O$4968-(Sens!$O$4970+Sens!$O$4971)</f>
        <v>0</v>
      </c>
    </row>
    <row r="4977" customFormat="false" ht="17.15" hidden="false" customHeight="false" outlineLevel="0" collapsed="false">
      <c r="A4977" s="24" t="s">
        <v>657</v>
      </c>
      <c r="B4977" s="25" t="s">
        <v>73</v>
      </c>
      <c r="C4977" s="39" t="n">
        <f aca="false">Sens!$C$4973+Sens!$C$4974-Sens!$C$4972</f>
        <v>0</v>
      </c>
      <c r="D4977" s="39" t="n">
        <f aca="false">Sens!$D$4973+Sens!$D$4974-Sens!$D$4972</f>
        <v>0</v>
      </c>
      <c r="E4977" s="39" t="n">
        <f aca="false">Sens!$E$4973+Sens!$E$4974-Sens!$E$4972</f>
        <v>0</v>
      </c>
      <c r="F4977" s="39" t="n">
        <f aca="false">Sens!$F$4973+Sens!$F$4974-Sens!$F$4972</f>
        <v>0</v>
      </c>
      <c r="G4977" s="39" t="n">
        <f aca="false">Sens!$G$4973+Sens!$G$4974-Sens!$G$4972</f>
        <v>0</v>
      </c>
      <c r="H4977" s="39" t="n">
        <f aca="false">Sens!$H$4973+Sens!$H$4974-Sens!$H$4972</f>
        <v>0</v>
      </c>
      <c r="I4977" s="39" t="n">
        <f aca="false">Sens!$I$4973+Sens!$I$4974-Sens!$I$4972</f>
        <v>0</v>
      </c>
      <c r="J4977" s="39" t="n">
        <f aca="false">Sens!$J$4973+Sens!$J$4974-Sens!$J$4972</f>
        <v>0</v>
      </c>
      <c r="K4977" s="39" t="n">
        <f aca="false">Sens!$K$4973+Sens!$K$4974-Sens!$K$4972</f>
        <v>0</v>
      </c>
      <c r="L4977" s="39" t="n">
        <f aca="false">Sens!$L$4973+Sens!$L$4974-Sens!$L$4972</f>
        <v>0</v>
      </c>
      <c r="M4977" s="39" t="n">
        <f aca="false">Sens!$M$4973+Sens!$M$4974-Sens!$M$4972</f>
        <v>0</v>
      </c>
      <c r="N4977" s="39" t="n">
        <f aca="false">Sens!$N$4973+Sens!$N$4974-Sens!$N$4972</f>
        <v>0</v>
      </c>
      <c r="O4977" s="39" t="n">
        <f aca="false">Sens!$O$4973+Sens!$O$4974-Sens!$O$4972</f>
        <v>0</v>
      </c>
    </row>
    <row r="4978" customFormat="false" ht="17.15" hidden="false" customHeight="false" outlineLevel="0" collapsed="false">
      <c r="A4978" s="24" t="s">
        <v>711</v>
      </c>
      <c r="B4978" s="25" t="s">
        <v>73</v>
      </c>
      <c r="C4978" s="39" t="n">
        <f aca="false">Sens!$C$4963+Sens!$C$4964+Sens!$C$4965+Sens!$C$4966+Sens!$C$4967+Sens!$C$4968+Sens!$C$4969-Sens!$C$4975</f>
        <v>0</v>
      </c>
      <c r="D4978" s="39" t="n">
        <f aca="false">Sens!$D$4963+Sens!$D$4964+Sens!$D$4965+Sens!$D$4966+Sens!$D$4967+Sens!$D$4968+Sens!$D$4969-Sens!$D$4975</f>
        <v>0</v>
      </c>
      <c r="E4978" s="39" t="n">
        <f aca="false">Sens!$E$4963+Sens!$E$4964+Sens!$E$4965+Sens!$E$4966+Sens!$E$4967+Sens!$E$4968+Sens!$E$4969-Sens!$E$4975</f>
        <v>0</v>
      </c>
      <c r="F4978" s="39" t="n">
        <f aca="false">Sens!$F$4963+Sens!$F$4964+Sens!$F$4965+Sens!$F$4966+Sens!$F$4967+Sens!$F$4968+Sens!$F$4969-Sens!$F$4975</f>
        <v>0</v>
      </c>
      <c r="G4978" s="39" t="n">
        <f aca="false">Sens!$G$4963+Sens!$G$4964+Sens!$G$4965+Sens!$G$4966+Sens!$G$4967+Sens!$G$4968+Sens!$G$4969-Sens!$G$4975</f>
        <v>0</v>
      </c>
      <c r="H4978" s="39" t="n">
        <f aca="false">Sens!$H$4963+Sens!$H$4964+Sens!$H$4965+Sens!$H$4966+Sens!$H$4967+Sens!$H$4968+Sens!$H$4969-Sens!$H$4975</f>
        <v>0</v>
      </c>
      <c r="I4978" s="39" t="n">
        <f aca="false">Sens!$I$4963+Sens!$I$4964+Sens!$I$4965+Sens!$I$4966+Sens!$I$4967+Sens!$I$4968+Sens!$I$4969-Sens!$I$4975</f>
        <v>0</v>
      </c>
      <c r="J4978" s="39" t="n">
        <f aca="false">Sens!$J$4963+Sens!$J$4964+Sens!$J$4965+Sens!$J$4966+Sens!$J$4967+Sens!$J$4968+Sens!$J$4969-Sens!$J$4975</f>
        <v>0</v>
      </c>
      <c r="K4978" s="39" t="n">
        <f aca="false">Sens!$K$4963+Sens!$K$4964+Sens!$K$4965+Sens!$K$4966+Sens!$K$4967+Sens!$K$4968+Sens!$K$4969-Sens!$K$4975</f>
        <v>0</v>
      </c>
      <c r="L4978" s="39" t="n">
        <f aca="false">Sens!$L$4963+Sens!$L$4964+Sens!$L$4965+Sens!$L$4966+Sens!$L$4967+Sens!$L$4968+Sens!$L$4969-Sens!$L$4975</f>
        <v>0</v>
      </c>
      <c r="M4978" s="39" t="n">
        <f aca="false">Sens!$M$4963+Sens!$M$4964+Sens!$M$4965+Sens!$M$4966+Sens!$M$4967+Sens!$M$4968+Sens!$M$4969-Sens!$M$4975</f>
        <v>0</v>
      </c>
      <c r="N4978" s="39" t="n">
        <f aca="false">Sens!$N$4963+Sens!$N$4964+Sens!$N$4965+Sens!$N$4966+Sens!$N$4967+Sens!$N$4968+Sens!$N$4969-Sens!$N$4975</f>
        <v>0</v>
      </c>
      <c r="O4978" s="39" t="n">
        <f aca="false">Sens!$O$4963+Sens!$O$4964+Sens!$O$4965+Sens!$O$4966+Sens!$O$4967+Sens!$O$4968+Sens!$O$4969-Sens!$O$4975</f>
        <v>0</v>
      </c>
    </row>
    <row r="4979" customFormat="false" ht="17.15" hidden="false" customHeight="false" outlineLevel="0" collapsed="false">
      <c r="A4979" s="24" t="s">
        <v>658</v>
      </c>
      <c r="B4979" s="25" t="s">
        <v>73</v>
      </c>
      <c r="C4979" s="39" t="n">
        <f aca="false">Sens!$C$4970+Sens!$C$4971+Sens!$C$4972-Sens!$C$4975</f>
        <v>0</v>
      </c>
      <c r="D4979" s="39" t="n">
        <f aca="false">Sens!$D$4970+Sens!$D$4971+Sens!$D$4972-Sens!$D$4975</f>
        <v>0</v>
      </c>
      <c r="E4979" s="39" t="n">
        <f aca="false">Sens!$E$4970+Sens!$E$4971+Sens!$E$4972-Sens!$E$4975</f>
        <v>0</v>
      </c>
      <c r="F4979" s="39" t="n">
        <f aca="false">Sens!$F$4970+Sens!$F$4971+Sens!$F$4972-Sens!$F$4975</f>
        <v>0</v>
      </c>
      <c r="G4979" s="39" t="n">
        <f aca="false">Sens!$G$4970+Sens!$G$4971+Sens!$G$4972-Sens!$G$4975</f>
        <v>0</v>
      </c>
      <c r="H4979" s="39" t="n">
        <f aca="false">Sens!$H$4970+Sens!$H$4971+Sens!$H$4972-Sens!$H$4975</f>
        <v>0</v>
      </c>
      <c r="I4979" s="39" t="n">
        <f aca="false">Sens!$I$4970+Sens!$I$4971+Sens!$I$4972-Sens!$I$4975</f>
        <v>0</v>
      </c>
      <c r="J4979" s="39" t="n">
        <f aca="false">Sens!$J$4970+Sens!$J$4971+Sens!$J$4972-Sens!$J$4975</f>
        <v>0</v>
      </c>
      <c r="K4979" s="39" t="n">
        <f aca="false">Sens!$K$4970+Sens!$K$4971+Sens!$K$4972-Sens!$K$4975</f>
        <v>0</v>
      </c>
      <c r="L4979" s="39" t="n">
        <f aca="false">Sens!$L$4970+Sens!$L$4971+Sens!$L$4972-Sens!$L$4975</f>
        <v>0</v>
      </c>
      <c r="M4979" s="39" t="n">
        <f aca="false">Sens!$M$4970+Sens!$M$4971+Sens!$M$4972-Sens!$M$4975</f>
        <v>0</v>
      </c>
      <c r="N4979" s="39" t="n">
        <f aca="false">Sens!$N$4970+Sens!$N$4971+Sens!$N$4972-Sens!$N$4975</f>
        <v>0</v>
      </c>
      <c r="O4979" s="39" t="n">
        <f aca="false">Sens!$O$4970+Sens!$O$4971+Sens!$O$4972-Sens!$O$4975</f>
        <v>0</v>
      </c>
    </row>
    <row r="4980" customFormat="false" ht="17.15" hidden="false" customHeight="false" outlineLevel="0" collapsed="false">
      <c r="A4980" s="1" t="s">
        <v>672</v>
      </c>
    </row>
    <row r="4981" customFormat="false" ht="17.15" hidden="false" customHeight="false" outlineLevel="0" collapsed="false">
      <c r="A4981" s="0" t="s">
        <v>673</v>
      </c>
      <c r="B4981" s="0" t="s">
        <v>73</v>
      </c>
      <c r="C4981" s="38" t="n">
        <f aca="false">Sens!$C$4888*m_ad</f>
        <v>20.5341564414228</v>
      </c>
      <c r="D4981" s="38" t="n">
        <f aca="false">Sens!$D$4888*m_ad</f>
        <v>24.8720617299587</v>
      </c>
      <c r="E4981" s="38" t="n">
        <f aca="false">Sens!$E$4888*m_ad</f>
        <v>13.5017112462207</v>
      </c>
      <c r="F4981" s="38" t="n">
        <f aca="false">Sens!$F$4888*m_ad</f>
        <v>17.2886442824599</v>
      </c>
      <c r="G4981" s="38" t="n">
        <f aca="false">Sens!$G$4888*m_ad</f>
        <v>30.8011958765886</v>
      </c>
      <c r="H4981" s="38" t="n">
        <f aca="false">Sens!$H$4888*m_ad</f>
        <v>36.978409366026</v>
      </c>
      <c r="I4981" s="38" t="n">
        <f aca="false">Sens!$I$4888*m_ad</f>
        <v>43.155063281273</v>
      </c>
      <c r="J4981" s="38" t="n">
        <f aca="false">Sens!$J$4888*m_ad</f>
        <v>48.9169991988532</v>
      </c>
      <c r="K4981" s="38" t="n">
        <f aca="false">Sens!$K$4888*m_ad</f>
        <v>53.8086991187386</v>
      </c>
      <c r="L4981" s="38" t="n">
        <f aca="false">Sens!$L$4888*m_ad</f>
        <v>59.1895690306124</v>
      </c>
      <c r="M4981" s="38" t="n">
        <f aca="false">Sens!$M$4888*m_ad</f>
        <v>65.1085259336737</v>
      </c>
      <c r="N4981" s="38" t="n">
        <f aca="false">Sens!$N$4888*m_ad</f>
        <v>10.8543555706248</v>
      </c>
      <c r="O4981" s="38" t="n">
        <f aca="false">Sens!$O$4888*m_ad</f>
        <v>14.0094731821399</v>
      </c>
    </row>
    <row r="4982" customFormat="false" ht="17.15" hidden="false" customHeight="false" outlineLevel="0" collapsed="false">
      <c r="A4982" s="0" t="s">
        <v>674</v>
      </c>
      <c r="B4982" s="0" t="s">
        <v>73</v>
      </c>
      <c r="C4982" s="38" t="n">
        <f aca="false">Sens!$C$4886-Sens!$C$4888</f>
        <v>346.428687117154</v>
      </c>
      <c r="D4982" s="38" t="n">
        <f aca="false">Sens!$D$4886-Sens!$D$4888</f>
        <v>376.560876540083</v>
      </c>
      <c r="E4982" s="38" t="n">
        <f aca="false">Sens!$E$4886-Sens!$E$4888</f>
        <v>193.316577507559</v>
      </c>
      <c r="F4982" s="38" t="n">
        <f aca="false">Sens!$F$4886-Sens!$F$4888</f>
        <v>221.726726438887</v>
      </c>
      <c r="G4982" s="38" t="n">
        <f aca="false">Sens!$G$4886-Sens!$G$4888</f>
        <v>415.02162325063</v>
      </c>
      <c r="H4982" s="38" t="n">
        <f aca="false">Sens!$H$4886-Sens!$H$4888</f>
        <v>453.777572359491</v>
      </c>
      <c r="I4982" s="38" t="n">
        <f aca="false">Sens!$I$4886-Sens!$I$4888</f>
        <v>490.847566467031</v>
      </c>
      <c r="J4982" s="38" t="n">
        <f aca="false">Sens!$J$4886-Sens!$J$4888</f>
        <v>525.190925266121</v>
      </c>
      <c r="K4982" s="38" t="n">
        <f aca="false">Sens!$K$4886-Sens!$K$4888</f>
        <v>555.765170156304</v>
      </c>
      <c r="L4982" s="38" t="n">
        <f aca="false">Sens!$L$4886-Sens!$L$4888</f>
        <v>588.185734949207</v>
      </c>
      <c r="M4982" s="38" t="n">
        <f aca="false">Sens!$M$4886-Sens!$M$4888</f>
        <v>622.567635538672</v>
      </c>
      <c r="N4982" s="38" t="n">
        <f aca="false">Sens!$N$4886-Sens!$N$4888</f>
        <v>171.24628885875</v>
      </c>
      <c r="O4982" s="38" t="n">
        <f aca="false">Sens!$O$4886-Sens!$O$4888</f>
        <v>205.33105363572</v>
      </c>
    </row>
    <row r="4983" customFormat="false" ht="17.15" hidden="false" customHeight="false" outlineLevel="0" collapsed="false">
      <c r="A4983" s="0" t="s">
        <v>675</v>
      </c>
      <c r="B4983" s="0" t="s">
        <v>73</v>
      </c>
      <c r="C4983" s="38" t="n">
        <f aca="false">Sens!$C$4934*Sens!$C$4885</f>
        <v>0.123617442257179</v>
      </c>
      <c r="D4983" s="38" t="n">
        <f aca="false">Sens!$D$4934*Sens!$D$4885</f>
        <v>0.874366899302609</v>
      </c>
      <c r="E4983" s="38" t="n">
        <f aca="false">Sens!$E$4934*Sens!$E$4885</f>
        <v>1.29318830502574</v>
      </c>
      <c r="F4983" s="38" t="n">
        <f aca="false">Sens!$F$4934*Sens!$F$4885</f>
        <v>1.51802024162534</v>
      </c>
      <c r="G4983" s="38" t="n">
        <f aca="false">Sens!$G$4934*Sens!$G$4885</f>
        <v>2.81130189308167</v>
      </c>
      <c r="H4983" s="38" t="n">
        <f aca="false">Sens!$H$4934*Sens!$H$4885</f>
        <v>7.38966789318209</v>
      </c>
      <c r="I4983" s="38" t="n">
        <f aca="false">Sens!$I$4934*Sens!$I$4885</f>
        <v>12.8987443661473</v>
      </c>
      <c r="J4983" s="38" t="n">
        <f aca="false">Sens!$J$4934*Sens!$J$4885</f>
        <v>18.5570025453645</v>
      </c>
      <c r="K4983" s="38" t="n">
        <f aca="false">Sens!$K$4934*Sens!$K$4885</f>
        <v>24.3158972773405</v>
      </c>
      <c r="L4983" s="38" t="n">
        <f aca="false">Sens!$L$4934*Sens!$L$4885</f>
        <v>29.7827375558674</v>
      </c>
      <c r="M4983" s="38" t="n">
        <f aca="false">Sens!$M$4934*Sens!$M$4885</f>
        <v>35.3532344973194</v>
      </c>
      <c r="N4983" s="38" t="n">
        <f aca="false">Sens!$N$4934*Sens!$N$4885</f>
        <v>0.389180508437431</v>
      </c>
      <c r="O4983" s="38" t="n">
        <f aca="false">Sens!$O$4934*Sens!$O$4885</f>
        <v>0.485052120082802</v>
      </c>
    </row>
    <row r="4984" customFormat="false" ht="17.15" hidden="false" customHeight="false" outlineLevel="0" collapsed="false">
      <c r="A4984" s="0" t="s">
        <v>676</v>
      </c>
      <c r="B4984" s="0" t="s">
        <v>52</v>
      </c>
      <c r="C4984" s="28" t="n">
        <f aca="false">(Sens!$C$4985-Sens!$C$4981+Sens!$C$4983)/Sens!$C$4982</f>
        <v>0.0131526665379575</v>
      </c>
      <c r="D4984" s="28" t="n">
        <f aca="false">(Sens!$D$4985-Sens!$D$4981+Sens!$D$4983)/Sens!$D$4982</f>
        <v>0.0149280116962589</v>
      </c>
      <c r="E4984" s="28" t="n">
        <f aca="false">(Sens!$E$4985-Sens!$E$4981+Sens!$E$4983)/Sens!$E$4982</f>
        <v>0.0268030663774938</v>
      </c>
      <c r="F4984" s="28" t="n">
        <f aca="false">Sens!$O$4984+(Sens!$E$4984-Sens!$N$4984)</f>
        <v>0.0232379346966962</v>
      </c>
      <c r="G4984" s="28" t="n">
        <f aca="false">(Sens!$G$4985-Sens!$G$4981+Sens!$G$4983)/Sens!$G$4982</f>
        <v>0.0248738876928168</v>
      </c>
      <c r="H4984" s="28" t="n">
        <f aca="false">Sens!$G$4984+step_na</f>
        <v>0.0278738876928168</v>
      </c>
      <c r="I4984" s="28" t="n">
        <f aca="false">Sens!$H$4984+step_na</f>
        <v>0.0308738876928168</v>
      </c>
      <c r="J4984" s="28" t="n">
        <f aca="false">Sens!$I$4984+step_na</f>
        <v>0.0338738876928168</v>
      </c>
      <c r="K4984" s="28" t="n">
        <f aca="false">Sens!$J$4984+step_na</f>
        <v>0.0368738876928168</v>
      </c>
      <c r="L4984" s="28" t="n">
        <f aca="false">Sens!$K$4984</f>
        <v>0.0368738876928168</v>
      </c>
      <c r="M4984" s="28" t="n">
        <f aca="false">Sens!$L$4984</f>
        <v>0.0368738876928168</v>
      </c>
      <c r="N4984" s="28" t="n">
        <f aca="false">(Sens!$N$4985-Sens!$N$4981+Sens!$N$4983)/Sens!$N$4982</f>
        <v>0.0168927744775755</v>
      </c>
      <c r="O4984" s="28" t="n">
        <f aca="false">(Sens!$O$4985-Sens!$O$4981+Sens!$O$4983)/Sens!$O$4982</f>
        <v>0.0133276427967779</v>
      </c>
      <c r="P4984" s="8" t="s">
        <v>677</v>
      </c>
    </row>
    <row r="4985" customFormat="false" ht="17.15" hidden="false" customHeight="false" outlineLevel="0" collapsed="false">
      <c r="A4985" s="1" t="s">
        <v>678</v>
      </c>
      <c r="B4985" s="8" t="s">
        <v>73</v>
      </c>
      <c r="C4985" s="38" t="n">
        <f aca="false">Q!$D$22</f>
        <v>24.967</v>
      </c>
      <c r="D4985" s="38" t="n">
        <f aca="false">Q!$E$22</f>
        <v>29.619</v>
      </c>
      <c r="E4985" s="38" t="n">
        <f aca="false">Q!$P$22</f>
        <v>17.39</v>
      </c>
      <c r="F4985" s="38" t="n">
        <f aca="false">Sens!$F$4981+Sens!$F$4982*Sens!$F$4984-Sens!$F$4983</f>
        <v>20.9230952303336</v>
      </c>
      <c r="G4985" s="38" t="n">
        <f aca="false">Sens!$E$4985+Sens!$F$4985</f>
        <v>38.3130952303336</v>
      </c>
      <c r="H4985" s="38" t="n">
        <f aca="false">Sens!$H$4981+Sens!$H$4982*Sens!$H$4984-Sens!$H$4983</f>
        <v>42.2372865623114</v>
      </c>
      <c r="I4985" s="38" t="n">
        <f aca="false">Sens!$I$4981+Sens!$I$4982*Sens!$I$4984-Sens!$I$4983</f>
        <v>45.4106915565213</v>
      </c>
      <c r="J4985" s="38" t="n">
        <f aca="false">Sens!$J$4981+Sens!$J$4982*Sens!$J$4984-Sens!$J$4983</f>
        <v>48.1502550732398</v>
      </c>
      <c r="K4985" s="38" t="n">
        <f aca="false">Sens!$K$4981+Sens!$K$4982*Sens!$K$4984-Sens!$K$4983</f>
        <v>49.9860243093208</v>
      </c>
      <c r="L4985" s="38" t="n">
        <f aca="false">Sens!$L$4981+Sens!$L$4982*Sens!$L$4984-Sens!$L$4983</f>
        <v>51.095526207779</v>
      </c>
      <c r="M4985" s="38" t="n">
        <f aca="false">Sens!$M$4981+Sens!$M$4982*Sens!$M$4984-Sens!$M$4983</f>
        <v>52.7117805103898</v>
      </c>
      <c r="N4985" s="38" t="n">
        <f aca="false">Q!$N$22</f>
        <v>13.358</v>
      </c>
      <c r="O4985" s="38" t="n">
        <f aca="false">Q!$O$22</f>
        <v>16.261</v>
      </c>
    </row>
    <row r="4986" customFormat="false" ht="17.15" hidden="false" customHeight="false" outlineLevel="0" collapsed="false">
      <c r="A4986" s="0" t="s">
        <v>679</v>
      </c>
      <c r="B4986" s="0" t="s">
        <v>73</v>
      </c>
      <c r="C4986" s="38" t="n">
        <f aca="false">Sens!$C$4889*m_ad</f>
        <v>7.57284355857716</v>
      </c>
      <c r="D4986" s="38" t="n">
        <f aca="false">Sens!$D$4889*m_ad</f>
        <v>9.44543827004127</v>
      </c>
      <c r="E4986" s="38" t="n">
        <f aca="false">Sens!$E$4889*m_ad</f>
        <v>5.02428875377928</v>
      </c>
      <c r="F4986" s="38" t="n">
        <f aca="false">Sens!$F$4889*m_ad</f>
        <v>6.78802480890925</v>
      </c>
      <c r="G4986" s="38" t="n">
        <f aca="false">Sens!$G$4889*m_ad</f>
        <v>11.8014732147805</v>
      </c>
      <c r="H4986" s="38" t="n">
        <f aca="false">Sens!$H$4889*m_ad</f>
        <v>14.1682715634442</v>
      </c>
      <c r="I4986" s="38" t="n">
        <f aca="false">Sens!$I$4889*m_ad</f>
        <v>16.5348555113474</v>
      </c>
      <c r="J4986" s="38" t="n">
        <f aca="false">Sens!$J$4889*m_ad</f>
        <v>18.7425403255689</v>
      </c>
      <c r="K4986" s="38" t="n">
        <f aca="false">Sens!$K$4889*m_ad</f>
        <v>20.6167943581258</v>
      </c>
      <c r="L4986" s="38" t="n">
        <f aca="false">Sens!$L$4889*m_ad</f>
        <v>22.6784737939383</v>
      </c>
      <c r="M4986" s="38" t="n">
        <f aca="false">Sens!$M$4889*m_ad</f>
        <v>24.9463211733322</v>
      </c>
      <c r="N4986" s="38" t="n">
        <f aca="false">Sens!$N$4889*m_ad</f>
        <v>3.95314442937518</v>
      </c>
      <c r="O4986" s="38" t="n">
        <f aca="false">Sens!$O$4889*m_ad</f>
        <v>5.50052681786011</v>
      </c>
    </row>
    <row r="4987" customFormat="false" ht="17.15" hidden="false" customHeight="false" outlineLevel="0" collapsed="false">
      <c r="A4987" s="0" t="s">
        <v>680</v>
      </c>
      <c r="B4987" s="0" t="s">
        <v>73</v>
      </c>
      <c r="C4987" s="38" t="n">
        <f aca="false">Sens!$C$4887-Sens!$C$4889</f>
        <v>127.760312882846</v>
      </c>
      <c r="D4987" s="38" t="n">
        <f aca="false">Sens!$D$4887-Sens!$D$4889</f>
        <v>143.003123459917</v>
      </c>
      <c r="E4987" s="38" t="n">
        <f aca="false">Sens!$E$4887-Sens!$E$4889</f>
        <v>71.9374224924414</v>
      </c>
      <c r="F4987" s="38" t="n">
        <f aca="false">Sens!$F$4887-Sens!$F$4889</f>
        <v>87.0563645868046</v>
      </c>
      <c r="G4987" s="38" t="n">
        <f aca="false">Sens!$G$4887-Sens!$G$4889</f>
        <v>159.015467775062</v>
      </c>
      <c r="H4987" s="38" t="n">
        <f aca="false">Sens!$H$4887-Sens!$H$4889</f>
        <v>173.864803403269</v>
      </c>
      <c r="I4987" s="38" t="n">
        <f aca="false">Sens!$I$4887-Sens!$I$4889</f>
        <v>188.068165645601</v>
      </c>
      <c r="J4987" s="38" t="n">
        <f aca="false">Sens!$J$4887-Sens!$J$4889</f>
        <v>201.22681801082</v>
      </c>
      <c r="K4987" s="38" t="n">
        <f aca="false">Sens!$K$4887-Sens!$K$4889</f>
        <v>212.941334991893</v>
      </c>
      <c r="L4987" s="38" t="n">
        <f aca="false">Sens!$L$4887-Sens!$L$4889</f>
        <v>225.363269144856</v>
      </c>
      <c r="M4987" s="38" t="n">
        <f aca="false">Sens!$M$4887-Sens!$M$4889</f>
        <v>238.536688790819</v>
      </c>
      <c r="N4987" s="38" t="n">
        <f aca="false">Sens!$N$4887-Sens!$N$4889</f>
        <v>62.3677111412496</v>
      </c>
      <c r="O4987" s="38" t="n">
        <f aca="false">Sens!$O$4887-Sens!$O$4889</f>
        <v>80.6189463642798</v>
      </c>
    </row>
    <row r="4988" customFormat="false" ht="17.15" hidden="false" customHeight="false" outlineLevel="0" collapsed="false">
      <c r="A4988" s="0" t="s">
        <v>681</v>
      </c>
      <c r="B4988" s="0" t="s">
        <v>73</v>
      </c>
      <c r="C4988" s="38" t="n">
        <f aca="false">Sens!$C$4934*(1-Sens!$C$4885)</f>
        <v>0.0455891896019953</v>
      </c>
      <c r="D4988" s="38" t="n">
        <f aca="false">Sens!$D$4934*(1-Sens!$D$4885)</f>
        <v>0.332050421167231</v>
      </c>
      <c r="E4988" s="38" t="n">
        <f aca="false">Sens!$E$4934*(1-Sens!$E$4885)</f>
        <v>0.481224293644882</v>
      </c>
      <c r="F4988" s="38" t="n">
        <f aca="false">Sens!$F$4934*(1-Sens!$F$4885)</f>
        <v>0.596018918096053</v>
      </c>
      <c r="G4988" s="38" t="n">
        <f aca="false">Sens!$G$4934*(1-Sens!$G$4885)</f>
        <v>1.07714986531035</v>
      </c>
      <c r="H4988" s="38" t="n">
        <f aca="false">Sens!$H$4934*(1-Sens!$H$4885)</f>
        <v>2.83135005721638</v>
      </c>
      <c r="I4988" s="38" t="n">
        <f aca="false">Sens!$I$4934*(1-Sens!$I$4885)</f>
        <v>4.9421518161602</v>
      </c>
      <c r="J4988" s="38" t="n">
        <f aca="false">Sens!$J$4934*(1-Sens!$J$4885)</f>
        <v>7.11011252170866</v>
      </c>
      <c r="K4988" s="38" t="n">
        <f aca="false">Sens!$K$4934*(1-Sens!$K$4885)</f>
        <v>9.31663210615807</v>
      </c>
      <c r="L4988" s="38" t="n">
        <f aca="false">Sens!$L$4934*(1-Sens!$L$4885)</f>
        <v>11.411251074039</v>
      </c>
      <c r="M4988" s="38" t="n">
        <f aca="false">Sens!$M$4934*(1-Sens!$M$4885)</f>
        <v>13.5455860755423</v>
      </c>
      <c r="N4988" s="38" t="n">
        <f aca="false">Sens!$N$4934*(1-Sens!$N$4885)</f>
        <v>0.141739115596548</v>
      </c>
      <c r="O4988" s="38" t="n">
        <f aca="false">Sens!$O$4934*(1-Sens!$O$4885)</f>
        <v>0.190445576353059</v>
      </c>
    </row>
    <row r="4989" customFormat="false" ht="17.15" hidden="false" customHeight="false" outlineLevel="0" collapsed="false">
      <c r="A4989" s="0" t="s">
        <v>682</v>
      </c>
      <c r="B4989" s="0" t="s">
        <v>52</v>
      </c>
      <c r="C4989" s="28" t="n">
        <f aca="false">(Sens!$C$4990-Sens!$C$4986+Sens!$C$4988)/Sens!$C$4987</f>
        <v>-0.0292364215826579</v>
      </c>
      <c r="D4989" s="28" t="n">
        <f aca="false">(Sens!$D$4990-Sens!$D$4986+Sens!$D$4988)/Sens!$D$4987</f>
        <v>-0.0305125352740778</v>
      </c>
      <c r="E4989" s="28" t="n">
        <f aca="false">(Sens!$E$4990-Sens!$E$4986+Sens!$E$4988)/Sens!$E$4987</f>
        <v>-0.019490056934994</v>
      </c>
      <c r="F4989" s="28" t="n">
        <f aca="false">Sens!$O$4989+(Sens!$E$4989-Sens!$N$4989)</f>
        <v>-0.0367332293992226</v>
      </c>
      <c r="G4989" s="28" t="n">
        <f aca="false">(Sens!$G$4990-Sens!$G$4986+Sens!$G$4988)/Sens!$G$4987</f>
        <v>-0.0288599526442178</v>
      </c>
      <c r="H4989" s="28" t="n">
        <f aca="false">Sens!$G$4989+step_in</f>
        <v>-0.0288599526442178</v>
      </c>
      <c r="I4989" s="28" t="n">
        <f aca="false">Sens!$H$4989+step_in</f>
        <v>-0.0288599526442178</v>
      </c>
      <c r="J4989" s="28" t="n">
        <f aca="false">Sens!$I$4989+step_in</f>
        <v>-0.0288599526442178</v>
      </c>
      <c r="K4989" s="28" t="n">
        <f aca="false">Sens!$J$4989+step_in</f>
        <v>-0.0288599526442178</v>
      </c>
      <c r="L4989" s="28" t="n">
        <f aca="false">Sens!$K$4989</f>
        <v>-0.0288599526442178</v>
      </c>
      <c r="M4989" s="28" t="n">
        <f aca="false">Sens!$L$4989</f>
        <v>-0.0288599526442178</v>
      </c>
      <c r="N4989" s="28" t="n">
        <f aca="false">(Sens!$N$4990-Sens!$N$4986+Sens!$N$4988)/Sens!$N$4987</f>
        <v>-0.02085061789158</v>
      </c>
      <c r="O4989" s="28" t="n">
        <f aca="false">(Sens!$O$4990-Sens!$O$4986+Sens!$O$4988)/Sens!$O$4987</f>
        <v>-0.0380937903558086</v>
      </c>
      <c r="P4989" s="8" t="s">
        <v>677</v>
      </c>
    </row>
    <row r="4990" customFormat="false" ht="17.15" hidden="false" customHeight="false" outlineLevel="0" collapsed="false">
      <c r="A4990" s="1" t="s">
        <v>683</v>
      </c>
      <c r="B4990" s="8" t="s">
        <v>73</v>
      </c>
      <c r="C4990" s="38" t="n">
        <f aca="false">Q!$D$23</f>
        <v>3.792</v>
      </c>
      <c r="D4990" s="38" t="n">
        <f aca="false">Q!$E$23</f>
        <v>4.75</v>
      </c>
      <c r="E4990" s="38" t="n">
        <f aca="false">Q!$P$23</f>
        <v>3.141</v>
      </c>
      <c r="F4990" s="38" t="n">
        <f aca="false">Sens!$F$4986+Sens!$F$4987*Sens!$F$4989-Sens!$F$4988</f>
        <v>2.99414447978375</v>
      </c>
      <c r="G4990" s="38" t="n">
        <f aca="false">Sens!$E$4990+Sens!$F$4990</f>
        <v>6.13514447978375</v>
      </c>
      <c r="H4990" s="38" t="n">
        <f aca="false">Sens!$H$4986+Sens!$H$4987*Sens!$H$4989-Sens!$H$4988</f>
        <v>6.31919151351322</v>
      </c>
      <c r="I4990" s="38" t="n">
        <f aca="false">Sens!$I$4986+Sens!$I$4987*Sens!$I$4989-Sens!$I$4988</f>
        <v>6.16506534077027</v>
      </c>
      <c r="J4990" s="38" t="n">
        <f aca="false">Sens!$J$4986+Sens!$J$4987*Sens!$J$4989-Sens!$J$4988</f>
        <v>5.8250313653213</v>
      </c>
      <c r="K4990" s="38" t="n">
        <f aca="false">Sens!$K$4986+Sens!$K$4987*Sens!$K$4989-Sens!$K$4988</f>
        <v>5.15468540810514</v>
      </c>
      <c r="L4990" s="38" t="n">
        <f aca="false">Sens!$L$4986+Sens!$L$4987*Sens!$L$4989-Sens!$L$4988</f>
        <v>4.76324944463266</v>
      </c>
      <c r="M4990" s="38" t="n">
        <f aca="false">Sens!$M$4986+Sens!$M$4987*Sens!$M$4989-Sens!$M$4988</f>
        <v>4.51657755537829</v>
      </c>
      <c r="N4990" s="38" t="n">
        <f aca="false">Q!$N$23</f>
        <v>2.511</v>
      </c>
      <c r="O4990" s="38" t="n">
        <f aca="false">Q!$O$23</f>
        <v>2.239</v>
      </c>
    </row>
    <row r="4991" customFormat="false" ht="17.15" hidden="false" customHeight="false" outlineLevel="0" collapsed="false">
      <c r="A4991" s="0" t="s">
        <v>684</v>
      </c>
      <c r="B4991" s="0" t="s">
        <v>73</v>
      </c>
      <c r="C4991" s="38" t="n">
        <f aca="false">Sens!$C$4931</f>
        <v>1.64417882953695</v>
      </c>
      <c r="D4991" s="38" t="n">
        <f aca="false">Sens!$D$4931</f>
        <v>3.8781008067718</v>
      </c>
      <c r="E4991" s="38" t="n">
        <f aca="false">Sens!$E$4931</f>
        <v>1.41270258088753</v>
      </c>
      <c r="F4991" s="38" t="n">
        <f aca="false">Sens!$F$4931</f>
        <v>6.50727700583486</v>
      </c>
      <c r="G4991" s="38" t="n">
        <f aca="false">Sens!$G$4931</f>
        <v>7.9199795867224</v>
      </c>
      <c r="H4991" s="38" t="n">
        <f aca="false">Sens!$H$4931</f>
        <v>19.2818189481807</v>
      </c>
      <c r="I4991" s="38" t="n">
        <f aca="false">Sens!$I$4931</f>
        <v>30.140114407202</v>
      </c>
      <c r="J4991" s="38" t="n">
        <f aca="false">Sens!$J$4931</f>
        <v>40.3569468829854</v>
      </c>
      <c r="K4991" s="38" t="n">
        <f aca="false">Sens!$K$4931</f>
        <v>50.0782975081929</v>
      </c>
      <c r="L4991" s="38" t="n">
        <f aca="false">Sens!$L$4931</f>
        <v>61.443331993499</v>
      </c>
      <c r="M4991" s="38" t="n">
        <f aca="false">Sens!$M$4931</f>
        <v>72.2498791587849</v>
      </c>
      <c r="N4991" s="38" t="n">
        <f aca="false">Sens!$N$4931</f>
        <v>0.92264103489199</v>
      </c>
      <c r="O4991" s="38" t="n">
        <f aca="false">Sens!$O$4931</f>
        <v>2.95545977187981</v>
      </c>
    </row>
    <row r="4992" customFormat="false" ht="17.15" hidden="false" customHeight="false" outlineLevel="0" collapsed="false">
      <c r="A4992" s="0" t="s">
        <v>604</v>
      </c>
      <c r="B4992" s="0" t="s">
        <v>73</v>
      </c>
      <c r="C4992" s="38" t="n">
        <f aca="false">Sens!$C$4936</f>
        <v>38.1898211704631</v>
      </c>
      <c r="D4992" s="38" t="n">
        <f aca="false">Sens!$D$4936</f>
        <v>41.7278991932282</v>
      </c>
      <c r="E4992" s="38" t="n">
        <f aca="false">Sens!$E$4936</f>
        <v>29.3692974191125</v>
      </c>
      <c r="F4992" s="38" t="n">
        <f aca="false">Sens!$F$4936</f>
        <v>29.458060516894</v>
      </c>
      <c r="G4992" s="38" t="n">
        <f aca="false">Sens!$G$4936</f>
        <v>58.8273579360065</v>
      </c>
      <c r="H4992" s="38" t="n">
        <f aca="false">Sens!$H$4936</f>
        <v>67.8004040185081</v>
      </c>
      <c r="I4992" s="38" t="n">
        <f aca="false">Sens!$I$4936</f>
        <v>78.9527630302702</v>
      </c>
      <c r="J4992" s="38" t="n">
        <f aca="false">Sens!$J$4936</f>
        <v>88.6042681781841</v>
      </c>
      <c r="K4992" s="38" t="n">
        <f aca="false">Sens!$K$4936</f>
        <v>95.6926096324389</v>
      </c>
      <c r="L4992" s="38" t="n">
        <f aca="false">Sens!$L$4936</f>
        <v>103.348018403034</v>
      </c>
      <c r="M4992" s="38" t="n">
        <f aca="false">Sens!$M$4936</f>
        <v>111.615859875277</v>
      </c>
      <c r="N4992" s="38" t="n">
        <f aca="false">Sens!$N$4936</f>
        <v>20.784358965108</v>
      </c>
      <c r="O4992" s="38" t="n">
        <f aca="false">Sens!$O$4936</f>
        <v>20.9435402281202</v>
      </c>
    </row>
    <row r="4993" customFormat="false" ht="17.15" hidden="false" customHeight="false" outlineLevel="0" collapsed="false">
      <c r="A4993" s="1" t="s">
        <v>685</v>
      </c>
      <c r="B4993" s="8" t="s">
        <v>73</v>
      </c>
      <c r="C4993" s="38" t="n">
        <f aca="false">Q!$D$24</f>
        <v>39.834</v>
      </c>
      <c r="D4993" s="38" t="n">
        <f aca="false">Q!$E$24</f>
        <v>45.606</v>
      </c>
      <c r="E4993" s="38" t="n">
        <f aca="false">Q!$P$24</f>
        <v>30.782</v>
      </c>
      <c r="F4993" s="38" t="n">
        <f aca="false">Sens!$F$4991+Sens!$F$4992</f>
        <v>35.9653375227289</v>
      </c>
      <c r="G4993" s="38" t="n">
        <f aca="false">Sens!$G$4991+Sens!$G$4992</f>
        <v>66.7473375227289</v>
      </c>
      <c r="H4993" s="38" t="n">
        <f aca="false">Sens!$H$4991+Sens!$H$4992</f>
        <v>87.0822229666888</v>
      </c>
      <c r="I4993" s="38" t="n">
        <f aca="false">Sens!$I$4991+Sens!$I$4992</f>
        <v>109.092877437472</v>
      </c>
      <c r="J4993" s="38" t="n">
        <f aca="false">Sens!$J$4991+Sens!$J$4992</f>
        <v>128.96121506117</v>
      </c>
      <c r="K4993" s="38" t="n">
        <f aca="false">Sens!$K$4991+Sens!$K$4992</f>
        <v>145.770907140632</v>
      </c>
      <c r="L4993" s="38" t="n">
        <f aca="false">Sens!$L$4991+Sens!$L$4992</f>
        <v>164.791350396533</v>
      </c>
      <c r="M4993" s="38" t="n">
        <f aca="false">Sens!$M$4991+Sens!$M$4992</f>
        <v>183.865739034062</v>
      </c>
      <c r="N4993" s="38" t="n">
        <f aca="false">Q!$N$24</f>
        <v>21.707</v>
      </c>
      <c r="O4993" s="38" t="n">
        <f aca="false">Q!$O$24</f>
        <v>23.899</v>
      </c>
    </row>
    <row r="4994" customFormat="false" ht="17.15" hidden="false" customHeight="false" outlineLevel="0" collapsed="false">
      <c r="A4994" s="5" t="s">
        <v>686</v>
      </c>
      <c r="B4994" s="0" t="s">
        <v>73</v>
      </c>
      <c r="C4994" s="38" t="n">
        <f aca="false">Q!$D$26</f>
        <v>0</v>
      </c>
      <c r="D4994" s="38" t="n">
        <f aca="false">Q!$E$26</f>
        <v>0</v>
      </c>
      <c r="E4994" s="38" t="n">
        <f aca="false">Q!$P$26</f>
        <v>0</v>
      </c>
      <c r="F4994" s="41" t="n">
        <v>0</v>
      </c>
      <c r="G4994" s="38" t="n">
        <f aca="false">Sens!$E$4994+Sens!$F$4994</f>
        <v>0</v>
      </c>
      <c r="H4994" s="41" t="n">
        <v>0</v>
      </c>
      <c r="I4994" s="41" t="n">
        <v>0</v>
      </c>
      <c r="J4994" s="41" t="n">
        <v>0</v>
      </c>
      <c r="K4994" s="41" t="n">
        <v>0</v>
      </c>
      <c r="L4994" s="41" t="n">
        <v>0</v>
      </c>
      <c r="M4994" s="41" t="n">
        <v>0</v>
      </c>
      <c r="N4994" s="38" t="n">
        <f aca="false">Q!$N$26</f>
        <v>0</v>
      </c>
      <c r="O4994" s="38" t="n">
        <f aca="false">Q!$O$26</f>
        <v>0</v>
      </c>
    </row>
    <row r="4995" customFormat="false" ht="15" hidden="false" customHeight="false" outlineLevel="0" collapsed="false">
      <c r="A4995" s="3" t="s">
        <v>494</v>
      </c>
      <c r="B4995" s="8" t="s">
        <v>73</v>
      </c>
      <c r="C4995" s="38" t="n">
        <f aca="false">Q!$D$25</f>
        <v>68.593</v>
      </c>
      <c r="D4995" s="38" t="n">
        <f aca="false">Q!$E$25</f>
        <v>79.975</v>
      </c>
      <c r="E4995" s="38" t="n">
        <f aca="false">Q!$P$25</f>
        <v>51.313</v>
      </c>
      <c r="F4995" s="38" t="n">
        <f aca="false">Sens!$F$4985+Sens!$F$4990+Sens!$F$4993+Sens!$F$4994</f>
        <v>59.8825772328462</v>
      </c>
      <c r="G4995" s="38" t="n">
        <f aca="false">Sens!$G$4985+Sens!$G$4990+Sens!$G$4993+Sens!$G$4994</f>
        <v>111.195577232846</v>
      </c>
      <c r="H4995" s="38" t="n">
        <f aca="false">Sens!$H$4985+Sens!$H$4990+Sens!$H$4993+Sens!$H$4994</f>
        <v>135.638701042513</v>
      </c>
      <c r="I4995" s="38" t="n">
        <f aca="false">Sens!$I$4985+Sens!$I$4990+Sens!$I$4993+Sens!$I$4994</f>
        <v>160.668634334764</v>
      </c>
      <c r="J4995" s="38" t="n">
        <f aca="false">Sens!$J$4985+Sens!$J$4990+Sens!$J$4993+Sens!$J$4994</f>
        <v>182.936501499731</v>
      </c>
      <c r="K4995" s="38" t="n">
        <f aca="false">Sens!$K$4985+Sens!$K$4990+Sens!$K$4993+Sens!$K$4994</f>
        <v>200.911616858058</v>
      </c>
      <c r="L4995" s="38" t="n">
        <f aca="false">Sens!$L$4985+Sens!$L$4990+Sens!$L$4993+Sens!$L$4994</f>
        <v>220.650126048945</v>
      </c>
      <c r="M4995" s="38" t="n">
        <f aca="false">Sens!$M$4985+Sens!$M$4990+Sens!$M$4993+Sens!$M$4994</f>
        <v>241.09409709983</v>
      </c>
      <c r="N4995" s="38" t="n">
        <f aca="false">Q!$N$25</f>
        <v>37.576</v>
      </c>
      <c r="O4995" s="38" t="n">
        <f aca="false">Q!$O$25</f>
        <v>42.399</v>
      </c>
    </row>
    <row r="4996" customFormat="false" ht="17.15" hidden="false" customHeight="false" outlineLevel="0" collapsed="false">
      <c r="A4996" s="24" t="s">
        <v>712</v>
      </c>
      <c r="B4996" s="25" t="s">
        <v>73</v>
      </c>
      <c r="C4996" s="39" t="n">
        <f aca="false">Sens!$C$4985+Sens!$C$4990+Sens!$C$4993+Sens!$C$4994-Sens!$C$4995</f>
        <v>0</v>
      </c>
      <c r="D4996" s="39" t="n">
        <f aca="false">Sens!$D$4985+Sens!$D$4990+Sens!$D$4993+Sens!$D$4994-Sens!$D$4995</f>
        <v>0</v>
      </c>
      <c r="E4996" s="39" t="n">
        <f aca="false">Sens!$E$4985+Sens!$E$4990+Sens!$E$4993+Sens!$E$4994-Sens!$E$4995</f>
        <v>0</v>
      </c>
      <c r="F4996" s="39" t="n">
        <f aca="false">Sens!$F$4985+Sens!$F$4990+Sens!$F$4993+Sens!$F$4994-Sens!$F$4995</f>
        <v>0</v>
      </c>
      <c r="G4996" s="39" t="n">
        <f aca="false">Sens!$G$4985+Sens!$G$4990+Sens!$G$4993+Sens!$G$4994-Sens!$G$4995</f>
        <v>0</v>
      </c>
      <c r="H4996" s="39" t="n">
        <f aca="false">Sens!$H$4985+Sens!$H$4990+Sens!$H$4993+Sens!$H$4994-Sens!$H$4995</f>
        <v>0</v>
      </c>
      <c r="I4996" s="39" t="n">
        <f aca="false">Sens!$I$4985+Sens!$I$4990+Sens!$I$4993+Sens!$I$4994-Sens!$I$4995</f>
        <v>0</v>
      </c>
      <c r="J4996" s="39" t="n">
        <f aca="false">Sens!$J$4985+Sens!$J$4990+Sens!$J$4993+Sens!$J$4994-Sens!$J$4995</f>
        <v>0</v>
      </c>
      <c r="K4996" s="39" t="n">
        <f aca="false">Sens!$K$4985+Sens!$K$4990+Sens!$K$4993+Sens!$K$4994-Sens!$K$4995</f>
        <v>0</v>
      </c>
      <c r="L4996" s="39" t="n">
        <f aca="false">Sens!$L$4985+Sens!$L$4990+Sens!$L$4993+Sens!$L$4994-Sens!$L$4995</f>
        <v>0</v>
      </c>
      <c r="M4996" s="39" t="n">
        <f aca="false">Sens!$M$4985+Sens!$M$4990+Sens!$M$4993+Sens!$M$4994-Sens!$M$4995</f>
        <v>0</v>
      </c>
      <c r="N4996" s="39" t="n">
        <f aca="false">Sens!$N$4985+Sens!$N$4990+Sens!$N$4993+Sens!$N$4994-Sens!$N$4995</f>
        <v>0</v>
      </c>
      <c r="O4996" s="39" t="n">
        <f aca="false">Sens!$O$4985+Sens!$O$4990+Sens!$O$4993+Sens!$O$4994-Sens!$O$4995</f>
        <v>0</v>
      </c>
    </row>
    <row r="4997" customFormat="false" ht="17.15" hidden="false" customHeight="false" outlineLevel="0" collapsed="false">
      <c r="A4997" s="0" t="s">
        <v>688</v>
      </c>
      <c r="B4997" s="0" t="s">
        <v>52</v>
      </c>
      <c r="C4997" s="12" t="n">
        <f aca="false">Sens!$C$4985/Sens!$C$4970</f>
        <v>0.0644314665661928</v>
      </c>
      <c r="D4997" s="12" t="n">
        <f aca="false">Sens!$D$4985/Sens!$D$4970</f>
        <v>0.0694784250712518</v>
      </c>
      <c r="E4997" s="12" t="n">
        <f aca="false">Sens!$E$4985/Sens!$E$4970</f>
        <v>0.0789306463326071</v>
      </c>
      <c r="F4997" s="12" t="n">
        <f aca="false">Sens!$F$4985/Sens!$F$4970</f>
        <v>0.0816338957078875</v>
      </c>
      <c r="G4997" s="12" t="n">
        <f aca="false">Sens!$G$4985/Sens!$G$4970</f>
        <v>0.080384315570057</v>
      </c>
      <c r="H4997" s="12" t="n">
        <f aca="false">Sens!$H$4985/Sens!$H$4970</f>
        <v>0.080035122355679</v>
      </c>
      <c r="I4997" s="12" t="n">
        <f aca="false">Sens!$I$4985/Sens!$I$4970</f>
        <v>0.0786798687862144</v>
      </c>
      <c r="J4997" s="12" t="n">
        <f aca="false">Sens!$J$4985/Sens!$J$4970</f>
        <v>0.0772846370095153</v>
      </c>
      <c r="K4997" s="12" t="n">
        <f aca="false">Sens!$K$4985/Sens!$K$4970</f>
        <v>0.0753502227686655</v>
      </c>
      <c r="L4997" s="12" t="n">
        <f aca="false">Sens!$L$4985/Sens!$L$4970</f>
        <v>0.0723154067793922</v>
      </c>
      <c r="M4997" s="12" t="n">
        <f aca="false">Sens!$M$4985/Sens!$M$4970</f>
        <v>0.070022386735876</v>
      </c>
      <c r="N4997" s="12" t="n">
        <f aca="false">Sens!$N$4985/Sens!$N$4970</f>
        <v>0.069228576611127</v>
      </c>
      <c r="O4997" s="12" t="n">
        <f aca="false">Sens!$O$4985/Sens!$O$4970</f>
        <v>0.069685022498393</v>
      </c>
    </row>
    <row r="4998" customFormat="false" ht="17.15" hidden="false" customHeight="false" outlineLevel="0" collapsed="false">
      <c r="A4998" s="0" t="s">
        <v>689</v>
      </c>
      <c r="B4998" s="0" t="s">
        <v>52</v>
      </c>
      <c r="C4998" s="12" t="n">
        <f aca="false">Sens!$C$4990/Sens!$C$4971</f>
        <v>0.026534925055631</v>
      </c>
      <c r="D4998" s="12" t="n">
        <f aca="false">Sens!$D$4990/Sens!$D$4971</f>
        <v>0.0293401855535103</v>
      </c>
      <c r="E4998" s="12" t="n">
        <f aca="false">Sens!$E$4990/Sens!$E$4971</f>
        <v>0.03831141902276</v>
      </c>
      <c r="F4998" s="12" t="n">
        <f aca="false">Sens!$F$4990/Sens!$F$4971</f>
        <v>0.0297532808235678</v>
      </c>
      <c r="G4998" s="12" t="n">
        <f aca="false">Sens!$G$4990/Sens!$G$4971</f>
        <v>0.0335954317997163</v>
      </c>
      <c r="H4998" s="12" t="n">
        <f aca="false">Sens!$H$4990/Sens!$H$4971</f>
        <v>0.0312519754292078</v>
      </c>
      <c r="I4998" s="12" t="n">
        <f aca="false">Sens!$I$4990/Sens!$I$4971</f>
        <v>0.0278788303191397</v>
      </c>
      <c r="J4998" s="12" t="n">
        <f aca="false">Sens!$J$4990/Sens!$J$4971</f>
        <v>0.0244019313573061</v>
      </c>
      <c r="K4998" s="12" t="n">
        <f aca="false">Sens!$K$4990/Sens!$K$4971</f>
        <v>0.020280070641524</v>
      </c>
      <c r="L4998" s="12" t="n">
        <f aca="false">Sens!$L$4990/Sens!$L$4971</f>
        <v>0.0175947312030086</v>
      </c>
      <c r="M4998" s="12" t="n">
        <f aca="false">Sens!$M$4990/Sens!$M$4971</f>
        <v>0.0156592172424565</v>
      </c>
      <c r="N4998" s="12" t="n">
        <f aca="false">Sens!$N$4990/Sens!$N$4971</f>
        <v>0.0357315650169337</v>
      </c>
      <c r="O4998" s="12" t="n">
        <f aca="false">Sens!$O$4990/Sens!$O$4971</f>
        <v>0.0244378956559703</v>
      </c>
    </row>
    <row r="4999" customFormat="false" ht="17.15" hidden="false" customHeight="false" outlineLevel="0" collapsed="false">
      <c r="A4999" s="13" t="s">
        <v>690</v>
      </c>
      <c r="B4999" s="13" t="s">
        <v>52</v>
      </c>
      <c r="C4999" s="16" t="n">
        <f aca="false">Sens!$C$4993/Sens!$C$4972</f>
        <v>0.370355907620217</v>
      </c>
      <c r="D4999" s="16" t="n">
        <f aca="false">Sens!$D$4993/Sens!$D$4972</f>
        <v>0.35429015342785</v>
      </c>
      <c r="E4999" s="16" t="n">
        <f aca="false">Sens!$E$4993/Sens!$E$4972</f>
        <v>0.385647527531039</v>
      </c>
      <c r="F4999" s="16" t="n">
        <f aca="false">Sens!$F$4993/Sens!$F$4972</f>
        <v>0.384415729470259</v>
      </c>
      <c r="G4999" s="16" t="n">
        <f aca="false">Sens!$G$4993/Sens!$G$4972</f>
        <v>0.38498282105443</v>
      </c>
      <c r="H4999" s="16" t="n">
        <f aca="false">Sens!$H$4993/Sens!$H$4972</f>
        <v>0.361247909668527</v>
      </c>
      <c r="I4999" s="16" t="n">
        <f aca="false">Sens!$I$4993/Sens!$I$4972</f>
        <v>0.349486287974975</v>
      </c>
      <c r="J4999" s="16" t="n">
        <f aca="false">Sens!$J$4993/Sens!$J$4972</f>
        <v>0.339886531832068</v>
      </c>
      <c r="K4999" s="16" t="n">
        <f aca="false">Sens!$K$4993/Sens!$K$4972</f>
        <v>0.33135833762061</v>
      </c>
      <c r="L4999" s="16" t="n">
        <f aca="false">Sens!$L$4993/Sens!$L$4972</f>
        <v>0.328299068185284</v>
      </c>
      <c r="M4999" s="16" t="n">
        <f aca="false">Sens!$M$4993/Sens!$M$4972</f>
        <v>0.325058049465166</v>
      </c>
      <c r="N4999" s="16" t="n">
        <f aca="false">Sens!$N$4993/Sens!$N$4972</f>
        <v>0.360941137346192</v>
      </c>
      <c r="O4999" s="16" t="n">
        <f aca="false">Sens!$O$4993/Sens!$O$4972</f>
        <v>0.348458117664212</v>
      </c>
    </row>
    <row r="5000" customFormat="false" ht="17.15" hidden="false" customHeight="false" outlineLevel="0" collapsed="false">
      <c r="A5000" s="0" t="s">
        <v>691</v>
      </c>
      <c r="B5000" s="0" t="s">
        <v>52</v>
      </c>
      <c r="C5000" s="12" t="n">
        <f aca="false">Sens!$C$4991/Sens!$C$4973</f>
        <v>0.708390794789371</v>
      </c>
      <c r="D5000" s="12" t="n">
        <f aca="false">Sens!$D$4991/Sens!$D$4973</f>
        <v>0.445565630441968</v>
      </c>
      <c r="E5000" s="12" t="n">
        <f aca="false">Sens!$E$4991/Sens!$E$4973</f>
        <v>0.165998118402711</v>
      </c>
      <c r="F5000" s="12" t="n">
        <f aca="false">Sens!$F$4991/Sens!$F$4973</f>
        <v>0.434878595403858</v>
      </c>
      <c r="G5000" s="12" t="n">
        <f aca="false">Sens!$G$4991/Sens!$G$4973</f>
        <v>0.3373967615381</v>
      </c>
      <c r="H5000" s="12" t="n">
        <f aca="false">Sens!$H$4991/Sens!$H$4973</f>
        <v>0.320477578041224</v>
      </c>
      <c r="I5000" s="12" t="n">
        <f aca="false">Sens!$I$4991/Sens!$I$4973</f>
        <v>0.296936118226494</v>
      </c>
      <c r="J5000" s="12" t="n">
        <f aca="false">Sens!$J$4991/Sens!$J$4973</f>
        <v>0.282166278613001</v>
      </c>
      <c r="K5000" s="12" t="n">
        <f aca="false">Sens!$K$4991/Sens!$K$4973</f>
        <v>0.271267685694333</v>
      </c>
      <c r="L5000" s="12" t="n">
        <f aca="false">Sens!$L$4991/Sens!$L$4973</f>
        <v>0.27160960915653</v>
      </c>
      <c r="M5000" s="12" t="n">
        <f aca="false">Sens!$M$4991/Sens!$M$4973</f>
        <v>0.26974494804234</v>
      </c>
      <c r="N5000" s="12" t="n">
        <f aca="false">Sens!$N$4991/Sens!$N$4973</f>
        <v>0.302870734830849</v>
      </c>
      <c r="O5000" s="12" t="n">
        <f aca="false">Sens!$O$4991/Sens!$O$4973</f>
        <v>0.52240134346334</v>
      </c>
    </row>
    <row r="5001" customFormat="false" ht="15" hidden="false" customHeight="false" outlineLevel="0" collapsed="false">
      <c r="A5001" s="5" t="s">
        <v>692</v>
      </c>
      <c r="B5001" s="0" t="s">
        <v>52</v>
      </c>
      <c r="C5001" s="12" t="n">
        <f aca="false">Sens!$C$4995/Sens!$C$4975</f>
        <v>0.107519448742004</v>
      </c>
      <c r="D5001" s="12" t="n">
        <f aca="false">Sens!$D$4995/Sens!$D$4975</f>
        <v>0.111552967957552</v>
      </c>
      <c r="E5001" s="12" t="n">
        <f aca="false">Sens!$E$4995/Sens!$E$4975</f>
        <v>0.13428328426562</v>
      </c>
      <c r="F5001" s="12" t="n">
        <f aca="false">Sens!$F$4995/Sens!$F$4975</f>
        <v>0.132926212451512</v>
      </c>
      <c r="G5001" s="12" t="n">
        <f aca="false">Sens!$G$4995/Sens!$G$4975</f>
        <v>0.133549030959228</v>
      </c>
      <c r="H5001" s="12" t="n">
        <f aca="false">Sens!$H$4995/Sens!$H$4975</f>
        <v>0.139690394514416</v>
      </c>
      <c r="I5001" s="12" t="n">
        <f aca="false">Sens!$I$4995/Sens!$I$4975</f>
        <v>0.144688164284573</v>
      </c>
      <c r="J5001" s="12" t="n">
        <f aca="false">Sens!$J$4995/Sens!$J$4975</f>
        <v>0.147391419021054</v>
      </c>
      <c r="K5001" s="12" t="n">
        <f aca="false">Sens!$K$4995/Sens!$K$4975</f>
        <v>0.148003728177944</v>
      </c>
      <c r="L5001" s="12" t="n">
        <f aca="false">Sens!$L$4995/Sens!$L$4975</f>
        <v>0.149164514525979</v>
      </c>
      <c r="M5001" s="12" t="n">
        <f aca="false">Sens!$M$4995/Sens!$M$4975</f>
        <v>0.150041098108262</v>
      </c>
      <c r="N5001" s="12" t="n">
        <f aca="false">Sens!$N$4995/Sens!$N$4975</f>
        <v>0.116201614873411</v>
      </c>
      <c r="O5001" s="12" t="n">
        <f aca="false">Sens!$O$4995/Sens!$O$4975</f>
        <v>0.107733353660861</v>
      </c>
    </row>
    <row r="5002" customFormat="false" ht="17.15" hidden="false" customHeight="false" outlineLevel="0" collapsed="false">
      <c r="A5002" s="1" t="s">
        <v>693</v>
      </c>
    </row>
    <row r="5003" customFormat="false" ht="17.15" hidden="false" customHeight="false" outlineLevel="0" collapsed="false">
      <c r="A5003" s="5" t="s">
        <v>694</v>
      </c>
      <c r="B5003" s="0" t="s">
        <v>52</v>
      </c>
      <c r="D5003" s="28" t="n">
        <f aca="false">(Q!$E$29+Q!$E$30-(1-ext_sh)*Sens!$D$4927)/Sens!$D$4884</f>
        <v>0.0334674312393194</v>
      </c>
    </row>
    <row r="5004" customFormat="false" ht="17.15" hidden="false" customHeight="false" outlineLevel="0" collapsed="false">
      <c r="A5004" s="0" t="s">
        <v>498</v>
      </c>
      <c r="B5004" s="0" t="s">
        <v>73</v>
      </c>
      <c r="C5004" s="38" t="n">
        <f aca="false">Q!$D$29</f>
        <v>14.285</v>
      </c>
      <c r="D5004" s="38" t="n">
        <f aca="false">Q!$E$29</f>
        <v>15.503</v>
      </c>
      <c r="E5004" s="38" t="n">
        <f aca="false">Q!$P$29</f>
        <v>8.78</v>
      </c>
      <c r="F5004" s="38" t="n">
        <f aca="false">(Sens!$D$5003*Sens!$F$4884+(1-ext_sh)*Sens!$F$4927)*Sens!$F$4885</f>
        <v>9.51361751569285</v>
      </c>
      <c r="G5004" s="38" t="n">
        <f aca="false">Sens!$E$5004+Sens!$F$5004</f>
        <v>18.2936175156929</v>
      </c>
      <c r="H5004" s="38" t="n">
        <f aca="false">(Sens!$D$5003*Sens!$H$4884+(1-ext_sh)*Sens!$H$4927)*Sens!$H$4885</f>
        <v>22.7653661801943</v>
      </c>
      <c r="I5004" s="38" t="n">
        <f aca="false">(Sens!$D$5003*Sens!$I$4884+(1-ext_sh)*Sens!$I$4927)*Sens!$I$4885</f>
        <v>28.4281317305062</v>
      </c>
      <c r="J5004" s="38" t="n">
        <f aca="false">(Sens!$D$5003*Sens!$J$4884+(1-ext_sh)*Sens!$J$4927)*Sens!$J$4885</f>
        <v>34.1182922009732</v>
      </c>
      <c r="K5004" s="38" t="n">
        <f aca="false">(Sens!$D$5003*Sens!$K$4884+(1-ext_sh)*Sens!$K$4927)*Sens!$K$4885</f>
        <v>39.7237727987046</v>
      </c>
      <c r="L5004" s="38" t="n">
        <f aca="false">(Sens!$D$5003*Sens!$L$4884+(1-ext_sh)*Sens!$L$4927)*Sens!$L$4885</f>
        <v>45.1313127180263</v>
      </c>
      <c r="M5004" s="38" t="n">
        <f aca="false">(Sens!$D$5003*Sens!$M$4884+(1-ext_sh)*Sens!$M$4927)*Sens!$M$4885</f>
        <v>50.743940615442</v>
      </c>
      <c r="N5004" s="38" t="n">
        <f aca="false">Q!$N$29</f>
        <v>7.272</v>
      </c>
      <c r="O5004" s="38" t="n">
        <f aca="false">Q!$O$29</f>
        <v>8.231</v>
      </c>
    </row>
    <row r="5005" customFormat="false" ht="17.15" hidden="false" customHeight="false" outlineLevel="0" collapsed="false">
      <c r="A5005" s="0" t="s">
        <v>500</v>
      </c>
      <c r="B5005" s="0" t="s">
        <v>73</v>
      </c>
      <c r="C5005" s="38" t="n">
        <f aca="false">Q!$D$30</f>
        <v>4.462</v>
      </c>
      <c r="D5005" s="38" t="n">
        <f aca="false">Q!$E$30</f>
        <v>4.907</v>
      </c>
      <c r="E5005" s="38" t="n">
        <f aca="false">Q!$P$30</f>
        <v>2.57</v>
      </c>
      <c r="F5005" s="38" t="n">
        <f aca="false">(Sens!$D$5003*Sens!$F$4884+(1-ext_sh)*Sens!$F$4927)*(1-Sens!$F$4885)</f>
        <v>3.7353230631574</v>
      </c>
      <c r="G5005" s="38" t="n">
        <f aca="false">Sens!$E$5005+Sens!$F$5005</f>
        <v>6.3053230631574</v>
      </c>
      <c r="H5005" s="38" t="n">
        <f aca="false">(Sens!$D$5003*Sens!$H$4884+(1-ext_sh)*Sens!$H$4927)*(1-Sens!$H$4885)</f>
        <v>8.72254636724805</v>
      </c>
      <c r="I5005" s="38" t="n">
        <f aca="false">(Sens!$D$5003*Sens!$I$4884+(1-ext_sh)*Sens!$I$4927)*(1-Sens!$I$4885)</f>
        <v>10.8922340713019</v>
      </c>
      <c r="J5005" s="38" t="n">
        <f aca="false">(Sens!$D$5003*Sens!$J$4884+(1-ext_sh)*Sens!$J$4927)*(1-Sens!$J$4885)</f>
        <v>13.0724181345791</v>
      </c>
      <c r="K5005" s="38" t="n">
        <f aca="false">(Sens!$D$5003*Sens!$K$4884+(1-ext_sh)*Sens!$K$4927)*(1-Sens!$K$4885)</f>
        <v>15.2201571183236</v>
      </c>
      <c r="L5005" s="38" t="n">
        <f aca="false">(Sens!$D$5003*Sens!$L$4884+(1-ext_sh)*Sens!$L$4927)*(1-Sens!$L$4885)</f>
        <v>17.2920551631732</v>
      </c>
      <c r="M5005" s="38" t="n">
        <f aca="false">(Sens!$D$5003*Sens!$M$4884+(1-ext_sh)*Sens!$M$4927)*(1-Sens!$M$4885)</f>
        <v>19.4425326336348</v>
      </c>
      <c r="N5005" s="38" t="n">
        <f aca="false">Q!$N$30</f>
        <v>2.316</v>
      </c>
      <c r="O5005" s="38" t="n">
        <f aca="false">Q!$O$30</f>
        <v>2.591</v>
      </c>
    </row>
    <row r="5006" customFormat="false" ht="17.15" hidden="false" customHeight="false" outlineLevel="0" collapsed="false">
      <c r="A5006" s="0" t="s">
        <v>501</v>
      </c>
      <c r="B5006" s="0" t="s">
        <v>73</v>
      </c>
      <c r="C5006" s="38" t="n">
        <f aca="false">Sens!$C$4939</f>
        <v>13.32</v>
      </c>
      <c r="D5006" s="38" t="n">
        <f aca="false">Sens!$D$4939</f>
        <v>21.45</v>
      </c>
      <c r="E5006" s="38" t="n">
        <f aca="false">Sens!$E$4939</f>
        <v>15.353</v>
      </c>
      <c r="F5006" s="38" t="n">
        <f aca="false">Sens!$F$4939</f>
        <v>17.3614451462707</v>
      </c>
      <c r="G5006" s="38" t="n">
        <f aca="false">Sens!$G$4939</f>
        <v>32.7144451462707</v>
      </c>
      <c r="H5006" s="38" t="n">
        <f aca="false">Sens!$H$4939</f>
        <v>56.1966092719415</v>
      </c>
      <c r="I5006" s="38" t="n">
        <f aca="false">Sens!$I$4939</f>
        <v>82.9744039068297</v>
      </c>
      <c r="J5006" s="38" t="n">
        <f aca="false">Sens!$J$4939</f>
        <v>109.943252237669</v>
      </c>
      <c r="K5006" s="38" t="n">
        <f aca="false">Sens!$K$4939</f>
        <v>136.406703436571</v>
      </c>
      <c r="L5006" s="38" t="n">
        <f aca="false">Sens!$L$4939</f>
        <v>161.485870454155</v>
      </c>
      <c r="M5006" s="38" t="n">
        <f aca="false">Sens!$M$4939</f>
        <v>187.389846618199</v>
      </c>
      <c r="N5006" s="38" t="n">
        <f aca="false">Sens!$N$4939</f>
        <v>9.234</v>
      </c>
      <c r="O5006" s="38" t="n">
        <f aca="false">Sens!$O$4939</f>
        <v>12.216</v>
      </c>
    </row>
    <row r="5007" customFormat="false" ht="17.15" hidden="false" customHeight="false" outlineLevel="0" collapsed="false">
      <c r="A5007" s="5" t="s">
        <v>695</v>
      </c>
      <c r="B5007" s="0" t="s">
        <v>73</v>
      </c>
      <c r="C5007" s="38" t="n">
        <f aca="false">Sens!$C$5004+Sens!$C$5005+Sens!$C$5006</f>
        <v>32.067</v>
      </c>
      <c r="D5007" s="38" t="n">
        <f aca="false">Sens!$D$5004+Sens!$D$5005+Sens!$D$5006</f>
        <v>41.86</v>
      </c>
      <c r="E5007" s="38" t="n">
        <f aca="false">Sens!$E$5004+Sens!$E$5005+Sens!$E$5006</f>
        <v>26.703</v>
      </c>
      <c r="F5007" s="38" t="n">
        <f aca="false">Sens!$F$5004+Sens!$F$5005+Sens!$F$5006</f>
        <v>30.6103857251209</v>
      </c>
      <c r="G5007" s="38" t="n">
        <f aca="false">Sens!$G$5004+Sens!$G$5005+Sens!$G$5006</f>
        <v>57.3133857251209</v>
      </c>
      <c r="H5007" s="38" t="n">
        <f aca="false">Sens!$H$5004+Sens!$H$5005+Sens!$H$5006</f>
        <v>87.6845218193838</v>
      </c>
      <c r="I5007" s="38" t="n">
        <f aca="false">Sens!$I$5004+Sens!$I$5005+Sens!$I$5006</f>
        <v>122.294769708638</v>
      </c>
      <c r="J5007" s="38" t="n">
        <f aca="false">Sens!$J$5004+Sens!$J$5005+Sens!$J$5006</f>
        <v>157.133962573221</v>
      </c>
      <c r="K5007" s="38" t="n">
        <f aca="false">Sens!$K$5004+Sens!$K$5005+Sens!$K$5006</f>
        <v>191.350633353599</v>
      </c>
      <c r="L5007" s="38" t="n">
        <f aca="false">Sens!$L$5004+Sens!$L$5005+Sens!$L$5006</f>
        <v>223.909238335354</v>
      </c>
      <c r="M5007" s="38" t="n">
        <f aca="false">Sens!$M$5004+Sens!$M$5005+Sens!$M$5006</f>
        <v>257.576319867276</v>
      </c>
      <c r="N5007" s="38" t="n">
        <f aca="false">Sens!$N$5004+Sens!$N$5005+Sens!$N$5006</f>
        <v>18.822</v>
      </c>
      <c r="O5007" s="38" t="n">
        <f aca="false">Sens!$O$5004+Sens!$O$5005+Sens!$O$5006</f>
        <v>23.038</v>
      </c>
    </row>
    <row r="5008" customFormat="false" ht="17.15" hidden="false" customHeight="false" outlineLevel="0" collapsed="false">
      <c r="A5008" s="0" t="s">
        <v>696</v>
      </c>
      <c r="B5008" s="0" t="s">
        <v>73</v>
      </c>
      <c r="C5008" s="38" t="n">
        <f aca="false">Sens!$C$4981+Sens!$C$4986</f>
        <v>28.107</v>
      </c>
      <c r="D5008" s="38" t="n">
        <f aca="false">Sens!$D$4981+Sens!$D$4986</f>
        <v>34.3175</v>
      </c>
      <c r="E5008" s="38" t="n">
        <f aca="false">Sens!$E$4981+Sens!$E$4986</f>
        <v>18.526</v>
      </c>
      <c r="F5008" s="38" t="n">
        <f aca="false">Sens!$F$4981+Sens!$F$4986</f>
        <v>24.0766690913691</v>
      </c>
      <c r="G5008" s="38" t="n">
        <f aca="false">Sens!$G$4981+Sens!$G$4986</f>
        <v>42.6026690913691</v>
      </c>
      <c r="H5008" s="38" t="n">
        <f aca="false">Sens!$H$4981+Sens!$H$4986</f>
        <v>51.1466809294702</v>
      </c>
      <c r="I5008" s="38" t="n">
        <f aca="false">Sens!$I$4981+Sens!$I$4986</f>
        <v>59.6899187926205</v>
      </c>
      <c r="J5008" s="38" t="n">
        <f aca="false">Sens!$J$4981+Sens!$J$4986</f>
        <v>67.6595395244221</v>
      </c>
      <c r="K5008" s="38" t="n">
        <f aca="false">Sens!$K$4981+Sens!$K$4986</f>
        <v>74.4254934768643</v>
      </c>
      <c r="L5008" s="38" t="n">
        <f aca="false">Sens!$L$4981+Sens!$L$4986</f>
        <v>81.8680428245508</v>
      </c>
      <c r="M5008" s="38" t="n">
        <f aca="false">Sens!$M$4981+Sens!$M$4986</f>
        <v>90.0548471070059</v>
      </c>
      <c r="N5008" s="38" t="n">
        <f aca="false">Sens!$N$4981+Sens!$N$4986</f>
        <v>14.8075</v>
      </c>
      <c r="O5008" s="38" t="n">
        <f aca="false">Sens!$O$4981+Sens!$O$4986</f>
        <v>19.51</v>
      </c>
    </row>
    <row r="5009" customFormat="false" ht="17.15" hidden="false" customHeight="false" outlineLevel="0" collapsed="false">
      <c r="A5009" s="0" t="s">
        <v>697</v>
      </c>
      <c r="B5009" s="0" t="s">
        <v>73</v>
      </c>
      <c r="C5009" s="38" t="n">
        <f aca="false">Sens!$C$4985+Sens!$C$4990+Sens!$C$5004+Sens!$C$5005-Sens!$C$5008</f>
        <v>19.399</v>
      </c>
      <c r="D5009" s="38" t="n">
        <f aca="false">Sens!$D$4985+Sens!$D$4990+Sens!$D$5004+Sens!$D$5005-Sens!$D$5008</f>
        <v>20.4615</v>
      </c>
      <c r="E5009" s="38" t="n">
        <f aca="false">Sens!$E$4985+Sens!$E$4990+Sens!$E$5004+Sens!$E$5005-Sens!$E$5008</f>
        <v>13.355</v>
      </c>
      <c r="F5009" s="38" t="n">
        <f aca="false">Sens!$F$4985+Sens!$F$4990+Sens!$F$5004+Sens!$F$5005-Sens!$F$5008</f>
        <v>13.0895111975985</v>
      </c>
      <c r="G5009" s="38" t="n">
        <f aca="false">Sens!$G$4985+Sens!$G$4990+Sens!$G$5004+Sens!$G$5005-Sens!$G$5008</f>
        <v>26.4445111975985</v>
      </c>
      <c r="H5009" s="38" t="n">
        <f aca="false">Sens!$H$4985+Sens!$H$4990+Sens!$H$5004+Sens!$H$5005-Sens!$H$5008</f>
        <v>28.8977096937968</v>
      </c>
      <c r="I5009" s="38" t="n">
        <f aca="false">Sens!$I$4985+Sens!$I$4990+Sens!$I$5004+Sens!$I$5005-Sens!$I$5008</f>
        <v>31.2062039064791</v>
      </c>
      <c r="J5009" s="38" t="n">
        <f aca="false">Sens!$J$4985+Sens!$J$4990+Sens!$J$5004+Sens!$J$5005-Sens!$J$5008</f>
        <v>33.5064572496913</v>
      </c>
      <c r="K5009" s="38" t="n">
        <f aca="false">Sens!$K$4985+Sens!$K$4990+Sens!$K$5004+Sens!$K$5005-Sens!$K$5008</f>
        <v>35.6591461575899</v>
      </c>
      <c r="L5009" s="38" t="n">
        <f aca="false">Sens!$L$4985+Sens!$L$4990+Sens!$L$5004+Sens!$L$5005-Sens!$L$5008</f>
        <v>36.4141007090604</v>
      </c>
      <c r="M5009" s="38" t="n">
        <f aca="false">Sens!$M$4985+Sens!$M$4990+Sens!$M$5004+Sens!$M$5005-Sens!$M$5008</f>
        <v>37.359984207839</v>
      </c>
      <c r="N5009" s="38" t="n">
        <f aca="false">Sens!$N$4985+Sens!$N$4990+Sens!$N$5004+Sens!$N$5005-Sens!$N$5008</f>
        <v>10.6495</v>
      </c>
      <c r="O5009" s="38" t="n">
        <f aca="false">Sens!$O$4985+Sens!$O$4990+Sens!$O$5004+Sens!$O$5005-Sens!$O$5008</f>
        <v>9.81200000000001</v>
      </c>
    </row>
    <row r="5010" customFormat="false" ht="17.15" hidden="false" customHeight="false" outlineLevel="0" collapsed="false">
      <c r="A5010" s="0" t="s">
        <v>698</v>
      </c>
      <c r="B5010" s="0" t="s">
        <v>73</v>
      </c>
      <c r="C5010" s="38" t="n">
        <f aca="false">Sens!$C$4992+Sens!$C$5006-ext_sh*Sens!$C$4927</f>
        <v>51.3470500115664</v>
      </c>
      <c r="D5010" s="38" t="n">
        <f aca="false">Sens!$D$4992+Sens!$D$5006-ext_sh*Sens!$D$4927</f>
        <v>60.2799375433739</v>
      </c>
      <c r="E5010" s="38" t="n">
        <f aca="false">Sens!$E$4992+Sens!$E$5006-ext_sh*Sens!$E$4927</f>
        <v>39.5095167090767</v>
      </c>
      <c r="F5010" s="38" t="n">
        <f aca="false">Sens!$F$4992+Sens!$F$5006-ext_sh*Sens!$F$4927</f>
        <v>41.606724953129</v>
      </c>
      <c r="G5010" s="38" t="n">
        <f aca="false">Sens!$G$4992+Sens!$G$5006-ext_sh*Sens!$G$4927</f>
        <v>81.1162416622057</v>
      </c>
      <c r="H5010" s="38" t="n">
        <f aca="false">Sens!$H$4992+Sens!$H$5006-ext_sh*Sens!$H$4927</f>
        <v>95.7616595325849</v>
      </c>
      <c r="I5010" s="38" t="n">
        <f aca="false">Sens!$I$4992+Sens!$I$5006-ext_sh*Sens!$I$4927</f>
        <v>111.513312079935</v>
      </c>
      <c r="J5010" s="38" t="n">
        <f aca="false">Sens!$J$4992+Sens!$J$5006-ext_sh*Sens!$J$4927</f>
        <v>125.145150463955</v>
      </c>
      <c r="K5010" s="38" t="n">
        <f aca="false">Sens!$K$4992+Sens!$K$5006-ext_sh*Sens!$K$4927</f>
        <v>135.156762501071</v>
      </c>
      <c r="L5010" s="38" t="n">
        <f aca="false">Sens!$L$4992+Sens!$L$5006-ext_sh*Sens!$L$4927</f>
        <v>145.969303501157</v>
      </c>
      <c r="M5010" s="38" t="n">
        <f aca="false">Sens!$M$4992+Sens!$M$5006-ext_sh*Sens!$M$4927</f>
        <v>157.646847781249</v>
      </c>
      <c r="N5010" s="38" t="n">
        <f aca="false">Sens!$N$4992+Sens!$N$5006-ext_sh*Sens!$N$4927</f>
        <v>28.5693781401809</v>
      </c>
      <c r="O5010" s="38" t="n">
        <f aca="false">Sens!$O$4992+Sens!$O$5006-ext_sh*Sens!$O$4927</f>
        <v>31.7105594031931</v>
      </c>
    </row>
    <row r="5011" customFormat="false" ht="17.15" hidden="false" customHeight="false" outlineLevel="0" collapsed="false">
      <c r="A5011" s="0" t="s">
        <v>699</v>
      </c>
      <c r="B5011" s="0" t="s">
        <v>73</v>
      </c>
      <c r="C5011" s="38" t="n">
        <f aca="false">Sens!$C$4930</f>
        <v>1.80694998843362</v>
      </c>
      <c r="D5011" s="38" t="n">
        <f aca="false">Sens!$D$4930</f>
        <v>6.77606245662607</v>
      </c>
      <c r="E5011" s="38" t="n">
        <f aca="false">Sens!$E$4930</f>
        <v>6.62548329092326</v>
      </c>
      <c r="F5011" s="38" t="n">
        <f aca="false">Sens!$F$4930</f>
        <v>11.7200577158706</v>
      </c>
      <c r="G5011" s="38" t="n">
        <f aca="false">Sens!$G$4930</f>
        <v>18.3455410067939</v>
      </c>
      <c r="H5011" s="38" t="n">
        <f aca="false">Sens!$H$4930</f>
        <v>47.5171727060453</v>
      </c>
      <c r="I5011" s="38" t="n">
        <f aca="false">Sens!$I$4930</f>
        <v>80.5539692643667</v>
      </c>
      <c r="J5011" s="38" t="n">
        <f aca="false">Sens!$J$4930</f>
        <v>113.759316834883</v>
      </c>
      <c r="K5011" s="38" t="n">
        <f aca="false">Sens!$K$4930</f>
        <v>147.020848076132</v>
      </c>
      <c r="L5011" s="38" t="n">
        <f aca="false">Sens!$L$4930</f>
        <v>180.307917349531</v>
      </c>
      <c r="M5011" s="38" t="n">
        <f aca="false">Sens!$M$4930</f>
        <v>213.608737871012</v>
      </c>
      <c r="N5011" s="38" t="n">
        <f aca="false">Sens!$N$4930</f>
        <v>2.37162185981912</v>
      </c>
      <c r="O5011" s="38" t="n">
        <f aca="false">Sens!$O$4930</f>
        <v>4.40444059680694</v>
      </c>
    </row>
    <row r="5012" customFormat="false" ht="17.15" hidden="false" customHeight="false" outlineLevel="0" collapsed="false">
      <c r="A5012" s="0" t="s">
        <v>700</v>
      </c>
      <c r="B5012" s="0" t="s">
        <v>73</v>
      </c>
      <c r="C5012" s="38" t="n">
        <f aca="false">Sens!$C$4995+Sens!$C$5007</f>
        <v>100.66</v>
      </c>
      <c r="D5012" s="38" t="n">
        <f aca="false">Sens!$D$4995+Sens!$D$5007</f>
        <v>121.835</v>
      </c>
      <c r="E5012" s="38" t="n">
        <f aca="false">Sens!$E$4995+Sens!$E$5007</f>
        <v>78.016</v>
      </c>
      <c r="F5012" s="38" t="n">
        <f aca="false">Sens!$F$4995+Sens!$F$5007</f>
        <v>90.4929629579672</v>
      </c>
      <c r="G5012" s="38" t="n">
        <f aca="false">Sens!$G$4995+Sens!$G$5007</f>
        <v>168.508962957967</v>
      </c>
      <c r="H5012" s="38" t="n">
        <f aca="false">Sens!$H$4995+Sens!$H$5007</f>
        <v>223.323222861897</v>
      </c>
      <c r="I5012" s="38" t="n">
        <f aca="false">Sens!$I$4995+Sens!$I$5007</f>
        <v>282.963404043402</v>
      </c>
      <c r="J5012" s="38" t="n">
        <f aca="false">Sens!$J$4995+Sens!$J$5007</f>
        <v>340.070464072952</v>
      </c>
      <c r="K5012" s="38" t="n">
        <f aca="false">Sens!$K$4995+Sens!$K$5007</f>
        <v>392.262250211657</v>
      </c>
      <c r="L5012" s="38" t="n">
        <f aca="false">Sens!$L$4995+Sens!$L$5007</f>
        <v>444.559364384299</v>
      </c>
      <c r="M5012" s="38" t="n">
        <f aca="false">Sens!$M$4995+Sens!$M$5007</f>
        <v>498.670416967106</v>
      </c>
      <c r="N5012" s="38" t="n">
        <f aca="false">Sens!$N$4995+Sens!$N$5007</f>
        <v>56.398</v>
      </c>
      <c r="O5012" s="38" t="n">
        <f aca="false">Sens!$O$4995+Sens!$O$5007</f>
        <v>65.437</v>
      </c>
    </row>
    <row r="5013" customFormat="false" ht="17.15" hidden="false" customHeight="false" outlineLevel="0" collapsed="false">
      <c r="A5013" s="1" t="s">
        <v>701</v>
      </c>
    </row>
    <row r="5014" customFormat="false" ht="15" hidden="false" customHeight="false" outlineLevel="0" collapsed="false">
      <c r="A5014" s="5" t="s">
        <v>504</v>
      </c>
      <c r="B5014" s="0" t="s">
        <v>73</v>
      </c>
      <c r="C5014" s="38" t="n">
        <f aca="false">Q!$D$34</f>
        <v>2.406</v>
      </c>
      <c r="D5014" s="38" t="n">
        <f aca="false">Q!$E$34</f>
        <v>2.274</v>
      </c>
      <c r="E5014" s="38" t="n">
        <f aca="false">Q!$P$34</f>
        <v>2.114</v>
      </c>
      <c r="F5014" s="38" t="n">
        <f aca="false">Sens!$F$5050</f>
        <v>3.24888964316061</v>
      </c>
      <c r="G5014" s="38" t="n">
        <f aca="false">Sens!$E$5014+Sens!$F$5014</f>
        <v>5.36288964316061</v>
      </c>
      <c r="H5014" s="38" t="n">
        <f aca="false">Sens!$H$5050</f>
        <v>7.42354178632123</v>
      </c>
      <c r="I5014" s="38" t="n">
        <f aca="false">Sens!$I$5050</f>
        <v>7.51827597635917</v>
      </c>
      <c r="J5014" s="38" t="n">
        <f aca="false">Sens!$J$5050</f>
        <v>7.76994062068418</v>
      </c>
      <c r="K5014" s="38" t="n">
        <f aca="false">Sens!$K$5050</f>
        <v>7.76994062068418</v>
      </c>
      <c r="L5014" s="38" t="n">
        <f aca="false">Sens!$L$5050</f>
        <v>7.76994062068418</v>
      </c>
      <c r="M5014" s="38" t="n">
        <f aca="false">Sens!$M$5050</f>
        <v>7.76994062068418</v>
      </c>
      <c r="N5014" s="38" t="n">
        <f aca="false">Q!$N$34</f>
        <v>1.057</v>
      </c>
      <c r="O5014" s="38" t="n">
        <f aca="false">Q!$O$34</f>
        <v>1.217</v>
      </c>
    </row>
    <row r="5015" customFormat="false" ht="15" hidden="false" customHeight="false" outlineLevel="0" collapsed="false">
      <c r="A5015" s="5" t="s">
        <v>702</v>
      </c>
      <c r="B5015" s="0" t="s">
        <v>73</v>
      </c>
      <c r="F5015" s="38" t="n">
        <f aca="false">Sens!$F$5051</f>
        <v>2.59</v>
      </c>
      <c r="H5015" s="38" t="n">
        <f aca="false">Sens!$H$5051</f>
        <v>4.00971603121774</v>
      </c>
      <c r="I5015" s="38" t="n">
        <f aca="false">Sens!$I$5051</f>
        <v>2.10589651022864</v>
      </c>
      <c r="J5015" s="38" t="n">
        <f aca="false">Sens!$J$5051</f>
        <v>2.10589651022864</v>
      </c>
      <c r="K5015" s="38" t="n">
        <f aca="false">Sens!$K$5051</f>
        <v>3.77985822695893</v>
      </c>
      <c r="L5015" s="38" t="n">
        <f aca="false">Sens!$L$5051</f>
        <v>7.24081936505971</v>
      </c>
      <c r="M5015" s="38" t="n">
        <f aca="false">Sens!$M$5051</f>
        <v>11.205150593419</v>
      </c>
    </row>
    <row r="5016" customFormat="false" ht="17.15" hidden="false" customHeight="false" outlineLevel="0" collapsed="false">
      <c r="A5016" s="5" t="s">
        <v>703</v>
      </c>
      <c r="B5016" s="0" t="s">
        <v>73</v>
      </c>
      <c r="C5016" s="38" t="n">
        <f aca="false">Q!$D$39</f>
        <v>2.427</v>
      </c>
      <c r="D5016" s="38" t="n">
        <f aca="false">Q!$E$39</f>
        <v>19.61</v>
      </c>
      <c r="E5016" s="38" t="n">
        <f aca="false">Q!$P$39</f>
        <v>71.492</v>
      </c>
      <c r="F5016" s="41" t="n">
        <v>0</v>
      </c>
      <c r="G5016" s="38" t="n">
        <f aca="false">Sens!$E$5016+Sens!$F$5016</f>
        <v>71.492</v>
      </c>
      <c r="H5016" s="41" t="n">
        <v>0</v>
      </c>
      <c r="I5016" s="41" t="n">
        <v>0</v>
      </c>
      <c r="J5016" s="41" t="n">
        <v>0</v>
      </c>
      <c r="K5016" s="41" t="n">
        <v>0</v>
      </c>
      <c r="L5016" s="41" t="n">
        <v>0</v>
      </c>
      <c r="M5016" s="41" t="n">
        <v>0</v>
      </c>
      <c r="N5016" s="38" t="n">
        <f aca="false">Q!$N$39</f>
        <v>6.017</v>
      </c>
      <c r="O5016" s="38" t="n">
        <f aca="false">Q!$O$39</f>
        <v>13.593</v>
      </c>
      <c r="P5016" s="5" t="s">
        <v>704</v>
      </c>
    </row>
    <row r="5017" customFormat="false" ht="15" hidden="false" customHeight="false" outlineLevel="0" collapsed="false">
      <c r="A5017" s="5" t="s">
        <v>507</v>
      </c>
      <c r="B5017" s="0" t="s">
        <v>73</v>
      </c>
      <c r="C5017" s="38" t="n">
        <f aca="false">Q!$D$36</f>
        <v>68.614</v>
      </c>
      <c r="D5017" s="38" t="n">
        <f aca="false">Q!$E$36</f>
        <v>97.311</v>
      </c>
      <c r="E5017" s="38" t="n">
        <f aca="false">Q!$P$36</f>
        <v>120.691</v>
      </c>
      <c r="F5017" s="38" t="n">
        <f aca="false">Sens!$F$4995-Sens!$F$5014+Sens!$F$5015+Sens!$F$5016</f>
        <v>59.2236875896856</v>
      </c>
      <c r="G5017" s="38" t="n">
        <f aca="false">Sens!$E$5017+Sens!$F$5017</f>
        <v>179.914687589686</v>
      </c>
      <c r="H5017" s="38" t="n">
        <f aca="false">Sens!$H$4995-Sens!$H$5014+Sens!$H$5015+Sens!$H$5016</f>
        <v>132.22487528741</v>
      </c>
      <c r="I5017" s="38" t="n">
        <f aca="false">Sens!$I$4995-Sens!$I$5014+Sens!$I$5015+Sens!$I$5016</f>
        <v>155.256254868633</v>
      </c>
      <c r="J5017" s="38" t="n">
        <f aca="false">Sens!$J$4995-Sens!$J$5014+Sens!$J$5015+Sens!$J$5016</f>
        <v>177.272457389275</v>
      </c>
      <c r="K5017" s="38" t="n">
        <f aca="false">Sens!$K$4995-Sens!$K$5014+Sens!$K$5015+Sens!$K$5016</f>
        <v>196.921534464333</v>
      </c>
      <c r="L5017" s="38" t="n">
        <f aca="false">Sens!$L$4995-Sens!$L$5014+Sens!$L$5015+Sens!$L$5016</f>
        <v>220.12100479332</v>
      </c>
      <c r="M5017" s="38" t="n">
        <f aca="false">Sens!$M$4995-Sens!$M$5014+Sens!$M$5015+Sens!$M$5016</f>
        <v>244.529307072564</v>
      </c>
      <c r="N5017" s="38" t="n">
        <f aca="false">Q!$N$36</f>
        <v>42.536</v>
      </c>
      <c r="O5017" s="38" t="n">
        <f aca="false">Q!$O$36</f>
        <v>54.775</v>
      </c>
    </row>
    <row r="5018" customFormat="false" ht="15" hidden="false" customHeight="false" outlineLevel="0" collapsed="false">
      <c r="A5018" s="5" t="s">
        <v>508</v>
      </c>
      <c r="B5018" s="0" t="s">
        <v>73</v>
      </c>
      <c r="C5018" s="38" t="n">
        <f aca="false">Q!$D$37</f>
        <v>9.265</v>
      </c>
      <c r="D5018" s="38" t="n">
        <f aca="false">Q!$E$37</f>
        <v>19.087</v>
      </c>
      <c r="E5018" s="38" t="n">
        <f aca="false">Q!$P$37</f>
        <v>27.759</v>
      </c>
      <c r="F5018" s="38" t="n">
        <f aca="false">Sens!$F$5017*tax</f>
        <v>10.2803157750071</v>
      </c>
      <c r="G5018" s="38" t="n">
        <f aca="false">Sens!$E$5018+Sens!$F$5018</f>
        <v>38.0393157750071</v>
      </c>
      <c r="H5018" s="38" t="n">
        <f aca="false">Sens!$H$5017*tax</f>
        <v>22.9521923842892</v>
      </c>
      <c r="I5018" s="38" t="n">
        <f aca="false">Sens!$I$5017*tax</f>
        <v>26.9500835063251</v>
      </c>
      <c r="J5018" s="38" t="n">
        <f aca="false">Sens!$J$5017*tax</f>
        <v>30.7717555988633</v>
      </c>
      <c r="K5018" s="38" t="n">
        <f aca="false">Sens!$K$5017*tax</f>
        <v>34.1825313414772</v>
      </c>
      <c r="L5018" s="38" t="n">
        <f aca="false">Sens!$L$5017*tax</f>
        <v>38.209600416393</v>
      </c>
      <c r="M5018" s="38" t="n">
        <f aca="false">Sens!$M$5017*tax</f>
        <v>42.4465040131586</v>
      </c>
      <c r="N5018" s="38" t="n">
        <f aca="false">Q!$N$37</f>
        <v>7.231</v>
      </c>
      <c r="O5018" s="38" t="n">
        <f aca="false">Q!$O$37</f>
        <v>11.856</v>
      </c>
    </row>
    <row r="5019" customFormat="false" ht="15" hidden="false" customHeight="false" outlineLevel="0" collapsed="false">
      <c r="A5019" s="3" t="s">
        <v>509</v>
      </c>
      <c r="B5019" s="8" t="s">
        <v>73</v>
      </c>
      <c r="C5019" s="38" t="n">
        <f aca="false">Q!$D$38</f>
        <v>59.248</v>
      </c>
      <c r="D5019" s="38" t="n">
        <f aca="false">Q!$E$38</f>
        <v>77.67</v>
      </c>
      <c r="E5019" s="38" t="n">
        <f aca="false">Q!$P$38</f>
        <v>92.902</v>
      </c>
      <c r="F5019" s="38" t="n">
        <f aca="false">Sens!$F$5017-Sens!$F$5018</f>
        <v>48.9433718146785</v>
      </c>
      <c r="G5019" s="38" t="n">
        <f aca="false">Sens!$E$5019+Sens!$F$5019</f>
        <v>141.845371814679</v>
      </c>
      <c r="H5019" s="38" t="n">
        <f aca="false">Sens!$H$5017-Sens!$H$5018</f>
        <v>109.272682903121</v>
      </c>
      <c r="I5019" s="38" t="n">
        <f aca="false">Sens!$I$5017-Sens!$I$5018</f>
        <v>128.306171362308</v>
      </c>
      <c r="J5019" s="38" t="n">
        <f aca="false">Sens!$J$5017-Sens!$J$5018</f>
        <v>146.500701790412</v>
      </c>
      <c r="K5019" s="38" t="n">
        <f aca="false">Sens!$K$5017-Sens!$K$5018</f>
        <v>162.739003122855</v>
      </c>
      <c r="L5019" s="38" t="n">
        <f aca="false">Sens!$L$5017-Sens!$L$5018</f>
        <v>181.911404376927</v>
      </c>
      <c r="M5019" s="38" t="n">
        <f aca="false">Sens!$M$5017-Sens!$M$5018</f>
        <v>202.082803059406</v>
      </c>
      <c r="N5019" s="38" t="n">
        <f aca="false">Q!$N$38</f>
        <v>35.291</v>
      </c>
      <c r="O5019" s="38" t="n">
        <f aca="false">Q!$O$38</f>
        <v>42.379</v>
      </c>
    </row>
    <row r="5020" customFormat="false" ht="17.15" hidden="false" customHeight="false" outlineLevel="0" collapsed="false">
      <c r="A5020" s="5" t="s">
        <v>512</v>
      </c>
      <c r="B5020" s="5" t="s">
        <v>33</v>
      </c>
      <c r="C5020" s="22" t="n">
        <f aca="false">Q!$D$41</f>
        <v>10.721</v>
      </c>
      <c r="D5020" s="22" t="n">
        <f aca="false">Q!$E$41</f>
        <v>10.827</v>
      </c>
      <c r="E5020" s="22" t="n">
        <f aca="false">(Q!$L$41+Q!$M$41)/2</f>
        <v>10.8885</v>
      </c>
      <c r="F5020" s="22" t="n">
        <f aca="false">Sens!$G$5020</f>
        <v>10.924806</v>
      </c>
      <c r="G5020" s="22" t="n">
        <f aca="false">Q!$M$41*(1+sh_g*0.25)</f>
        <v>10.924806</v>
      </c>
      <c r="H5020" s="22" t="n">
        <f aca="false">Sens!$G$5020*(1+sh_g)</f>
        <v>11.012204448</v>
      </c>
      <c r="I5020" s="22" t="n">
        <f aca="false">Sens!$H$5020*(1+sh_g)</f>
        <v>11.100302083584</v>
      </c>
      <c r="J5020" s="22" t="n">
        <f aca="false">Sens!$I$5020*(1+sh_g)</f>
        <v>11.1891045002527</v>
      </c>
      <c r="K5020" s="22" t="n">
        <f aca="false">Sens!$J$5020*(1+sh_g)</f>
        <v>11.2786173362547</v>
      </c>
      <c r="L5020" s="22" t="n">
        <f aca="false">Sens!$K$5020*(1+sh_g)</f>
        <v>11.3688462749447</v>
      </c>
      <c r="M5020" s="22" t="n">
        <f aca="false">Sens!$L$5020*(1+sh_g)</f>
        <v>11.4597970451443</v>
      </c>
      <c r="P5020" s="5" t="s">
        <v>705</v>
      </c>
    </row>
    <row r="5021" customFormat="false" ht="17.15" hidden="false" customHeight="false" outlineLevel="0" collapsed="false">
      <c r="A5021" s="42" t="s">
        <v>706</v>
      </c>
      <c r="B5021" s="13" t="s">
        <v>27</v>
      </c>
      <c r="C5021" s="43" t="n">
        <f aca="false">Sens!$C$5019/Sens!$C$5020</f>
        <v>5.52635015390355</v>
      </c>
      <c r="D5021" s="43" t="n">
        <f aca="false">Sens!$D$5019/Sens!$D$5020</f>
        <v>7.1737323358271</v>
      </c>
      <c r="E5021" s="43" t="n">
        <f aca="false">Sens!$E$5019/Sens!$E$5020</f>
        <v>8.53212104513937</v>
      </c>
      <c r="F5021" s="13"/>
      <c r="G5021" s="43" t="n">
        <f aca="false">Sens!$G$5019/Sens!$G$5020</f>
        <v>12.9837886196495</v>
      </c>
      <c r="H5021" s="43" t="n">
        <f aca="false">Sens!$H$5019/Sens!$H$5020</f>
        <v>9.92287088558062</v>
      </c>
      <c r="I5021" s="43" t="n">
        <f aca="false">Sens!$I$5019/Sens!$I$5020</f>
        <v>11.5587999674403</v>
      </c>
      <c r="J5021" s="43" t="n">
        <f aca="false">Sens!$J$5019/Sens!$J$5020</f>
        <v>13.0931569892035</v>
      </c>
      <c r="K5021" s="43" t="n">
        <f aca="false">Sens!$K$5019/Sens!$K$5020</f>
        <v>14.4289852444711</v>
      </c>
      <c r="L5021" s="43" t="n">
        <f aca="false">Sens!$L$5019/Sens!$L$5020</f>
        <v>16.0008676322621</v>
      </c>
      <c r="M5021" s="43" t="n">
        <f aca="false">Sens!$M$5019/Sens!$M$5020</f>
        <v>17.6340647450673</v>
      </c>
      <c r="N5021" s="13"/>
      <c r="O5021" s="13"/>
    </row>
    <row r="5022" customFormat="false" ht="17.15" hidden="false" customHeight="false" outlineLevel="0" collapsed="false">
      <c r="A5022" s="0" t="s">
        <v>707</v>
      </c>
      <c r="B5022" s="0" t="s">
        <v>27</v>
      </c>
      <c r="C5022" s="30" t="n">
        <f aca="false">(Sens!$C$5019-Sens!$C$5016*(1-tax))/Sens!$C$5020</f>
        <v>5.33926775917445</v>
      </c>
      <c r="D5022" s="30" t="n">
        <f aca="false">(Sens!$D$5019-Sens!$D$5016*(1-tax))/Sens!$D$5020</f>
        <v>5.67691812755503</v>
      </c>
      <c r="E5022" s="30" t="n">
        <f aca="false">(Sens!$E$5019-Sens!$E$5016*(1-tax))/Sens!$E$5020</f>
        <v>3.10602057006846</v>
      </c>
      <c r="G5022" s="30" t="n">
        <f aca="false">(Sens!$G$5019-Sens!$G$5016*(1-tax))/Sens!$G$5020</f>
        <v>7.57572050175252</v>
      </c>
      <c r="H5022" s="30" t="n">
        <f aca="false">(Sens!$H$5019-Sens!$H$5016*(1-tax))/Sens!$H$5020</f>
        <v>9.92287088558062</v>
      </c>
      <c r="I5022" s="30" t="n">
        <f aca="false">(Sens!$I$5019-Sens!$I$5016*(1-tax))/Sens!$I$5020</f>
        <v>11.5587999674403</v>
      </c>
      <c r="J5022" s="30" t="n">
        <f aca="false">(Sens!$J$5019-Sens!$J$5016*(1-tax))/Sens!$J$5020</f>
        <v>13.0931569892035</v>
      </c>
      <c r="K5022" s="30" t="n">
        <f aca="false">(Sens!$K$5019-Sens!$K$5016*(1-tax))/Sens!$K$5020</f>
        <v>14.4289852444711</v>
      </c>
      <c r="L5022" s="30" t="n">
        <f aca="false">(Sens!$L$5019-Sens!$L$5016*(1-tax))/Sens!$L$5020</f>
        <v>16.0008676322621</v>
      </c>
      <c r="M5022" s="30" t="n">
        <f aca="false">(Sens!$M$5019-Sens!$M$5016*(1-tax))/Sens!$M$5020</f>
        <v>17.6340647450673</v>
      </c>
      <c r="P5022" s="5" t="s">
        <v>708</v>
      </c>
    </row>
    <row r="5023" customFormat="false" ht="17.15" hidden="false" customHeight="false" outlineLevel="0" collapsed="false">
      <c r="A5023" s="0" t="s">
        <v>709</v>
      </c>
      <c r="B5023" s="0" t="s">
        <v>52</v>
      </c>
      <c r="H5023" s="12" t="n">
        <f aca="false">Sens!$H$5021/Sens!$G$5021-1</f>
        <v>-0.23574919645846</v>
      </c>
      <c r="I5023" s="12" t="n">
        <f aca="false">Sens!$I$5021/Sens!$H$5021-1</f>
        <v>0.164864493423664</v>
      </c>
      <c r="J5023" s="12" t="n">
        <f aca="false">Sens!$J$5021/Sens!$I$5021-1</f>
        <v>0.132743626162345</v>
      </c>
      <c r="K5023" s="12" t="n">
        <f aca="false">Sens!$K$5021/Sens!$J$5021-1</f>
        <v>0.102024917013454</v>
      </c>
      <c r="L5023" s="12" t="n">
        <f aca="false">Sens!$L$5021/Sens!$K$5021-1</f>
        <v>0.108939219297719</v>
      </c>
      <c r="M5023" s="12" t="n">
        <f aca="false">Sens!$M$5021/Sens!$L$5021-1</f>
        <v>0.102069284637555</v>
      </c>
    </row>
    <row r="5026" customFormat="false" ht="19.4" hidden="false" customHeight="false" outlineLevel="0" collapsed="false">
      <c r="A5026" s="31" t="s">
        <v>1153</v>
      </c>
    </row>
    <row r="5027" customFormat="false" ht="17.15" hidden="false" customHeight="false" outlineLevel="0" collapsed="false">
      <c r="A5027" s="6" t="s">
        <v>16</v>
      </c>
      <c r="B5027" s="6" t="s">
        <v>17</v>
      </c>
      <c r="C5027" s="20" t="s">
        <v>457</v>
      </c>
      <c r="D5027" s="20" t="s">
        <v>458</v>
      </c>
      <c r="E5027" s="20" t="s">
        <v>540</v>
      </c>
      <c r="F5027" s="20" t="s">
        <v>541</v>
      </c>
      <c r="G5027" s="20" t="s">
        <v>542</v>
      </c>
      <c r="H5027" s="20" t="s">
        <v>543</v>
      </c>
      <c r="I5027" s="20" t="s">
        <v>544</v>
      </c>
      <c r="J5027" s="20" t="s">
        <v>545</v>
      </c>
      <c r="K5027" s="20" t="s">
        <v>546</v>
      </c>
      <c r="L5027" s="20" t="s">
        <v>547</v>
      </c>
      <c r="M5027" s="20" t="s">
        <v>548</v>
      </c>
      <c r="N5027" s="20" t="s">
        <v>549</v>
      </c>
      <c r="O5027" s="20" t="s">
        <v>550</v>
      </c>
      <c r="P5027" s="6" t="s">
        <v>23</v>
      </c>
      <c r="R5027" s="20" t="n">
        <v>2023</v>
      </c>
      <c r="S5027" s="20" t="n">
        <v>2024</v>
      </c>
      <c r="T5027" s="20" t="n">
        <v>2025</v>
      </c>
      <c r="U5027" s="20" t="n">
        <v>2026</v>
      </c>
      <c r="V5027" s="20" t="n">
        <v>2027</v>
      </c>
      <c r="W5027" s="20" t="n">
        <v>2028</v>
      </c>
      <c r="X5027" s="20" t="n">
        <v>2029</v>
      </c>
      <c r="Y5027" s="20" t="n">
        <v>2030</v>
      </c>
      <c r="Z5027" s="20" t="n">
        <v>2031</v>
      </c>
      <c r="AA5027" s="20" t="n">
        <v>2032</v>
      </c>
    </row>
    <row r="5028" customFormat="false" ht="15" hidden="false" customHeight="false" outlineLevel="0" collapsed="false">
      <c r="A5028" s="5" t="s">
        <v>509</v>
      </c>
      <c r="B5028" s="0" t="s">
        <v>73</v>
      </c>
      <c r="C5028" s="38" t="n">
        <f aca="false">Sens!$C$5019</f>
        <v>59.248</v>
      </c>
      <c r="D5028" s="38" t="n">
        <f aca="false">Sens!$D$5019</f>
        <v>77.67</v>
      </c>
      <c r="E5028" s="38" t="n">
        <f aca="false">Sens!$E$5019</f>
        <v>92.902</v>
      </c>
      <c r="F5028" s="38" t="n">
        <f aca="false">Sens!$F$5019</f>
        <v>48.9433718146785</v>
      </c>
      <c r="G5028" s="38" t="n">
        <f aca="false">Sens!$G$5019</f>
        <v>141.845371814679</v>
      </c>
      <c r="H5028" s="38" t="n">
        <f aca="false">Sens!$H$5019</f>
        <v>109.272682903121</v>
      </c>
      <c r="I5028" s="38" t="n">
        <f aca="false">Sens!$I$5019</f>
        <v>128.306171362308</v>
      </c>
      <c r="J5028" s="38" t="n">
        <f aca="false">Sens!$J$5019</f>
        <v>146.500701790412</v>
      </c>
      <c r="K5028" s="38" t="n">
        <f aca="false">Sens!$K$5019</f>
        <v>162.739003122855</v>
      </c>
      <c r="L5028" s="38" t="n">
        <f aca="false">Sens!$L$5019</f>
        <v>181.911404376927</v>
      </c>
      <c r="M5028" s="38" t="n">
        <f aca="false">Sens!$M$5019</f>
        <v>202.082803059406</v>
      </c>
    </row>
    <row r="5029" customFormat="false" ht="17.15" hidden="false" customHeight="false" outlineLevel="0" collapsed="false">
      <c r="A5029" s="5" t="s">
        <v>731</v>
      </c>
      <c r="B5029" s="0" t="s">
        <v>73</v>
      </c>
      <c r="C5029" s="38" t="n">
        <f aca="false">Sens!$C$5007</f>
        <v>32.067</v>
      </c>
      <c r="D5029" s="38" t="n">
        <f aca="false">Sens!$D$5007</f>
        <v>41.86</v>
      </c>
      <c r="E5029" s="38" t="n">
        <f aca="false">Sens!$E$5007</f>
        <v>26.703</v>
      </c>
      <c r="F5029" s="38" t="n">
        <f aca="false">Sens!$F$5007</f>
        <v>30.6103857251209</v>
      </c>
      <c r="G5029" s="38" t="n">
        <f aca="false">Sens!$G$5007</f>
        <v>57.3133857251209</v>
      </c>
      <c r="H5029" s="38" t="n">
        <f aca="false">Sens!$H$5007</f>
        <v>87.6845218193838</v>
      </c>
      <c r="I5029" s="38" t="n">
        <f aca="false">Sens!$I$5007</f>
        <v>122.294769708638</v>
      </c>
      <c r="J5029" s="38" t="n">
        <f aca="false">Sens!$J$5007</f>
        <v>157.133962573221</v>
      </c>
      <c r="K5029" s="38" t="n">
        <f aca="false">Sens!$K$5007</f>
        <v>191.350633353599</v>
      </c>
      <c r="L5029" s="38" t="n">
        <f aca="false">Sens!$L$5007</f>
        <v>223.909238335354</v>
      </c>
      <c r="M5029" s="38" t="n">
        <f aca="false">Sens!$M$5007</f>
        <v>257.576319867276</v>
      </c>
    </row>
    <row r="5030" customFormat="false" ht="15" hidden="false" customHeight="false" outlineLevel="0" collapsed="false">
      <c r="A5030" s="5" t="s">
        <v>732</v>
      </c>
      <c r="B5030" s="0" t="s">
        <v>73</v>
      </c>
      <c r="C5030" s="38" t="n">
        <f aca="false">Q!$D$48</f>
        <v>22.011</v>
      </c>
      <c r="D5030" s="38" t="n">
        <f aca="false">Q!$E$48</f>
        <v>19.467</v>
      </c>
      <c r="E5030" s="38" t="n">
        <f aca="false">Q!$P$48</f>
        <v>10.07</v>
      </c>
      <c r="F5030" s="38" t="n">
        <f aca="false">sbc_r*Sens!$F$4951</f>
        <v>11.2170714500462</v>
      </c>
      <c r="G5030" s="38" t="n">
        <f aca="false">Sens!$E$5030+Sens!$F$5030</f>
        <v>21.2870714500462</v>
      </c>
      <c r="H5030" s="38" t="n">
        <f aca="false">sbc_r*Sens!$H$4951</f>
        <v>24.1772394325528</v>
      </c>
      <c r="I5030" s="38" t="n">
        <f aca="false">sbc_r*Sens!$I$4951</f>
        <v>27.6495284422397</v>
      </c>
      <c r="J5030" s="38" t="n">
        <f aca="false">sbc_r*Sens!$J$4951</f>
        <v>30.9042211184633</v>
      </c>
      <c r="K5030" s="38" t="n">
        <f aca="false">sbc_r*Sens!$K$4951</f>
        <v>33.8004145402678</v>
      </c>
      <c r="L5030" s="38" t="n">
        <f aca="false">sbc_r*Sens!$L$4951</f>
        <v>36.8322537652494</v>
      </c>
      <c r="M5030" s="38" t="n">
        <f aca="false">sbc_r*Sens!$M$4951</f>
        <v>40.0097627968013</v>
      </c>
    </row>
    <row r="5031" customFormat="false" ht="17.15" hidden="false" customHeight="false" outlineLevel="0" collapsed="false">
      <c r="A5031" s="5" t="s">
        <v>733</v>
      </c>
      <c r="B5031" s="0" t="s">
        <v>73</v>
      </c>
      <c r="C5031" s="38" t="n">
        <f aca="false">Q!$D$44-Sens!$C$5028-Sens!$C$5029-Sens!$C$5030</f>
        <v>2.551</v>
      </c>
      <c r="D5031" s="38" t="n">
        <f aca="false">Q!$E$44-Sens!$D$5028-Sens!$D$5029-Sens!$D$5030</f>
        <v>0.51700000000001</v>
      </c>
      <c r="E5031" s="38" t="n">
        <f aca="false">Q!$P$44-Sens!$E$5028-Sens!$E$5029-Sens!$E$5030</f>
        <v>-58.256</v>
      </c>
      <c r="F5031" s="38" t="n">
        <f aca="false">wc_2h26+oth_r*Sens!$F$4951</f>
        <v>7.34599241893378</v>
      </c>
      <c r="G5031" s="38" t="n">
        <f aca="false">Sens!$E$5031+Sens!$F$5031</f>
        <v>-50.9100075810662</v>
      </c>
      <c r="H5031" s="38" t="n">
        <f aca="false">oth_r*Sens!$H$4951</f>
        <v>11.6369707537667</v>
      </c>
      <c r="I5031" s="38" t="n">
        <f aca="false">oth_r*Sens!$I$4951</f>
        <v>13.3082502961262</v>
      </c>
      <c r="J5031" s="38" t="n">
        <f aca="false">oth_r*Sens!$J$4951</f>
        <v>14.8747965344332</v>
      </c>
      <c r="K5031" s="38" t="n">
        <f aca="false">oth_r*Sens!$K$4951</f>
        <v>16.2687901804328</v>
      </c>
      <c r="L5031" s="38" t="n">
        <f aca="false">oth_r*Sens!$L$4951</f>
        <v>17.7280727627002</v>
      </c>
      <c r="M5031" s="38" t="n">
        <f aca="false">oth_r*Sens!$M$4951</f>
        <v>19.2574690270319</v>
      </c>
      <c r="P5031" s="8" t="s">
        <v>734</v>
      </c>
    </row>
    <row r="5032" customFormat="false" ht="15" hidden="false" customHeight="false" outlineLevel="0" collapsed="false">
      <c r="A5032" s="3" t="s">
        <v>515</v>
      </c>
      <c r="B5032" s="8" t="s">
        <v>73</v>
      </c>
      <c r="C5032" s="38" t="n">
        <f aca="false">Q!$D$44</f>
        <v>115.877</v>
      </c>
      <c r="D5032" s="38" t="n">
        <f aca="false">Q!$E$44</f>
        <v>139.514</v>
      </c>
      <c r="E5032" s="38" t="n">
        <f aca="false">Q!$P$44</f>
        <v>71.419</v>
      </c>
      <c r="F5032" s="38" t="n">
        <f aca="false">Sens!$F$5028+Sens!$F$5029+Sens!$F$5030+Sens!$F$5031</f>
        <v>98.1168214087795</v>
      </c>
      <c r="G5032" s="38" t="n">
        <f aca="false">Sens!$E$5032+Sens!$F$5032</f>
        <v>169.535821408779</v>
      </c>
      <c r="H5032" s="38" t="n">
        <f aca="false">Sens!$H$5028+Sens!$H$5029+Sens!$H$5030+Sens!$H$5031</f>
        <v>232.771414908824</v>
      </c>
      <c r="I5032" s="38" t="n">
        <f aca="false">Sens!$I$5028+Sens!$I$5029+Sens!$I$5030+Sens!$I$5031</f>
        <v>291.558719809312</v>
      </c>
      <c r="J5032" s="38" t="n">
        <f aca="false">Sens!$J$5028+Sens!$J$5029+Sens!$J$5030+Sens!$J$5031</f>
        <v>349.413682016529</v>
      </c>
      <c r="K5032" s="38" t="n">
        <f aca="false">Sens!$K$5028+Sens!$K$5029+Sens!$K$5030+Sens!$K$5031</f>
        <v>404.158841197156</v>
      </c>
      <c r="L5032" s="38" t="n">
        <f aca="false">Sens!$L$5028+Sens!$L$5029+Sens!$L$5030+Sens!$L$5031</f>
        <v>460.380969240231</v>
      </c>
      <c r="M5032" s="38" t="n">
        <f aca="false">Sens!$M$5028+Sens!$M$5029+Sens!$M$5030+Sens!$M$5031</f>
        <v>518.926354750515</v>
      </c>
    </row>
    <row r="5033" customFormat="false" ht="17.15" hidden="false" customHeight="false" outlineLevel="0" collapsed="false">
      <c r="A5033" s="5" t="s">
        <v>735</v>
      </c>
      <c r="B5033" s="0" t="s">
        <v>73</v>
      </c>
      <c r="C5033" s="38" t="n">
        <f aca="false">Sens!$C$4920</f>
        <v>25.2781053077374</v>
      </c>
      <c r="D5033" s="38" t="n">
        <f aca="false">Sens!$D$4920</f>
        <v>69.5686316310026</v>
      </c>
      <c r="E5033" s="38" t="n">
        <f aca="false">Sens!$E$4920</f>
        <v>64.1899206485108</v>
      </c>
      <c r="F5033" s="38" t="n">
        <f aca="false">Sens!$F$4920</f>
        <v>96.2481299895</v>
      </c>
      <c r="G5033" s="38" t="n">
        <f aca="false">Sens!$G$4920</f>
        <v>160.438050638011</v>
      </c>
      <c r="H5033" s="38" t="n">
        <f aca="false">Sens!$H$4920</f>
        <v>198.57136494475</v>
      </c>
      <c r="I5033" s="38" t="n">
        <f aca="false">Sens!$I$4920</f>
        <v>204.6464699105</v>
      </c>
      <c r="J5033" s="38" t="n">
        <f aca="false">Sens!$J$4920</f>
        <v>209.8832381105</v>
      </c>
      <c r="K5033" s="38" t="n">
        <f aca="false">Sens!$K$4920</f>
        <v>215.1200063105</v>
      </c>
      <c r="L5033" s="38" t="n">
        <f aca="false">Sens!$L$4920</f>
        <v>251.7773837105</v>
      </c>
      <c r="M5033" s="38" t="n">
        <f aca="false">Sens!$M$4920</f>
        <v>311.87584476575</v>
      </c>
    </row>
    <row r="5034" customFormat="false" ht="17.15" hidden="false" customHeight="false" outlineLevel="0" collapsed="false">
      <c r="A5034" s="5" t="s">
        <v>736</v>
      </c>
      <c r="B5034" s="0" t="s">
        <v>73</v>
      </c>
      <c r="C5034" s="38" t="n">
        <f aca="false">cx_awso*Sens!$C$4949</f>
        <v>21.0469989286053</v>
      </c>
      <c r="D5034" s="38" t="n">
        <f aca="false">cx_awso*Sens!$D$4949</f>
        <v>24.0042459822698</v>
      </c>
      <c r="E5034" s="38" t="n">
        <f aca="false">cx_awso*Sens!$E$4949</f>
        <v>14.261729404886</v>
      </c>
      <c r="F5034" s="38" t="n">
        <f aca="false">cx_awso*Sens!$F$4949</f>
        <v>15.7190020837331</v>
      </c>
      <c r="G5034" s="38" t="n">
        <f aca="false">Sens!$E$5034+Sens!$F$5034</f>
        <v>29.9807314886191</v>
      </c>
      <c r="H5034" s="38" t="n">
        <f aca="false">cx_awso*Sens!$H$4949</f>
        <v>36.1787121536283</v>
      </c>
      <c r="I5034" s="38" t="n">
        <f aca="false">cx_awso*Sens!$I$4949</f>
        <v>42.1296794430021</v>
      </c>
      <c r="J5034" s="38" t="n">
        <f aca="false">cx_awso*Sens!$J$4949</f>
        <v>47.279781889299</v>
      </c>
      <c r="K5034" s="38" t="n">
        <f aca="false">cx_awso*Sens!$K$4949</f>
        <v>51.0621644404429</v>
      </c>
      <c r="L5034" s="38" t="n">
        <f aca="false">cx_awso*Sens!$L$4949</f>
        <v>55.1471375956783</v>
      </c>
      <c r="M5034" s="38" t="n">
        <f aca="false">cx_awso*Sens!$M$4949</f>
        <v>59.5589086033326</v>
      </c>
    </row>
    <row r="5035" customFormat="false" ht="17.15" hidden="false" customHeight="false" outlineLevel="0" collapsed="false">
      <c r="A5035" s="5" t="s">
        <v>737</v>
      </c>
      <c r="B5035" s="0" t="s">
        <v>73</v>
      </c>
      <c r="C5035" s="38" t="n">
        <f aca="false">Q!$D$46-Sens!$C$5033-Sens!$C$5034</f>
        <v>31.3328957636573</v>
      </c>
      <c r="D5035" s="38" t="n">
        <f aca="false">Q!$E$46-Sens!$D$5033-Sens!$D$5034</f>
        <v>34.7471223867276</v>
      </c>
      <c r="E5035" s="38" t="n">
        <f aca="false">Q!$P$46-Sens!$E$5033-Sens!$E$5034</f>
        <v>17.8583499466032</v>
      </c>
      <c r="F5035" s="38" t="n">
        <f aca="false">cx_rt*Sens!$F$4884</f>
        <v>21.0855744229195</v>
      </c>
      <c r="G5035" s="38" t="n">
        <f aca="false">Sens!$E$5035+Sens!$F$5035</f>
        <v>38.9439243695228</v>
      </c>
      <c r="H5035" s="38" t="n">
        <f aca="false">cx_rt*Sens!$H$4884</f>
        <v>43.1200434029767</v>
      </c>
      <c r="I5035" s="38" t="n">
        <f aca="false">cx_rt*Sens!$I$4884</f>
        <v>47.1583152318763</v>
      </c>
      <c r="J5035" s="38" t="n">
        <f aca="false">cx_rt*Sens!$J$4884</f>
        <v>50.9060281137911</v>
      </c>
      <c r="K5035" s="38" t="n">
        <f aca="false">cx_rt*Sens!$K$4884</f>
        <v>54.2035645673053</v>
      </c>
      <c r="L5035" s="38" t="n">
        <f aca="false">cx_rt*Sens!$L$4884</f>
        <v>57.7318979121519</v>
      </c>
      <c r="M5035" s="38" t="n">
        <f aca="false">cx_rt*Sens!$M$4884</f>
        <v>61.5084196557756</v>
      </c>
    </row>
    <row r="5036" customFormat="false" ht="15" hidden="false" customHeight="false" outlineLevel="0" collapsed="false">
      <c r="A5036" s="3" t="s">
        <v>738</v>
      </c>
      <c r="B5036" s="8" t="s">
        <v>73</v>
      </c>
      <c r="C5036" s="38" t="n">
        <f aca="false">Q!$D$46</f>
        <v>77.658</v>
      </c>
      <c r="D5036" s="38" t="n">
        <f aca="false">Q!$E$46</f>
        <v>128.32</v>
      </c>
      <c r="E5036" s="38" t="n">
        <f aca="false">Q!$P$46</f>
        <v>96.31</v>
      </c>
      <c r="F5036" s="38" t="n">
        <f aca="false">Sens!$F$5033+Sens!$F$5034+Sens!$F$5035</f>
        <v>133.052706496153</v>
      </c>
      <c r="G5036" s="38" t="n">
        <f aca="false">Sens!$E$5036+Sens!$F$5036</f>
        <v>229.362706496153</v>
      </c>
      <c r="H5036" s="38" t="n">
        <f aca="false">Sens!$H$5033+Sens!$H$5034+Sens!$H$5035</f>
        <v>277.870120501355</v>
      </c>
      <c r="I5036" s="38" t="n">
        <f aca="false">Sens!$I$5033+Sens!$I$5034+Sens!$I$5035</f>
        <v>293.934464585378</v>
      </c>
      <c r="J5036" s="38" t="n">
        <f aca="false">Sens!$J$5033+Sens!$J$5034+Sens!$J$5035</f>
        <v>308.06904811359</v>
      </c>
      <c r="K5036" s="38" t="n">
        <f aca="false">Sens!$K$5033+Sens!$K$5034+Sens!$K$5035</f>
        <v>320.385735318248</v>
      </c>
      <c r="L5036" s="38" t="n">
        <f aca="false">Sens!$L$5033+Sens!$L$5034+Sens!$L$5035</f>
        <v>364.65641921833</v>
      </c>
      <c r="M5036" s="38" t="n">
        <f aca="false">Sens!$M$5033+Sens!$M$5034+Sens!$M$5035</f>
        <v>432.943173024858</v>
      </c>
    </row>
    <row r="5037" customFormat="false" ht="17.15" hidden="false" customHeight="false" outlineLevel="0" collapsed="false">
      <c r="A5037" s="5" t="s">
        <v>523</v>
      </c>
      <c r="B5037" s="0" t="s">
        <v>73</v>
      </c>
      <c r="C5037" s="38" t="n">
        <f aca="false">Q!$D$50</f>
        <v>2.043</v>
      </c>
      <c r="D5037" s="38" t="n">
        <f aca="false">Q!$E$50</f>
        <v>1.557</v>
      </c>
      <c r="E5037" s="38" t="n">
        <f aca="false">lease_pr/2</f>
        <v>0.8</v>
      </c>
      <c r="F5037" s="38" t="n">
        <f aca="false">lease_pr/2</f>
        <v>0.8</v>
      </c>
      <c r="G5037" s="38" t="n">
        <f aca="false">Sens!$E$5037+Sens!$F$5037</f>
        <v>1.6</v>
      </c>
      <c r="H5037" s="38" t="n">
        <f aca="false">lease_pr</f>
        <v>1.6</v>
      </c>
      <c r="I5037" s="38" t="n">
        <f aca="false">lease_pr</f>
        <v>1.6</v>
      </c>
      <c r="J5037" s="38" t="n">
        <f aca="false">lease_pr</f>
        <v>1.6</v>
      </c>
      <c r="K5037" s="38" t="n">
        <f aca="false">lease_pr</f>
        <v>1.6</v>
      </c>
      <c r="L5037" s="38" t="n">
        <f aca="false">lease_pr</f>
        <v>1.6</v>
      </c>
      <c r="M5037" s="38" t="n">
        <f aca="false">lease_pr</f>
        <v>1.6</v>
      </c>
      <c r="P5037" s="8" t="s">
        <v>739</v>
      </c>
    </row>
    <row r="5038" customFormat="false" ht="15" hidden="false" customHeight="false" outlineLevel="0" collapsed="false">
      <c r="A5038" s="46" t="s">
        <v>740</v>
      </c>
      <c r="B5038" s="13" t="s">
        <v>73</v>
      </c>
      <c r="C5038" s="47" t="n">
        <f aca="false">Sens!$C$5032-Sens!$C$5036-Sens!$C$5037</f>
        <v>36.176</v>
      </c>
      <c r="D5038" s="47" t="n">
        <f aca="false">Sens!$D$5032-Sens!$D$5036-Sens!$D$5037</f>
        <v>9.63700000000002</v>
      </c>
      <c r="E5038" s="47" t="n">
        <f aca="false">Sens!$E$5032-Sens!$E$5036-Sens!$E$5037</f>
        <v>-25.691</v>
      </c>
      <c r="F5038" s="47" t="n">
        <f aca="false">Sens!$F$5032-Sens!$F$5036-Sens!$F$5037</f>
        <v>-35.7358850873731</v>
      </c>
      <c r="G5038" s="47" t="n">
        <f aca="false">Sens!$G$5032-Sens!$G$5036-Sens!$G$5037</f>
        <v>-61.4268850873731</v>
      </c>
      <c r="H5038" s="47" t="n">
        <f aca="false">Sens!$H$5032-Sens!$H$5036-Sens!$H$5037</f>
        <v>-46.6987055925312</v>
      </c>
      <c r="I5038" s="47" t="n">
        <f aca="false">Sens!$I$5032-Sens!$I$5036-Sens!$I$5037</f>
        <v>-3.97574477606648</v>
      </c>
      <c r="J5038" s="47" t="n">
        <f aca="false">Sens!$J$5032-Sens!$J$5036-Sens!$J$5037</f>
        <v>39.7446339029391</v>
      </c>
      <c r="K5038" s="47" t="n">
        <f aca="false">Sens!$K$5032-Sens!$K$5036-Sens!$K$5037</f>
        <v>82.1731058789073</v>
      </c>
      <c r="L5038" s="47" t="n">
        <f aca="false">Sens!$L$5032-Sens!$L$5036-Sens!$L$5037</f>
        <v>94.1245500219009</v>
      </c>
      <c r="M5038" s="47" t="n">
        <f aca="false">Sens!$M$5032-Sens!$M$5036-Sens!$M$5037</f>
        <v>84.3831817256571</v>
      </c>
      <c r="N5038" s="13"/>
      <c r="O5038" s="13"/>
    </row>
    <row r="5039" customFormat="false" ht="17.15" hidden="false" customHeight="false" outlineLevel="0" collapsed="false">
      <c r="A5039" s="5" t="s">
        <v>741</v>
      </c>
      <c r="B5039" s="0" t="s">
        <v>73</v>
      </c>
      <c r="C5039" s="38" t="n">
        <f aca="false">dps*Sens!$C$5020</f>
        <v>0</v>
      </c>
      <c r="D5039" s="38" t="n">
        <f aca="false">dps*Sens!$D$5020</f>
        <v>0</v>
      </c>
      <c r="E5039" s="38" t="n">
        <f aca="false">dps*Sens!$E$5020</f>
        <v>0</v>
      </c>
      <c r="F5039" s="38" t="n">
        <f aca="false">0</f>
        <v>0</v>
      </c>
      <c r="G5039" s="38" t="n">
        <f aca="false">dps*Sens!$G$5020</f>
        <v>0</v>
      </c>
      <c r="H5039" s="38" t="n">
        <f aca="false">dps*Sens!$H$5020</f>
        <v>0</v>
      </c>
      <c r="I5039" s="38" t="n">
        <f aca="false">dps*Sens!$I$5020</f>
        <v>0</v>
      </c>
      <c r="J5039" s="38" t="n">
        <f aca="false">dps*Sens!$J$5020</f>
        <v>0</v>
      </c>
      <c r="K5039" s="38" t="n">
        <f aca="false">dps*Sens!$K$5020</f>
        <v>0</v>
      </c>
      <c r="L5039" s="38" t="n">
        <f aca="false">dps*Sens!$L$5020</f>
        <v>0</v>
      </c>
      <c r="M5039" s="38" t="n">
        <f aca="false">dps*Sens!$M$5020</f>
        <v>0</v>
      </c>
      <c r="P5039" s="8" t="s">
        <v>742</v>
      </c>
    </row>
    <row r="5040" customFormat="false" ht="17.15" hidden="false" customHeight="false" outlineLevel="0" collapsed="false">
      <c r="A5040" s="5" t="s">
        <v>743</v>
      </c>
      <c r="B5040" s="0" t="s">
        <v>73</v>
      </c>
      <c r="C5040" s="38" t="n">
        <f aca="false">0</f>
        <v>0</v>
      </c>
      <c r="D5040" s="38" t="n">
        <f aca="false">0</f>
        <v>0</v>
      </c>
      <c r="E5040" s="38" t="n">
        <f aca="false">0</f>
        <v>0</v>
      </c>
      <c r="F5040" s="38" t="n">
        <f aca="false">0</f>
        <v>0</v>
      </c>
      <c r="G5040" s="38" t="n">
        <f aca="false">0</f>
        <v>0</v>
      </c>
      <c r="H5040" s="38" t="n">
        <f aca="false">0</f>
        <v>0</v>
      </c>
      <c r="I5040" s="38" t="n">
        <f aca="false">0</f>
        <v>0</v>
      </c>
      <c r="J5040" s="38" t="n">
        <f aca="false">0</f>
        <v>0</v>
      </c>
      <c r="K5040" s="38" t="n">
        <f aca="false">0</f>
        <v>0</v>
      </c>
      <c r="L5040" s="38" t="n">
        <f aca="false">0</f>
        <v>0</v>
      </c>
      <c r="M5040" s="38" t="n">
        <f aca="false">0</f>
        <v>0</v>
      </c>
      <c r="P5040" s="8" t="s">
        <v>744</v>
      </c>
    </row>
    <row r="5041" customFormat="false" ht="15" hidden="false" customHeight="false" outlineLevel="0" collapsed="false">
      <c r="A5041" s="3" t="s">
        <v>745</v>
      </c>
      <c r="B5041" s="8" t="s">
        <v>73</v>
      </c>
      <c r="C5041" s="38" t="n">
        <f aca="false">Sens!$C$5038-Sens!$C$5039</f>
        <v>36.176</v>
      </c>
      <c r="D5041" s="38" t="n">
        <f aca="false">Sens!$D$5038-Sens!$D$5039</f>
        <v>9.63700000000002</v>
      </c>
      <c r="E5041" s="38" t="n">
        <f aca="false">Sens!$E$5038-Sens!$E$5039</f>
        <v>-25.691</v>
      </c>
      <c r="F5041" s="38" t="n">
        <f aca="false">Sens!$F$5038-Sens!$F$5039</f>
        <v>-35.7358850873731</v>
      </c>
      <c r="G5041" s="38" t="n">
        <f aca="false">Sens!$G$5038-Sens!$G$5039</f>
        <v>-61.4268850873731</v>
      </c>
      <c r="H5041" s="38" t="n">
        <f aca="false">Sens!$H$5038-Sens!$H$5039</f>
        <v>-46.6987055925312</v>
      </c>
      <c r="I5041" s="38" t="n">
        <f aca="false">Sens!$I$5038-Sens!$I$5039</f>
        <v>-3.97574477606648</v>
      </c>
      <c r="J5041" s="38" t="n">
        <f aca="false">Sens!$J$5038-Sens!$J$5039</f>
        <v>39.7446339029391</v>
      </c>
      <c r="K5041" s="38" t="n">
        <f aca="false">Sens!$K$5038-Sens!$K$5039</f>
        <v>82.1731058789073</v>
      </c>
      <c r="L5041" s="38" t="n">
        <f aca="false">Sens!$L$5038-Sens!$L$5039</f>
        <v>94.1245500219009</v>
      </c>
      <c r="M5041" s="38" t="n">
        <f aca="false">Sens!$M$5038-Sens!$M$5039</f>
        <v>84.3831817256571</v>
      </c>
    </row>
    <row r="5042" customFormat="false" ht="17.15" hidden="false" customHeight="false" outlineLevel="0" collapsed="false">
      <c r="A5042" s="5" t="s">
        <v>746</v>
      </c>
      <c r="B5042" s="0" t="s">
        <v>73</v>
      </c>
      <c r="E5042" s="38" t="n">
        <f aca="false">Q!$P$53</f>
        <v>39.767</v>
      </c>
      <c r="F5042" s="38" t="n">
        <f aca="false">inv_2h26</f>
        <v>21.3</v>
      </c>
      <c r="G5042" s="38" t="n">
        <f aca="false">Sens!$E$5042+Sens!$F$5042</f>
        <v>61.067</v>
      </c>
      <c r="H5042" s="41" t="n">
        <v>0</v>
      </c>
      <c r="I5042" s="41" t="n">
        <v>0</v>
      </c>
      <c r="J5042" s="41" t="n">
        <v>0</v>
      </c>
      <c r="K5042" s="41" t="n">
        <v>0</v>
      </c>
      <c r="L5042" s="41" t="n">
        <v>0</v>
      </c>
      <c r="M5042" s="41" t="n">
        <v>0</v>
      </c>
    </row>
    <row r="5043" customFormat="false" ht="17.15" hidden="false" customHeight="false" outlineLevel="0" collapsed="false">
      <c r="A5043" s="5" t="s">
        <v>747</v>
      </c>
      <c r="B5043" s="0" t="s">
        <v>73</v>
      </c>
      <c r="F5043" s="38" t="n">
        <f aca="false">iss_2h26</f>
        <v>29.25</v>
      </c>
      <c r="G5043" s="38" t="n">
        <f aca="false">Sens!$F$5043</f>
        <v>29.25</v>
      </c>
      <c r="H5043" s="41" t="n">
        <v>0</v>
      </c>
      <c r="I5043" s="41" t="n">
        <v>0</v>
      </c>
      <c r="J5043" s="41" t="n">
        <v>0</v>
      </c>
      <c r="K5043" s="41" t="n">
        <v>0</v>
      </c>
      <c r="L5043" s="41" t="n">
        <v>0</v>
      </c>
      <c r="M5043" s="41" t="n">
        <v>0</v>
      </c>
    </row>
    <row r="5044" customFormat="false" ht="17.15" hidden="false" customHeight="false" outlineLevel="0" collapsed="false">
      <c r="A5044" s="5" t="s">
        <v>748</v>
      </c>
      <c r="B5044" s="0" t="s">
        <v>73</v>
      </c>
      <c r="F5044" s="38" t="n">
        <f aca="false">cash_q2</f>
        <v>122.988</v>
      </c>
      <c r="G5044" s="38" t="n">
        <f aca="false">cash_q2</f>
        <v>122.988</v>
      </c>
      <c r="H5044" s="38" t="n">
        <f aca="false">Sens!$G$5047</f>
        <v>95.2021149126269</v>
      </c>
      <c r="I5044" s="38" t="n">
        <f aca="false">Sens!$H$5047</f>
        <v>50</v>
      </c>
      <c r="J5044" s="38" t="n">
        <f aca="false">Sens!$I$5047</f>
        <v>50</v>
      </c>
      <c r="K5044" s="38" t="n">
        <f aca="false">Sens!$J$5047</f>
        <v>89.7446339029391</v>
      </c>
      <c r="L5044" s="38" t="n">
        <f aca="false">Sens!$K$5047</f>
        <v>171.917739781846</v>
      </c>
      <c r="M5044" s="38" t="n">
        <f aca="false">Sens!$L$5047</f>
        <v>266.042289803747</v>
      </c>
    </row>
    <row r="5045" customFormat="false" ht="15" hidden="false" customHeight="false" outlineLevel="0" collapsed="false">
      <c r="A5045" s="5" t="s">
        <v>749</v>
      </c>
      <c r="B5045" s="0" t="s">
        <v>73</v>
      </c>
      <c r="F5045" s="38" t="n">
        <f aca="false">Sens!$F$5044+Sens!$F$5041-Sens!$F$5040-Sens!$F$5042+Sens!$F$5043</f>
        <v>95.2021149126269</v>
      </c>
      <c r="H5045" s="38" t="n">
        <f aca="false">Sens!$H$5044+Sens!$H$5041-Sens!$H$5040-Sens!$H$5042+Sens!$H$5043</f>
        <v>48.5034093200957</v>
      </c>
      <c r="I5045" s="38" t="n">
        <f aca="false">Sens!$I$5044+Sens!$I$5041-Sens!$I$5040-Sens!$I$5042+Sens!$I$5043</f>
        <v>46.0242552239335</v>
      </c>
      <c r="J5045" s="38" t="n">
        <f aca="false">Sens!$J$5044+Sens!$J$5041-Sens!$J$5040-Sens!$J$5042+Sens!$J$5043</f>
        <v>89.7446339029391</v>
      </c>
      <c r="K5045" s="38" t="n">
        <f aca="false">Sens!$K$5044+Sens!$K$5041-Sens!$K$5040-Sens!$K$5042+Sens!$K$5043</f>
        <v>171.917739781846</v>
      </c>
      <c r="L5045" s="38" t="n">
        <f aca="false">Sens!$L$5044+Sens!$L$5041-Sens!$L$5040-Sens!$L$5042+Sens!$L$5043</f>
        <v>266.042289803747</v>
      </c>
      <c r="M5045" s="38" t="n">
        <f aca="false">Sens!$M$5044+Sens!$M$5041-Sens!$M$5040-Sens!$M$5042+Sens!$M$5043</f>
        <v>350.425471529404</v>
      </c>
    </row>
    <row r="5046" customFormat="false" ht="17.15" hidden="false" customHeight="false" outlineLevel="0" collapsed="false">
      <c r="A5046" s="5" t="s">
        <v>750</v>
      </c>
      <c r="B5046" s="0" t="s">
        <v>73</v>
      </c>
      <c r="F5046" s="38" t="n">
        <f aca="false">MAX(0,min_cash-Sens!$F$5045)</f>
        <v>0</v>
      </c>
      <c r="G5046" s="38" t="n">
        <f aca="false">Sens!$F$5046</f>
        <v>0</v>
      </c>
      <c r="H5046" s="38" t="n">
        <f aca="false">MAX(0,min_cash-Sens!$H$5045)</f>
        <v>1.49659067990431</v>
      </c>
      <c r="I5046" s="38" t="n">
        <f aca="false">MAX(0,min_cash-Sens!$I$5045)</f>
        <v>3.97574477606648</v>
      </c>
      <c r="J5046" s="38" t="n">
        <f aca="false">MAX(0,min_cash-Sens!$J$5045)</f>
        <v>0</v>
      </c>
      <c r="K5046" s="38" t="n">
        <f aca="false">MAX(0,min_cash-Sens!$K$5045)</f>
        <v>0</v>
      </c>
      <c r="L5046" s="38" t="n">
        <f aca="false">MAX(0,min_cash-Sens!$L$5045)</f>
        <v>0</v>
      </c>
      <c r="M5046" s="38" t="n">
        <f aca="false">MAX(0,min_cash-Sens!$M$5045)</f>
        <v>0</v>
      </c>
      <c r="P5046" s="5" t="s">
        <v>751</v>
      </c>
    </row>
    <row r="5047" customFormat="false" ht="15" hidden="false" customHeight="false" outlineLevel="0" collapsed="false">
      <c r="A5047" s="5" t="s">
        <v>752</v>
      </c>
      <c r="B5047" s="0" t="s">
        <v>73</v>
      </c>
      <c r="D5047" s="38" t="n">
        <f aca="false">Q!$E$61</f>
        <v>123.029</v>
      </c>
      <c r="E5047" s="38" t="n">
        <f aca="false">Q!$M$61</f>
        <v>122.988</v>
      </c>
      <c r="F5047" s="38" t="n">
        <f aca="false">Sens!$F$5045+Sens!$F$5046</f>
        <v>95.2021149126269</v>
      </c>
      <c r="G5047" s="38" t="n">
        <f aca="false">Sens!$F$5047</f>
        <v>95.2021149126269</v>
      </c>
      <c r="H5047" s="38" t="n">
        <f aca="false">Sens!$H$5045+Sens!$H$5046</f>
        <v>50</v>
      </c>
      <c r="I5047" s="38" t="n">
        <f aca="false">Sens!$I$5045+Sens!$I$5046</f>
        <v>50</v>
      </c>
      <c r="J5047" s="38" t="n">
        <f aca="false">Sens!$J$5045+Sens!$J$5046</f>
        <v>89.7446339029391</v>
      </c>
      <c r="K5047" s="38" t="n">
        <f aca="false">Sens!$K$5045+Sens!$K$5046</f>
        <v>171.917739781846</v>
      </c>
      <c r="L5047" s="38" t="n">
        <f aca="false">Sens!$L$5045+Sens!$L$5046</f>
        <v>266.042289803747</v>
      </c>
      <c r="M5047" s="38" t="n">
        <f aca="false">Sens!$M$5045+Sens!$M$5046</f>
        <v>350.425471529404</v>
      </c>
    </row>
    <row r="5048" customFormat="false" ht="15" hidden="false" customHeight="false" outlineLevel="0" collapsed="false">
      <c r="A5048" s="5" t="s">
        <v>753</v>
      </c>
      <c r="B5048" s="0" t="s">
        <v>73</v>
      </c>
      <c r="D5048" s="38" t="n">
        <f aca="false">Q!$E$62</f>
        <v>68.836</v>
      </c>
      <c r="E5048" s="38" t="n">
        <f aca="false">Q!$M$62</f>
        <v>132.995</v>
      </c>
      <c r="F5048" s="38" t="n">
        <f aca="false">debt_q2+Sens!$F$5043+Sens!$F$5046</f>
        <v>162.245</v>
      </c>
      <c r="G5048" s="38" t="n">
        <f aca="false">Sens!$F$5048</f>
        <v>162.245</v>
      </c>
      <c r="H5048" s="38" t="n">
        <f aca="false">Sens!$G$5048+Sens!$H$5046</f>
        <v>163.741590679904</v>
      </c>
      <c r="I5048" s="38" t="n">
        <f aca="false">Sens!$H$5048+Sens!$I$5046</f>
        <v>167.717335455971</v>
      </c>
      <c r="J5048" s="38" t="n">
        <f aca="false">Sens!$I$5048+Sens!$J$5046</f>
        <v>167.717335455971</v>
      </c>
      <c r="K5048" s="38" t="n">
        <f aca="false">Sens!$J$5048+Sens!$K$5046</f>
        <v>167.717335455971</v>
      </c>
      <c r="L5048" s="38" t="n">
        <f aca="false">Sens!$K$5048+Sens!$L$5046</f>
        <v>167.717335455971</v>
      </c>
      <c r="M5048" s="38" t="n">
        <f aca="false">Sens!$L$5048+Sens!$M$5046</f>
        <v>167.717335455971</v>
      </c>
    </row>
    <row r="5049" customFormat="false" ht="15" hidden="false" customHeight="false" outlineLevel="0" collapsed="false">
      <c r="A5049" s="5" t="s">
        <v>754</v>
      </c>
      <c r="B5049" s="0" t="s">
        <v>73</v>
      </c>
      <c r="D5049" s="38" t="n">
        <f aca="false">Sens!$D$5048-Sens!$D$5047</f>
        <v>-54.193</v>
      </c>
      <c r="E5049" s="38" t="n">
        <f aca="false">Sens!$E$5048-Sens!$E$5047</f>
        <v>10.007</v>
      </c>
      <c r="F5049" s="38" t="n">
        <f aca="false">Sens!$F$5048-Sens!$F$5047</f>
        <v>67.0428850873731</v>
      </c>
      <c r="G5049" s="38" t="n">
        <f aca="false">Sens!$G$5048-Sens!$G$5047</f>
        <v>67.0428850873731</v>
      </c>
      <c r="H5049" s="38" t="n">
        <f aca="false">Sens!$H$5048-Sens!$H$5047</f>
        <v>113.741590679904</v>
      </c>
      <c r="I5049" s="38" t="n">
        <f aca="false">Sens!$I$5048-Sens!$I$5047</f>
        <v>117.717335455971</v>
      </c>
      <c r="J5049" s="38" t="n">
        <f aca="false">Sens!$J$5048-Sens!$J$5047</f>
        <v>77.9727015530317</v>
      </c>
      <c r="K5049" s="38" t="n">
        <f aca="false">Sens!$K$5048-Sens!$K$5047</f>
        <v>-4.20040432587558</v>
      </c>
      <c r="L5049" s="38" t="n">
        <f aca="false">Sens!$L$5048-Sens!$L$5047</f>
        <v>-98.3249543477765</v>
      </c>
      <c r="M5049" s="38" t="n">
        <f aca="false">Sens!$M$5048-Sens!$M$5047</f>
        <v>-182.708136073434</v>
      </c>
    </row>
    <row r="5050" customFormat="false" ht="17.15" hidden="false" customHeight="false" outlineLevel="0" collapsed="false">
      <c r="A5050" s="5" t="s">
        <v>755</v>
      </c>
      <c r="B5050" s="0" t="s">
        <v>73</v>
      </c>
      <c r="F5050" s="38" t="n">
        <f aca="false">debt_q2*kd_book*0.5+iss_2h26*kd_new*0.25</f>
        <v>3.24888964316061</v>
      </c>
      <c r="H5050" s="38" t="n">
        <f aca="false">debt_q2*kd_book+(Sens!$G$5048-debt_q2)*kd_new</f>
        <v>7.42354178632123</v>
      </c>
      <c r="I5050" s="38" t="n">
        <f aca="false">debt_q2*kd_book+(Sens!$H$5048-debt_q2)*kd_new</f>
        <v>7.51827597635917</v>
      </c>
      <c r="J5050" s="38" t="n">
        <f aca="false">debt_q2*kd_book+(Sens!$I$5048-debt_q2)*kd_new</f>
        <v>7.76994062068418</v>
      </c>
      <c r="K5050" s="38" t="n">
        <f aca="false">debt_q2*kd_book+(Sens!$J$5048-debt_q2)*kd_new</f>
        <v>7.76994062068418</v>
      </c>
      <c r="L5050" s="38" t="n">
        <f aca="false">debt_q2*kd_book+(Sens!$K$5048-debt_q2)*kd_new</f>
        <v>7.76994062068418</v>
      </c>
      <c r="M5050" s="38" t="n">
        <f aca="false">debt_q2*kd_book+(Sens!$L$5048-debt_q2)*kd_new</f>
        <v>7.76994062068418</v>
      </c>
    </row>
    <row r="5051" customFormat="false" ht="17.15" hidden="false" customHeight="false" outlineLevel="0" collapsed="false">
      <c r="A5051" s="5" t="s">
        <v>756</v>
      </c>
      <c r="B5051" s="0" t="s">
        <v>73</v>
      </c>
      <c r="F5051" s="38" t="n">
        <f aca="false">cash_q2*y_cash*0.5</f>
        <v>2.59</v>
      </c>
      <c r="H5051" s="38" t="n">
        <f aca="false">Sens!$G$5047*y_cash</f>
        <v>4.00971603121774</v>
      </c>
      <c r="I5051" s="38" t="n">
        <f aca="false">Sens!$H$5047*y_cash</f>
        <v>2.10589651022864</v>
      </c>
      <c r="J5051" s="38" t="n">
        <f aca="false">Sens!$I$5047*y_cash</f>
        <v>2.10589651022864</v>
      </c>
      <c r="K5051" s="38" t="n">
        <f aca="false">Sens!$J$5047*y_cash</f>
        <v>3.77985822695893</v>
      </c>
      <c r="L5051" s="38" t="n">
        <f aca="false">Sens!$K$5047*y_cash</f>
        <v>7.24081936505971</v>
      </c>
      <c r="M5051" s="38" t="n">
        <f aca="false">Sens!$L$5047*y_cash</f>
        <v>11.205150593419</v>
      </c>
    </row>
    <row r="5052" customFormat="false" ht="17.15" hidden="false" customHeight="false" outlineLevel="0" collapsed="false">
      <c r="A5052" s="46" t="s">
        <v>757</v>
      </c>
      <c r="B5052" s="13" t="s">
        <v>73</v>
      </c>
      <c r="C5052" s="13"/>
      <c r="D5052" s="13"/>
      <c r="E5052" s="13"/>
      <c r="F5052" s="13"/>
      <c r="G5052" s="47" t="n">
        <f aca="false">SUM(Sens!$G$5041:$K$5041)</f>
        <v>9.81640432587554</v>
      </c>
      <c r="H5052" s="13"/>
      <c r="I5052" s="13"/>
      <c r="J5052" s="13"/>
      <c r="K5052" s="13"/>
      <c r="L5052" s="13"/>
      <c r="M5052" s="13"/>
      <c r="N5052" s="13"/>
      <c r="O5052" s="13"/>
    </row>
    <row r="5053" customFormat="false" ht="17.15" hidden="false" customHeight="false" outlineLevel="0" collapsed="false">
      <c r="A5053" s="0" t="s">
        <v>724</v>
      </c>
      <c r="B5053" s="0" t="s">
        <v>73</v>
      </c>
      <c r="G5053" s="38" t="n">
        <f aca="false">SUM(Sens!$G$5046:$K$5046)</f>
        <v>5.47233545597079</v>
      </c>
    </row>
    <row r="5056" customFormat="false" ht="19.4" hidden="false" customHeight="false" outlineLevel="0" collapsed="false">
      <c r="A5056" s="31" t="s">
        <v>1154</v>
      </c>
    </row>
    <row r="5057" customFormat="false" ht="17.15" hidden="false" customHeight="false" outlineLevel="0" collapsed="false">
      <c r="A5057" s="6" t="s">
        <v>16</v>
      </c>
      <c r="B5057" s="6" t="s">
        <v>17</v>
      </c>
      <c r="C5057" s="20" t="s">
        <v>457</v>
      </c>
      <c r="D5057" s="20" t="s">
        <v>458</v>
      </c>
      <c r="E5057" s="20" t="s">
        <v>540</v>
      </c>
      <c r="F5057" s="20" t="s">
        <v>541</v>
      </c>
      <c r="G5057" s="20" t="s">
        <v>542</v>
      </c>
      <c r="H5057" s="20" t="s">
        <v>543</v>
      </c>
      <c r="I5057" s="20" t="s">
        <v>544</v>
      </c>
      <c r="J5057" s="20" t="s">
        <v>545</v>
      </c>
      <c r="K5057" s="20" t="s">
        <v>546</v>
      </c>
      <c r="L5057" s="20" t="s">
        <v>547</v>
      </c>
      <c r="M5057" s="20" t="s">
        <v>548</v>
      </c>
      <c r="N5057" s="20" t="s">
        <v>549</v>
      </c>
      <c r="O5057" s="20" t="s">
        <v>550</v>
      </c>
      <c r="P5057" s="6" t="s">
        <v>23</v>
      </c>
      <c r="R5057" s="20" t="n">
        <v>2023</v>
      </c>
      <c r="S5057" s="20" t="n">
        <v>2024</v>
      </c>
      <c r="T5057" s="20" t="n">
        <v>2025</v>
      </c>
      <c r="U5057" s="20" t="n">
        <v>2026</v>
      </c>
      <c r="V5057" s="20" t="n">
        <v>2027</v>
      </c>
      <c r="W5057" s="20" t="n">
        <v>2028</v>
      </c>
      <c r="X5057" s="20" t="n">
        <v>2029</v>
      </c>
      <c r="Y5057" s="20" t="n">
        <v>2030</v>
      </c>
      <c r="Z5057" s="20" t="n">
        <v>2031</v>
      </c>
      <c r="AA5057" s="20" t="n">
        <v>2032</v>
      </c>
    </row>
    <row r="5058" customFormat="false" ht="17.15" hidden="false" customHeight="false" outlineLevel="0" collapsed="false">
      <c r="A5058" s="1" t="s">
        <v>852</v>
      </c>
    </row>
    <row r="5059" customFormat="false" ht="17.15" hidden="false" customHeight="false" outlineLevel="0" collapsed="false">
      <c r="A5059" s="0" t="s">
        <v>853</v>
      </c>
      <c r="B5059" s="0" t="s">
        <v>73</v>
      </c>
      <c r="H5059" s="38" t="n">
        <f aca="false">Sens!$H$4995*(1-tax)</f>
        <v>112.093921330558</v>
      </c>
      <c r="I5059" s="38" t="n">
        <f aca="false">Sens!$I$4995*(1-tax)</f>
        <v>132.779045500917</v>
      </c>
      <c r="J5059" s="38" t="n">
        <f aca="false">Sens!$J$4995*(1-tax)</f>
        <v>151.181555485193</v>
      </c>
      <c r="K5059" s="38" t="n">
        <f aca="false">Sens!$K$4995*(1-tax)</f>
        <v>166.036468953087</v>
      </c>
      <c r="L5059" s="38" t="n">
        <f aca="false">Sens!$L$4995*(1-tax)</f>
        <v>182.348678369869</v>
      </c>
      <c r="M5059" s="38" t="n">
        <f aca="false">Sens!$M$4995*(1-tax)</f>
        <v>199.243892383632</v>
      </c>
    </row>
    <row r="5060" customFormat="false" ht="15" hidden="false" customHeight="false" outlineLevel="0" collapsed="false">
      <c r="A5060" s="5" t="s">
        <v>854</v>
      </c>
      <c r="B5060" s="0" t="s">
        <v>73</v>
      </c>
      <c r="H5060" s="38" t="n">
        <f aca="false">Sens!$H$5007</f>
        <v>87.6845218193838</v>
      </c>
      <c r="I5060" s="38" t="n">
        <f aca="false">Sens!$I$5007</f>
        <v>122.294769708638</v>
      </c>
      <c r="J5060" s="38" t="n">
        <f aca="false">Sens!$J$5007</f>
        <v>157.133962573221</v>
      </c>
      <c r="K5060" s="38" t="n">
        <f aca="false">Sens!$K$5007</f>
        <v>191.350633353599</v>
      </c>
      <c r="L5060" s="38" t="n">
        <f aca="false">Sens!$L$5007</f>
        <v>223.909238335354</v>
      </c>
      <c r="M5060" s="38" t="n">
        <f aca="false">Sens!$M$5007</f>
        <v>257.576319867276</v>
      </c>
    </row>
    <row r="5061" customFormat="false" ht="15" hidden="false" customHeight="false" outlineLevel="0" collapsed="false">
      <c r="A5061" s="5" t="s">
        <v>855</v>
      </c>
      <c r="B5061" s="0" t="s">
        <v>73</v>
      </c>
      <c r="H5061" s="38" t="n">
        <f aca="false">Sens!$H$5036</f>
        <v>277.870120501355</v>
      </c>
      <c r="I5061" s="38" t="n">
        <f aca="false">Sens!$I$5036</f>
        <v>293.934464585378</v>
      </c>
      <c r="J5061" s="38" t="n">
        <f aca="false">Sens!$J$5036</f>
        <v>308.06904811359</v>
      </c>
      <c r="K5061" s="38" t="n">
        <f aca="false">Sens!$K$5036</f>
        <v>320.385735318248</v>
      </c>
      <c r="L5061" s="38" t="n">
        <f aca="false">Sens!$L$5036</f>
        <v>364.65641921833</v>
      </c>
      <c r="M5061" s="38" t="n">
        <f aca="false">Sens!$M$5036</f>
        <v>432.943173024858</v>
      </c>
    </row>
    <row r="5062" customFormat="false" ht="15" hidden="false" customHeight="false" outlineLevel="0" collapsed="false">
      <c r="A5062" s="5" t="s">
        <v>856</v>
      </c>
      <c r="B5062" s="0" t="s">
        <v>73</v>
      </c>
      <c r="H5062" s="38" t="n">
        <f aca="false">Sens!$H$5037</f>
        <v>1.6</v>
      </c>
      <c r="I5062" s="38" t="n">
        <f aca="false">Sens!$I$5037</f>
        <v>1.6</v>
      </c>
      <c r="J5062" s="38" t="n">
        <f aca="false">Sens!$J$5037</f>
        <v>1.6</v>
      </c>
      <c r="K5062" s="38" t="n">
        <f aca="false">Sens!$K$5037</f>
        <v>1.6</v>
      </c>
      <c r="L5062" s="38" t="n">
        <f aca="false">Sens!$L$5037</f>
        <v>1.6</v>
      </c>
      <c r="M5062" s="38" t="n">
        <f aca="false">Sens!$M$5037</f>
        <v>1.6</v>
      </c>
    </row>
    <row r="5063" customFormat="false" ht="15" hidden="false" customHeight="false" outlineLevel="0" collapsed="false">
      <c r="A5063" s="5" t="s">
        <v>857</v>
      </c>
      <c r="B5063" s="0" t="s">
        <v>73</v>
      </c>
      <c r="H5063" s="38" t="n">
        <f aca="false">Sens!$H$5031</f>
        <v>11.6369707537667</v>
      </c>
      <c r="I5063" s="38" t="n">
        <f aca="false">Sens!$I$5031</f>
        <v>13.3082502961262</v>
      </c>
      <c r="J5063" s="38" t="n">
        <f aca="false">Sens!$J$5031</f>
        <v>14.8747965344332</v>
      </c>
      <c r="K5063" s="38" t="n">
        <f aca="false">Sens!$K$5031</f>
        <v>16.2687901804328</v>
      </c>
      <c r="L5063" s="38" t="n">
        <f aca="false">Sens!$L$5031</f>
        <v>17.7280727627002</v>
      </c>
      <c r="M5063" s="38" t="n">
        <f aca="false">Sens!$M$5031</f>
        <v>19.2574690270319</v>
      </c>
    </row>
    <row r="5064" customFormat="false" ht="17.15" hidden="false" customHeight="false" outlineLevel="0" collapsed="false">
      <c r="A5064" s="1" t="s">
        <v>858</v>
      </c>
      <c r="B5064" s="8" t="s">
        <v>73</v>
      </c>
      <c r="H5064" s="38" t="n">
        <f aca="false">Sens!$H$5059+Sens!$H$5060-Sens!$H$5061-Sens!$H$5062+Sens!$H$5063</f>
        <v>-68.0547065976468</v>
      </c>
      <c r="I5064" s="38" t="n">
        <f aca="false">Sens!$I$5059+Sens!$I$5060-Sens!$I$5061-Sens!$I$5062+Sens!$I$5063</f>
        <v>-27.1523990796972</v>
      </c>
      <c r="J5064" s="38" t="n">
        <f aca="false">Sens!$J$5059+Sens!$J$5060-Sens!$J$5061-Sens!$J$5062+Sens!$J$5063</f>
        <v>13.5212664792573</v>
      </c>
      <c r="K5064" s="38" t="n">
        <f aca="false">Sens!$K$5059+Sens!$K$5060-Sens!$K$5061-Sens!$K$5062+Sens!$K$5063</f>
        <v>51.6701571688709</v>
      </c>
      <c r="L5064" s="38" t="n">
        <f aca="false">Sens!$L$5059+Sens!$L$5060-Sens!$L$5061-Sens!$L$5062+Sens!$L$5063</f>
        <v>57.7295702495933</v>
      </c>
      <c r="M5064" s="38" t="n">
        <f aca="false">Sens!$M$5059+Sens!$M$5060-Sens!$M$5061-Sens!$M$5062+Sens!$M$5063</f>
        <v>41.534508253082</v>
      </c>
    </row>
    <row r="5065" customFormat="false" ht="15" hidden="false" customHeight="false" outlineLevel="0" collapsed="false">
      <c r="A5065" s="5" t="s">
        <v>859</v>
      </c>
      <c r="B5065" s="0" t="s">
        <v>57</v>
      </c>
      <c r="H5065" s="51" t="n">
        <f aca="false">1/(1+wacc)^(2027-2026-0.5)</f>
        <v>0.942858177653364</v>
      </c>
      <c r="I5065" s="51" t="n">
        <f aca="false">1/(1+wacc)^(2028-2026-0.5)</f>
        <v>0.838183517758688</v>
      </c>
      <c r="J5065" s="51" t="n">
        <f aca="false">1/(1+wacc)^(2029-2026-0.5)</f>
        <v>0.745129677074952</v>
      </c>
      <c r="K5065" s="51" t="n">
        <f aca="false">1/(1+wacc)^(2030-2026-0.5)</f>
        <v>0.662406530186232</v>
      </c>
      <c r="L5065" s="51" t="n">
        <f aca="false">1/(1+wacc)^(2031-2026-0.5)</f>
        <v>0.588867179409399</v>
      </c>
      <c r="M5065" s="51" t="n">
        <f aca="false">1/(1+wacc)^(2032-2026-0.5)</f>
        <v>0.52349205387225</v>
      </c>
    </row>
    <row r="5066" customFormat="false" ht="15" hidden="false" customHeight="false" outlineLevel="0" collapsed="false">
      <c r="A5066" s="5" t="s">
        <v>860</v>
      </c>
      <c r="B5066" s="0" t="s">
        <v>73</v>
      </c>
      <c r="H5066" s="38" t="n">
        <f aca="false">Sens!$H$5064*Sens!$H$5065</f>
        <v>-64.1659366433916</v>
      </c>
      <c r="I5066" s="38" t="n">
        <f aca="false">Sens!$I$5064*Sens!$I$5065</f>
        <v>-22.7586933762084</v>
      </c>
      <c r="J5066" s="38" t="n">
        <f aca="false">Sens!$J$5064*Sens!$J$5065</f>
        <v>10.0750969253334</v>
      </c>
      <c r="K5066" s="38" t="n">
        <f aca="false">Sens!$K$5064*Sens!$K$5065</f>
        <v>34.226649524409</v>
      </c>
      <c r="L5066" s="38" t="n">
        <f aca="false">Sens!$L$5064*Sens!$L$5065</f>
        <v>33.9950492013948</v>
      </c>
      <c r="M5066" s="38" t="n">
        <f aca="false">Sens!$M$5064*Sens!$M$5065</f>
        <v>21.7429850319798</v>
      </c>
    </row>
    <row r="5067" customFormat="false" ht="15" hidden="false" customHeight="false" outlineLevel="0" collapsed="false">
      <c r="A5067" s="5" t="s">
        <v>861</v>
      </c>
      <c r="B5067" s="0" t="s">
        <v>73</v>
      </c>
      <c r="C5067" s="38" t="n">
        <f aca="false">SUM(Sens!$H$5066:$M$5066)</f>
        <v>13.115150663517</v>
      </c>
    </row>
    <row r="5068" customFormat="false" ht="17.15" hidden="false" customHeight="false" outlineLevel="0" collapsed="false">
      <c r="A5068" s="5" t="s">
        <v>862</v>
      </c>
      <c r="B5068" s="0" t="s">
        <v>73</v>
      </c>
      <c r="C5068" s="38" t="n">
        <f aca="false">Sens!$M$5059*(1+tg_lo)*(1-tg_lo/ronic)/(wacc-tg_lo)</f>
        <v>1627.35666601303</v>
      </c>
    </row>
    <row r="5069" customFormat="false" ht="15" hidden="false" customHeight="false" outlineLevel="0" collapsed="false">
      <c r="A5069" s="5" t="s">
        <v>863</v>
      </c>
      <c r="B5069" s="0" t="s">
        <v>73</v>
      </c>
      <c r="C5069" s="38" t="n">
        <f aca="false">Sens!$C$5068/(1+wacc)^6</f>
        <v>803.228691683966</v>
      </c>
    </row>
    <row r="5070" customFormat="false" ht="17.15" hidden="false" customHeight="false" outlineLevel="0" collapsed="false">
      <c r="A5070" s="5" t="s">
        <v>864</v>
      </c>
      <c r="B5070" s="0" t="s">
        <v>73</v>
      </c>
      <c r="C5070" s="38" t="n">
        <f aca="false">Sens!$C$5067+Sens!$C$5069</f>
        <v>816.343842347484</v>
      </c>
    </row>
    <row r="5071" customFormat="false" ht="17.15" hidden="false" customHeight="false" outlineLevel="0" collapsed="false">
      <c r="A5071" s="5" t="s">
        <v>865</v>
      </c>
      <c r="B5071" s="0" t="s">
        <v>52</v>
      </c>
      <c r="C5071" s="12" t="n">
        <f aca="false">Sens!$C$5069/Sens!$C$5070</f>
        <v>0.983934281140894</v>
      </c>
    </row>
    <row r="5072" customFormat="false" ht="17.15" hidden="false" customHeight="false" outlineLevel="0" collapsed="false">
      <c r="A5072" s="5" t="s">
        <v>866</v>
      </c>
      <c r="B5072" s="0" t="s">
        <v>73</v>
      </c>
      <c r="C5072" s="38" t="n">
        <f aca="false">Sens!$G$5049</f>
        <v>67.0428850873731</v>
      </c>
    </row>
    <row r="5073" customFormat="false" ht="17.15" hidden="false" customHeight="false" outlineLevel="0" collapsed="false">
      <c r="A5073" s="5" t="s">
        <v>867</v>
      </c>
      <c r="B5073" s="0" t="s">
        <v>73</v>
      </c>
      <c r="C5073" s="38" t="n">
        <f aca="false">(ant_val*ant_sh+oai_val*oai_sh)*(1-liq_disc)</f>
        <v>178.944</v>
      </c>
    </row>
    <row r="5074" customFormat="false" ht="15" hidden="false" customHeight="false" outlineLevel="0" collapsed="false">
      <c r="A5074" s="5" t="s">
        <v>868</v>
      </c>
      <c r="B5074" s="0" t="s">
        <v>73</v>
      </c>
      <c r="C5074" s="38" t="n">
        <f aca="false">Sens!$C$5070-Sens!$C$5072+Sens!$C$5073</f>
        <v>928.24495726011</v>
      </c>
    </row>
    <row r="5075" customFormat="false" ht="17.15" hidden="false" customHeight="false" outlineLevel="0" collapsed="false">
      <c r="A5075" s="5" t="s">
        <v>869</v>
      </c>
      <c r="B5075" s="0" t="s">
        <v>27</v>
      </c>
      <c r="C5075" s="30" t="n">
        <f aca="false">Sens!$C$5074/sh_val</f>
        <v>84.1539921039519</v>
      </c>
    </row>
    <row r="5076" customFormat="false" ht="17.15" hidden="false" customHeight="false" outlineLevel="0" collapsed="false">
      <c r="A5076" s="1" t="s">
        <v>870</v>
      </c>
      <c r="B5076" s="8" t="s">
        <v>27</v>
      </c>
      <c r="C5076" s="30" t="n">
        <f aca="false">Sens!$C$5075*(1+ke)^tp_yf</f>
        <v>92.943449112464</v>
      </c>
    </row>
    <row r="5077" customFormat="false" ht="17.15" hidden="false" customHeight="false" outlineLevel="0" collapsed="false">
      <c r="A5077" s="3" t="s">
        <v>871</v>
      </c>
    </row>
    <row r="5078" customFormat="false" ht="17.15" hidden="false" customHeight="false" outlineLevel="0" collapsed="false">
      <c r="A5078" s="5" t="s">
        <v>872</v>
      </c>
      <c r="B5078" s="0" t="s">
        <v>73</v>
      </c>
      <c r="C5078" s="38" t="n">
        <f aca="false">0.25*Sens!$H$5008+0.75*Sens!$I$5008</f>
        <v>57.5541093268329</v>
      </c>
    </row>
    <row r="5079" customFormat="false" ht="15" hidden="false" customHeight="false" outlineLevel="0" collapsed="false">
      <c r="A5079" s="5" t="s">
        <v>873</v>
      </c>
      <c r="B5079" s="0" t="s">
        <v>57</v>
      </c>
      <c r="C5079" s="30" t="n">
        <f aca="false">m_ads*m_x</f>
        <v>9.11</v>
      </c>
    </row>
    <row r="5080" customFormat="false" ht="17.15" hidden="false" customHeight="false" outlineLevel="0" collapsed="false">
      <c r="A5080" s="5" t="s">
        <v>874</v>
      </c>
      <c r="B5080" s="0" t="s">
        <v>73</v>
      </c>
      <c r="C5080" s="38" t="n">
        <f aca="false">Sens!$C$5078*Sens!$C$5079</f>
        <v>524.317935967448</v>
      </c>
    </row>
    <row r="5081" customFormat="false" ht="17.15" hidden="false" customHeight="false" outlineLevel="0" collapsed="false">
      <c r="A5081" s="5" t="s">
        <v>875</v>
      </c>
      <c r="B5081" s="0" t="s">
        <v>73</v>
      </c>
      <c r="C5081" s="38" t="n">
        <f aca="false">0.25*Sens!$H$5009+0.75*Sens!$I$5009</f>
        <v>30.6290803533085</v>
      </c>
    </row>
    <row r="5082" customFormat="false" ht="15" hidden="false" customHeight="false" outlineLevel="0" collapsed="false">
      <c r="A5082" s="5" t="s">
        <v>876</v>
      </c>
      <c r="B5082" s="0" t="s">
        <v>57</v>
      </c>
      <c r="C5082" s="30" t="n">
        <f aca="false">m_retail*m_x</f>
        <v>17.72</v>
      </c>
    </row>
    <row r="5083" customFormat="false" ht="17.15" hidden="false" customHeight="false" outlineLevel="0" collapsed="false">
      <c r="A5083" s="5" t="s">
        <v>877</v>
      </c>
      <c r="B5083" s="0" t="s">
        <v>73</v>
      </c>
      <c r="C5083" s="38" t="n">
        <f aca="false">Sens!$C$5081*Sens!$C$5082</f>
        <v>542.747303860627</v>
      </c>
    </row>
    <row r="5084" customFormat="false" ht="17.15" hidden="false" customHeight="false" outlineLevel="0" collapsed="false">
      <c r="A5084" s="0" t="s">
        <v>878</v>
      </c>
      <c r="B5084" s="0" t="s">
        <v>73</v>
      </c>
      <c r="C5084" s="38" t="n">
        <f aca="false">0.25*Sens!$H$5010+0.75*Sens!$I$5010</f>
        <v>107.575398943098</v>
      </c>
    </row>
    <row r="5085" customFormat="false" ht="17.15" hidden="false" customHeight="false" outlineLevel="0" collapsed="false">
      <c r="A5085" s="0" t="s">
        <v>879</v>
      </c>
      <c r="B5085" s="0" t="s">
        <v>57</v>
      </c>
      <c r="C5085" s="30" t="n">
        <f aca="false">m_cloud*m_x</f>
        <v>13.82</v>
      </c>
    </row>
    <row r="5086" customFormat="false" ht="17.15" hidden="false" customHeight="false" outlineLevel="0" collapsed="false">
      <c r="A5086" s="0" t="s">
        <v>880</v>
      </c>
      <c r="B5086" s="0" t="s">
        <v>73</v>
      </c>
      <c r="C5086" s="38" t="n">
        <f aca="false">Sens!$C$5084*Sens!$C$5085</f>
        <v>1486.69201339361</v>
      </c>
    </row>
    <row r="5087" customFormat="false" ht="17.15" hidden="false" customHeight="false" outlineLevel="0" collapsed="false">
      <c r="A5087" s="0" t="s">
        <v>881</v>
      </c>
      <c r="B5087" s="0" t="s">
        <v>73</v>
      </c>
      <c r="C5087" s="38" t="n">
        <f aca="false">0.25*Sens!$H$5011+0.75*Sens!$I$5011</f>
        <v>72.2947701247864</v>
      </c>
    </row>
    <row r="5088" customFormat="false" ht="17.15" hidden="false" customHeight="false" outlineLevel="0" collapsed="false">
      <c r="A5088" s="0" t="s">
        <v>882</v>
      </c>
      <c r="B5088" s="0" t="s">
        <v>57</v>
      </c>
      <c r="C5088" s="30" t="n">
        <f aca="false">m_ai</f>
        <v>6</v>
      </c>
    </row>
    <row r="5089" customFormat="false" ht="17.15" hidden="false" customHeight="false" outlineLevel="0" collapsed="false">
      <c r="A5089" s="0" t="s">
        <v>883</v>
      </c>
      <c r="B5089" s="0" t="s">
        <v>73</v>
      </c>
      <c r="C5089" s="38" t="n">
        <f aca="false">Sens!$C$5087*Sens!$C$5088</f>
        <v>433.768620748718</v>
      </c>
    </row>
    <row r="5090" customFormat="false" ht="17.15" hidden="false" customHeight="false" outlineLevel="0" collapsed="false">
      <c r="A5090" s="5" t="s">
        <v>884</v>
      </c>
      <c r="B5090" s="0" t="s">
        <v>73</v>
      </c>
      <c r="C5090" s="38" t="n">
        <f aca="false">Sens!$C$5080+Sens!$C$5083+Sens!$C$5086+Sens!$C$5089</f>
        <v>2987.5258739704</v>
      </c>
    </row>
    <row r="5091" customFormat="false" ht="17.15" hidden="false" customHeight="false" outlineLevel="0" collapsed="false">
      <c r="A5091" s="5" t="s">
        <v>885</v>
      </c>
      <c r="B5091" s="0" t="s">
        <v>73</v>
      </c>
      <c r="C5091" s="38" t="n">
        <f aca="false">Sens!$H$5049</f>
        <v>113.741590679904</v>
      </c>
    </row>
    <row r="5092" customFormat="false" ht="15" hidden="false" customHeight="false" outlineLevel="0" collapsed="false">
      <c r="A5092" s="5" t="s">
        <v>886</v>
      </c>
      <c r="B5092" s="0" t="s">
        <v>73</v>
      </c>
      <c r="C5092" s="38" t="n">
        <f aca="false">Sens!$C$5090-Sens!$C$5091+Sens!$C$5073</f>
        <v>3052.7282832905</v>
      </c>
    </row>
    <row r="5093" customFormat="false" ht="15" hidden="false" customHeight="false" outlineLevel="0" collapsed="false">
      <c r="A5093" s="3" t="s">
        <v>887</v>
      </c>
      <c r="B5093" s="8" t="s">
        <v>27</v>
      </c>
      <c r="C5093" s="30" t="n">
        <f aca="false">Sens!$C$5092/sh_val</f>
        <v>276.758058137828</v>
      </c>
    </row>
    <row r="5094" customFormat="false" ht="17.15" hidden="false" customHeight="false" outlineLevel="0" collapsed="false">
      <c r="A5094" s="46" t="s">
        <v>888</v>
      </c>
      <c r="B5094" s="13" t="s">
        <v>27</v>
      </c>
      <c r="C5094" s="43" t="n">
        <f aca="false">w_dcf*Sens!$C$5076+(1-w_dcf)*Sens!$C$5093</f>
        <v>184.850753625146</v>
      </c>
      <c r="D5094" s="13"/>
      <c r="E5094" s="13"/>
      <c r="F5094" s="13"/>
      <c r="G5094" s="13"/>
      <c r="H5094" s="13"/>
      <c r="I5094" s="13"/>
      <c r="J5094" s="13"/>
      <c r="K5094" s="13"/>
      <c r="L5094" s="13"/>
      <c r="M5094" s="13"/>
      <c r="N5094" s="13"/>
      <c r="O5094" s="13"/>
    </row>
    <row r="5095" customFormat="false" ht="17.15" hidden="false" customHeight="false" outlineLevel="0" collapsed="false">
      <c r="A5095" s="5" t="s">
        <v>889</v>
      </c>
      <c r="B5095" s="0" t="s">
        <v>27</v>
      </c>
      <c r="C5095" s="30" t="n">
        <f aca="false">0.45*Sens!$C$5076+0.55*Sens!$C$5093</f>
        <v>194.041484076414</v>
      </c>
    </row>
    <row r="5098" customFormat="false" ht="19.4" hidden="false" customHeight="false" outlineLevel="0" collapsed="false">
      <c r="A5098" s="31" t="s">
        <v>1155</v>
      </c>
    </row>
    <row r="5099" customFormat="false" ht="17.15" hidden="false" customHeight="false" outlineLevel="0" collapsed="false">
      <c r="A5099" s="6" t="s">
        <v>16</v>
      </c>
      <c r="B5099" s="6" t="s">
        <v>17</v>
      </c>
      <c r="C5099" s="20" t="s">
        <v>457</v>
      </c>
      <c r="D5099" s="20" t="s">
        <v>458</v>
      </c>
      <c r="E5099" s="20" t="s">
        <v>540</v>
      </c>
      <c r="F5099" s="20" t="s">
        <v>541</v>
      </c>
      <c r="G5099" s="20" t="s">
        <v>542</v>
      </c>
      <c r="H5099" s="20" t="s">
        <v>543</v>
      </c>
      <c r="I5099" s="20" t="s">
        <v>544</v>
      </c>
      <c r="J5099" s="20" t="s">
        <v>545</v>
      </c>
      <c r="K5099" s="20" t="s">
        <v>546</v>
      </c>
      <c r="L5099" s="20" t="s">
        <v>547</v>
      </c>
      <c r="M5099" s="20" t="s">
        <v>548</v>
      </c>
      <c r="N5099" s="20" t="s">
        <v>549</v>
      </c>
      <c r="O5099" s="20" t="s">
        <v>550</v>
      </c>
      <c r="P5099" s="6" t="s">
        <v>23</v>
      </c>
      <c r="R5099" s="20" t="n">
        <v>2023</v>
      </c>
      <c r="S5099" s="20" t="n">
        <v>2024</v>
      </c>
      <c r="T5099" s="20" t="n">
        <v>2025</v>
      </c>
      <c r="U5099" s="20" t="n">
        <v>2026</v>
      </c>
      <c r="V5099" s="20" t="n">
        <v>2027</v>
      </c>
      <c r="W5099" s="20" t="n">
        <v>2028</v>
      </c>
      <c r="X5099" s="20" t="n">
        <v>2029</v>
      </c>
      <c r="Y5099" s="20" t="n">
        <v>2030</v>
      </c>
      <c r="Z5099" s="20" t="n">
        <v>2031</v>
      </c>
      <c r="AA5099" s="20" t="n">
        <v>2032</v>
      </c>
    </row>
    <row r="5100" customFormat="false" ht="17.15" hidden="false" customHeight="false" outlineLevel="0" collapsed="false">
      <c r="A5100" s="1" t="s">
        <v>621</v>
      </c>
    </row>
    <row r="5101" customFormat="false" ht="17.15" hidden="false" customHeight="false" outlineLevel="0" collapsed="false">
      <c r="A5101" s="0" t="s">
        <v>479</v>
      </c>
      <c r="B5101" s="0" t="s">
        <v>73</v>
      </c>
      <c r="C5101" s="38" t="n">
        <f aca="false">Q!$D$10</f>
        <v>247.029</v>
      </c>
      <c r="D5101" s="38" t="n">
        <f aca="false">Q!$E$10</f>
        <v>269.287</v>
      </c>
      <c r="E5101" s="38" t="n">
        <f aca="false">Q!$P$10</f>
        <v>134.686</v>
      </c>
      <c r="F5101" s="38" t="n">
        <f aca="false">Sens!$O$5101*(1+Sens!$F$5102)-pd_amt*Q!$O$10/(Q!$O$10+Q!$O$12)</f>
        <v>160.728085930082</v>
      </c>
      <c r="G5101" s="38" t="n">
        <f aca="false">Sens!$E$5101+Sens!$F$5101</f>
        <v>295.414085930082</v>
      </c>
      <c r="H5101" s="38" t="n">
        <f aca="false">Sens!$G$5101*(1+Sens!$H$5102)</f>
        <v>320.828163943375</v>
      </c>
      <c r="I5101" s="38" t="n">
        <f aca="false">Sens!$H$5101*(1+Sens!$I$5102)</f>
        <v>344.575578072228</v>
      </c>
      <c r="J5101" s="38" t="n">
        <f aca="false">Sens!$I$5101*(1+Sens!$J$5102)</f>
        <v>365.942555779681</v>
      </c>
      <c r="K5101" s="38" t="n">
        <f aca="false">Sens!$J$5101*(1+Sens!$K$5102)</f>
        <v>384.239683568665</v>
      </c>
      <c r="L5101" s="38" t="n">
        <f aca="false">Sens!$K$5101*(1+Sens!$L$5102)</f>
        <v>403.451667747098</v>
      </c>
      <c r="M5101" s="38" t="n">
        <f aca="false">Sens!$L$5101*(1+Sens!$M$5102)</f>
        <v>423.624251134453</v>
      </c>
      <c r="N5101" s="38" t="n">
        <f aca="false">Q!$N$10</f>
        <v>118.892</v>
      </c>
      <c r="O5101" s="38" t="n">
        <f aca="false">Q!$O$10</f>
        <v>150.395</v>
      </c>
      <c r="P5101" s="8" t="s">
        <v>622</v>
      </c>
    </row>
    <row r="5102" customFormat="false" ht="17.15" hidden="false" customHeight="false" outlineLevel="0" collapsed="false">
      <c r="A5102" s="0" t="s">
        <v>623</v>
      </c>
      <c r="B5102" s="0" t="s">
        <v>52</v>
      </c>
      <c r="E5102" s="12" t="n">
        <f aca="false">Sens!$E$5101/Sens!$N$5101-1</f>
        <v>0.132843252699929</v>
      </c>
      <c r="F5102" s="12" t="n">
        <f aca="false">Sens!$O$5101/(Q!$F$10+Q!$G$10)-1</f>
        <v>0.0980382135842941</v>
      </c>
      <c r="G5102" s="12" t="n">
        <f aca="false">Sens!$G$5101/Sens!$D$5101-1</f>
        <v>0.0970231980380869</v>
      </c>
      <c r="H5102" s="12" t="n">
        <f aca="false">Sens!$F$5102+(g_os-Sens!$F$5102)*1/4</f>
        <v>0.0860286601882206</v>
      </c>
      <c r="I5102" s="12" t="n">
        <f aca="false">Sens!$F$5102+(g_os-Sens!$F$5102)*2/4</f>
        <v>0.074019106792147</v>
      </c>
      <c r="J5102" s="12" t="n">
        <f aca="false">Sens!$F$5102+(g_os-Sens!$F$5102)*3/4</f>
        <v>0.0620095533960735</v>
      </c>
      <c r="K5102" s="12" t="n">
        <f aca="false">Sens!$F$5102+(g_os-Sens!$F$5102)*4/4</f>
        <v>0.05</v>
      </c>
      <c r="L5102" s="12" t="n">
        <f aca="false">g_os</f>
        <v>0.05</v>
      </c>
      <c r="M5102" s="12" t="n">
        <f aca="false">g_os</f>
        <v>0.05</v>
      </c>
      <c r="P5102" s="8" t="s">
        <v>624</v>
      </c>
    </row>
    <row r="5103" customFormat="false" ht="17.15" hidden="false" customHeight="false" outlineLevel="0" collapsed="false">
      <c r="A5103" s="0" t="s">
        <v>480</v>
      </c>
      <c r="B5103" s="0" t="s">
        <v>73</v>
      </c>
      <c r="C5103" s="38" t="n">
        <f aca="false">Q!$D$11</f>
        <v>21.215</v>
      </c>
      <c r="D5103" s="38" t="n">
        <f aca="false">Q!$E$11</f>
        <v>22.561</v>
      </c>
      <c r="E5103" s="38" t="n">
        <f aca="false">Q!$P$11</f>
        <v>11.579</v>
      </c>
      <c r="F5103" s="38" t="n">
        <f aca="false">Sens!$O$5103*(1+Sens!$F$5104)</f>
        <v>12.0952613121125</v>
      </c>
      <c r="G5103" s="38" t="n">
        <f aca="false">Sens!$E$5103+Sens!$F$5103</f>
        <v>23.6742613121125</v>
      </c>
      <c r="H5103" s="38" t="n">
        <f aca="false">Sens!$G$5103*(1+Sens!$H$5104)</f>
        <v>24.8803243963206</v>
      </c>
      <c r="I5103" s="38" t="n">
        <f aca="false">Sens!$H$5103*(1+Sens!$I$5104)</f>
        <v>25.9741308664154</v>
      </c>
      <c r="J5103" s="38" t="n">
        <f aca="false">Sens!$I$5103*(1+Sens!$J$5104)</f>
        <v>26.9346894124267</v>
      </c>
      <c r="K5103" s="38" t="n">
        <f aca="false">Sens!$J$5103*(1+Sens!$K$5104)</f>
        <v>27.7427300947995</v>
      </c>
      <c r="L5103" s="38" t="n">
        <f aca="false">Sens!$K$5103*(1+Sens!$L$5104)</f>
        <v>28.5750119976435</v>
      </c>
      <c r="M5103" s="38" t="n">
        <f aca="false">Sens!$L$5103*(1+Sens!$M$5104)</f>
        <v>29.4322623575728</v>
      </c>
      <c r="N5103" s="38" t="n">
        <f aca="false">Q!$N$11</f>
        <v>11.128</v>
      </c>
      <c r="O5103" s="38" t="n">
        <f aca="false">Q!$O$11</f>
        <v>11.433</v>
      </c>
      <c r="P5103" s="8" t="s">
        <v>622</v>
      </c>
    </row>
    <row r="5104" customFormat="false" ht="17.15" hidden="false" customHeight="false" outlineLevel="0" collapsed="false">
      <c r="A5104" s="0" t="s">
        <v>625</v>
      </c>
      <c r="B5104" s="0" t="s">
        <v>52</v>
      </c>
      <c r="E5104" s="12" t="n">
        <f aca="false">Sens!$E$5103/Sens!$N$5103-1</f>
        <v>0.0405283968368082</v>
      </c>
      <c r="F5104" s="12" t="n">
        <f aca="false">Sens!$O$5103/(Q!$F$11+Q!$G$11)-1</f>
        <v>0.0579254187100955</v>
      </c>
      <c r="G5104" s="12" t="n">
        <f aca="false">Sens!$G$5103/Sens!$D$5103-1</f>
        <v>0.0493445021103904</v>
      </c>
      <c r="H5104" s="12" t="n">
        <f aca="false">Sens!$F$5104+(g_ps-Sens!$F$5104)*1/4</f>
        <v>0.0509440640325716</v>
      </c>
      <c r="I5104" s="12" t="n">
        <f aca="false">Sens!$F$5104+(g_ps-Sens!$F$5104)*2/4</f>
        <v>0.0439627093550477</v>
      </c>
      <c r="J5104" s="12" t="n">
        <f aca="false">Sens!$F$5104+(g_ps-Sens!$F$5104)*3/4</f>
        <v>0.0369813546775239</v>
      </c>
      <c r="K5104" s="12" t="n">
        <f aca="false">Sens!$F$5104+(g_ps-Sens!$F$5104)*4/4</f>
        <v>0.03</v>
      </c>
      <c r="L5104" s="12" t="n">
        <f aca="false">g_ps</f>
        <v>0.03</v>
      </c>
      <c r="M5104" s="12" t="n">
        <f aca="false">g_ps</f>
        <v>0.03</v>
      </c>
      <c r="P5104" s="8" t="s">
        <v>626</v>
      </c>
    </row>
    <row r="5105" customFormat="false" ht="17.15" hidden="false" customHeight="false" outlineLevel="0" collapsed="false">
      <c r="A5105" s="0" t="s">
        <v>481</v>
      </c>
      <c r="B5105" s="0" t="s">
        <v>73</v>
      </c>
      <c r="C5105" s="38" t="n">
        <f aca="false">Q!$D$12</f>
        <v>156.146</v>
      </c>
      <c r="D5105" s="38" t="n">
        <f aca="false">Q!$E$12</f>
        <v>172.162</v>
      </c>
      <c r="E5105" s="38" t="n">
        <f aca="false">Q!$P$12</f>
        <v>88.358</v>
      </c>
      <c r="F5105" s="38" t="n">
        <f aca="false">Sens!$O$5105*(1+Sens!$F$5106)-pd_amt*Q!$O$12/(Q!$O$10+Q!$O$12)</f>
        <v>103.62028337149</v>
      </c>
      <c r="G5105" s="38" t="n">
        <f aca="false">Sens!$E$5105+Sens!$F$5105</f>
        <v>191.97828337149</v>
      </c>
      <c r="H5105" s="38" t="n">
        <f aca="false">Sens!$G$5105*(1+Sens!$H$5106)</f>
        <v>212.128608444755</v>
      </c>
      <c r="I5105" s="38" t="n">
        <f aca="false">Sens!$H$5105*(1+Sens!$I$5106)</f>
        <v>231.92183134134</v>
      </c>
      <c r="J5105" s="38" t="n">
        <f aca="false">Sens!$I$5105*(1+Sens!$J$5106)</f>
        <v>250.859136487863</v>
      </c>
      <c r="K5105" s="38" t="n">
        <f aca="false">Sens!$J$5105*(1+Sens!$K$5106)</f>
        <v>268.419276042014</v>
      </c>
      <c r="L5105" s="38" t="n">
        <f aca="false">Sens!$K$5105*(1+Sens!$L$5106)</f>
        <v>287.208625364954</v>
      </c>
      <c r="M5105" s="38" t="n">
        <f aca="false">Sens!$L$5105*(1+Sens!$M$5106)</f>
        <v>307.313229140501</v>
      </c>
      <c r="N5105" s="38" t="n">
        <f aca="false">Q!$N$12</f>
        <v>76.86</v>
      </c>
      <c r="O5105" s="38" t="n">
        <f aca="false">Q!$O$12</f>
        <v>95.302</v>
      </c>
      <c r="P5105" s="8" t="s">
        <v>622</v>
      </c>
    </row>
    <row r="5106" customFormat="false" ht="17.15" hidden="false" customHeight="false" outlineLevel="0" collapsed="false">
      <c r="A5106" s="0" t="s">
        <v>627</v>
      </c>
      <c r="B5106" s="0" t="s">
        <v>52</v>
      </c>
      <c r="E5106" s="12" t="n">
        <f aca="false">Sens!$E$5105/Sens!$N$5105-1</f>
        <v>0.1495966692688</v>
      </c>
      <c r="F5106" s="12" t="n">
        <f aca="false">Sens!$O$5105/(Q!$F$12+Q!$G$12)-1</f>
        <v>0.11661530890813</v>
      </c>
      <c r="G5106" s="12" t="n">
        <f aca="false">Sens!$G$5105/Sens!$D$5105-1</f>
        <v>0.115102539303041</v>
      </c>
      <c r="H5106" s="12" t="n">
        <f aca="false">Sens!$F$5106+(g_sp-Sens!$F$5106)*1/4</f>
        <v>0.104961481681098</v>
      </c>
      <c r="I5106" s="12" t="n">
        <f aca="false">Sens!$F$5106+(g_sp-Sens!$F$5106)*2/4</f>
        <v>0.0933076544540651</v>
      </c>
      <c r="J5106" s="12" t="n">
        <f aca="false">Sens!$F$5106+(g_sp-Sens!$F$5106)*3/4</f>
        <v>0.0816538272270325</v>
      </c>
      <c r="K5106" s="12" t="n">
        <f aca="false">Sens!$F$5106+(g_sp-Sens!$F$5106)*4/4</f>
        <v>0.07</v>
      </c>
      <c r="L5106" s="12" t="n">
        <f aca="false">g_sp</f>
        <v>0.07</v>
      </c>
      <c r="M5106" s="12" t="n">
        <f aca="false">g_sp</f>
        <v>0.07</v>
      </c>
      <c r="P5106" s="8" t="s">
        <v>628</v>
      </c>
    </row>
    <row r="5107" customFormat="false" ht="17.15" hidden="false" customHeight="false" outlineLevel="0" collapsed="false">
      <c r="A5107" s="0" t="s">
        <v>482</v>
      </c>
      <c r="B5107" s="0" t="s">
        <v>73</v>
      </c>
      <c r="C5107" s="38" t="n">
        <f aca="false">Q!$D$13</f>
        <v>56.214</v>
      </c>
      <c r="D5107" s="38" t="n">
        <f aca="false">Q!$E$13</f>
        <v>68.635</v>
      </c>
      <c r="E5107" s="38" t="n">
        <f aca="false">Q!$P$13</f>
        <v>37.052</v>
      </c>
      <c r="F5107" s="38" t="n">
        <f aca="false">Sens!$O$5107*(1+Sens!$F$5108)</f>
        <v>48.1533381827382</v>
      </c>
      <c r="G5107" s="38" t="n">
        <f aca="false">Sens!$E$5107+Sens!$F$5107</f>
        <v>85.2053381827382</v>
      </c>
      <c r="H5107" s="38" t="n">
        <f aca="false">Sens!$G$5107*(1+Sens!$H$5108)</f>
        <v>102.29336185894</v>
      </c>
      <c r="I5107" s="38" t="n">
        <f aca="false">Sens!$H$5107*(1+Sens!$I$5108)</f>
        <v>119.379837585241</v>
      </c>
      <c r="J5107" s="38" t="n">
        <f aca="false">Sens!$I$5107*(1+Sens!$J$5108)</f>
        <v>135.319079048844</v>
      </c>
      <c r="K5107" s="38" t="n">
        <f aca="false">Sens!$J$5107*(1+Sens!$K$5108)</f>
        <v>148.850986953729</v>
      </c>
      <c r="L5107" s="38" t="n">
        <f aca="false">Sens!$K$5107*(1+Sens!$L$5108)</f>
        <v>163.736085649102</v>
      </c>
      <c r="M5107" s="38" t="n">
        <f aca="false">Sens!$L$5107*(1+Sens!$M$5108)</f>
        <v>180.109694214012</v>
      </c>
      <c r="N5107" s="38" t="n">
        <f aca="false">Q!$N$13</f>
        <v>29.615</v>
      </c>
      <c r="O5107" s="38" t="n">
        <f aca="false">Q!$O$13</f>
        <v>39.02</v>
      </c>
      <c r="P5107" s="8" t="s">
        <v>622</v>
      </c>
    </row>
    <row r="5108" customFormat="false" ht="17.15" hidden="false" customHeight="false" outlineLevel="0" collapsed="false">
      <c r="A5108" s="0" t="s">
        <v>629</v>
      </c>
      <c r="B5108" s="0" t="s">
        <v>52</v>
      </c>
      <c r="E5108" s="12" t="n">
        <f aca="false">Sens!$E$5107/Sens!$N$5107-1</f>
        <v>0.25112274185379</v>
      </c>
      <c r="F5108" s="12" t="n">
        <f aca="false">Sens!$O$5107/(Q!$F$13+Q!$G$13)-1</f>
        <v>0.234068123596572</v>
      </c>
      <c r="G5108" s="12" t="n">
        <f aca="false">Sens!$G$5107/Sens!$D$5107-1</f>
        <v>0.241426942270536</v>
      </c>
      <c r="H5108" s="12" t="n">
        <f aca="false">Sens!$F$5108+(g_ad-Sens!$F$5108)*1/4</f>
        <v>0.200551092697429</v>
      </c>
      <c r="I5108" s="12" t="n">
        <f aca="false">Sens!$F$5108+(g_ad-Sens!$F$5108)*2/4</f>
        <v>0.167034061798286</v>
      </c>
      <c r="J5108" s="12" t="n">
        <f aca="false">Sens!$F$5108+(g_ad-Sens!$F$5108)*3/4</f>
        <v>0.133517030899143</v>
      </c>
      <c r="K5108" s="12" t="n">
        <f aca="false">Sens!$F$5108+(g_ad-Sens!$F$5108)*4/4</f>
        <v>0.1</v>
      </c>
      <c r="L5108" s="12" t="n">
        <f aca="false">g_ad</f>
        <v>0.1</v>
      </c>
      <c r="M5108" s="12" t="n">
        <f aca="false">g_ad</f>
        <v>0.1</v>
      </c>
      <c r="P5108" s="8" t="s">
        <v>630</v>
      </c>
    </row>
    <row r="5109" customFormat="false" ht="17.15" hidden="false" customHeight="false" outlineLevel="0" collapsed="false">
      <c r="A5109" s="0" t="s">
        <v>483</v>
      </c>
      <c r="B5109" s="0" t="s">
        <v>73</v>
      </c>
      <c r="C5109" s="38" t="n">
        <f aca="false">Q!$D$14</f>
        <v>44.374</v>
      </c>
      <c r="D5109" s="38" t="n">
        <f aca="false">Q!$E$14</f>
        <v>49.619</v>
      </c>
      <c r="E5109" s="38" t="n">
        <f aca="false">Q!$P$14</f>
        <v>27.157</v>
      </c>
      <c r="F5109" s="38" t="n">
        <f aca="false">Sens!$O$5109*(1+Sens!$F$5110)</f>
        <v>28.9776360923374</v>
      </c>
      <c r="G5109" s="38" t="n">
        <f aca="false">Sens!$E$5109+Sens!$F$5109</f>
        <v>56.1346360923374</v>
      </c>
      <c r="H5109" s="38" t="n">
        <f aca="false">Sens!$G$5109*(1+Sens!$H$5110)</f>
        <v>62.4937078946075</v>
      </c>
      <c r="I5109" s="38" t="n">
        <f aca="false">Sens!$H$5109*(1+Sens!$I$5110)</f>
        <v>68.6715233062498</v>
      </c>
      <c r="J5109" s="38" t="n">
        <f aca="false">Sens!$I$5109*(1+Sens!$J$5110)</f>
        <v>74.4692882949818</v>
      </c>
      <c r="K5109" s="38" t="n">
        <f aca="false">Sens!$J$5109*(1+Sens!$K$5110)</f>
        <v>79.6821384756306</v>
      </c>
      <c r="L5109" s="38" t="n">
        <f aca="false">Sens!$K$5109*(1+Sens!$L$5110)</f>
        <v>85.2598881689247</v>
      </c>
      <c r="M5109" s="38" t="n">
        <f aca="false">Sens!$L$5109*(1+Sens!$M$5110)</f>
        <v>91.2280803407494</v>
      </c>
      <c r="N5109" s="38" t="n">
        <f aca="false">Q!$N$14</f>
        <v>23.923</v>
      </c>
      <c r="O5109" s="38" t="n">
        <f aca="false">Q!$O$14</f>
        <v>25.696</v>
      </c>
      <c r="P5109" s="8" t="s">
        <v>622</v>
      </c>
    </row>
    <row r="5110" customFormat="false" ht="17.15" hidden="false" customHeight="false" outlineLevel="0" collapsed="false">
      <c r="A5110" s="0" t="s">
        <v>631</v>
      </c>
      <c r="B5110" s="0" t="s">
        <v>52</v>
      </c>
      <c r="E5110" s="12" t="n">
        <f aca="false">Sens!$E$5109/Sens!$N$5109-1</f>
        <v>0.135183714417088</v>
      </c>
      <c r="F5110" s="12" t="n">
        <f aca="false">Sens!$O$5109/(Q!$F$14+Q!$G$14)-1</f>
        <v>0.127709997366804</v>
      </c>
      <c r="G5110" s="12" t="n">
        <f aca="false">Sens!$G$5109/Sens!$D$5109-1</f>
        <v>0.131313329416905</v>
      </c>
      <c r="H5110" s="12" t="n">
        <f aca="false">Sens!$F$5110+(g_sub-Sens!$F$5110)*1/4</f>
        <v>0.113282498025103</v>
      </c>
      <c r="I5110" s="12" t="n">
        <f aca="false">Sens!$F$5110+(g_sub-Sens!$F$5110)*2/4</f>
        <v>0.0988549986834021</v>
      </c>
      <c r="J5110" s="12" t="n">
        <f aca="false">Sens!$F$5110+(g_sub-Sens!$F$5110)*3/4</f>
        <v>0.084427499341701</v>
      </c>
      <c r="K5110" s="12" t="n">
        <f aca="false">Sens!$F$5110+(g_sub-Sens!$F$5110)*4/4</f>
        <v>0.07</v>
      </c>
      <c r="L5110" s="12" t="n">
        <f aca="false">g_sub</f>
        <v>0.07</v>
      </c>
      <c r="M5110" s="12" t="n">
        <f aca="false">g_sub</f>
        <v>0.07</v>
      </c>
      <c r="P5110" s="8" t="s">
        <v>632</v>
      </c>
    </row>
    <row r="5111" customFormat="false" ht="17.15" hidden="false" customHeight="false" outlineLevel="0" collapsed="false">
      <c r="A5111" s="0" t="s">
        <v>484</v>
      </c>
      <c r="B5111" s="0" t="s">
        <v>73</v>
      </c>
      <c r="C5111" s="38" t="n">
        <f aca="false">Q!$D$15</f>
        <v>5.425</v>
      </c>
      <c r="D5111" s="38" t="n">
        <f aca="false">Q!$E$15</f>
        <v>5.935</v>
      </c>
      <c r="E5111" s="38" t="n">
        <f aca="false">Q!$P$15</f>
        <v>3.474</v>
      </c>
      <c r="F5111" s="38" t="n">
        <f aca="false">Sens!$O$5111*(1+Sens!$F$5112)</f>
        <v>3.36182431966931</v>
      </c>
      <c r="G5111" s="38" t="n">
        <f aca="false">Sens!$E$5111+Sens!$F$5111</f>
        <v>6.83582431966931</v>
      </c>
      <c r="H5111" s="38" t="n">
        <f aca="false">Sens!$G$5111*(1+Sens!$H$5112)</f>
        <v>7.31157108370141</v>
      </c>
      <c r="I5111" s="38" t="n">
        <f aca="false">Sens!$H$5111*(1+Sens!$I$5112)</f>
        <v>7.77266852639815</v>
      </c>
      <c r="J5111" s="38" t="n">
        <f aca="false">Sens!$I$5111*(1+Sens!$J$5112)</f>
        <v>8.2120733019884</v>
      </c>
      <c r="K5111" s="38" t="n">
        <f aca="false">Sens!$J$5111*(1+Sens!$K$5112)</f>
        <v>8.62267696708783</v>
      </c>
      <c r="L5111" s="38" t="n">
        <f aca="false">Sens!$K$5111*(1+Sens!$L$5112)</f>
        <v>9.05381081544222</v>
      </c>
      <c r="M5111" s="38" t="n">
        <f aca="false">Sens!$L$5111*(1+Sens!$M$5112)</f>
        <v>9.50650135621433</v>
      </c>
      <c r="N5111" s="38" t="n">
        <f aca="false">Q!$N$15</f>
        <v>2.811</v>
      </c>
      <c r="O5111" s="38" t="n">
        <f aca="false">Q!$O$15</f>
        <v>3.124</v>
      </c>
      <c r="P5111" s="8" t="s">
        <v>622</v>
      </c>
    </row>
    <row r="5112" customFormat="false" ht="17.15" hidden="false" customHeight="false" outlineLevel="0" collapsed="false">
      <c r="A5112" s="0" t="s">
        <v>633</v>
      </c>
      <c r="B5112" s="0" t="s">
        <v>52</v>
      </c>
      <c r="E5112" s="12" t="n">
        <f aca="false">Sens!$E$5111/Sens!$N$5111-1</f>
        <v>0.235859124866596</v>
      </c>
      <c r="F5112" s="12" t="n">
        <f aca="false">Sens!$O$5111/(Q!$F$15+Q!$G$15)-1</f>
        <v>0.0761281433000345</v>
      </c>
      <c r="G5112" s="12" t="n">
        <f aca="false">Sens!$G$5111/Sens!$D$5111-1</f>
        <v>0.151781688234087</v>
      </c>
      <c r="H5112" s="12" t="n">
        <f aca="false">Sens!$F$5112+(g_ot-Sens!$F$5112)*1/4</f>
        <v>0.0695961074750259</v>
      </c>
      <c r="I5112" s="12" t="n">
        <f aca="false">Sens!$F$5112+(g_ot-Sens!$F$5112)*2/4</f>
        <v>0.0630640716500172</v>
      </c>
      <c r="J5112" s="12" t="n">
        <f aca="false">Sens!$F$5112+(g_ot-Sens!$F$5112)*3/4</f>
        <v>0.0565320358250086</v>
      </c>
      <c r="K5112" s="12" t="n">
        <f aca="false">Sens!$F$5112+(g_ot-Sens!$F$5112)*4/4</f>
        <v>0.05</v>
      </c>
      <c r="L5112" s="12" t="n">
        <f aca="false">g_ot</f>
        <v>0.05</v>
      </c>
      <c r="M5112" s="12" t="n">
        <f aca="false">g_ot</f>
        <v>0.05</v>
      </c>
      <c r="P5112" s="8" t="s">
        <v>634</v>
      </c>
    </row>
    <row r="5113" customFormat="false" ht="17.15" hidden="false" customHeight="false" outlineLevel="0" collapsed="false">
      <c r="A5113" s="3" t="s">
        <v>635</v>
      </c>
      <c r="B5113" s="8" t="s">
        <v>73</v>
      </c>
      <c r="C5113" s="38" t="n">
        <f aca="false">Sens!$C$5101+Sens!$C$5103+Sens!$C$5105+Sens!$C$5107+Sens!$C$5109+Sens!$C$5111</f>
        <v>530.403</v>
      </c>
      <c r="D5113" s="38" t="n">
        <f aca="false">Sens!$D$5101+Sens!$D$5103+Sens!$D$5105+Sens!$D$5107+Sens!$D$5109+Sens!$D$5111</f>
        <v>588.199</v>
      </c>
      <c r="E5113" s="38" t="n">
        <f aca="false">Sens!$E$5101+Sens!$E$5103+Sens!$E$5105+Sens!$E$5107+Sens!$E$5109+Sens!$E$5111</f>
        <v>302.306</v>
      </c>
      <c r="F5113" s="38" t="n">
        <f aca="false">Sens!$F$5101+Sens!$F$5103+Sens!$F$5105+Sens!$F$5107+Sens!$F$5109+Sens!$F$5111</f>
        <v>356.93642920843</v>
      </c>
      <c r="G5113" s="38" t="n">
        <f aca="false">Sens!$G$5101+Sens!$G$5103+Sens!$G$5105+Sens!$G$5107+Sens!$G$5109+Sens!$G$5111</f>
        <v>659.24242920843</v>
      </c>
      <c r="H5113" s="38" t="n">
        <f aca="false">Sens!$H$5101+Sens!$H$5103+Sens!$H$5105+Sens!$H$5107+Sens!$H$5109+Sens!$H$5111</f>
        <v>729.935737621701</v>
      </c>
      <c r="I5113" s="38" t="n">
        <f aca="false">Sens!$I$5101+Sens!$I$5103+Sens!$I$5105+Sens!$I$5107+Sens!$I$5109+Sens!$I$5111</f>
        <v>798.295569697873</v>
      </c>
      <c r="J5113" s="38" t="n">
        <f aca="false">Sens!$J$5101+Sens!$J$5103+Sens!$J$5105+Sens!$J$5107+Sens!$J$5109+Sens!$J$5111</f>
        <v>861.736822325785</v>
      </c>
      <c r="K5113" s="38" t="n">
        <f aca="false">Sens!$K$5101+Sens!$K$5103+Sens!$K$5105+Sens!$K$5107+Sens!$K$5109+Sens!$K$5111</f>
        <v>917.557492101925</v>
      </c>
      <c r="L5113" s="38" t="n">
        <f aca="false">Sens!$L$5101+Sens!$L$5103+Sens!$L$5105+Sens!$L$5107+Sens!$L$5109+Sens!$L$5111</f>
        <v>977.285089743165</v>
      </c>
      <c r="M5113" s="38" t="n">
        <f aca="false">Sens!$M$5101+Sens!$M$5103+Sens!$M$5105+Sens!$M$5107+Sens!$M$5109+Sens!$M$5111</f>
        <v>1041.2140185435</v>
      </c>
      <c r="N5113" s="38" t="n">
        <f aca="false">Sens!$N$5101+Sens!$N$5103+Sens!$N$5105+Sens!$N$5107+Sens!$N$5109+Sens!$N$5111</f>
        <v>263.229</v>
      </c>
      <c r="O5113" s="38" t="n">
        <f aca="false">Sens!$O$5101+Sens!$O$5103+Sens!$O$5105+Sens!$O$5107+Sens!$O$5109+Sens!$O$5111</f>
        <v>324.97</v>
      </c>
    </row>
    <row r="5114" customFormat="false" ht="17.15" hidden="false" customHeight="false" outlineLevel="0" collapsed="false">
      <c r="A5114" s="5" t="s">
        <v>636</v>
      </c>
      <c r="B5114" s="0" t="s">
        <v>52</v>
      </c>
      <c r="C5114" s="12" t="n">
        <f aca="false">Q!$D$5/(Q!$D$5+Q!$D$6)</f>
        <v>0.730570905519011</v>
      </c>
      <c r="D5114" s="12" t="n">
        <f aca="false">Q!$E$5/(Q!$E$5+Q!$E$6)</f>
        <v>0.724763217890544</v>
      </c>
      <c r="E5114" s="12" t="n">
        <f aca="false">Q!$P$5/(Q!$P$5+Q!$P$6)</f>
        <v>0.728797972914861</v>
      </c>
      <c r="F5114" s="12" t="n">
        <f aca="false">Sens!$O$5114</f>
        <v>0.718066283041511</v>
      </c>
      <c r="G5114" s="12" t="n">
        <f aca="false">Sens!$G$5115/Sens!$G$5113</f>
        <v>0.722987468473627</v>
      </c>
      <c r="H5114" s="12" t="n">
        <f aca="false">Sens!$G$5114</f>
        <v>0.722987468473627</v>
      </c>
      <c r="I5114" s="12" t="n">
        <f aca="false">Sens!$G$5114</f>
        <v>0.722987468473627</v>
      </c>
      <c r="J5114" s="12" t="n">
        <f aca="false">Sens!$G$5114</f>
        <v>0.722987468473627</v>
      </c>
      <c r="K5114" s="12" t="n">
        <f aca="false">Sens!$G$5114</f>
        <v>0.722987468473627</v>
      </c>
      <c r="L5114" s="12" t="n">
        <f aca="false">Sens!$G$5114</f>
        <v>0.722987468473627</v>
      </c>
      <c r="M5114" s="12" t="n">
        <f aca="false">Sens!$G$5114</f>
        <v>0.722987468473627</v>
      </c>
      <c r="N5114" s="12" t="n">
        <f aca="false">Q!$N$5/(Q!$N$5+Q!$N$6)</f>
        <v>0.733030935041352</v>
      </c>
      <c r="O5114" s="12" t="n">
        <f aca="false">Q!$O$5/(Q!$O$5+Q!$O$6)</f>
        <v>0.718066283041511</v>
      </c>
      <c r="P5114" s="8" t="s">
        <v>637</v>
      </c>
    </row>
    <row r="5115" customFormat="false" ht="17.15" hidden="false" customHeight="false" outlineLevel="0" collapsed="false">
      <c r="A5115" s="1" t="s">
        <v>472</v>
      </c>
      <c r="B5115" s="8" t="s">
        <v>73</v>
      </c>
      <c r="C5115" s="38" t="n">
        <f aca="false">Q!$D$5</f>
        <v>387.497</v>
      </c>
      <c r="D5115" s="38" t="n">
        <f aca="false">Q!$E$5</f>
        <v>426.305</v>
      </c>
      <c r="E5115" s="38" t="n">
        <f aca="false">Q!$P$5</f>
        <v>220.32</v>
      </c>
      <c r="F5115" s="38" t="n">
        <f aca="false">Sens!$F$5113*Sens!$F$5114</f>
        <v>256.304015003807</v>
      </c>
      <c r="G5115" s="38" t="n">
        <f aca="false">Sens!$E$5115+Sens!$F$5115</f>
        <v>476.624015003807</v>
      </c>
      <c r="H5115" s="38" t="n">
        <f aca="false">Sens!$H$5113*Sens!$H$5114</f>
        <v>527.734391091543</v>
      </c>
      <c r="I5115" s="38" t="n">
        <f aca="false">Sens!$I$5113*Sens!$I$5114</f>
        <v>577.157693029577</v>
      </c>
      <c r="J5115" s="38" t="n">
        <f aca="false">Sens!$J$5113*Sens!$J$5114</f>
        <v>623.024923663827</v>
      </c>
      <c r="K5115" s="38" t="n">
        <f aca="false">Sens!$K$5113*Sens!$K$5114</f>
        <v>663.382568393781</v>
      </c>
      <c r="L5115" s="38" t="n">
        <f aca="false">Sens!$L$5113*Sens!$L$5114</f>
        <v>706.564873010432</v>
      </c>
      <c r="M5115" s="38" t="n">
        <f aca="false">Sens!$M$5113*Sens!$M$5114</f>
        <v>752.784687406019</v>
      </c>
      <c r="N5115" s="38" t="n">
        <f aca="false">Q!$N$5</f>
        <v>192.955</v>
      </c>
      <c r="O5115" s="38" t="n">
        <f aca="false">Q!$O$5</f>
        <v>233.35</v>
      </c>
      <c r="P5115" s="5" t="s">
        <v>638</v>
      </c>
    </row>
    <row r="5116" customFormat="false" ht="17.15" hidden="false" customHeight="false" outlineLevel="0" collapsed="false">
      <c r="A5116" s="1" t="s">
        <v>475</v>
      </c>
      <c r="B5116" s="8" t="s">
        <v>73</v>
      </c>
      <c r="C5116" s="38" t="n">
        <f aca="false">Q!$D$6</f>
        <v>142.906</v>
      </c>
      <c r="D5116" s="38" t="n">
        <f aca="false">Q!$E$6</f>
        <v>161.894</v>
      </c>
      <c r="E5116" s="38" t="n">
        <f aca="false">Q!$P$6</f>
        <v>81.986</v>
      </c>
      <c r="F5116" s="38" t="n">
        <f aca="false">Sens!$F$5113*(1-Sens!$F$5114)</f>
        <v>100.632414204623</v>
      </c>
      <c r="G5116" s="38" t="n">
        <f aca="false">Sens!$E$5116+Sens!$F$5116</f>
        <v>182.618414204623</v>
      </c>
      <c r="H5116" s="38" t="n">
        <f aca="false">Sens!$H$5113*(1-Sens!$H$5114)</f>
        <v>202.201346530158</v>
      </c>
      <c r="I5116" s="38" t="n">
        <f aca="false">Sens!$I$5113*(1-Sens!$I$5114)</f>
        <v>221.137876668296</v>
      </c>
      <c r="J5116" s="38" t="n">
        <f aca="false">Sens!$J$5113*(1-Sens!$J$5114)</f>
        <v>238.711898661958</v>
      </c>
      <c r="K5116" s="38" t="n">
        <f aca="false">Sens!$K$5113*(1-Sens!$K$5114)</f>
        <v>254.174923708144</v>
      </c>
      <c r="L5116" s="38" t="n">
        <f aca="false">Sens!$L$5113*(1-Sens!$L$5114)</f>
        <v>270.720216732733</v>
      </c>
      <c r="M5116" s="38" t="n">
        <f aca="false">Sens!$M$5113*(1-Sens!$M$5114)</f>
        <v>288.429331137484</v>
      </c>
      <c r="N5116" s="38" t="n">
        <f aca="false">Q!$N$6</f>
        <v>70.274</v>
      </c>
      <c r="O5116" s="38" t="n">
        <f aca="false">Q!$O$6</f>
        <v>91.62</v>
      </c>
      <c r="P5116" s="5" t="s">
        <v>639</v>
      </c>
    </row>
    <row r="5117" customFormat="false" ht="17.15" hidden="false" customHeight="false" outlineLevel="0" collapsed="false">
      <c r="A5117" s="5" t="s">
        <v>640</v>
      </c>
      <c r="B5117" s="0" t="s">
        <v>73</v>
      </c>
      <c r="C5117" s="38" t="n">
        <f aca="false">Sens!$C$5107*Sens!$C$5114</f>
        <v>41.0683128828457</v>
      </c>
      <c r="D5117" s="38" t="n">
        <f aca="false">Sens!$D$5107*Sens!$D$5114</f>
        <v>49.7441234599175</v>
      </c>
      <c r="E5117" s="38" t="n">
        <f aca="false">Sens!$E$5107*Sens!$E$5114</f>
        <v>27.0034224924414</v>
      </c>
      <c r="F5117" s="38" t="n">
        <f aca="false">Sens!$F$5107*Sens!$F$5114</f>
        <v>34.5772885649197</v>
      </c>
      <c r="G5117" s="38" t="n">
        <f aca="false">Sens!$G$5107*Sens!$G$5114</f>
        <v>61.6023917531772</v>
      </c>
      <c r="H5117" s="38" t="n">
        <f aca="false">Sens!$H$5107*Sens!$H$5114</f>
        <v>73.9568187320519</v>
      </c>
      <c r="I5117" s="38" t="n">
        <f aca="false">Sens!$I$5107*Sens!$I$5114</f>
        <v>86.3101265625461</v>
      </c>
      <c r="J5117" s="38" t="n">
        <f aca="false">Sens!$J$5107*Sens!$J$5114</f>
        <v>97.8339983977065</v>
      </c>
      <c r="K5117" s="38" t="n">
        <f aca="false">Sens!$K$5107*Sens!$K$5114</f>
        <v>107.617398237477</v>
      </c>
      <c r="L5117" s="38" t="n">
        <f aca="false">Sens!$L$5107*Sens!$L$5114</f>
        <v>118.379138061225</v>
      </c>
      <c r="M5117" s="38" t="n">
        <f aca="false">Sens!$M$5107*Sens!$M$5114</f>
        <v>130.217051867347</v>
      </c>
      <c r="N5117" s="38" t="n">
        <f aca="false">Sens!$N$5107*Sens!$N$5114</f>
        <v>21.7087111412496</v>
      </c>
      <c r="O5117" s="38" t="n">
        <f aca="false">Sens!$O$5107*Sens!$O$5114</f>
        <v>28.0189463642798</v>
      </c>
      <c r="P5117" s="5" t="s">
        <v>641</v>
      </c>
    </row>
    <row r="5118" customFormat="false" ht="15" hidden="false" customHeight="false" outlineLevel="0" collapsed="false">
      <c r="A5118" s="5" t="s">
        <v>642</v>
      </c>
      <c r="B5118" s="0" t="s">
        <v>73</v>
      </c>
      <c r="C5118" s="38" t="n">
        <f aca="false">Sens!$C$5107-Sens!$C$5117</f>
        <v>15.1456871171543</v>
      </c>
      <c r="D5118" s="38" t="n">
        <f aca="false">Sens!$D$5107-Sens!$D$5117</f>
        <v>18.8908765400825</v>
      </c>
      <c r="E5118" s="38" t="n">
        <f aca="false">Sens!$E$5107-Sens!$E$5117</f>
        <v>10.0485775075586</v>
      </c>
      <c r="F5118" s="38" t="n">
        <f aca="false">Sens!$F$5107-Sens!$F$5117</f>
        <v>13.5760496178185</v>
      </c>
      <c r="G5118" s="38" t="n">
        <f aca="false">Sens!$G$5107-Sens!$G$5117</f>
        <v>23.6029464295611</v>
      </c>
      <c r="H5118" s="38" t="n">
        <f aca="false">Sens!$H$5107-Sens!$H$5117</f>
        <v>28.3365431268884</v>
      </c>
      <c r="I5118" s="38" t="n">
        <f aca="false">Sens!$I$5107-Sens!$I$5117</f>
        <v>33.0697110226949</v>
      </c>
      <c r="J5118" s="38" t="n">
        <f aca="false">Sens!$J$5107-Sens!$J$5117</f>
        <v>37.4850806511378</v>
      </c>
      <c r="K5118" s="38" t="n">
        <f aca="false">Sens!$K$5107-Sens!$K$5117</f>
        <v>41.2335887162515</v>
      </c>
      <c r="L5118" s="38" t="n">
        <f aca="false">Sens!$L$5107-Sens!$L$5117</f>
        <v>45.3569475878767</v>
      </c>
      <c r="M5118" s="38" t="n">
        <f aca="false">Sens!$M$5107-Sens!$M$5117</f>
        <v>49.8926423466644</v>
      </c>
      <c r="N5118" s="38" t="n">
        <f aca="false">Sens!$N$5107-Sens!$N$5117</f>
        <v>7.90628885875037</v>
      </c>
      <c r="O5118" s="38" t="n">
        <f aca="false">Sens!$O$5107-Sens!$O$5117</f>
        <v>11.0010536357202</v>
      </c>
    </row>
    <row r="5119" customFormat="false" ht="19.4" hidden="false" customHeight="false" outlineLevel="0" collapsed="false">
      <c r="A5119" s="31" t="s">
        <v>1156</v>
      </c>
    </row>
    <row r="5120" customFormat="false" ht="17.15" hidden="false" customHeight="false" outlineLevel="0" collapsed="false">
      <c r="A5120" s="6" t="s">
        <v>16</v>
      </c>
      <c r="B5120" s="6" t="s">
        <v>17</v>
      </c>
      <c r="C5120" s="20" t="s">
        <v>457</v>
      </c>
      <c r="D5120" s="20" t="s">
        <v>458</v>
      </c>
      <c r="E5120" s="20" t="s">
        <v>540</v>
      </c>
      <c r="F5120" s="20" t="s">
        <v>541</v>
      </c>
      <c r="G5120" s="20" t="s">
        <v>542</v>
      </c>
      <c r="H5120" s="20" t="s">
        <v>543</v>
      </c>
      <c r="I5120" s="20" t="s">
        <v>544</v>
      </c>
      <c r="J5120" s="20" t="s">
        <v>545</v>
      </c>
      <c r="K5120" s="20" t="s">
        <v>546</v>
      </c>
      <c r="L5120" s="20" t="s">
        <v>547</v>
      </c>
      <c r="M5120" s="20" t="s">
        <v>548</v>
      </c>
      <c r="N5120" s="20" t="s">
        <v>549</v>
      </c>
      <c r="O5120" s="20" t="s">
        <v>550</v>
      </c>
      <c r="P5120" s="6" t="s">
        <v>23</v>
      </c>
      <c r="R5120" s="20" t="n">
        <v>2023</v>
      </c>
      <c r="S5120" s="20" t="n">
        <v>2024</v>
      </c>
      <c r="T5120" s="20" t="n">
        <v>2025</v>
      </c>
      <c r="U5120" s="20" t="n">
        <v>2026</v>
      </c>
      <c r="V5120" s="20" t="n">
        <v>2027</v>
      </c>
      <c r="W5120" s="20" t="n">
        <v>2028</v>
      </c>
      <c r="X5120" s="20" t="n">
        <v>2029</v>
      </c>
      <c r="Y5120" s="20" t="n">
        <v>2030</v>
      </c>
      <c r="Z5120" s="20" t="n">
        <v>2031</v>
      </c>
      <c r="AA5120" s="20" t="n">
        <v>2032</v>
      </c>
    </row>
    <row r="5121" customFormat="false" ht="17.15" hidden="false" customHeight="false" outlineLevel="0" collapsed="false">
      <c r="A5121" s="1" t="s">
        <v>551</v>
      </c>
    </row>
    <row r="5122" customFormat="false" ht="17.15" hidden="false" customHeight="false" outlineLevel="0" collapsed="false">
      <c r="A5122" s="14" t="s">
        <v>552</v>
      </c>
      <c r="B5122" s="13" t="s">
        <v>108</v>
      </c>
      <c r="C5122" s="32" t="n">
        <f aca="false">mw_ye24</f>
        <v>360</v>
      </c>
      <c r="D5122" s="32" t="n">
        <f aca="false">mw_ye25</f>
        <v>1440</v>
      </c>
      <c r="E5122" s="32" t="n">
        <f aca="false">mw_open</f>
        <v>2080</v>
      </c>
      <c r="F5122" s="32" t="n">
        <f aca="false">Sens!$E$5122+pace_B*0.5</f>
        <v>3897.15</v>
      </c>
      <c r="G5122" s="32" t="n">
        <f aca="false">Sens!$F$5122</f>
        <v>3897.15</v>
      </c>
      <c r="H5122" s="32" t="n">
        <f aca="false">Sens!$G$5122+pace_B</f>
        <v>7531.45</v>
      </c>
      <c r="I5122" s="32" t="n">
        <f aca="false">Sens!$H$5122+pace_B</f>
        <v>11165.75</v>
      </c>
      <c r="J5122" s="32" t="n">
        <f aca="false">Sens!$I$5122+pace_B</f>
        <v>14800.05</v>
      </c>
      <c r="K5122" s="32" t="n">
        <f aca="false">Sens!$J$5122+pace_B</f>
        <v>18434.35</v>
      </c>
      <c r="L5122" s="32" t="n">
        <f aca="false">Sens!$K$5122+pace_B</f>
        <v>22068.65</v>
      </c>
      <c r="M5122" s="32" t="n">
        <f aca="false">Sens!$L$5122+pace_B</f>
        <v>25702.95</v>
      </c>
      <c r="N5122" s="32" t="n">
        <f aca="false">(mw_ye24+mw_ye25)/2</f>
        <v>900</v>
      </c>
      <c r="O5122" s="32" t="n">
        <f aca="false">mw_ye25</f>
        <v>1440</v>
      </c>
      <c r="P5122" s="5" t="s">
        <v>553</v>
      </c>
    </row>
    <row r="5123" customFormat="false" ht="17.15" hidden="false" customHeight="false" outlineLevel="0" collapsed="false">
      <c r="A5123" s="5" t="s">
        <v>554</v>
      </c>
      <c r="B5123" s="0" t="s">
        <v>108</v>
      </c>
      <c r="C5123" s="33" t="n">
        <f aca="false">(mw_ye23+mw_ye24)/2</f>
        <v>240</v>
      </c>
      <c r="D5123" s="33" t="n">
        <f aca="false">(Sens!$C$5122+Sens!$D$5122)/2</f>
        <v>900</v>
      </c>
      <c r="E5123" s="33" t="n">
        <f aca="false">(Sens!$D$5122+Sens!$E$5122)/2</f>
        <v>1760</v>
      </c>
      <c r="F5123" s="33" t="n">
        <f aca="false">(Sens!$E$5122+Sens!$F$5122)/2</f>
        <v>2988.575</v>
      </c>
      <c r="G5123" s="33" t="n">
        <f aca="false">(Sens!$E$5123+Sens!$F$5123)/2</f>
        <v>2374.2875</v>
      </c>
      <c r="H5123" s="33" t="n">
        <f aca="false">(Sens!$G$5122+Sens!$H$5122)/2</f>
        <v>5714.3</v>
      </c>
      <c r="I5123" s="33" t="n">
        <f aca="false">(Sens!$H$5122+Sens!$I$5122)/2</f>
        <v>9348.6</v>
      </c>
      <c r="J5123" s="33" t="n">
        <f aca="false">(Sens!$I$5122+Sens!$J$5122)/2</f>
        <v>12982.9</v>
      </c>
      <c r="K5123" s="33" t="n">
        <f aca="false">(Sens!$J$5122+Sens!$K$5122)/2</f>
        <v>16617.2</v>
      </c>
      <c r="L5123" s="33" t="n">
        <f aca="false">(Sens!$K$5122+Sens!$L$5122)/2</f>
        <v>20251.5</v>
      </c>
      <c r="M5123" s="33" t="n">
        <f aca="false">(Sens!$L$5122+Sens!$M$5122)/2</f>
        <v>23885.8</v>
      </c>
      <c r="N5123" s="33" t="n">
        <f aca="false">(Sens!$C$5122+Sens!$N$5122)/2</f>
        <v>630</v>
      </c>
      <c r="O5123" s="33" t="n">
        <f aca="false">(Sens!$N$5122+Sens!$O$5122)/2</f>
        <v>1170</v>
      </c>
    </row>
    <row r="5124" customFormat="false" ht="15" hidden="false" customHeight="false" outlineLevel="0" collapsed="false">
      <c r="A5124" s="5" t="s">
        <v>555</v>
      </c>
      <c r="B5124" s="5" t="s">
        <v>102</v>
      </c>
      <c r="C5124" s="34" t="n">
        <v>1</v>
      </c>
      <c r="D5124" s="34" t="n">
        <v>1</v>
      </c>
      <c r="E5124" s="34" t="n">
        <v>0.5</v>
      </c>
      <c r="F5124" s="34" t="n">
        <v>0.5</v>
      </c>
      <c r="G5124" s="34" t="n">
        <v>1</v>
      </c>
      <c r="H5124" s="34" t="n">
        <v>1</v>
      </c>
      <c r="I5124" s="34" t="n">
        <v>1</v>
      </c>
      <c r="J5124" s="34" t="n">
        <v>1</v>
      </c>
      <c r="K5124" s="34" t="n">
        <v>1</v>
      </c>
      <c r="L5124" s="34" t="n">
        <v>1</v>
      </c>
      <c r="M5124" s="34" t="n">
        <v>1</v>
      </c>
      <c r="N5124" s="34" t="n">
        <v>0.5</v>
      </c>
      <c r="O5124" s="34" t="n">
        <v>0.5</v>
      </c>
    </row>
    <row r="5125" customFormat="false" ht="17.15" hidden="false" customHeight="false" outlineLevel="0" collapsed="false">
      <c r="A5125" s="5" t="s">
        <v>556</v>
      </c>
      <c r="B5125" s="0" t="s">
        <v>108</v>
      </c>
      <c r="C5125" s="33" t="n">
        <f aca="false">Sens!$C$5122-mw_ye23</f>
        <v>240</v>
      </c>
      <c r="D5125" s="33" t="n">
        <f aca="false">Sens!$D$5122-Sens!$C$5122</f>
        <v>1080</v>
      </c>
      <c r="E5125" s="33" t="n">
        <f aca="false">Sens!$E$5122-Sens!$D$5122</f>
        <v>640</v>
      </c>
      <c r="F5125" s="33" t="n">
        <f aca="false">Sens!$F$5122-Sens!$E$5122</f>
        <v>1817.15</v>
      </c>
      <c r="G5125" s="33" t="n">
        <f aca="false">Sens!$E$5125+Sens!$F$5125</f>
        <v>2457.15</v>
      </c>
      <c r="H5125" s="33" t="n">
        <f aca="false">Sens!$H$5122-Sens!$G$5122</f>
        <v>3634.3</v>
      </c>
      <c r="I5125" s="33" t="n">
        <f aca="false">Sens!$I$5122-Sens!$H$5122</f>
        <v>3634.3</v>
      </c>
      <c r="J5125" s="33" t="n">
        <f aca="false">Sens!$J$5122-Sens!$I$5122</f>
        <v>3634.3</v>
      </c>
      <c r="K5125" s="33" t="n">
        <f aca="false">Sens!$K$5122-Sens!$J$5122</f>
        <v>3634.3</v>
      </c>
      <c r="L5125" s="33" t="n">
        <f aca="false">Sens!$L$5122-Sens!$K$5122</f>
        <v>3634.3</v>
      </c>
      <c r="M5125" s="33" t="n">
        <f aca="false">Sens!$M$5122-Sens!$L$5122</f>
        <v>3634.3</v>
      </c>
      <c r="N5125" s="33" t="n">
        <f aca="false">Sens!$N$5122-Sens!$C$5122</f>
        <v>540</v>
      </c>
      <c r="O5125" s="33" t="n">
        <f aca="false">Sens!$O$5122-Sens!$N$5122</f>
        <v>540</v>
      </c>
    </row>
    <row r="5126" customFormat="false" ht="17.15" hidden="false" customHeight="false" outlineLevel="0" collapsed="false">
      <c r="A5126" s="5" t="s">
        <v>557</v>
      </c>
      <c r="B5126" s="0" t="s">
        <v>108</v>
      </c>
      <c r="C5126" s="33" t="n">
        <f aca="false">Sens!$C$5125/ext_sh</f>
        <v>300</v>
      </c>
      <c r="D5126" s="33" t="n">
        <f aca="false">Sens!$D$5125/ext_sh</f>
        <v>1350</v>
      </c>
      <c r="E5126" s="33" t="n">
        <f aca="false">Sens!$E$5125/ext_sh</f>
        <v>800</v>
      </c>
      <c r="F5126" s="33" t="n">
        <f aca="false">Sens!$F$5125/ext_sh</f>
        <v>2271.4375</v>
      </c>
      <c r="G5126" s="33" t="n">
        <f aca="false">Sens!$G$5125/ext_sh</f>
        <v>3071.4375</v>
      </c>
      <c r="H5126" s="33" t="n">
        <f aca="false">Sens!$H$5125/ext_sh</f>
        <v>4542.875</v>
      </c>
      <c r="I5126" s="33" t="n">
        <f aca="false">Sens!$I$5125/ext_sh</f>
        <v>4542.875</v>
      </c>
      <c r="J5126" s="33" t="n">
        <f aca="false">Sens!$J$5125/ext_sh</f>
        <v>4542.875</v>
      </c>
      <c r="K5126" s="33" t="n">
        <f aca="false">Sens!$K$5125/ext_sh</f>
        <v>4542.875</v>
      </c>
      <c r="L5126" s="33" t="n">
        <f aca="false">Sens!$L$5125/ext_sh</f>
        <v>4542.875</v>
      </c>
      <c r="M5126" s="33" t="n">
        <f aca="false">Sens!$M$5125/ext_sh</f>
        <v>4542.875</v>
      </c>
      <c r="N5126" s="33" t="n">
        <f aca="false">Sens!$N$5125/ext_sh</f>
        <v>675</v>
      </c>
      <c r="O5126" s="33" t="n">
        <f aca="false">Sens!$O$5125/ext_sh</f>
        <v>675</v>
      </c>
      <c r="P5126" s="8" t="s">
        <v>558</v>
      </c>
      <c r="R5126" s="33" t="n">
        <f aca="false">mw_ye23/ext_sh</f>
        <v>150</v>
      </c>
      <c r="S5126" s="33" t="n">
        <f aca="false">Sens!$C$5126</f>
        <v>300</v>
      </c>
      <c r="T5126" s="33" t="n">
        <f aca="false">Sens!$D$5126</f>
        <v>1350</v>
      </c>
      <c r="U5126" s="33" t="n">
        <f aca="false">Sens!$G$5126</f>
        <v>3071.4375</v>
      </c>
      <c r="V5126" s="33" t="n">
        <f aca="false">Sens!$H$5126</f>
        <v>4542.875</v>
      </c>
      <c r="W5126" s="33" t="n">
        <f aca="false">Sens!$I$5126</f>
        <v>4542.875</v>
      </c>
      <c r="X5126" s="33" t="n">
        <f aca="false">Sens!$J$5126</f>
        <v>4542.875</v>
      </c>
      <c r="Y5126" s="33" t="n">
        <f aca="false">Sens!$K$5126</f>
        <v>4542.875</v>
      </c>
      <c r="Z5126" s="33" t="n">
        <f aca="false">Sens!$L$5126</f>
        <v>4542.875</v>
      </c>
      <c r="AA5126" s="33" t="n">
        <f aca="false">Sens!$M$5126</f>
        <v>4542.875</v>
      </c>
    </row>
    <row r="5127" customFormat="false" ht="17.15" hidden="false" customHeight="false" outlineLevel="0" collapsed="false">
      <c r="A5127" s="1" t="s">
        <v>559</v>
      </c>
    </row>
    <row r="5128" customFormat="false" ht="17.15" hidden="false" customHeight="false" outlineLevel="0" collapsed="false">
      <c r="A5128" s="0" t="s">
        <v>560</v>
      </c>
      <c r="B5128" s="0" t="s">
        <v>52</v>
      </c>
      <c r="F5128" s="35" t="n">
        <f aca="false">na_vr26</f>
        <v>0</v>
      </c>
      <c r="G5128" s="35" t="n">
        <f aca="false">na_vr26</f>
        <v>0</v>
      </c>
      <c r="H5128" s="35" t="n">
        <f aca="false">na_vr27</f>
        <v>0.5</v>
      </c>
      <c r="I5128" s="35" t="n">
        <f aca="false">na_vr28</f>
        <v>1</v>
      </c>
      <c r="J5128" s="35" t="n">
        <f aca="false">na_vr28</f>
        <v>1</v>
      </c>
      <c r="K5128" s="35" t="n">
        <f aca="false">na_vr28</f>
        <v>1</v>
      </c>
      <c r="L5128" s="35" t="n">
        <f aca="false">na_vr28</f>
        <v>1</v>
      </c>
      <c r="M5128" s="35" t="n">
        <f aca="false">na_vr28</f>
        <v>1</v>
      </c>
    </row>
    <row r="5129" customFormat="false" ht="17.15" hidden="false" customHeight="false" outlineLevel="0" collapsed="false">
      <c r="A5129" s="5" t="s">
        <v>561</v>
      </c>
      <c r="B5129" s="0" t="s">
        <v>151</v>
      </c>
      <c r="F5129" s="36" t="n">
        <f aca="false">cust_sh*tk_he_gb300*cf_chip+(1-cust_sh)*((1-Sens!$F$5128)*tk_he_gb300+Sens!$F$5128*tk_he_vr200)</f>
        <v>10.8864110021101</v>
      </c>
      <c r="G5129" s="36" t="n">
        <f aca="false">cust_sh*tk_he_gb300*cf_chip+(1-cust_sh)*((1-Sens!$G$5128)*tk_he_gb300+Sens!$G$5128*tk_he_vr200)</f>
        <v>10.8864110021101</v>
      </c>
      <c r="H5129" s="36" t="n">
        <f aca="false">cust_sh*tk_he_gb300*cf_chip+(1-cust_sh)*((1-Sens!$H$5128)*tk_he_gb300+Sens!$H$5128*tk_he_vr200)</f>
        <v>11.2211760027286</v>
      </c>
      <c r="I5129" s="36" t="n">
        <f aca="false">cust_sh*tk_he_gb300*cf_chip+(1-cust_sh)*((1-Sens!$I$5128)*tk_he_gb300+Sens!$I$5128*tk_he_vr200)</f>
        <v>11.5559410033471</v>
      </c>
      <c r="J5129" s="36" t="n">
        <f aca="false">cust_sh*tk_he_gb300*cf_chip+(1-cust_sh)*((1-Sens!$J$5128)*tk_he_gb300+Sens!$J$5128*tk_he_vr200)</f>
        <v>11.5559410033471</v>
      </c>
      <c r="K5129" s="36" t="n">
        <f aca="false">cust_sh*tk_he_gb300*cf_chip+(1-cust_sh)*((1-Sens!$K$5128)*tk_he_gb300+Sens!$K$5128*tk_he_vr200)</f>
        <v>11.5559410033471</v>
      </c>
      <c r="L5129" s="36" t="n">
        <f aca="false">cust_sh*tk_he_gb300*cf_chip+(1-cust_sh)*((1-Sens!$L$5128)*tk_he_gb300+Sens!$L$5128*tk_he_vr200)</f>
        <v>11.5559410033471</v>
      </c>
      <c r="M5129" s="36" t="n">
        <f aca="false">cust_sh*tk_he_gb300*cf_chip+(1-cust_sh)*((1-Sens!$M$5128)*tk_he_gb300+Sens!$M$5128*tk_he_vr200)</f>
        <v>11.5559410033471</v>
      </c>
    </row>
    <row r="5130" customFormat="false" ht="17.15" hidden="false" customHeight="false" outlineLevel="0" collapsed="false">
      <c r="A5130" s="5" t="s">
        <v>562</v>
      </c>
      <c r="B5130" s="0" t="s">
        <v>151</v>
      </c>
      <c r="F5130" s="36" t="n">
        <f aca="false">cust_sh*tk_ox_gb300+(1-cust_sh)*((1-Sens!$F$5128)*tk_ox_gb300+Sens!$F$5128*tk_ox_vr200)</f>
        <v>1.98263481314457</v>
      </c>
      <c r="G5130" s="36" t="n">
        <f aca="false">cust_sh*tk_ox_gb300+(1-cust_sh)*((1-Sens!$G$5128)*tk_ox_gb300+Sens!$G$5128*tk_ox_vr200)</f>
        <v>1.98263481314457</v>
      </c>
      <c r="H5130" s="36" t="n">
        <f aca="false">cust_sh*tk_ox_gb300+(1-cust_sh)*((1-Sens!$H$5128)*tk_ox_gb300+Sens!$H$5128*tk_ox_vr200)</f>
        <v>2.01034999693694</v>
      </c>
      <c r="I5130" s="36" t="n">
        <f aca="false">cust_sh*tk_ox_gb300+(1-cust_sh)*((1-Sens!$I$5128)*tk_ox_gb300+Sens!$I$5128*tk_ox_vr200)</f>
        <v>2.0380651807293</v>
      </c>
      <c r="J5130" s="36" t="n">
        <f aca="false">cust_sh*tk_ox_gb300+(1-cust_sh)*((1-Sens!$J$5128)*tk_ox_gb300+Sens!$J$5128*tk_ox_vr200)</f>
        <v>2.0380651807293</v>
      </c>
      <c r="K5130" s="36" t="n">
        <f aca="false">cust_sh*tk_ox_gb300+(1-cust_sh)*((1-Sens!$K$5128)*tk_ox_gb300+Sens!$K$5128*tk_ox_vr200)</f>
        <v>2.0380651807293</v>
      </c>
      <c r="L5130" s="36" t="n">
        <f aca="false">cust_sh*tk_ox_gb300+(1-cust_sh)*((1-Sens!$L$5128)*tk_ox_gb300+Sens!$L$5128*tk_ox_vr200)</f>
        <v>2.0380651807293</v>
      </c>
      <c r="M5130" s="36" t="n">
        <f aca="false">cust_sh*tk_ox_gb300+(1-cust_sh)*((1-Sens!$M$5128)*tk_ox_gb300+Sens!$M$5128*tk_ox_vr200)</f>
        <v>2.0380651807293</v>
      </c>
    </row>
    <row r="5131" customFormat="false" ht="17.15" hidden="false" customHeight="false" outlineLevel="0" collapsed="false">
      <c r="A5131" s="5" t="s">
        <v>563</v>
      </c>
      <c r="B5131" s="0" t="s">
        <v>170</v>
      </c>
      <c r="F5131" s="36" t="n">
        <f aca="false">cust_sh*tk_cx_gb300*cf_cx+(1-cust_sh)*((1-Sens!$F$5128)*tk_cx_gb300+Sens!$F$5128*tk_cx_vr200)</f>
        <v>32.237224</v>
      </c>
      <c r="G5131" s="36" t="n">
        <f aca="false">cust_sh*tk_cx_gb300*cf_cx+(1-cust_sh)*((1-Sens!$G$5128)*tk_cx_gb300+Sens!$G$5128*tk_cx_vr200)</f>
        <v>32.237224</v>
      </c>
      <c r="H5131" s="36" t="n">
        <f aca="false">cust_sh*tk_cx_gb300*cf_cx+(1-cust_sh)*((1-Sens!$H$5128)*tk_cx_gb300+Sens!$H$5128*tk_cx_vr200)</f>
        <v>33.574506</v>
      </c>
      <c r="I5131" s="36" t="n">
        <f aca="false">cust_sh*tk_cx_gb300*cf_cx+(1-cust_sh)*((1-Sens!$I$5128)*tk_cx_gb300+Sens!$I$5128*tk_cx_vr200)</f>
        <v>34.911788</v>
      </c>
      <c r="J5131" s="36" t="n">
        <f aca="false">cust_sh*tk_cx_gb300*cf_cx+(1-cust_sh)*((1-Sens!$J$5128)*tk_cx_gb300+Sens!$J$5128*tk_cx_vr200)</f>
        <v>34.911788</v>
      </c>
      <c r="K5131" s="36" t="n">
        <f aca="false">cust_sh*tk_cx_gb300*cf_cx+(1-cust_sh)*((1-Sens!$K$5128)*tk_cx_gb300+Sens!$K$5128*tk_cx_vr200)</f>
        <v>34.911788</v>
      </c>
      <c r="L5131" s="36" t="n">
        <f aca="false">cust_sh*tk_cx_gb300*cf_cx+(1-cust_sh)*((1-Sens!$L$5128)*tk_cx_gb300+Sens!$L$5128*tk_cx_vr200)</f>
        <v>34.911788</v>
      </c>
      <c r="M5131" s="36" t="n">
        <f aca="false">cust_sh*tk_cx_gb300*cf_cx+(1-cust_sh)*((1-Sens!$M$5128)*tk_cx_gb300+Sens!$M$5128*tk_cx_vr200)</f>
        <v>34.911788</v>
      </c>
    </row>
    <row r="5132" customFormat="false" ht="17.15" hidden="false" customHeight="false" outlineLevel="0" collapsed="false">
      <c r="A5132" s="5" t="s">
        <v>564</v>
      </c>
      <c r="B5132" s="0" t="s">
        <v>108</v>
      </c>
      <c r="F5132" s="33" t="n">
        <f aca="false">Sens!$F$5122-mw_open</f>
        <v>1817.15</v>
      </c>
      <c r="G5132" s="33" t="n">
        <f aca="false">Sens!$F$5132</f>
        <v>1817.15</v>
      </c>
      <c r="H5132" s="33" t="n">
        <f aca="false">Sens!$H$5122-mw_open</f>
        <v>5451.45</v>
      </c>
      <c r="I5132" s="33" t="n">
        <f aca="false">Sens!$I$5122-mw_open</f>
        <v>9085.75</v>
      </c>
      <c r="J5132" s="33" t="n">
        <f aca="false">Sens!$J$5122-mw_open</f>
        <v>12720.05</v>
      </c>
      <c r="K5132" s="33" t="n">
        <f aca="false">Sens!$K$5122-mw_open</f>
        <v>16354.35</v>
      </c>
      <c r="L5132" s="33" t="n">
        <f aca="false">Sens!$L$5122-mw_open</f>
        <v>19988.65</v>
      </c>
      <c r="M5132" s="33" t="n">
        <f aca="false">Sens!$M$5122-mw_open</f>
        <v>23622.95</v>
      </c>
    </row>
    <row r="5133" customFormat="false" ht="17.15" hidden="false" customHeight="false" outlineLevel="0" collapsed="false">
      <c r="A5133" s="0" t="s">
        <v>565</v>
      </c>
      <c r="B5133" s="0" t="s">
        <v>566</v>
      </c>
      <c r="F5133" s="33" t="n">
        <f aca="false">Sens!$F$5125*Sens!$F$5129</f>
        <v>19782.2417524844</v>
      </c>
      <c r="G5133" s="33" t="n">
        <f aca="false">Sens!$F$5133</f>
        <v>19782.2417524844</v>
      </c>
      <c r="H5133" s="33" t="n">
        <f aca="false">Sens!$G$5133+Sens!$H$5125*Sens!$H$5129</f>
        <v>60563.3616992009</v>
      </c>
      <c r="I5133" s="33" t="n">
        <f aca="false">Sens!$H$5133+Sens!$I$5125*Sens!$I$5129</f>
        <v>102561.118087665</v>
      </c>
      <c r="J5133" s="33" t="n">
        <f aca="false">Sens!$I$5133+Sens!$J$5125*Sens!$J$5129</f>
        <v>144558.87447613</v>
      </c>
      <c r="K5133" s="33" t="n">
        <f aca="false">Sens!$J$5133+Sens!$K$5125*Sens!$K$5129</f>
        <v>186556.630864594</v>
      </c>
      <c r="L5133" s="33" t="n">
        <f aca="false">Sens!$K$5133+Sens!$L$5125*Sens!$L$5129</f>
        <v>228554.387253058</v>
      </c>
      <c r="M5133" s="33" t="n">
        <f aca="false">Sens!$L$5133+Sens!$M$5125*Sens!$M$5129</f>
        <v>270552.143641523</v>
      </c>
    </row>
    <row r="5134" customFormat="false" ht="17.15" hidden="false" customHeight="false" outlineLevel="0" collapsed="false">
      <c r="A5134" s="0" t="s">
        <v>567</v>
      </c>
      <c r="B5134" s="0" t="s">
        <v>566</v>
      </c>
      <c r="F5134" s="33" t="n">
        <f aca="false">Sens!$F$5125*Sens!$F$5130</f>
        <v>3602.74485070566</v>
      </c>
      <c r="G5134" s="33" t="n">
        <f aca="false">Sens!$F$5134</f>
        <v>3602.74485070566</v>
      </c>
      <c r="H5134" s="33" t="n">
        <f aca="false">Sens!$G$5134+Sens!$H$5125*Sens!$H$5130</f>
        <v>10908.9598445736</v>
      </c>
      <c r="I5134" s="33" t="n">
        <f aca="false">Sens!$H$5134+Sens!$I$5125*Sens!$I$5130</f>
        <v>18315.9001308981</v>
      </c>
      <c r="J5134" s="33" t="n">
        <f aca="false">Sens!$I$5134+Sens!$J$5125*Sens!$J$5130</f>
        <v>25722.8404172225</v>
      </c>
      <c r="K5134" s="33" t="n">
        <f aca="false">Sens!$J$5134+Sens!$K$5125*Sens!$K$5130</f>
        <v>33129.780703547</v>
      </c>
      <c r="L5134" s="33" t="n">
        <f aca="false">Sens!$K$5134+Sens!$L$5125*Sens!$L$5130</f>
        <v>40536.7209898715</v>
      </c>
      <c r="M5134" s="33" t="n">
        <f aca="false">Sens!$L$5134+Sens!$M$5125*Sens!$M$5130</f>
        <v>47943.661276196</v>
      </c>
    </row>
    <row r="5135" customFormat="false" ht="17.15" hidden="false" customHeight="false" outlineLevel="0" collapsed="false">
      <c r="A5135" s="5" t="s">
        <v>568</v>
      </c>
      <c r="B5135" s="0" t="s">
        <v>151</v>
      </c>
      <c r="F5135" s="36" t="n">
        <f aca="false">IF(Sens!$F$5132&gt;0,Sens!$F$5133/Sens!$F$5132,Sens!$F$5129)</f>
        <v>10.8864110021101</v>
      </c>
      <c r="G5135" s="36" t="n">
        <f aca="false">IF(Sens!$G$5132&gt;0,Sens!$G$5133/Sens!$G$5132,Sens!$G$5129)</f>
        <v>10.8864110021101</v>
      </c>
      <c r="H5135" s="36" t="n">
        <f aca="false">IF(Sens!$H$5132&gt;0,Sens!$H$5133/Sens!$H$5132,Sens!$H$5129)</f>
        <v>11.1095876691891</v>
      </c>
      <c r="I5135" s="36" t="n">
        <f aca="false">IF(Sens!$I$5132&gt;0,Sens!$I$5133/Sens!$I$5132,Sens!$I$5129)</f>
        <v>11.2881290028523</v>
      </c>
      <c r="J5135" s="36" t="n">
        <f aca="false">IF(Sens!$J$5132&gt;0,Sens!$J$5133/Sens!$J$5132,Sens!$J$5129)</f>
        <v>11.3646467172794</v>
      </c>
      <c r="K5135" s="36" t="n">
        <f aca="false">IF(Sens!$K$5132&gt;0,Sens!$K$5133/Sens!$K$5132,Sens!$K$5129)</f>
        <v>11.4071565586278</v>
      </c>
      <c r="L5135" s="36" t="n">
        <f aca="false">IF(Sens!$L$5132&gt;0,Sens!$L$5133/Sens!$L$5132,Sens!$L$5129)</f>
        <v>11.4342082758495</v>
      </c>
      <c r="M5135" s="36" t="n">
        <f aca="false">IF(Sens!$M$5132&gt;0,Sens!$M$5133/Sens!$M$5132,Sens!$M$5129)</f>
        <v>11.4529363877722</v>
      </c>
    </row>
    <row r="5136" customFormat="false" ht="17.15" hidden="false" customHeight="false" outlineLevel="0" collapsed="false">
      <c r="A5136" s="5" t="s">
        <v>569</v>
      </c>
      <c r="B5136" s="0" t="s">
        <v>151</v>
      </c>
      <c r="F5136" s="36" t="n">
        <f aca="false">IF(Sens!$F$5132&gt;0,Sens!$F$5134/Sens!$F$5132,Sens!$F$5130)</f>
        <v>1.98263481314457</v>
      </c>
      <c r="G5136" s="36" t="n">
        <f aca="false">IF(Sens!$G$5132&gt;0,Sens!$G$5134/Sens!$G$5132,Sens!$G$5130)</f>
        <v>1.98263481314457</v>
      </c>
      <c r="H5136" s="36" t="n">
        <f aca="false">IF(Sens!$H$5132&gt;0,Sens!$H$5134/Sens!$H$5132,Sens!$H$5130)</f>
        <v>2.00111160233948</v>
      </c>
      <c r="I5136" s="36" t="n">
        <f aca="false">IF(Sens!$I$5132&gt;0,Sens!$I$5134/Sens!$I$5132,Sens!$I$5130)</f>
        <v>2.01589303369541</v>
      </c>
      <c r="J5136" s="36" t="n">
        <f aca="false">IF(Sens!$J$5132&gt;0,Sens!$J$5134/Sens!$J$5132,Sens!$J$5130)</f>
        <v>2.02222793284795</v>
      </c>
      <c r="K5136" s="36" t="n">
        <f aca="false">IF(Sens!$K$5132&gt;0,Sens!$K$5134/Sens!$K$5132,Sens!$K$5130)</f>
        <v>2.02574732126603</v>
      </c>
      <c r="L5136" s="36" t="n">
        <f aca="false">IF(Sens!$L$5132&gt;0,Sens!$L$5134/Sens!$L$5132,Sens!$L$5130)</f>
        <v>2.02798693207753</v>
      </c>
      <c r="M5136" s="36" t="n">
        <f aca="false">IF(Sens!$M$5132&gt;0,Sens!$M$5134/Sens!$M$5132,Sens!$M$5130)</f>
        <v>2.02953743187011</v>
      </c>
    </row>
    <row r="5137" customFormat="false" ht="17.15" hidden="false" customHeight="false" outlineLevel="0" collapsed="false">
      <c r="A5137" s="14" t="s">
        <v>570</v>
      </c>
      <c r="B5137" s="13" t="s">
        <v>151</v>
      </c>
      <c r="C5137" s="13"/>
      <c r="D5137" s="13"/>
      <c r="E5137" s="13"/>
      <c r="F5137" s="37" t="n">
        <f aca="false">Sens!$F$5135*k_B</f>
        <v>10.7987645808025</v>
      </c>
      <c r="G5137" s="37" t="n">
        <f aca="false">Sens!$G$5135*k_B</f>
        <v>10.7987645808025</v>
      </c>
      <c r="H5137" s="37" t="n">
        <f aca="false">Sens!$H$5135*k_B</f>
        <v>11.0201444540452</v>
      </c>
      <c r="I5137" s="37" t="n">
        <f aca="false">Sens!$I$5135*k_B</f>
        <v>11.1972483526393</v>
      </c>
      <c r="J5137" s="37" t="n">
        <f aca="false">Sens!$J$5135*k_B</f>
        <v>11.2731500234653</v>
      </c>
      <c r="K5137" s="37" t="n">
        <f aca="false">Sens!$K$5135*k_B</f>
        <v>11.3153176183687</v>
      </c>
      <c r="L5137" s="37" t="n">
        <f aca="false">Sens!$L$5135*k_B</f>
        <v>11.3421515423981</v>
      </c>
      <c r="M5137" s="37" t="n">
        <f aca="false">Sens!$M$5135*k_B</f>
        <v>11.3607288744184</v>
      </c>
      <c r="N5137" s="13"/>
      <c r="O5137" s="13"/>
      <c r="P5137" s="5" t="s">
        <v>571</v>
      </c>
    </row>
    <row r="5138" customFormat="false" ht="17.15" hidden="false" customHeight="false" outlineLevel="0" collapsed="false">
      <c r="A5138" s="5" t="s">
        <v>572</v>
      </c>
      <c r="B5138" s="0" t="s">
        <v>108</v>
      </c>
      <c r="F5138" s="33" t="n">
        <f aca="false">Sens!$F$5132/2</f>
        <v>908.575</v>
      </c>
      <c r="H5138" s="33" t="n">
        <f aca="false">(Sens!$G$5132+Sens!$H$5132)/2</f>
        <v>3634.3</v>
      </c>
      <c r="I5138" s="33" t="n">
        <f aca="false">(Sens!$H$5132+Sens!$I$5132)/2</f>
        <v>7268.6</v>
      </c>
      <c r="J5138" s="33" t="n">
        <f aca="false">(Sens!$I$5132+Sens!$J$5132)/2</f>
        <v>10902.9</v>
      </c>
      <c r="K5138" s="33" t="n">
        <f aca="false">(Sens!$J$5132+Sens!$K$5132)/2</f>
        <v>14537.2</v>
      </c>
      <c r="L5138" s="33" t="n">
        <f aca="false">(Sens!$K$5132+Sens!$L$5132)/2</f>
        <v>18171.5</v>
      </c>
      <c r="M5138" s="33" t="n">
        <f aca="false">(Sens!$L$5132+Sens!$M$5132)/2</f>
        <v>21805.8</v>
      </c>
    </row>
    <row r="5139" customFormat="false" ht="17.15" hidden="false" customHeight="false" outlineLevel="0" collapsed="false">
      <c r="A5139" s="1" t="s">
        <v>573</v>
      </c>
    </row>
    <row r="5140" customFormat="false" ht="17.15" hidden="false" customHeight="false" outlineLevel="0" collapsed="false">
      <c r="A5140" s="1" t="s">
        <v>574</v>
      </c>
      <c r="B5140" s="8" t="s">
        <v>73</v>
      </c>
      <c r="C5140" s="38" t="n">
        <f aca="false">Sens!$C$5123*rpm_open*Sens!$C$5124/1000</f>
        <v>2.32100535697364</v>
      </c>
      <c r="D5140" s="38" t="n">
        <f aca="false">Sens!$D$5123*rpm_open*Sens!$D$5124/1000</f>
        <v>8.70377008865116</v>
      </c>
      <c r="E5140" s="38" t="n">
        <f aca="false">Sens!$E$5123*rpm_open*Sens!$E$5124/1000</f>
        <v>8.51035297557002</v>
      </c>
      <c r="F5140" s="38" t="n">
        <f aca="false">(mw_open*rpm_open+Sens!$F$5138*Sens!$F$5137)*Sens!$F$5124/1000</f>
        <v>14.9634336447205</v>
      </c>
      <c r="G5140" s="38" t="n">
        <f aca="false">Sens!$E$5140+Sens!$F$5140</f>
        <v>23.4737866202905</v>
      </c>
      <c r="H5140" s="38" t="n">
        <f aca="false">(mw_open*rpm_open+Sens!$H$5138*Sens!$H$5137)/1000</f>
        <v>60.1658907497746</v>
      </c>
      <c r="I5140" s="38" t="n">
        <f aca="false">(mw_open*rpm_open+Sens!$I$5138*Sens!$I$5137)/1000</f>
        <v>101.503699136432</v>
      </c>
      <c r="J5140" s="38" t="n">
        <f aca="false">(mw_open*rpm_open+Sens!$J$5138*Sens!$J$5137)/1000</f>
        <v>143.025407151278</v>
      </c>
      <c r="K5140" s="38" t="n">
        <f aca="false">(mw_open*rpm_open+Sens!$K$5138*Sens!$K$5137)/1000</f>
        <v>184.608415042187</v>
      </c>
      <c r="L5140" s="38" t="n">
        <f aca="false">(mw_open*rpm_open+Sens!$L$5138*Sens!$L$5137)/1000</f>
        <v>226.219286513125</v>
      </c>
      <c r="M5140" s="38" t="n">
        <f aca="false">(mw_open*rpm_open+Sens!$M$5138*Sens!$M$5137)/1000</f>
        <v>267.845161450232</v>
      </c>
      <c r="N5140" s="38" t="n">
        <f aca="false">Sens!$N$5123*rpm_open*Sens!$N$5124/1000</f>
        <v>3.04631953102791</v>
      </c>
      <c r="O5140" s="38" t="n">
        <f aca="false">Sens!$O$5123*rpm_open*Sens!$O$5124/1000</f>
        <v>5.65745055762326</v>
      </c>
      <c r="P5140" s="5" t="s">
        <v>575</v>
      </c>
    </row>
    <row r="5141" customFormat="false" ht="17.15" hidden="false" customHeight="false" outlineLevel="0" collapsed="false">
      <c r="A5141" s="5" t="s">
        <v>576</v>
      </c>
      <c r="B5141" s="0" t="s">
        <v>151</v>
      </c>
      <c r="C5141" s="36" t="n">
        <f aca="false">Sens!$C$5140*1000/(Sens!$C$5123*Sens!$C$5124)</f>
        <v>9.67085565405685</v>
      </c>
      <c r="D5141" s="36" t="n">
        <f aca="false">Sens!$D$5140*1000/(Sens!$D$5123*Sens!$D$5124)</f>
        <v>9.67085565405685</v>
      </c>
      <c r="E5141" s="36" t="n">
        <f aca="false">Sens!$E$5140*1000/(Sens!$E$5123*Sens!$E$5124)</f>
        <v>9.67085565405685</v>
      </c>
      <c r="F5141" s="36" t="n">
        <f aca="false">Sens!$F$5140*1000/(Sens!$F$5123*Sens!$F$5124)</f>
        <v>10.0137581588017</v>
      </c>
      <c r="G5141" s="36" t="n">
        <f aca="false">Sens!$G$5140*1000/(Sens!$G$5123*Sens!$G$5124)</f>
        <v>9.88666562928478</v>
      </c>
      <c r="H5141" s="36" t="n">
        <f aca="false">Sens!$H$5140*1000/(Sens!$H$5123*Sens!$H$5124)</f>
        <v>10.5290045586992</v>
      </c>
      <c r="I5141" s="36" t="n">
        <f aca="false">Sens!$I$5140*1000/(Sens!$I$5123*Sens!$I$5124)</f>
        <v>10.8576363451674</v>
      </c>
      <c r="J5141" s="36" t="n">
        <f aca="false">Sens!$J$5140*1000/(Sens!$J$5123*Sens!$J$5124)</f>
        <v>11.0164452588619</v>
      </c>
      <c r="K5141" s="36" t="n">
        <f aca="false">Sens!$K$5140*1000/(Sens!$K$5123*Sens!$K$5124)</f>
        <v>11.1094778327388</v>
      </c>
      <c r="L5141" s="36" t="n">
        <f aca="false">Sens!$L$5140*1000/(Sens!$L$5123*Sens!$L$5124)</f>
        <v>11.1704953466718</v>
      </c>
      <c r="M5141" s="36" t="n">
        <f aca="false">Sens!$M$5140*1000/(Sens!$M$5123*Sens!$M$5124)</f>
        <v>11.2135729785158</v>
      </c>
      <c r="N5141" s="36" t="n">
        <f aca="false">Sens!$N$5140*1000/(Sens!$N$5123*Sens!$N$5124)</f>
        <v>9.67085565405685</v>
      </c>
      <c r="O5141" s="36" t="n">
        <f aca="false">Sens!$O$5140*1000/(Sens!$O$5123*Sens!$O$5124)</f>
        <v>9.67085565405685</v>
      </c>
    </row>
    <row r="5142" customFormat="false" ht="17.15" hidden="false" customHeight="false" outlineLevel="0" collapsed="false">
      <c r="A5142" s="0" t="s">
        <v>577</v>
      </c>
      <c r="B5142" s="0" t="s">
        <v>73</v>
      </c>
      <c r="C5142" s="38" t="n">
        <f aca="false">Sens!$C$5123/ext_sh*(ox_open+rent_mw)*Sens!$C$5124/1000</f>
        <v>0.642569210675032</v>
      </c>
      <c r="D5142" s="38" t="n">
        <f aca="false">Sens!$D$5123/ext_sh*(ox_open+rent_mw)*Sens!$D$5124/1000</f>
        <v>2.40963454003137</v>
      </c>
      <c r="E5142" s="38" t="n">
        <f aca="false">Sens!$E$5123/ext_sh*(ox_open+rent_mw)*Sens!$E$5124/1000</f>
        <v>2.35608710580845</v>
      </c>
      <c r="F5142" s="38" t="n">
        <f aca="false">((mw_open*ox_open+Sens!$F$5138*Sens!$F$5136)/ext_sh+Sens!$F$5123/ext_sh*rent_mw)*Sens!$F$5124/1000</f>
        <v>4.05421991106232</v>
      </c>
      <c r="G5142" s="38" t="n">
        <f aca="false">Sens!$E$5142+Sens!$F$5142</f>
        <v>6.41030701687077</v>
      </c>
      <c r="H5142" s="38" t="n">
        <f aca="false">((mw_open*ox_open+Sens!$H$5138*Sens!$H$5136)/ext_sh+Sens!$H$5123/ext_sh*rent_mw)*Sens!$H$5124/1000</f>
        <v>15.8108975546616</v>
      </c>
      <c r="I5142" s="38" t="n">
        <f aca="false">((mw_open*ox_open+Sens!$I$5138*Sens!$I$5136)/ext_sh+Sens!$I$5123/ext_sh*rent_mw)*Sens!$I$5124/1000</f>
        <v>26.1871623400817</v>
      </c>
      <c r="J5142" s="38" t="n">
        <f aca="false">((mw_open*ox_open+Sens!$J$5138*Sens!$J$5136)/ext_sh+Sens!$J$5123/ext_sh*rent_mw)*Sens!$J$5124/1000</f>
        <v>36.5826128954935</v>
      </c>
      <c r="K5142" s="38" t="n">
        <f aca="false">((mw_open*ox_open+Sens!$K$5138*Sens!$K$5136)/ext_sh+Sens!$K$5123/ext_sh*rent_mw)*Sens!$K$5124/1000</f>
        <v>46.9844587075692</v>
      </c>
      <c r="L5142" s="38" t="n">
        <f aca="false">((mw_open*ox_open+Sens!$L$5138*Sens!$L$5136)/ext_sh+Sens!$L$5123/ext_sh*rent_mw)*Sens!$L$5124/1000</f>
        <v>57.3892114544922</v>
      </c>
      <c r="M5142" s="38" t="n">
        <f aca="false">((mw_open*ox_open+Sens!$M$5138*Sens!$M$5136)/ext_sh+Sens!$M$5123/ext_sh*rent_mw)*Sens!$M$5124/1000</f>
        <v>67.7955294740252</v>
      </c>
      <c r="N5142" s="38" t="n">
        <f aca="false">Sens!$N$5123/ext_sh*(ox_open+rent_mw)*Sens!$N$5124/1000</f>
        <v>0.84337208901098</v>
      </c>
      <c r="O5142" s="38" t="n">
        <f aca="false">Sens!$O$5123/ext_sh*(ox_open+rent_mw)*Sens!$O$5124/1000</f>
        <v>1.56626245102039</v>
      </c>
    </row>
    <row r="5143" customFormat="false" ht="17.15" hidden="false" customHeight="false" outlineLevel="0" collapsed="false">
      <c r="A5143" s="0" t="s">
        <v>578</v>
      </c>
      <c r="B5143" s="0" t="s">
        <v>73</v>
      </c>
      <c r="C5143" s="38" t="n">
        <f aca="false">Q!$D$7</f>
        <v>107.556</v>
      </c>
      <c r="D5143" s="38" t="n">
        <f aca="false">Q!$E$7</f>
        <v>128.725</v>
      </c>
      <c r="E5143" s="38" t="n">
        <f aca="false">Q!$P$7</f>
        <v>79.819</v>
      </c>
      <c r="N5143" s="38" t="n">
        <f aca="false">Q!$N$7</f>
        <v>60.14</v>
      </c>
      <c r="O5143" s="38" t="n">
        <f aca="false">Q!$O$7</f>
        <v>68.585</v>
      </c>
    </row>
    <row r="5144" customFormat="false" ht="17.15" hidden="false" customHeight="false" outlineLevel="0" collapsed="false">
      <c r="A5144" s="1" t="s">
        <v>579</v>
      </c>
      <c r="B5144" s="8" t="s">
        <v>73</v>
      </c>
      <c r="C5144" s="38" t="n">
        <f aca="false">Sens!$C$5143-Sens!$C$5140</f>
        <v>105.234994643026</v>
      </c>
      <c r="D5144" s="38" t="n">
        <f aca="false">Sens!$D$5143-Sens!$D$5140</f>
        <v>120.021229911349</v>
      </c>
      <c r="E5144" s="38" t="n">
        <f aca="false">Sens!$E$5143-Sens!$E$5140</f>
        <v>71.30864702443</v>
      </c>
      <c r="F5144" s="38" t="n">
        <f aca="false">Sens!$O$5144*(1+Sens!$F$5145)</f>
        <v>78.5950104186653</v>
      </c>
      <c r="G5144" s="38" t="n">
        <f aca="false">Sens!$E$5144+Sens!$F$5144</f>
        <v>149.903657443095</v>
      </c>
      <c r="H5144" s="38" t="n">
        <f aca="false">Sens!$G$5144*(1+Sens!$H$5145)</f>
        <v>180.893560768142</v>
      </c>
      <c r="I5144" s="38" t="n">
        <f aca="false">Sens!$H$5144*(1+Sens!$I$5145)</f>
        <v>210.64839721501</v>
      </c>
      <c r="J5144" s="38" t="n">
        <f aca="false">Sens!$I$5144*(1+Sens!$J$5145)</f>
        <v>236.398909446495</v>
      </c>
      <c r="K5144" s="38" t="n">
        <f aca="false">Sens!$J$5144*(1+Sens!$K$5145)</f>
        <v>255.310822202215</v>
      </c>
      <c r="L5144" s="38" t="n">
        <f aca="false">Sens!$K$5144*(1+Sens!$L$5145)</f>
        <v>275.735687978392</v>
      </c>
      <c r="M5144" s="38" t="n">
        <f aca="false">Sens!$L$5144*(1+Sens!$M$5145)</f>
        <v>297.794543016663</v>
      </c>
      <c r="N5144" s="38" t="n">
        <f aca="false">Sens!$N$5143-Sens!$N$5140</f>
        <v>57.0936804689721</v>
      </c>
      <c r="O5144" s="38" t="n">
        <f aca="false">Sens!$O$5143-Sens!$O$5140</f>
        <v>62.9275494423768</v>
      </c>
      <c r="P5144" s="5" t="s">
        <v>580</v>
      </c>
    </row>
    <row r="5145" customFormat="false" ht="17.15" hidden="false" customHeight="false" outlineLevel="0" collapsed="false">
      <c r="A5145" s="0" t="s">
        <v>581</v>
      </c>
      <c r="B5145" s="0" t="s">
        <v>52</v>
      </c>
      <c r="E5145" s="12" t="n">
        <f aca="false">Sens!$E$5144/Sens!$N$5144-1</f>
        <v>0.248976181579029</v>
      </c>
      <c r="F5145" s="12" t="n">
        <f aca="false">Sens!$E$5145</f>
        <v>0.248976181579029</v>
      </c>
      <c r="G5145" s="12" t="n">
        <f aca="false">Sens!$G$5144/Sens!$D$5144-1</f>
        <v>0.248976181579029</v>
      </c>
      <c r="H5145" s="12" t="n">
        <f aca="false">Sens!$E$5145+(g_awso_lt-Sens!$E$5145)*1/4</f>
        <v>0.206732136184272</v>
      </c>
      <c r="I5145" s="12" t="n">
        <f aca="false">Sens!$E$5145+(g_awso_lt-Sens!$E$5145)*2/4</f>
        <v>0.164488090789515</v>
      </c>
      <c r="J5145" s="12" t="n">
        <f aca="false">Sens!$E$5145+(g_awso_lt-Sens!$E$5145)*3/4</f>
        <v>0.122244045394757</v>
      </c>
      <c r="K5145" s="12" t="n">
        <f aca="false">Sens!$E$5145+(g_awso_lt-Sens!$E$5145)*4/4</f>
        <v>0.08</v>
      </c>
      <c r="L5145" s="12" t="n">
        <f aca="false">g_awso_lt</f>
        <v>0.08</v>
      </c>
      <c r="M5145" s="12" t="n">
        <f aca="false">g_awso_lt</f>
        <v>0.08</v>
      </c>
      <c r="P5145" s="8" t="s">
        <v>582</v>
      </c>
    </row>
    <row r="5146" customFormat="false" ht="17.15" hidden="false" customHeight="false" outlineLevel="0" collapsed="false">
      <c r="A5146" s="1" t="s">
        <v>583</v>
      </c>
    </row>
    <row r="5147" customFormat="false" ht="17.15" hidden="false" customHeight="false" outlineLevel="0" collapsed="false">
      <c r="A5147" s="0" t="s">
        <v>584</v>
      </c>
      <c r="B5147" s="0" t="s">
        <v>73</v>
      </c>
      <c r="F5147" s="38" t="n">
        <f aca="false">cx_rt*Sens!$F$5113+cx_awso*Sens!$F$5144</f>
        <v>36.8045765066526</v>
      </c>
    </row>
    <row r="5148" customFormat="false" ht="17.15" hidden="false" customHeight="false" outlineLevel="0" collapsed="false">
      <c r="A5148" s="0" t="s">
        <v>585</v>
      </c>
      <c r="B5148" s="0" t="s">
        <v>52</v>
      </c>
      <c r="C5148" s="12" t="n">
        <f aca="false">tk_cx_h100/(tk_cx_h100+tk_fac*(1-colo_sh))</f>
        <v>0.730756458006641</v>
      </c>
      <c r="D5148" s="12" t="n">
        <f aca="false">tk_cx_h100/(tk_cx_h100+tk_fac*(1-colo_sh))</f>
        <v>0.730756458006641</v>
      </c>
      <c r="E5148" s="12" t="n">
        <f aca="false">Sens!$F$5148</f>
        <v>0.760792334328868</v>
      </c>
      <c r="F5148" s="12" t="n">
        <f aca="false">Sens!$F$5131/(Sens!$F$5131+tk_fac*(1-colo_sh))</f>
        <v>0.760792334328868</v>
      </c>
      <c r="G5148" s="12" t="n">
        <f aca="false">Sens!$G$5131/(Sens!$G$5131+tk_fac*(1-colo_sh))</f>
        <v>0.760792334328868</v>
      </c>
      <c r="H5148" s="12" t="n">
        <f aca="false">Sens!$H$5131/(Sens!$H$5131+tk_fac*(1-colo_sh))</f>
        <v>0.768110668862996</v>
      </c>
      <c r="I5148" s="12" t="n">
        <f aca="false">Sens!$I$5131/(Sens!$I$5131+tk_fac*(1-colo_sh))</f>
        <v>0.77499450139483</v>
      </c>
      <c r="J5148" s="12" t="n">
        <f aca="false">Sens!$J$5131/(Sens!$J$5131+tk_fac*(1-colo_sh))</f>
        <v>0.77499450139483</v>
      </c>
      <c r="K5148" s="12" t="n">
        <f aca="false">Sens!$K$5131/(Sens!$K$5131+tk_fac*(1-colo_sh))</f>
        <v>0.77499450139483</v>
      </c>
      <c r="L5148" s="12" t="n">
        <f aca="false">Sens!$L$5131/(Sens!$L$5131+tk_fac*(1-colo_sh))</f>
        <v>0.77499450139483</v>
      </c>
      <c r="M5148" s="12" t="n">
        <f aca="false">Sens!$M$5131/(Sens!$M$5131+tk_fac*(1-colo_sh))</f>
        <v>0.77499450139483</v>
      </c>
    </row>
    <row r="5149" customFormat="false" ht="17.15" hidden="false" customHeight="false" outlineLevel="0" collapsed="false">
      <c r="A5149" s="1" t="s">
        <v>586</v>
      </c>
      <c r="B5149" s="8" t="s">
        <v>73</v>
      </c>
      <c r="C5149" s="38" t="n">
        <f aca="false">Q!$D$46-cx_rt*Q!$D$16-cx_awso*Sens!$C$5144</f>
        <v>25.2781053077374</v>
      </c>
      <c r="D5149" s="38" t="n">
        <f aca="false">Q!$E$46-cx_rt*Q!$E$16-cx_awso*Sens!$D$5144</f>
        <v>69.5686316310026</v>
      </c>
      <c r="E5149" s="38" t="n">
        <f aca="false">Q!$P$46-cx_rt*Q!$P$16-cx_awso*Sens!$E$5144</f>
        <v>64.1899206485108</v>
      </c>
      <c r="F5149" s="38" t="n">
        <f aca="false">MAX(Sens!$F$5126*(Sens!$F$5131+tk_fac*(1-colo_sh))/1000,capex_g26-Q!$P$46-Sens!$F$5147)</f>
        <v>96.2481299895</v>
      </c>
      <c r="G5149" s="38" t="n">
        <f aca="false">Sens!$E$5149+Sens!$F$5149</f>
        <v>160.438050638011</v>
      </c>
      <c r="H5149" s="38" t="n">
        <f aca="false">Sens!$H$5126*(Sens!$H$5131+tk_fac*(1-colo_sh))/1000+Sens!$H$5150</f>
        <v>198.57136494475</v>
      </c>
      <c r="I5149" s="38" t="n">
        <f aca="false">Sens!$I$5126*(Sens!$I$5131+tk_fac*(1-colo_sh))/1000+Sens!$I$5150</f>
        <v>204.6464699105</v>
      </c>
      <c r="J5149" s="38" t="n">
        <f aca="false">Sens!$J$5126*(Sens!$J$5131+tk_fac*(1-colo_sh))/1000+Sens!$J$5150</f>
        <v>209.8832381105</v>
      </c>
      <c r="K5149" s="38" t="n">
        <f aca="false">Sens!$K$5126*(Sens!$K$5131+tk_fac*(1-colo_sh))/1000+Sens!$K$5150</f>
        <v>215.1200063105</v>
      </c>
      <c r="L5149" s="38" t="n">
        <f aca="false">Sens!$L$5126*(Sens!$L$5131+tk_fac*(1-colo_sh))/1000+Sens!$L$5150</f>
        <v>251.7773837105</v>
      </c>
      <c r="M5149" s="38" t="n">
        <f aca="false">Sens!$M$5126*(Sens!$M$5131+tk_fac*(1-colo_sh))/1000+Sens!$M$5150</f>
        <v>311.87584476575</v>
      </c>
      <c r="P5149" s="5" t="s">
        <v>587</v>
      </c>
      <c r="R5149" s="38" t="n">
        <f aca="false">Q!$C$46-cx_rt*Q!$C$16-cx_awso*(Q!$C$7-mw_ye23/2*rpm_open/1000)</f>
        <v>1.50429979529945</v>
      </c>
      <c r="S5149" s="38" t="n">
        <f aca="false">Sens!$C$5149</f>
        <v>25.2781053077374</v>
      </c>
      <c r="T5149" s="38" t="n">
        <f aca="false">Sens!$D$5149</f>
        <v>69.5686316310026</v>
      </c>
      <c r="U5149" s="38" t="n">
        <f aca="false">Sens!$G$5149</f>
        <v>160.438050638011</v>
      </c>
      <c r="V5149" s="38" t="n">
        <f aca="false">Sens!$H$5149</f>
        <v>198.57136494475</v>
      </c>
      <c r="W5149" s="38" t="n">
        <f aca="false">Sens!$I$5149</f>
        <v>204.6464699105</v>
      </c>
      <c r="X5149" s="38" t="n">
        <f aca="false">Sens!$J$5149</f>
        <v>209.8832381105</v>
      </c>
      <c r="Y5149" s="38" t="n">
        <f aca="false">Sens!$K$5149</f>
        <v>215.1200063105</v>
      </c>
      <c r="Z5149" s="38" t="n">
        <f aca="false">Sens!$L$5149</f>
        <v>251.7773837105</v>
      </c>
      <c r="AA5149" s="38" t="n">
        <f aca="false">Sens!$M$5149</f>
        <v>311.87584476575</v>
      </c>
    </row>
    <row r="5150" customFormat="false" ht="17.15" hidden="false" customHeight="false" outlineLevel="0" collapsed="false">
      <c r="A5150" s="0" t="s">
        <v>588</v>
      </c>
      <c r="B5150" s="0" t="s">
        <v>73</v>
      </c>
      <c r="H5150" s="38" t="n">
        <f aca="false">SUMPRODUCT(--(Sens!$R$5120:$AA$5120=2027-tk_life),Sens!$R$5126:$AA$5126)*Sens!$H$5131/1000</f>
        <v>0</v>
      </c>
      <c r="I5150" s="38" t="n">
        <f aca="false">SUMPRODUCT(--(Sens!$R$5120:$AA$5120=2028-tk_life),Sens!$R$5126:$AA$5126)*Sens!$I$5131/1000</f>
        <v>0</v>
      </c>
      <c r="J5150" s="38" t="n">
        <f aca="false">SUMPRODUCT(--(Sens!$R$5120:$AA$5120=2029-tk_life),Sens!$R$5126:$AA$5126)*Sens!$J$5131/1000</f>
        <v>5.2367682</v>
      </c>
      <c r="K5150" s="38" t="n">
        <f aca="false">SUMPRODUCT(--(Sens!$R$5120:$AA$5120=2030-tk_life),Sens!$R$5126:$AA$5126)*Sens!$K$5131/1000</f>
        <v>10.4735364</v>
      </c>
      <c r="L5150" s="38" t="n">
        <f aca="false">SUMPRODUCT(--(Sens!$R$5120:$AA$5120=2031-tk_life),Sens!$R$5126:$AA$5126)*Sens!$L$5131/1000</f>
        <v>47.1309138</v>
      </c>
      <c r="M5150" s="38" t="n">
        <f aca="false">SUMPRODUCT(--(Sens!$R$5120:$AA$5120=2032-tk_life),Sens!$R$5126:$AA$5126)*Sens!$M$5131/1000</f>
        <v>107.22937485525</v>
      </c>
    </row>
    <row r="5151" customFormat="false" ht="17.15" hidden="false" customHeight="false" outlineLevel="0" collapsed="false">
      <c r="A5151" s="5" t="s">
        <v>589</v>
      </c>
      <c r="B5151" s="0" t="s">
        <v>73</v>
      </c>
      <c r="C5151" s="38" t="n">
        <f aca="false">Sens!$C$5149*Sens!$C$5148</f>
        <v>18.472138699801</v>
      </c>
      <c r="D5151" s="38" t="n">
        <f aca="false">Sens!$D$5149*Sens!$D$5148</f>
        <v>50.8377268390402</v>
      </c>
      <c r="E5151" s="38" t="n">
        <f aca="false">Sens!$E$5149*Sens!$E$5148</f>
        <v>48.8351995705653</v>
      </c>
      <c r="F5151" s="38" t="n">
        <f aca="false">Sens!$F$5149*Sens!$F$5148</f>
        <v>73.2248394895</v>
      </c>
      <c r="G5151" s="38" t="n">
        <f aca="false">Sens!$E$5151+Sens!$F$5151</f>
        <v>122.060039060065</v>
      </c>
      <c r="H5151" s="38" t="n">
        <f aca="false">(Sens!$H$5149-Sens!$H$5150)*Sens!$H$5148+Sens!$H$5150</f>
        <v>152.52478394475</v>
      </c>
      <c r="I5151" s="38" t="n">
        <f aca="false">(Sens!$I$5149-Sens!$I$5150)*Sens!$I$5148+Sens!$I$5150</f>
        <v>158.5998889105</v>
      </c>
      <c r="J5151" s="38" t="n">
        <f aca="false">(Sens!$J$5149-Sens!$J$5150)*Sens!$J$5148+Sens!$J$5150</f>
        <v>163.8366571105</v>
      </c>
      <c r="K5151" s="38" t="n">
        <f aca="false">(Sens!$K$5149-Sens!$K$5150)*Sens!$K$5148+Sens!$K$5150</f>
        <v>169.0734253105</v>
      </c>
      <c r="L5151" s="38" t="n">
        <f aca="false">(Sens!$L$5149-Sens!$L$5150)*Sens!$L$5148+Sens!$L$5150</f>
        <v>205.7308027105</v>
      </c>
      <c r="M5151" s="38" t="n">
        <f aca="false">(Sens!$M$5149-Sens!$M$5150)*Sens!$M$5148+Sens!$M$5150</f>
        <v>265.82926376575</v>
      </c>
      <c r="R5151" s="38" t="n">
        <f aca="false">Sens!$R$5149*Sens!$C$5148</f>
        <v>1.09927679019314</v>
      </c>
      <c r="S5151" s="38" t="n">
        <f aca="false">Sens!$C$5151</f>
        <v>18.472138699801</v>
      </c>
      <c r="T5151" s="38" t="n">
        <f aca="false">Sens!$D$5151</f>
        <v>50.8377268390402</v>
      </c>
      <c r="U5151" s="38" t="n">
        <f aca="false">Sens!$G$5151</f>
        <v>122.060039060065</v>
      </c>
      <c r="V5151" s="38" t="n">
        <f aca="false">Sens!$H$5151</f>
        <v>152.52478394475</v>
      </c>
      <c r="W5151" s="38" t="n">
        <f aca="false">Sens!$I$5151</f>
        <v>158.5998889105</v>
      </c>
      <c r="X5151" s="38" t="n">
        <f aca="false">Sens!$J$5151</f>
        <v>163.8366571105</v>
      </c>
      <c r="Y5151" s="38" t="n">
        <f aca="false">Sens!$K$5151</f>
        <v>169.0734253105</v>
      </c>
      <c r="Z5151" s="38" t="n">
        <f aca="false">Sens!$L$5151</f>
        <v>205.7308027105</v>
      </c>
      <c r="AA5151" s="38" t="n">
        <f aca="false">Sens!$M$5151</f>
        <v>265.82926376575</v>
      </c>
    </row>
    <row r="5152" customFormat="false" ht="15" hidden="false" customHeight="false" outlineLevel="0" collapsed="false">
      <c r="A5152" s="5" t="s">
        <v>590</v>
      </c>
      <c r="B5152" s="0" t="s">
        <v>73</v>
      </c>
      <c r="C5152" s="38" t="n">
        <f aca="false">Sens!$C$5149-Sens!$C$5151</f>
        <v>6.80596660793636</v>
      </c>
      <c r="D5152" s="38" t="n">
        <f aca="false">Sens!$D$5149-Sens!$D$5151</f>
        <v>18.7309047919624</v>
      </c>
      <c r="E5152" s="38" t="n">
        <f aca="false">Sens!$E$5149-Sens!$E$5151</f>
        <v>15.3547210779455</v>
      </c>
      <c r="F5152" s="38" t="n">
        <f aca="false">Sens!$F$5149-Sens!$F$5151</f>
        <v>23.0232905</v>
      </c>
      <c r="G5152" s="38" t="n">
        <f aca="false">Sens!$G$5149-Sens!$G$5151</f>
        <v>38.3780115779455</v>
      </c>
      <c r="H5152" s="38" t="n">
        <f aca="false">Sens!$H$5149-Sens!$H$5151</f>
        <v>46.046581</v>
      </c>
      <c r="I5152" s="38" t="n">
        <f aca="false">Sens!$I$5149-Sens!$I$5151</f>
        <v>46.046581</v>
      </c>
      <c r="J5152" s="38" t="n">
        <f aca="false">Sens!$J$5149-Sens!$J$5151</f>
        <v>46.046581</v>
      </c>
      <c r="K5152" s="38" t="n">
        <f aca="false">Sens!$K$5149-Sens!$K$5151</f>
        <v>46.046581</v>
      </c>
      <c r="L5152" s="38" t="n">
        <f aca="false">Sens!$L$5149-Sens!$L$5151</f>
        <v>46.046581</v>
      </c>
      <c r="M5152" s="38" t="n">
        <f aca="false">Sens!$M$5149-Sens!$M$5151</f>
        <v>46.046581</v>
      </c>
      <c r="R5152" s="38" t="n">
        <f aca="false">Sens!$R$5149-Sens!$R$5151</f>
        <v>0.405023005106309</v>
      </c>
      <c r="S5152" s="38" t="n">
        <f aca="false">Sens!$S$5149-Sens!$S$5151</f>
        <v>6.80596660793636</v>
      </c>
      <c r="T5152" s="38" t="n">
        <f aca="false">Sens!$T$5149-Sens!$T$5151</f>
        <v>18.7309047919624</v>
      </c>
      <c r="U5152" s="38" t="n">
        <f aca="false">Sens!$U$5149-Sens!$U$5151</f>
        <v>38.3780115779455</v>
      </c>
      <c r="V5152" s="38" t="n">
        <f aca="false">Sens!$V$5149-Sens!$V$5151</f>
        <v>46.046581</v>
      </c>
      <c r="W5152" s="38" t="n">
        <f aca="false">Sens!$W$5149-Sens!$W$5151</f>
        <v>46.046581</v>
      </c>
      <c r="X5152" s="38" t="n">
        <f aca="false">Sens!$X$5149-Sens!$X$5151</f>
        <v>46.046581</v>
      </c>
      <c r="Y5152" s="38" t="n">
        <f aca="false">Sens!$Y$5149-Sens!$Y$5151</f>
        <v>46.046581</v>
      </c>
      <c r="Z5152" s="38" t="n">
        <f aca="false">Sens!$Z$5149-Sens!$Z$5151</f>
        <v>46.046581</v>
      </c>
      <c r="AA5152" s="38" t="n">
        <f aca="false">Sens!$AA$5149-Sens!$AA$5151</f>
        <v>46.046581</v>
      </c>
    </row>
    <row r="5153" customFormat="false" ht="17.15" hidden="false" customHeight="false" outlineLevel="0" collapsed="false">
      <c r="A5153" s="0" t="s">
        <v>591</v>
      </c>
      <c r="B5153" s="0" t="s">
        <v>52</v>
      </c>
      <c r="C5153" s="12" t="n">
        <f aca="false">Sens!$C$5149/Sens!$C$5265</f>
        <v>0.325505489553393</v>
      </c>
      <c r="D5153" s="12" t="n">
        <f aca="false">Sens!$D$5149/Sens!$D$5265</f>
        <v>0.54214956071542</v>
      </c>
      <c r="E5153" s="12" t="n">
        <f aca="false">Sens!$E$5149/Sens!$E$5265</f>
        <v>0.666492790452817</v>
      </c>
      <c r="F5153" s="12" t="n">
        <f aca="false">Sens!$F$5149/Sens!$F$5265</f>
        <v>0.723383481058938</v>
      </c>
      <c r="G5153" s="12" t="n">
        <f aca="false">Sens!$G$5149/Sens!$G$5265</f>
        <v>0.699494931364102</v>
      </c>
      <c r="H5153" s="12" t="n">
        <f aca="false">Sens!$H$5149/Sens!$H$5265</f>
        <v>0.714619350171483</v>
      </c>
      <c r="I5153" s="12" t="n">
        <f aca="false">Sens!$I$5149/Sens!$I$5265</f>
        <v>0.696231624961614</v>
      </c>
      <c r="J5153" s="12" t="n">
        <f aca="false">Sens!$J$5149/Sens!$J$5265</f>
        <v>0.681286352509885</v>
      </c>
      <c r="K5153" s="12" t="n">
        <f aca="false">Sens!$K$5149/Sens!$K$5265</f>
        <v>0.671440649805508</v>
      </c>
      <c r="L5153" s="12" t="n">
        <f aca="false">Sens!$L$5149/Sens!$L$5265</f>
        <v>0.6904509846562</v>
      </c>
      <c r="M5153" s="12" t="n">
        <f aca="false">Sens!$M$5149/Sens!$M$5265</f>
        <v>0.720362080285865</v>
      </c>
    </row>
    <row r="5154" customFormat="false" ht="17.15" hidden="false" customHeight="false" outlineLevel="0" collapsed="false">
      <c r="A5154" s="0" t="s">
        <v>592</v>
      </c>
      <c r="B5154" s="0" t="s">
        <v>73</v>
      </c>
      <c r="C5154" s="38" t="n">
        <f aca="false">Sens!$S$5154</f>
        <v>0.183212798365523</v>
      </c>
      <c r="D5154" s="38" t="n">
        <f aca="false">Sens!$T$5154</f>
        <v>3.2619025816657</v>
      </c>
      <c r="E5154" s="38" t="n">
        <f aca="false">Sens!$G$5154/2</f>
        <v>5.86742852741953</v>
      </c>
      <c r="F5154" s="38" t="n">
        <f aca="false">Sens!$G$5154/2</f>
        <v>5.86742852741953</v>
      </c>
      <c r="G5154" s="38" t="n">
        <f aca="false">Sens!$U$5154</f>
        <v>11.7348570548391</v>
      </c>
      <c r="H5154" s="38" t="n">
        <f aca="false">Sens!$V$5154</f>
        <v>32.0781968981833</v>
      </c>
      <c r="I5154" s="38" t="n">
        <f aca="false">Sens!$W$5154</f>
        <v>57.4989942223083</v>
      </c>
      <c r="J5154" s="38" t="n">
        <f aca="false">Sens!$X$5154</f>
        <v>83.932309040725</v>
      </c>
      <c r="K5154" s="38" t="n">
        <f aca="false">Sens!$Y$5154</f>
        <v>111.055205760776</v>
      </c>
      <c r="L5154" s="38" t="n">
        <f aca="false">Sens!$Z$5154</f>
        <v>136.155420195893</v>
      </c>
      <c r="M5154" s="38" t="n">
        <f aca="false">Sens!$AA$5154</f>
        <v>161.970932841136</v>
      </c>
      <c r="N5154" s="38" t="n">
        <f aca="false">Sens!$D$5154/2</f>
        <v>1.63095129083285</v>
      </c>
      <c r="O5154" s="38" t="n">
        <f aca="false">Sens!$D$5154/2</f>
        <v>1.63095129083285</v>
      </c>
      <c r="R5154" s="38" t="n">
        <f aca="false">SUMPRODUCT(--(Sens!$R$5120:$AA$5120&lt;Sens!R$5120),--(Sens!$R$5120:$AA$5120&gt;=Sens!R$5120-tk_life),Sens!$R$5151:$AA$5151)/tk_life</f>
        <v>0</v>
      </c>
      <c r="S5154" s="38" t="n">
        <f aca="false">SUMPRODUCT(--(Sens!$R$5120:$AA$5120&lt;Sens!S$5120),--(Sens!$R$5120:$AA$5120&gt;=Sens!S$5120-tk_life),Sens!$R$5151:$AA$5151)/tk_life</f>
        <v>0.183212798365523</v>
      </c>
      <c r="T5154" s="38" t="n">
        <f aca="false">SUMPRODUCT(--(Sens!$R$5120:$AA$5120&lt;Sens!T$5120),--(Sens!$R$5120:$AA$5120&gt;=Sens!T$5120-tk_life),Sens!$R$5151:$AA$5151)/tk_life</f>
        <v>3.2619025816657</v>
      </c>
      <c r="U5154" s="38" t="n">
        <f aca="false">SUMPRODUCT(--(Sens!$R$5120:$AA$5120&lt;Sens!U$5120),--(Sens!$R$5120:$AA$5120&gt;=Sens!U$5120-tk_life),Sens!$R$5151:$AA$5151)/tk_life</f>
        <v>11.7348570548391</v>
      </c>
      <c r="V5154" s="38" t="n">
        <f aca="false">SUMPRODUCT(--(Sens!$R$5120:$AA$5120&lt;Sens!V$5120),--(Sens!$R$5120:$AA$5120&gt;=Sens!V$5120-tk_life),Sens!$R$5151:$AA$5151)/tk_life</f>
        <v>32.0781968981833</v>
      </c>
      <c r="W5154" s="38" t="n">
        <f aca="false">SUMPRODUCT(--(Sens!$R$5120:$AA$5120&lt;Sens!W$5120),--(Sens!$R$5120:$AA$5120&gt;=Sens!W$5120-tk_life),Sens!$R$5151:$AA$5151)/tk_life</f>
        <v>57.4989942223083</v>
      </c>
      <c r="X5154" s="38" t="n">
        <f aca="false">SUMPRODUCT(--(Sens!$R$5120:$AA$5120&lt;Sens!X$5120),--(Sens!$R$5120:$AA$5120&gt;=Sens!X$5120-tk_life),Sens!$R$5151:$AA$5151)/tk_life</f>
        <v>83.932309040725</v>
      </c>
      <c r="Y5154" s="38" t="n">
        <f aca="false">SUMPRODUCT(--(Sens!$R$5120:$AA$5120&lt;Sens!Y$5120),--(Sens!$R$5120:$AA$5120&gt;=Sens!Y$5120-tk_life),Sens!$R$5151:$AA$5151)/tk_life</f>
        <v>111.055205760776</v>
      </c>
      <c r="Z5154" s="38" t="n">
        <f aca="false">SUMPRODUCT(--(Sens!$R$5120:$AA$5120&lt;Sens!Z$5120),--(Sens!$R$5120:$AA$5120&gt;=Sens!Z$5120-tk_life),Sens!$R$5151:$AA$5151)/tk_life</f>
        <v>136.155420195893</v>
      </c>
      <c r="AA5154" s="38" t="n">
        <f aca="false">SUMPRODUCT(--(Sens!$R$5120:$AA$5120&lt;Sens!AA$5120),--(Sens!$R$5120:$AA$5120&gt;=Sens!AA$5120-tk_life),Sens!$R$5151:$AA$5151)/tk_life</f>
        <v>161.970932841136</v>
      </c>
    </row>
    <row r="5155" customFormat="false" ht="17.15" hidden="false" customHeight="false" outlineLevel="0" collapsed="false">
      <c r="A5155" s="0" t="s">
        <v>593</v>
      </c>
      <c r="B5155" s="0" t="s">
        <v>73</v>
      </c>
      <c r="C5155" s="38" t="n">
        <f aca="false">Sens!$S$5155</f>
        <v>0.0202511502553155</v>
      </c>
      <c r="D5155" s="38" t="n">
        <f aca="false">Sens!$T$5155</f>
        <v>0.360549480652134</v>
      </c>
      <c r="E5155" s="38" t="n">
        <f aca="false">Sens!$G$5155/2</f>
        <v>0.648547360125127</v>
      </c>
      <c r="F5155" s="38" t="n">
        <f aca="false">Sens!$G$5155/2</f>
        <v>0.648547360125127</v>
      </c>
      <c r="G5155" s="38" t="n">
        <f aca="false">Sens!$U$5155</f>
        <v>1.29709472025025</v>
      </c>
      <c r="H5155" s="38" t="n">
        <f aca="false">Sens!$V$5155</f>
        <v>3.21599529914753</v>
      </c>
      <c r="I5155" s="38" t="n">
        <f aca="false">Sens!$W$5155</f>
        <v>5.51832434914753</v>
      </c>
      <c r="J5155" s="38" t="n">
        <f aca="false">Sens!$X$5155</f>
        <v>7.82065339914753</v>
      </c>
      <c r="K5155" s="38" t="n">
        <f aca="false">Sens!$Y$5155</f>
        <v>10.1229824491475</v>
      </c>
      <c r="L5155" s="38" t="n">
        <f aca="false">Sens!$Z$5155</f>
        <v>12.4253114991475</v>
      </c>
      <c r="M5155" s="38" t="n">
        <f aca="false">Sens!$AA$5155</f>
        <v>14.7276405491475</v>
      </c>
      <c r="N5155" s="38" t="n">
        <f aca="false">Sens!$D$5155/2</f>
        <v>0.180274740326067</v>
      </c>
      <c r="O5155" s="38" t="n">
        <f aca="false">Sens!$D$5155/2</f>
        <v>0.180274740326067</v>
      </c>
      <c r="R5155" s="38" t="n">
        <f aca="false">SUMPRODUCT(--(Sens!$R$5120:$AA$5120&lt;Sens!R$5120),Sens!$R$5152:$AA$5152)/fac_life</f>
        <v>0</v>
      </c>
      <c r="S5155" s="38" t="n">
        <f aca="false">SUMPRODUCT(--(Sens!$R$5120:$AA$5120&lt;Sens!S$5120),Sens!$R$5152:$AA$5152)/fac_life</f>
        <v>0.0202511502553155</v>
      </c>
      <c r="T5155" s="38" t="n">
        <f aca="false">SUMPRODUCT(--(Sens!$R$5120:$AA$5120&lt;Sens!T$5120),Sens!$R$5152:$AA$5152)/fac_life</f>
        <v>0.360549480652134</v>
      </c>
      <c r="U5155" s="38" t="n">
        <f aca="false">SUMPRODUCT(--(Sens!$R$5120:$AA$5120&lt;Sens!U$5120),Sens!$R$5152:$AA$5152)/fac_life</f>
        <v>1.29709472025025</v>
      </c>
      <c r="V5155" s="38" t="n">
        <f aca="false">SUMPRODUCT(--(Sens!$R$5120:$AA$5120&lt;Sens!V$5120),Sens!$R$5152:$AA$5152)/fac_life</f>
        <v>3.21599529914753</v>
      </c>
      <c r="W5155" s="38" t="n">
        <f aca="false">SUMPRODUCT(--(Sens!$R$5120:$AA$5120&lt;Sens!W$5120),Sens!$R$5152:$AA$5152)/fac_life</f>
        <v>5.51832434914753</v>
      </c>
      <c r="X5155" s="38" t="n">
        <f aca="false">SUMPRODUCT(--(Sens!$R$5120:$AA$5120&lt;Sens!X$5120),Sens!$R$5152:$AA$5152)/fac_life</f>
        <v>7.82065339914753</v>
      </c>
      <c r="Y5155" s="38" t="n">
        <f aca="false">SUMPRODUCT(--(Sens!$R$5120:$AA$5120&lt;Sens!Y$5120),Sens!$R$5152:$AA$5152)/fac_life</f>
        <v>10.1229824491475</v>
      </c>
      <c r="Z5155" s="38" t="n">
        <f aca="false">SUMPRODUCT(--(Sens!$R$5120:$AA$5120&lt;Sens!Z$5120),Sens!$R$5152:$AA$5152)/fac_life</f>
        <v>12.4253114991475</v>
      </c>
      <c r="AA5155" s="38" t="n">
        <f aca="false">SUMPRODUCT(--(Sens!$R$5120:$AA$5120&lt;Sens!AA$5120),Sens!$R$5152:$AA$5152)/fac_life</f>
        <v>14.7276405491475</v>
      </c>
    </row>
    <row r="5156" customFormat="false" ht="17.15" hidden="false" customHeight="false" outlineLevel="0" collapsed="false">
      <c r="A5156" s="1" t="s">
        <v>594</v>
      </c>
      <c r="B5156" s="8" t="s">
        <v>73</v>
      </c>
      <c r="C5156" s="38" t="n">
        <f aca="false">Sens!$C$5154+Sens!$C$5155</f>
        <v>0.203463948620839</v>
      </c>
      <c r="D5156" s="38" t="n">
        <f aca="false">Sens!$D$5154+Sens!$D$5155</f>
        <v>3.62245206231783</v>
      </c>
      <c r="E5156" s="38" t="n">
        <f aca="false">Sens!$E$5154+Sens!$E$5155</f>
        <v>6.51597588754466</v>
      </c>
      <c r="F5156" s="38" t="n">
        <f aca="false">Sens!$F$5154+Sens!$F$5155</f>
        <v>6.51597588754466</v>
      </c>
      <c r="G5156" s="38" t="n">
        <f aca="false">Sens!$G$5154+Sens!$G$5155</f>
        <v>13.0319517750893</v>
      </c>
      <c r="H5156" s="38" t="n">
        <f aca="false">Sens!$H$5154+Sens!$H$5155</f>
        <v>35.2941921973308</v>
      </c>
      <c r="I5156" s="38" t="n">
        <f aca="false">Sens!$I$5154+Sens!$I$5155</f>
        <v>63.0173185714558</v>
      </c>
      <c r="J5156" s="38" t="n">
        <f aca="false">Sens!$J$5154+Sens!$J$5155</f>
        <v>91.7529624398725</v>
      </c>
      <c r="K5156" s="38" t="n">
        <f aca="false">Sens!$K$5154+Sens!$K$5155</f>
        <v>121.178188209924</v>
      </c>
      <c r="L5156" s="38" t="n">
        <f aca="false">Sens!$L$5154+Sens!$L$5155</f>
        <v>148.58073169504</v>
      </c>
      <c r="M5156" s="38" t="n">
        <f aca="false">Sens!$M$5154+Sens!$M$5155</f>
        <v>176.698573390283</v>
      </c>
      <c r="N5156" s="38" t="n">
        <f aca="false">Sens!$N$5154+Sens!$N$5155</f>
        <v>1.81122603115892</v>
      </c>
      <c r="O5156" s="38" t="n">
        <f aca="false">Sens!$O$5154+Sens!$O$5155</f>
        <v>1.81122603115892</v>
      </c>
      <c r="R5156" s="38" t="n">
        <f aca="false">Sens!$R$5154+Sens!$R$5155</f>
        <v>0</v>
      </c>
      <c r="S5156" s="38" t="n">
        <f aca="false">Sens!$S$5154+Sens!$S$5155</f>
        <v>0.203463948620839</v>
      </c>
      <c r="T5156" s="38" t="n">
        <f aca="false">Sens!$T$5154+Sens!$T$5155</f>
        <v>3.62245206231783</v>
      </c>
      <c r="U5156" s="38" t="n">
        <f aca="false">Sens!$U$5154+Sens!$U$5155</f>
        <v>13.0319517750893</v>
      </c>
      <c r="V5156" s="38" t="n">
        <f aca="false">Sens!$V$5154+Sens!$V$5155</f>
        <v>35.2941921973308</v>
      </c>
      <c r="W5156" s="38" t="n">
        <f aca="false">Sens!$W$5154+Sens!$W$5155</f>
        <v>63.0173185714558</v>
      </c>
      <c r="X5156" s="38" t="n">
        <f aca="false">Sens!$X$5154+Sens!$X$5155</f>
        <v>91.7529624398725</v>
      </c>
      <c r="Y5156" s="38" t="n">
        <f aca="false">Sens!$Y$5154+Sens!$Y$5155</f>
        <v>121.178188209924</v>
      </c>
      <c r="Z5156" s="38" t="n">
        <f aca="false">Sens!$Z$5154+Sens!$Z$5155</f>
        <v>148.58073169504</v>
      </c>
      <c r="AA5156" s="38" t="n">
        <f aca="false">Sens!$AA$5154+Sens!$AA$5155</f>
        <v>176.698573390283</v>
      </c>
    </row>
    <row r="5157" customFormat="false" ht="17.15" hidden="false" customHeight="false" outlineLevel="0" collapsed="false">
      <c r="A5157" s="0" t="s">
        <v>595</v>
      </c>
      <c r="B5157" s="0" t="s">
        <v>73</v>
      </c>
      <c r="C5157" s="38" t="n">
        <f aca="false">Sens!$S$5157</f>
        <v>26.578941154416</v>
      </c>
      <c r="D5157" s="38" t="n">
        <f aca="false">Sens!$T$5157</f>
        <v>92.5251207231008</v>
      </c>
      <c r="G5157" s="38" t="n">
        <f aca="false">Sens!$U$5157</f>
        <v>239.931219586022</v>
      </c>
      <c r="H5157" s="38" t="n">
        <f aca="false">Sens!$V$5157</f>
        <v>403.208392333442</v>
      </c>
      <c r="I5157" s="38" t="n">
        <f aca="false">Sens!$W$5157</f>
        <v>544.837543672486</v>
      </c>
      <c r="J5157" s="38" t="n">
        <f aca="false">Sens!$X$5157</f>
        <v>662.967819343113</v>
      </c>
      <c r="K5157" s="38" t="n">
        <f aca="false">Sens!$Y$5157</f>
        <v>756.90963744369</v>
      </c>
      <c r="L5157" s="38" t="n">
        <f aca="false">Sens!$Z$5157</f>
        <v>860.10628945915</v>
      </c>
      <c r="M5157" s="38" t="n">
        <f aca="false">Sens!$AA$5157</f>
        <v>995.283560834616</v>
      </c>
      <c r="R5157" s="38" t="n">
        <f aca="false">SUM(Sens!$R$5149:$R$5149)-SUM(Sens!$R$5156:$R$5156)</f>
        <v>1.50429979529945</v>
      </c>
      <c r="S5157" s="38" t="n">
        <f aca="false">SUM(Sens!$R$5149:$S$5149)-SUM(Sens!$R$5156:$S$5156)</f>
        <v>26.578941154416</v>
      </c>
      <c r="T5157" s="38" t="n">
        <f aca="false">SUM(Sens!$R$5149:$T$5149)-SUM(Sens!$R$5156:$T$5156)</f>
        <v>92.5251207231008</v>
      </c>
      <c r="U5157" s="38" t="n">
        <f aca="false">SUM(Sens!$R$5149:$U$5149)-SUM(Sens!$R$5156:$U$5156)</f>
        <v>239.931219586022</v>
      </c>
      <c r="V5157" s="38" t="n">
        <f aca="false">SUM(Sens!$R$5149:$V$5149)-SUM(Sens!$R$5156:$V$5156)</f>
        <v>403.208392333442</v>
      </c>
      <c r="W5157" s="38" t="n">
        <f aca="false">SUM(Sens!$R$5149:$W$5149)-SUM(Sens!$R$5156:$W$5156)</f>
        <v>544.837543672486</v>
      </c>
      <c r="X5157" s="38" t="n">
        <f aca="false">SUM(Sens!$R$5149:$X$5149)-SUM(Sens!$R$5156:$X$5156)</f>
        <v>662.967819343113</v>
      </c>
      <c r="Y5157" s="38" t="n">
        <f aca="false">SUM(Sens!$R$5149:$Y$5149)-SUM(Sens!$R$5156:$Y$5156)</f>
        <v>756.90963744369</v>
      </c>
      <c r="Z5157" s="38" t="n">
        <f aca="false">SUM(Sens!$R$5149:$Z$5149)-SUM(Sens!$R$5156:$Z$5156)</f>
        <v>860.10628945915</v>
      </c>
      <c r="AA5157" s="38" t="n">
        <f aca="false">SUM(Sens!$R$5149:$AA$5149)-SUM(Sens!$R$5156:$AA$5156)</f>
        <v>995.283560834616</v>
      </c>
    </row>
    <row r="5158" customFormat="false" ht="17.15" hidden="false" customHeight="false" outlineLevel="0" collapsed="false">
      <c r="A5158" s="1" t="s">
        <v>596</v>
      </c>
    </row>
    <row r="5159" customFormat="false" ht="17.15" hidden="false" customHeight="false" outlineLevel="0" collapsed="false">
      <c r="A5159" s="0" t="s">
        <v>597</v>
      </c>
      <c r="B5159" s="0" t="s">
        <v>73</v>
      </c>
      <c r="C5159" s="38" t="n">
        <f aca="false">Sens!$C$5140-ext_sh*Sens!$C$5142</f>
        <v>1.80694998843362</v>
      </c>
      <c r="D5159" s="38" t="n">
        <f aca="false">Sens!$D$5140-ext_sh*Sens!$D$5142</f>
        <v>6.77606245662607</v>
      </c>
      <c r="E5159" s="38" t="n">
        <f aca="false">Sens!$E$5140-ext_sh*Sens!$E$5142</f>
        <v>6.62548329092326</v>
      </c>
      <c r="F5159" s="38" t="n">
        <f aca="false">Sens!$F$5140-ext_sh*Sens!$F$5142</f>
        <v>11.7200577158706</v>
      </c>
      <c r="G5159" s="38" t="n">
        <f aca="false">Sens!$G$5140-ext_sh*Sens!$G$5142</f>
        <v>18.3455410067939</v>
      </c>
      <c r="H5159" s="38" t="n">
        <f aca="false">Sens!$H$5140-ext_sh*Sens!$H$5142</f>
        <v>47.5171727060453</v>
      </c>
      <c r="I5159" s="38" t="n">
        <f aca="false">Sens!$I$5140-ext_sh*Sens!$I$5142</f>
        <v>80.5539692643667</v>
      </c>
      <c r="J5159" s="38" t="n">
        <f aca="false">Sens!$J$5140-ext_sh*Sens!$J$5142</f>
        <v>113.759316834883</v>
      </c>
      <c r="K5159" s="38" t="n">
        <f aca="false">Sens!$K$5140-ext_sh*Sens!$K$5142</f>
        <v>147.020848076132</v>
      </c>
      <c r="L5159" s="38" t="n">
        <f aca="false">Sens!$L$5140-ext_sh*Sens!$L$5142</f>
        <v>180.307917349531</v>
      </c>
      <c r="M5159" s="38" t="n">
        <f aca="false">Sens!$M$5140-ext_sh*Sens!$M$5142</f>
        <v>213.608737871012</v>
      </c>
      <c r="N5159" s="38" t="n">
        <f aca="false">Sens!$N$5140-ext_sh*Sens!$N$5142</f>
        <v>2.37162185981912</v>
      </c>
      <c r="O5159" s="38" t="n">
        <f aca="false">Sens!$O$5140-ext_sh*Sens!$O$5142</f>
        <v>4.40444059680694</v>
      </c>
    </row>
    <row r="5160" customFormat="false" ht="17.15" hidden="false" customHeight="false" outlineLevel="0" collapsed="false">
      <c r="A5160" s="1" t="s">
        <v>598</v>
      </c>
      <c r="B5160" s="8" t="s">
        <v>73</v>
      </c>
      <c r="C5160" s="38" t="n">
        <f aca="false">Sens!$C$5159-ext_sh*Sens!$C$5156</f>
        <v>1.64417882953695</v>
      </c>
      <c r="D5160" s="38" t="n">
        <f aca="false">Sens!$D$5159-ext_sh*Sens!$D$5156</f>
        <v>3.8781008067718</v>
      </c>
      <c r="E5160" s="38" t="n">
        <f aca="false">Sens!$E$5159-ext_sh*Sens!$E$5156</f>
        <v>1.41270258088753</v>
      </c>
      <c r="F5160" s="38" t="n">
        <f aca="false">Sens!$F$5159-ext_sh*Sens!$F$5156</f>
        <v>6.50727700583486</v>
      </c>
      <c r="G5160" s="38" t="n">
        <f aca="false">Sens!$G$5159-ext_sh*Sens!$G$5156</f>
        <v>7.9199795867224</v>
      </c>
      <c r="H5160" s="38" t="n">
        <f aca="false">Sens!$H$5159-ext_sh*Sens!$H$5156</f>
        <v>19.2818189481807</v>
      </c>
      <c r="I5160" s="38" t="n">
        <f aca="false">Sens!$I$5159-ext_sh*Sens!$I$5156</f>
        <v>30.140114407202</v>
      </c>
      <c r="J5160" s="38" t="n">
        <f aca="false">Sens!$J$5159-ext_sh*Sens!$J$5156</f>
        <v>40.3569468829854</v>
      </c>
      <c r="K5160" s="38" t="n">
        <f aca="false">Sens!$K$5159-ext_sh*Sens!$K$5156</f>
        <v>50.0782975081929</v>
      </c>
      <c r="L5160" s="38" t="n">
        <f aca="false">Sens!$L$5159-ext_sh*Sens!$L$5156</f>
        <v>61.443331993499</v>
      </c>
      <c r="M5160" s="38" t="n">
        <f aca="false">Sens!$M$5159-ext_sh*Sens!$M$5156</f>
        <v>72.2498791587849</v>
      </c>
      <c r="N5160" s="38" t="n">
        <f aca="false">Sens!$N$5159-ext_sh*Sens!$N$5156</f>
        <v>0.92264103489199</v>
      </c>
      <c r="O5160" s="38" t="n">
        <f aca="false">Sens!$O$5159-ext_sh*Sens!$O$5156</f>
        <v>2.95545977187981</v>
      </c>
    </row>
    <row r="5161" customFormat="false" ht="17.15" hidden="false" customHeight="false" outlineLevel="0" collapsed="false">
      <c r="A5161" s="0" t="s">
        <v>599</v>
      </c>
      <c r="B5161" s="0" t="s">
        <v>52</v>
      </c>
      <c r="C5161" s="12" t="n">
        <f aca="false">Sens!$C$5160/Sens!$C$5140</f>
        <v>0.708390794789371</v>
      </c>
      <c r="D5161" s="12" t="n">
        <f aca="false">Sens!$D$5160/Sens!$D$5140</f>
        <v>0.445565630441968</v>
      </c>
      <c r="E5161" s="12" t="n">
        <f aca="false">Sens!$E$5160/Sens!$E$5140</f>
        <v>0.165998118402711</v>
      </c>
      <c r="F5161" s="12" t="n">
        <f aca="false">Sens!$F$5160/Sens!$F$5140</f>
        <v>0.434878595403858</v>
      </c>
      <c r="G5161" s="12" t="n">
        <f aca="false">Sens!$G$5160/Sens!$G$5140</f>
        <v>0.3373967615381</v>
      </c>
      <c r="H5161" s="12" t="n">
        <f aca="false">Sens!$H$5160/Sens!$H$5140</f>
        <v>0.320477578041224</v>
      </c>
      <c r="I5161" s="12" t="n">
        <f aca="false">Sens!$I$5160/Sens!$I$5140</f>
        <v>0.296936118226494</v>
      </c>
      <c r="J5161" s="12" t="n">
        <f aca="false">Sens!$J$5160/Sens!$J$5140</f>
        <v>0.282166278613001</v>
      </c>
      <c r="K5161" s="12" t="n">
        <f aca="false">Sens!$K$5160/Sens!$K$5140</f>
        <v>0.271267685694333</v>
      </c>
      <c r="L5161" s="12" t="n">
        <f aca="false">Sens!$L$5160/Sens!$L$5140</f>
        <v>0.27160960915653</v>
      </c>
      <c r="M5161" s="12" t="n">
        <f aca="false">Sens!$M$5160/Sens!$M$5140</f>
        <v>0.26974494804234</v>
      </c>
      <c r="N5161" s="12" t="n">
        <f aca="false">Sens!$N$5160/Sens!$N$5140</f>
        <v>0.302870734830849</v>
      </c>
      <c r="O5161" s="12" t="n">
        <f aca="false">Sens!$O$5160/Sens!$O$5140</f>
        <v>0.52240134346334</v>
      </c>
    </row>
    <row r="5162" customFormat="false" ht="17.15" hidden="false" customHeight="false" outlineLevel="0" collapsed="false">
      <c r="A5162" s="5" t="s">
        <v>600</v>
      </c>
      <c r="B5162" s="0" t="s">
        <v>73</v>
      </c>
      <c r="C5162" s="38" t="n">
        <f aca="false">rd2*(1-ext_sh)/ext_sh*Sens!$C$5123*he_open*Sens!$C$5124/1000</f>
        <v>0</v>
      </c>
      <c r="D5162" s="38" t="n">
        <f aca="false">rd2*(1-ext_sh)/ext_sh*Sens!$D$5123*he_open*Sens!$D$5124/1000</f>
        <v>0</v>
      </c>
      <c r="E5162" s="38" t="n">
        <f aca="false">rd2*(1-ext_sh)/ext_sh*Sens!$E$5123*he_open*Sens!$E$5124/1000</f>
        <v>0</v>
      </c>
      <c r="F5162" s="38" t="n">
        <f aca="false">rd2*(1-ext_sh)/ext_sh*(mw_open*he_open+Sens!$F$5138*Sens!$F$5135)*Sens!$F$5124/1000</f>
        <v>0</v>
      </c>
      <c r="G5162" s="38" t="n">
        <f aca="false">Sens!$E$5162+Sens!$F$5162</f>
        <v>0</v>
      </c>
      <c r="H5162" s="38" t="n">
        <f aca="false">rd2*(1-ext_sh)/ext_sh*(mw_open*he_open+Sens!$H$5138*Sens!$H$5135)*Sens!$H$5124/1000</f>
        <v>0</v>
      </c>
      <c r="I5162" s="38" t="n">
        <f aca="false">rd2*(1-ext_sh)/ext_sh*(mw_open*he_open+Sens!$I$5138*Sens!$I$5135)*Sens!$I$5124/1000</f>
        <v>0</v>
      </c>
      <c r="J5162" s="38" t="n">
        <f aca="false">rd2*(1-ext_sh)/ext_sh*(mw_open*he_open+Sens!$J$5138*Sens!$J$5135)*Sens!$J$5124/1000</f>
        <v>0</v>
      </c>
      <c r="K5162" s="38" t="n">
        <f aca="false">rd2*(1-ext_sh)/ext_sh*(mw_open*he_open+Sens!$K$5138*Sens!$K$5135)*Sens!$K$5124/1000</f>
        <v>0</v>
      </c>
      <c r="L5162" s="38" t="n">
        <f aca="false">rd2*(1-ext_sh)/ext_sh*(mw_open*he_open+Sens!$L$5138*Sens!$L$5135)*Sens!$L$5124/1000</f>
        <v>0</v>
      </c>
      <c r="M5162" s="38" t="n">
        <f aca="false">rd2*(1-ext_sh)/ext_sh*(mw_open*he_open+Sens!$M$5138*Sens!$M$5135)*Sens!$M$5124/1000</f>
        <v>0</v>
      </c>
      <c r="N5162" s="38" t="n">
        <f aca="false">rd2*(1-ext_sh)/ext_sh*Sens!$N$5123*he_open*Sens!$N$5124/1000</f>
        <v>0</v>
      </c>
      <c r="O5162" s="38" t="n">
        <f aca="false">rd2*(1-ext_sh)/ext_sh*Sens!$O$5123*he_open*Sens!$O$5124/1000</f>
        <v>0</v>
      </c>
      <c r="P5162" s="8" t="s">
        <v>601</v>
      </c>
    </row>
    <row r="5163" customFormat="false" ht="17.15" hidden="false" customHeight="false" outlineLevel="0" collapsed="false">
      <c r="A5163" s="5" t="s">
        <v>602</v>
      </c>
      <c r="B5163" s="0" t="s">
        <v>73</v>
      </c>
      <c r="C5163" s="38" t="n">
        <f aca="false">(1-ext_sh)*(Sens!$C$5142+Sens!$C$5156)-Sens!$C$5162</f>
        <v>0.169206631859174</v>
      </c>
      <c r="D5163" s="38" t="n">
        <f aca="false">(1-ext_sh)*(Sens!$D$5142+Sens!$D$5156)-Sens!$D$5162</f>
        <v>1.20641732046984</v>
      </c>
      <c r="E5163" s="38" t="n">
        <f aca="false">(1-ext_sh)*(Sens!$E$5142+Sens!$E$5156)-Sens!$E$5162</f>
        <v>1.77441259867062</v>
      </c>
      <c r="F5163" s="38" t="n">
        <f aca="false">(1-ext_sh)*(Sens!$F$5142+Sens!$F$5156)-Sens!$F$5162</f>
        <v>2.1140391597214</v>
      </c>
      <c r="G5163" s="38" t="n">
        <f aca="false">(1-ext_sh)*(Sens!$G$5142+Sens!$G$5156)-Sens!$G$5162</f>
        <v>3.88845175839202</v>
      </c>
      <c r="H5163" s="38" t="n">
        <f aca="false">(1-ext_sh)*(Sens!$H$5142+Sens!$H$5156)-Sens!$H$5162</f>
        <v>10.2210179503985</v>
      </c>
      <c r="I5163" s="38" t="n">
        <f aca="false">(1-ext_sh)*(Sens!$I$5142+Sens!$I$5156)-Sens!$I$5162</f>
        <v>17.8408961823075</v>
      </c>
      <c r="J5163" s="38" t="n">
        <f aca="false">(1-ext_sh)*(Sens!$J$5142+Sens!$J$5156)-Sens!$J$5162</f>
        <v>25.6671150670732</v>
      </c>
      <c r="K5163" s="38" t="n">
        <f aca="false">(1-ext_sh)*(Sens!$K$5142+Sens!$K$5156)-Sens!$K$5162</f>
        <v>33.6325293834986</v>
      </c>
      <c r="L5163" s="38" t="n">
        <f aca="false">(1-ext_sh)*(Sens!$L$5142+Sens!$L$5156)-Sens!$L$5162</f>
        <v>41.1939886299065</v>
      </c>
      <c r="M5163" s="38" t="n">
        <f aca="false">(1-ext_sh)*(Sens!$M$5142+Sens!$M$5156)-Sens!$M$5162</f>
        <v>48.8988205728617</v>
      </c>
      <c r="N5163" s="38" t="n">
        <f aca="false">(1-ext_sh)*(Sens!$N$5142+Sens!$N$5156)-Sens!$N$5162</f>
        <v>0.530919624033979</v>
      </c>
      <c r="O5163" s="38" t="n">
        <f aca="false">(1-ext_sh)*(Sens!$O$5142+Sens!$O$5156)-Sens!$O$5162</f>
        <v>0.675497696435861</v>
      </c>
    </row>
    <row r="5164" customFormat="false" ht="17.15" hidden="false" customHeight="false" outlineLevel="0" collapsed="false">
      <c r="A5164" s="0" t="s">
        <v>603</v>
      </c>
      <c r="B5164" s="0" t="s">
        <v>73</v>
      </c>
      <c r="C5164" s="38" t="n">
        <f aca="false">Q!$D$24</f>
        <v>39.834</v>
      </c>
      <c r="D5164" s="38" t="n">
        <f aca="false">Q!$E$24</f>
        <v>45.606</v>
      </c>
      <c r="E5164" s="38" t="n">
        <f aca="false">Q!$P$24</f>
        <v>30.782</v>
      </c>
      <c r="N5164" s="38" t="n">
        <f aca="false">Q!$N$24</f>
        <v>21.707</v>
      </c>
      <c r="O5164" s="38" t="n">
        <f aca="false">Q!$O$24</f>
        <v>23.899</v>
      </c>
    </row>
    <row r="5165" customFormat="false" ht="17.15" hidden="false" customHeight="false" outlineLevel="0" collapsed="false">
      <c r="A5165" s="0" t="s">
        <v>604</v>
      </c>
      <c r="B5165" s="0" t="s">
        <v>73</v>
      </c>
      <c r="C5165" s="38" t="n">
        <f aca="false">Sens!$C$5164-Sens!$C$5160</f>
        <v>38.1898211704631</v>
      </c>
      <c r="D5165" s="38" t="n">
        <f aca="false">Sens!$D$5164-Sens!$D$5160</f>
        <v>41.7278991932282</v>
      </c>
      <c r="E5165" s="38" t="n">
        <f aca="false">Sens!$E$5164-Sens!$E$5160</f>
        <v>29.3692974191125</v>
      </c>
      <c r="F5165" s="38" t="n">
        <f aca="false">Sens!$F$5144*Sens!$F$5166</f>
        <v>29.458060516894</v>
      </c>
      <c r="G5165" s="38" t="n">
        <f aca="false">Sens!$E$5165+Sens!$F$5165</f>
        <v>58.8273579360065</v>
      </c>
      <c r="H5165" s="38" t="n">
        <f aca="false">Sens!$H$5144*Sens!$H$5166</f>
        <v>67.8004040185081</v>
      </c>
      <c r="I5165" s="38" t="n">
        <f aca="false">Sens!$I$5144*Sens!$I$5166</f>
        <v>78.9527630302702</v>
      </c>
      <c r="J5165" s="38" t="n">
        <f aca="false">Sens!$J$5144*Sens!$J$5166</f>
        <v>88.6042681781841</v>
      </c>
      <c r="K5165" s="38" t="n">
        <f aca="false">Sens!$K$5144*Sens!$K$5166</f>
        <v>95.6926096324389</v>
      </c>
      <c r="L5165" s="38" t="n">
        <f aca="false">Sens!$L$5144*Sens!$L$5166</f>
        <v>103.348018403034</v>
      </c>
      <c r="M5165" s="38" t="n">
        <f aca="false">Sens!$M$5144*Sens!$M$5166</f>
        <v>111.615859875277</v>
      </c>
      <c r="N5165" s="38" t="n">
        <f aca="false">Sens!$N$5164-Sens!$N$5160</f>
        <v>20.784358965108</v>
      </c>
      <c r="O5165" s="38" t="n">
        <f aca="false">Sens!$O$5164-Sens!$O$5160</f>
        <v>20.9435402281202</v>
      </c>
      <c r="P5165" s="5" t="s">
        <v>605</v>
      </c>
    </row>
    <row r="5166" customFormat="false" ht="17.15" hidden="false" customHeight="false" outlineLevel="0" collapsed="false">
      <c r="A5166" s="0" t="s">
        <v>606</v>
      </c>
      <c r="B5166" s="0" t="s">
        <v>52</v>
      </c>
      <c r="C5166" s="12" t="n">
        <f aca="false">Sens!$C$5165/Sens!$C$5144</f>
        <v>0.362900395443635</v>
      </c>
      <c r="D5166" s="12" t="n">
        <f aca="false">Sens!$D$5165/Sens!$D$5144</f>
        <v>0.34767098474203</v>
      </c>
      <c r="E5166" s="12" t="n">
        <f aca="false">Sens!$E$5165/Sens!$E$5144</f>
        <v>0.411861655558416</v>
      </c>
      <c r="F5166" s="12" t="n">
        <f aca="false">(Sens!$O$5165+Sens!$E$5165)/(Sens!$O$5144+Sens!$E$5144)</f>
        <v>0.37480827803158</v>
      </c>
      <c r="G5166" s="12" t="n">
        <f aca="false">Sens!$G$5165/Sens!$G$5144</f>
        <v>0.392434440489471</v>
      </c>
      <c r="H5166" s="12" t="n">
        <f aca="false">Sens!$F$5166</f>
        <v>0.37480827803158</v>
      </c>
      <c r="I5166" s="12" t="n">
        <f aca="false">Sens!$F$5166</f>
        <v>0.37480827803158</v>
      </c>
      <c r="J5166" s="12" t="n">
        <f aca="false">Sens!$F$5166</f>
        <v>0.37480827803158</v>
      </c>
      <c r="K5166" s="12" t="n">
        <f aca="false">Sens!$F$5166</f>
        <v>0.37480827803158</v>
      </c>
      <c r="L5166" s="12" t="n">
        <f aca="false">Sens!$F$5166</f>
        <v>0.37480827803158</v>
      </c>
      <c r="M5166" s="12" t="n">
        <f aca="false">Sens!$F$5166</f>
        <v>0.37480827803158</v>
      </c>
      <c r="N5166" s="12" t="n">
        <f aca="false">Sens!$N$5165/Sens!$N$5144</f>
        <v>0.364039571356823</v>
      </c>
      <c r="O5166" s="12" t="n">
        <f aca="false">Sens!$O$5165/Sens!$O$5144</f>
        <v>0.332819892300086</v>
      </c>
      <c r="P5166" s="8" t="s">
        <v>607</v>
      </c>
    </row>
    <row r="5167" customFormat="false" ht="17.15" hidden="false" customHeight="false" outlineLevel="0" collapsed="false">
      <c r="A5167" s="0" t="s">
        <v>608</v>
      </c>
      <c r="B5167" s="0" t="s">
        <v>52</v>
      </c>
      <c r="D5167" s="12" t="n">
        <f aca="false">(Q!$E$31-ext_sh*Sens!$D$5156)/Sens!$D$5144</f>
        <v>0.154572973163571</v>
      </c>
    </row>
    <row r="5168" customFormat="false" ht="17.15" hidden="false" customHeight="false" outlineLevel="0" collapsed="false">
      <c r="A5168" s="0" t="s">
        <v>609</v>
      </c>
      <c r="B5168" s="0" t="s">
        <v>73</v>
      </c>
      <c r="C5168" s="38" t="n">
        <f aca="false">Q!$D$31</f>
        <v>13.32</v>
      </c>
      <c r="D5168" s="38" t="n">
        <f aca="false">Q!$E$31</f>
        <v>21.45</v>
      </c>
      <c r="E5168" s="38" t="n">
        <f aca="false">Q!$P$31</f>
        <v>15.353</v>
      </c>
      <c r="F5168" s="38" t="n">
        <f aca="false">ext_sh*Sens!$F$5156+Sens!$D$5167*Sens!$F$5144</f>
        <v>17.3614451462707</v>
      </c>
      <c r="G5168" s="38" t="n">
        <f aca="false">Sens!$E$5168+Sens!$F$5168</f>
        <v>32.7144451462707</v>
      </c>
      <c r="H5168" s="38" t="n">
        <f aca="false">ext_sh*Sens!$H$5156+Sens!$D$5167*Sens!$H$5144</f>
        <v>56.1966092719415</v>
      </c>
      <c r="I5168" s="38" t="n">
        <f aca="false">ext_sh*Sens!$I$5156+Sens!$D$5167*Sens!$I$5144</f>
        <v>82.9744039068297</v>
      </c>
      <c r="J5168" s="38" t="n">
        <f aca="false">ext_sh*Sens!$J$5156+Sens!$D$5167*Sens!$J$5144</f>
        <v>109.943252237669</v>
      </c>
      <c r="K5168" s="38" t="n">
        <f aca="false">ext_sh*Sens!$K$5156+Sens!$D$5167*Sens!$K$5144</f>
        <v>136.406703436571</v>
      </c>
      <c r="L5168" s="38" t="n">
        <f aca="false">ext_sh*Sens!$L$5156+Sens!$D$5167*Sens!$L$5144</f>
        <v>161.485870454155</v>
      </c>
      <c r="M5168" s="38" t="n">
        <f aca="false">ext_sh*Sens!$M$5156+Sens!$D$5167*Sens!$M$5144</f>
        <v>187.389846618199</v>
      </c>
      <c r="N5168" s="38" t="n">
        <f aca="false">Q!$N$31</f>
        <v>9.234</v>
      </c>
      <c r="O5168" s="38" t="n">
        <f aca="false">Q!$O$31</f>
        <v>12.216</v>
      </c>
    </row>
    <row r="5169" customFormat="false" ht="17.15" hidden="false" customHeight="false" outlineLevel="0" collapsed="false">
      <c r="A5169" s="1" t="s">
        <v>610</v>
      </c>
    </row>
    <row r="5170" customFormat="false" ht="17.15" hidden="false" customHeight="false" outlineLevel="0" collapsed="false">
      <c r="A5170" s="14" t="s">
        <v>611</v>
      </c>
      <c r="B5170" s="13" t="s">
        <v>52</v>
      </c>
      <c r="C5170" s="13"/>
      <c r="D5170" s="13"/>
      <c r="E5170" s="13"/>
      <c r="F5170" s="13"/>
      <c r="G5170" s="16" t="n">
        <f aca="false">Sens!$G$5160*(1-tax)/(ext_sh*(Sens!$D$5157+Sens!$G$5157)/2)</f>
        <v>0.0492184452944045</v>
      </c>
      <c r="H5170" s="16" t="n">
        <f aca="false">Sens!$H$5160*(1-tax)/(ext_sh*(Sens!$G$5157+Sens!$H$5157)/2)</f>
        <v>0.0619414246858107</v>
      </c>
      <c r="I5170" s="16" t="n">
        <f aca="false">Sens!$I$5160*(1-tax)/(ext_sh*(Sens!$H$5157+Sens!$I$5157)/2)</f>
        <v>0.0656831488051666</v>
      </c>
      <c r="J5170" s="16" t="n">
        <f aca="false">Sens!$J$5160*(1-tax)/(ext_sh*(Sens!$I$5157+Sens!$J$5157)/2)</f>
        <v>0.0690334849962116</v>
      </c>
      <c r="K5170" s="16" t="n">
        <f aca="false">Sens!$K$5160*(1-tax)/(ext_sh*(Sens!$J$5157+Sens!$K$5157)/2)</f>
        <v>0.0728680488295485</v>
      </c>
      <c r="L5170" s="16" t="n">
        <f aca="false">Sens!$L$5160*(1-tax)/(ext_sh*(Sens!$K$5157+Sens!$L$5157)/2)</f>
        <v>0.0785052878122331</v>
      </c>
      <c r="M5170" s="16" t="n">
        <f aca="false">Sens!$M$5160*(1-tax)/(ext_sh*(Sens!$L$5157+Sens!$M$5157)/2)</f>
        <v>0.0804526580722741</v>
      </c>
      <c r="N5170" s="13"/>
      <c r="O5170" s="13"/>
      <c r="P5170" s="8" t="s">
        <v>612</v>
      </c>
    </row>
    <row r="5171" customFormat="false" ht="17.15" hidden="false" customHeight="false" outlineLevel="0" collapsed="false">
      <c r="A5171" s="5" t="s">
        <v>613</v>
      </c>
      <c r="B5171" s="0" t="s">
        <v>57</v>
      </c>
      <c r="H5171" s="36" t="n">
        <f aca="false">Sens!$H$5140*1000/(mw_open*he_open+Sens!$H$5138*Sens!$H$5135)</f>
        <v>0.991949006767191</v>
      </c>
      <c r="I5171" s="36" t="n">
        <f aca="false">Sens!$I$5140*1000/(mw_open*he_open+Sens!$I$5138*Sens!$I$5135)</f>
        <v>0.991949006767191</v>
      </c>
      <c r="J5171" s="36" t="n">
        <f aca="false">Sens!$J$5140*1000/(mw_open*he_open+Sens!$J$5138*Sens!$J$5135)</f>
        <v>0.991949006767191</v>
      </c>
      <c r="K5171" s="36" t="n">
        <f aca="false">Sens!$K$5140*1000/(mw_open*he_open+Sens!$K$5138*Sens!$K$5135)</f>
        <v>0.991949006767191</v>
      </c>
      <c r="L5171" s="36" t="n">
        <f aca="false">Sens!$L$5140*1000/(mw_open*he_open+Sens!$L$5138*Sens!$L$5135)</f>
        <v>0.991949006767191</v>
      </c>
      <c r="M5171" s="36" t="n">
        <f aca="false">Sens!$M$5140*1000/(mw_open*he_open+Sens!$M$5138*Sens!$M$5135)</f>
        <v>0.991949006767192</v>
      </c>
    </row>
    <row r="5172" customFormat="false" ht="17.15" hidden="false" customHeight="false" outlineLevel="0" collapsed="false">
      <c r="A5172" s="5" t="s">
        <v>614</v>
      </c>
      <c r="B5172" s="0" t="s">
        <v>57</v>
      </c>
      <c r="H5172" s="36" t="n">
        <f aca="false">Sens!$H$5171*(Sens!$H$5140+wacc*ext_sh*(Sens!$G$5157+Sens!$H$5157)/2/(1-tax)-Sens!$H$5160)/Sens!$H$5140</f>
        <v>1.3149781212103</v>
      </c>
      <c r="I5172" s="36" t="n">
        <f aca="false">Sens!$I$5171*(Sens!$I$5140+wacc*ext_sh*(Sens!$H$5157+Sens!$I$5157)/2/(1-tax)-Sens!$I$5160)/Sens!$I$5140</f>
        <v>1.25742005569107</v>
      </c>
      <c r="J5172" s="36" t="n">
        <f aca="false">Sens!$J$5171*(Sens!$J$5140+wacc*ext_sh*(Sens!$I$5157+Sens!$J$5157)/2/(1-tax)-Sens!$J$5160)/Sens!$J$5140</f>
        <v>1.21838845868559</v>
      </c>
      <c r="K5172" s="36" t="n">
        <f aca="false">Sens!$K$5171*(Sens!$K$5140+wacc*ext_sh*(Sens!$J$5157+Sens!$K$5157)/2/(1-tax)-Sens!$K$5160)/Sens!$K$5140</f>
        <v>1.18402644209548</v>
      </c>
      <c r="L5172" s="36" t="n">
        <f aca="false">Sens!$L$5171*(Sens!$L$5140+wacc*ext_sh*(Sens!$K$5157+Sens!$L$5157)/2/(1-tax)-Sens!$L$5160)/Sens!$L$5140</f>
        <v>1.15111215322059</v>
      </c>
      <c r="M5172" s="36" t="n">
        <f aca="false">Sens!$M$5171*(Sens!$M$5140+wacc*ext_sh*(Sens!$L$5157+Sens!$M$5157)/2/(1-tax)-Sens!$M$5160)/Sens!$M$5140</f>
        <v>1.1397166845677</v>
      </c>
    </row>
    <row r="5173" customFormat="false" ht="17.15" hidden="false" customHeight="false" outlineLevel="0" collapsed="false">
      <c r="A5173" s="5" t="s">
        <v>615</v>
      </c>
      <c r="B5173" s="0" t="s">
        <v>52</v>
      </c>
      <c r="C5173" s="12" t="n">
        <f aca="false">Sens!$C$5141/tk_pq</f>
        <v>0.195316432429398</v>
      </c>
      <c r="D5173" s="12" t="n">
        <f aca="false">Sens!$D$5141/tk_pq</f>
        <v>0.195316432429398</v>
      </c>
      <c r="E5173" s="12" t="n">
        <f aca="false">Sens!$E$5141/tk_pq</f>
        <v>0.195316432429398</v>
      </c>
      <c r="F5173" s="12" t="n">
        <f aca="false">Sens!$F$5141/tk_pq</f>
        <v>0.202241827274866</v>
      </c>
      <c r="G5173" s="12" t="n">
        <f aca="false">Sens!$G$5141/tk_pq</f>
        <v>0.199675016194063</v>
      </c>
      <c r="H5173" s="12" t="n">
        <f aca="false">Sens!$H$5141/tk_pq</f>
        <v>0.212647947710325</v>
      </c>
      <c r="I5173" s="12" t="n">
        <f aca="false">Sens!$I$5141/tk_pq</f>
        <v>0.219285125475351</v>
      </c>
      <c r="J5173" s="12" t="n">
        <f aca="false">Sens!$J$5141/tk_pq</f>
        <v>0.222492493217189</v>
      </c>
      <c r="K5173" s="12" t="n">
        <f aca="false">Sens!$K$5141/tk_pq</f>
        <v>0.224371415939166</v>
      </c>
      <c r="L5173" s="12" t="n">
        <f aca="false">Sens!$L$5141/tk_pq</f>
        <v>0.225603749825993</v>
      </c>
      <c r="M5173" s="12" t="n">
        <f aca="false">Sens!$M$5141/tk_pq</f>
        <v>0.22647376274628</v>
      </c>
      <c r="N5173" s="12" t="n">
        <f aca="false">Sens!$N$5141/tk_pq</f>
        <v>0.195316432429398</v>
      </c>
      <c r="O5173" s="12" t="n">
        <f aca="false">Sens!$O$5141/tk_pq</f>
        <v>0.195316432429398</v>
      </c>
      <c r="P5173" s="5" t="s">
        <v>616</v>
      </c>
    </row>
    <row r="5176" customFormat="false" ht="17.15" hidden="false" customHeight="false" outlineLevel="0" collapsed="false">
      <c r="A5176" s="1" t="s">
        <v>643</v>
      </c>
    </row>
    <row r="5177" customFormat="false" ht="17.15" hidden="false" customHeight="false" outlineLevel="0" collapsed="false">
      <c r="A5177" s="0" t="s">
        <v>644</v>
      </c>
      <c r="B5177" s="0" t="s">
        <v>73</v>
      </c>
      <c r="C5177" s="38" t="n">
        <f aca="false">Sens!$C$5140</f>
        <v>2.32100535697364</v>
      </c>
      <c r="D5177" s="38" t="n">
        <f aca="false">Sens!$D$5140</f>
        <v>8.70377008865116</v>
      </c>
      <c r="E5177" s="38" t="n">
        <f aca="false">Sens!$E$5140</f>
        <v>8.51035297557002</v>
      </c>
      <c r="F5177" s="38" t="n">
        <f aca="false">Sens!$F$5140</f>
        <v>14.9634336447205</v>
      </c>
      <c r="G5177" s="38" t="n">
        <f aca="false">Sens!$G$5140</f>
        <v>23.4737866202905</v>
      </c>
      <c r="H5177" s="38" t="n">
        <f aca="false">Sens!$H$5140</f>
        <v>60.1658907497746</v>
      </c>
      <c r="I5177" s="38" t="n">
        <f aca="false">Sens!$I$5140</f>
        <v>101.503699136432</v>
      </c>
      <c r="J5177" s="38" t="n">
        <f aca="false">Sens!$J$5140</f>
        <v>143.025407151278</v>
      </c>
      <c r="K5177" s="38" t="n">
        <f aca="false">Sens!$K$5140</f>
        <v>184.608415042187</v>
      </c>
      <c r="L5177" s="38" t="n">
        <f aca="false">Sens!$L$5140</f>
        <v>226.219286513125</v>
      </c>
      <c r="M5177" s="38" t="n">
        <f aca="false">Sens!$M$5140</f>
        <v>267.845161450232</v>
      </c>
      <c r="N5177" s="38" t="n">
        <f aca="false">Sens!$N$5140</f>
        <v>3.04631953102791</v>
      </c>
      <c r="O5177" s="38" t="n">
        <f aca="false">Sens!$O$5140</f>
        <v>5.65745055762326</v>
      </c>
      <c r="P5177" s="8" t="s">
        <v>645</v>
      </c>
    </row>
    <row r="5178" customFormat="false" ht="17.15" hidden="false" customHeight="false" outlineLevel="0" collapsed="false">
      <c r="A5178" s="0" t="s">
        <v>646</v>
      </c>
      <c r="B5178" s="0" t="s">
        <v>73</v>
      </c>
      <c r="C5178" s="38" t="n">
        <f aca="false">Sens!$C$5144</f>
        <v>105.234994643026</v>
      </c>
      <c r="D5178" s="38" t="n">
        <f aca="false">Sens!$D$5144</f>
        <v>120.021229911349</v>
      </c>
      <c r="E5178" s="38" t="n">
        <f aca="false">Sens!$E$5144</f>
        <v>71.30864702443</v>
      </c>
      <c r="F5178" s="38" t="n">
        <f aca="false">Sens!$F$5144</f>
        <v>78.5950104186653</v>
      </c>
      <c r="G5178" s="38" t="n">
        <f aca="false">Sens!$G$5144</f>
        <v>149.903657443095</v>
      </c>
      <c r="H5178" s="38" t="n">
        <f aca="false">Sens!$H$5144</f>
        <v>180.893560768142</v>
      </c>
      <c r="I5178" s="38" t="n">
        <f aca="false">Sens!$I$5144</f>
        <v>210.64839721501</v>
      </c>
      <c r="J5178" s="38" t="n">
        <f aca="false">Sens!$J$5144</f>
        <v>236.398909446495</v>
      </c>
      <c r="K5178" s="38" t="n">
        <f aca="false">Sens!$K$5144</f>
        <v>255.310822202215</v>
      </c>
      <c r="L5178" s="38" t="n">
        <f aca="false">Sens!$L$5144</f>
        <v>275.735687978392</v>
      </c>
      <c r="M5178" s="38" t="n">
        <f aca="false">Sens!$M$5144</f>
        <v>297.794543016663</v>
      </c>
      <c r="N5178" s="38" t="n">
        <f aca="false">Sens!$N$5144</f>
        <v>57.0936804689721</v>
      </c>
      <c r="O5178" s="38" t="n">
        <f aca="false">Sens!$O$5144</f>
        <v>62.9275494423768</v>
      </c>
      <c r="P5178" s="8" t="s">
        <v>645</v>
      </c>
    </row>
    <row r="5179" customFormat="false" ht="17.15" hidden="false" customHeight="false" outlineLevel="0" collapsed="false">
      <c r="A5179" s="1" t="s">
        <v>476</v>
      </c>
      <c r="B5179" s="8" t="s">
        <v>73</v>
      </c>
      <c r="C5179" s="38" t="n">
        <f aca="false">Q!$D$7</f>
        <v>107.556</v>
      </c>
      <c r="D5179" s="38" t="n">
        <f aca="false">Q!$E$7</f>
        <v>128.725</v>
      </c>
      <c r="E5179" s="38" t="n">
        <f aca="false">Q!$P$7</f>
        <v>79.819</v>
      </c>
      <c r="F5179" s="38" t="n">
        <f aca="false">Sens!$F$5177+Sens!$F$5178</f>
        <v>93.5584440633857</v>
      </c>
      <c r="G5179" s="38" t="n">
        <f aca="false">Sens!$G$5177+Sens!$G$5178</f>
        <v>173.377444063386</v>
      </c>
      <c r="H5179" s="38" t="n">
        <f aca="false">Sens!$H$5177+Sens!$H$5178</f>
        <v>241.059451517916</v>
      </c>
      <c r="I5179" s="38" t="n">
        <f aca="false">Sens!$I$5177+Sens!$I$5178</f>
        <v>312.152096351442</v>
      </c>
      <c r="J5179" s="38" t="n">
        <f aca="false">Sens!$J$5177+Sens!$J$5178</f>
        <v>379.424316597773</v>
      </c>
      <c r="K5179" s="38" t="n">
        <f aca="false">Sens!$K$5177+Sens!$K$5178</f>
        <v>439.919237244402</v>
      </c>
      <c r="L5179" s="38" t="n">
        <f aca="false">Sens!$L$5177+Sens!$L$5178</f>
        <v>501.954974491517</v>
      </c>
      <c r="M5179" s="38" t="n">
        <f aca="false">Sens!$M$5177+Sens!$M$5178</f>
        <v>565.639704466895</v>
      </c>
      <c r="N5179" s="38" t="n">
        <f aca="false">Q!$N$7</f>
        <v>60.14</v>
      </c>
      <c r="O5179" s="38" t="n">
        <f aca="false">Q!$O$7</f>
        <v>68.585</v>
      </c>
      <c r="P5179" s="5" t="s">
        <v>647</v>
      </c>
    </row>
    <row r="5180" customFormat="false" ht="15" hidden="false" customHeight="false" outlineLevel="0" collapsed="false">
      <c r="A5180" s="3" t="s">
        <v>648</v>
      </c>
      <c r="B5180" s="8" t="s">
        <v>73</v>
      </c>
      <c r="C5180" s="38" t="n">
        <f aca="false">Q!$D$8</f>
        <v>637.959</v>
      </c>
      <c r="D5180" s="38" t="n">
        <f aca="false">Q!$E$8</f>
        <v>716.924</v>
      </c>
      <c r="E5180" s="38" t="n">
        <f aca="false">Q!$P$8</f>
        <v>382.125</v>
      </c>
      <c r="F5180" s="38" t="n">
        <f aca="false">Sens!$F$5113+Sens!$F$5179</f>
        <v>450.494873271816</v>
      </c>
      <c r="G5180" s="38" t="n">
        <f aca="false">Sens!$G$5113+Sens!$G$5179</f>
        <v>832.619873271816</v>
      </c>
      <c r="H5180" s="38" t="n">
        <f aca="false">Sens!$H$5113+Sens!$H$5179</f>
        <v>970.995189139617</v>
      </c>
      <c r="I5180" s="38" t="n">
        <f aca="false">Sens!$I$5113+Sens!$I$5179</f>
        <v>1110.44766604932</v>
      </c>
      <c r="J5180" s="38" t="n">
        <f aca="false">Sens!$J$5113+Sens!$J$5179</f>
        <v>1241.16113892356</v>
      </c>
      <c r="K5180" s="38" t="n">
        <f aca="false">Sens!$K$5113+Sens!$K$5179</f>
        <v>1357.47672934633</v>
      </c>
      <c r="L5180" s="38" t="n">
        <f aca="false">Sens!$L$5113+Sens!$L$5179</f>
        <v>1479.24006423468</v>
      </c>
      <c r="M5180" s="38" t="n">
        <f aca="false">Sens!$M$5113+Sens!$M$5179</f>
        <v>1606.8537230104</v>
      </c>
      <c r="N5180" s="38" t="n">
        <f aca="false">Q!$N$8</f>
        <v>323.369</v>
      </c>
      <c r="O5180" s="38" t="n">
        <f aca="false">Q!$O$8</f>
        <v>393.555</v>
      </c>
    </row>
    <row r="5181" customFormat="false" ht="17.15" hidden="false" customHeight="false" outlineLevel="0" collapsed="false">
      <c r="A5181" s="24" t="s">
        <v>656</v>
      </c>
      <c r="B5181" s="25" t="s">
        <v>73</v>
      </c>
      <c r="C5181" s="39" t="n">
        <f aca="false">Sens!$C$5113-(Sens!$C$5115+Sens!$C$5116)</f>
        <v>0</v>
      </c>
      <c r="D5181" s="39" t="n">
        <f aca="false">Sens!$D$5113-(Sens!$D$5115+Sens!$D$5116)</f>
        <v>0</v>
      </c>
      <c r="E5181" s="39" t="n">
        <f aca="false">Sens!$E$5113-(Sens!$E$5115+Sens!$E$5116)</f>
        <v>0</v>
      </c>
      <c r="F5181" s="39" t="n">
        <f aca="false">Sens!$F$5113-(Sens!$F$5115+Sens!$F$5116)</f>
        <v>0</v>
      </c>
      <c r="G5181" s="39" t="n">
        <f aca="false">Sens!$G$5113-(Sens!$G$5115+Sens!$G$5116)</f>
        <v>0</v>
      </c>
      <c r="H5181" s="39" t="n">
        <f aca="false">Sens!$H$5113-(Sens!$H$5115+Sens!$H$5116)</f>
        <v>0</v>
      </c>
      <c r="I5181" s="39" t="n">
        <f aca="false">Sens!$I$5113-(Sens!$I$5115+Sens!$I$5116)</f>
        <v>0</v>
      </c>
      <c r="J5181" s="39" t="n">
        <f aca="false">Sens!$J$5113-(Sens!$J$5115+Sens!$J$5116)</f>
        <v>0</v>
      </c>
      <c r="K5181" s="39" t="n">
        <f aca="false">Sens!$K$5113-(Sens!$K$5115+Sens!$K$5116)</f>
        <v>0</v>
      </c>
      <c r="L5181" s="39" t="n">
        <f aca="false">Sens!$L$5113-(Sens!$L$5115+Sens!$L$5116)</f>
        <v>0</v>
      </c>
      <c r="M5181" s="39" t="n">
        <f aca="false">Sens!$M$5113-(Sens!$M$5115+Sens!$M$5116)</f>
        <v>0</v>
      </c>
      <c r="N5181" s="39" t="n">
        <f aca="false">Sens!$N$5113-(Sens!$N$5115+Sens!$N$5116)</f>
        <v>0</v>
      </c>
      <c r="O5181" s="39" t="n">
        <f aca="false">Sens!$O$5113-(Sens!$O$5115+Sens!$O$5116)</f>
        <v>0</v>
      </c>
    </row>
    <row r="5182" customFormat="false" ht="17.15" hidden="false" customHeight="false" outlineLevel="0" collapsed="false">
      <c r="A5182" s="24" t="s">
        <v>657</v>
      </c>
      <c r="B5182" s="25" t="s">
        <v>73</v>
      </c>
      <c r="C5182" s="39" t="n">
        <f aca="false">Sens!$C$5177+Sens!$C$5178-Sens!$C$5179</f>
        <v>0</v>
      </c>
      <c r="D5182" s="39" t="n">
        <f aca="false">Sens!$D$5177+Sens!$D$5178-Sens!$D$5179</f>
        <v>0</v>
      </c>
      <c r="E5182" s="39" t="n">
        <f aca="false">Sens!$E$5177+Sens!$E$5178-Sens!$E$5179</f>
        <v>0</v>
      </c>
      <c r="F5182" s="39" t="n">
        <f aca="false">Sens!$F$5177+Sens!$F$5178-Sens!$F$5179</f>
        <v>0</v>
      </c>
      <c r="G5182" s="39" t="n">
        <f aca="false">Sens!$G$5177+Sens!$G$5178-Sens!$G$5179</f>
        <v>0</v>
      </c>
      <c r="H5182" s="39" t="n">
        <f aca="false">Sens!$H$5177+Sens!$H$5178-Sens!$H$5179</f>
        <v>0</v>
      </c>
      <c r="I5182" s="39" t="n">
        <f aca="false">Sens!$I$5177+Sens!$I$5178-Sens!$I$5179</f>
        <v>0</v>
      </c>
      <c r="J5182" s="39" t="n">
        <f aca="false">Sens!$J$5177+Sens!$J$5178-Sens!$J$5179</f>
        <v>0</v>
      </c>
      <c r="K5182" s="39" t="n">
        <f aca="false">Sens!$K$5177+Sens!$K$5178-Sens!$K$5179</f>
        <v>0</v>
      </c>
      <c r="L5182" s="39" t="n">
        <f aca="false">Sens!$L$5177+Sens!$L$5178-Sens!$L$5179</f>
        <v>0</v>
      </c>
      <c r="M5182" s="39" t="n">
        <f aca="false">Sens!$M$5177+Sens!$M$5178-Sens!$M$5179</f>
        <v>0</v>
      </c>
      <c r="N5182" s="39" t="n">
        <f aca="false">Sens!$N$5177+Sens!$N$5178-Sens!$N$5179</f>
        <v>0</v>
      </c>
      <c r="O5182" s="39" t="n">
        <f aca="false">Sens!$O$5177+Sens!$O$5178-Sens!$O$5179</f>
        <v>0</v>
      </c>
    </row>
    <row r="5183" customFormat="false" ht="17.15" hidden="false" customHeight="false" outlineLevel="0" collapsed="false">
      <c r="A5183" s="24" t="s">
        <v>658</v>
      </c>
      <c r="B5183" s="25" t="s">
        <v>73</v>
      </c>
      <c r="C5183" s="39" t="n">
        <f aca="false">Sens!$C$5115+Sens!$C$5116+Sens!$C$5179-Sens!$C$5180</f>
        <v>0</v>
      </c>
      <c r="D5183" s="39" t="n">
        <f aca="false">Sens!$D$5115+Sens!$D$5116+Sens!$D$5179-Sens!$D$5180</f>
        <v>0</v>
      </c>
      <c r="E5183" s="39" t="n">
        <f aca="false">Sens!$E$5115+Sens!$E$5116+Sens!$E$5179-Sens!$E$5180</f>
        <v>0</v>
      </c>
      <c r="F5183" s="39" t="n">
        <f aca="false">Sens!$F$5115+Sens!$F$5116+Sens!$F$5179-Sens!$F$5180</f>
        <v>0</v>
      </c>
      <c r="G5183" s="39" t="n">
        <f aca="false">Sens!$G$5115+Sens!$G$5116+Sens!$G$5179-Sens!$G$5180</f>
        <v>0</v>
      </c>
      <c r="H5183" s="39" t="n">
        <f aca="false">Sens!$H$5115+Sens!$H$5116+Sens!$H$5179-Sens!$H$5180</f>
        <v>0</v>
      </c>
      <c r="I5183" s="39" t="n">
        <f aca="false">Sens!$I$5115+Sens!$I$5116+Sens!$I$5179-Sens!$I$5180</f>
        <v>0</v>
      </c>
      <c r="J5183" s="39" t="n">
        <f aca="false">Sens!$J$5115+Sens!$J$5116+Sens!$J$5179-Sens!$J$5180</f>
        <v>0</v>
      </c>
      <c r="K5183" s="39" t="n">
        <f aca="false">Sens!$K$5115+Sens!$K$5116+Sens!$K$5179-Sens!$K$5180</f>
        <v>0</v>
      </c>
      <c r="L5183" s="39" t="n">
        <f aca="false">Sens!$L$5115+Sens!$L$5116+Sens!$L$5179-Sens!$L$5180</f>
        <v>0</v>
      </c>
      <c r="M5183" s="39" t="n">
        <f aca="false">Sens!$M$5115+Sens!$M$5116+Sens!$M$5179-Sens!$M$5180</f>
        <v>0</v>
      </c>
      <c r="N5183" s="39" t="n">
        <f aca="false">Sens!$N$5115+Sens!$N$5116+Sens!$N$5179-Sens!$N$5180</f>
        <v>0</v>
      </c>
      <c r="O5183" s="39" t="n">
        <f aca="false">Sens!$O$5115+Sens!$O$5116+Sens!$O$5179-Sens!$O$5180</f>
        <v>0</v>
      </c>
    </row>
    <row r="5184" customFormat="false" ht="15" hidden="false" customHeight="false" outlineLevel="0" collapsed="false">
      <c r="A5184" s="5" t="s">
        <v>652</v>
      </c>
      <c r="B5184" s="0" t="s">
        <v>52</v>
      </c>
      <c r="G5184" s="12" t="n">
        <f aca="false">Sens!$G$5180/Sens!$D$5180-1</f>
        <v>0.161378156222718</v>
      </c>
      <c r="H5184" s="12" t="n">
        <f aca="false">Sens!$H$5180/Sens!$G$5180-1</f>
        <v>0.166192665236357</v>
      </c>
      <c r="I5184" s="12" t="n">
        <f aca="false">Sens!$I$5180/Sens!$H$5180-1</f>
        <v>0.143618092519351</v>
      </c>
      <c r="J5184" s="12" t="n">
        <f aca="false">Sens!$J$5180/Sens!$I$5180-1</f>
        <v>0.117712411733268</v>
      </c>
      <c r="K5184" s="12" t="n">
        <f aca="false">Sens!$K$5180/Sens!$J$5180-1</f>
        <v>0.0937151404237868</v>
      </c>
      <c r="L5184" s="12" t="n">
        <f aca="false">Sens!$L$5180/Sens!$K$5180-1</f>
        <v>0.0896982852494186</v>
      </c>
      <c r="M5184" s="12" t="n">
        <f aca="false">Sens!$M$5180/Sens!$L$5180-1</f>
        <v>0.0862697420528154</v>
      </c>
    </row>
    <row r="5185" customFormat="false" ht="17.15" hidden="false" customHeight="false" outlineLevel="0" collapsed="false">
      <c r="A5185" s="0" t="s">
        <v>653</v>
      </c>
      <c r="B5185" s="0" t="s">
        <v>52</v>
      </c>
      <c r="C5185" s="12" t="n">
        <f aca="false">Sens!$C$5179/Sens!$C$5180</f>
        <v>0.168593906504964</v>
      </c>
      <c r="D5185" s="12" t="n">
        <f aca="false">Sens!$D$5179/Sens!$D$5180</f>
        <v>0.179551807444025</v>
      </c>
      <c r="E5185" s="12" t="n">
        <f aca="false">Sens!$E$5179/Sens!$E$5180</f>
        <v>0.208881910369643</v>
      </c>
      <c r="F5185" s="12" t="n">
        <f aca="false">Sens!$F$5179/Sens!$F$5180</f>
        <v>0.207679264769203</v>
      </c>
      <c r="G5185" s="12" t="n">
        <f aca="false">Sens!$G$5179/Sens!$G$5180</f>
        <v>0.208231210458731</v>
      </c>
      <c r="H5185" s="12" t="n">
        <f aca="false">Sens!$H$5179/Sens!$H$5180</f>
        <v>0.248260191414043</v>
      </c>
      <c r="I5185" s="12" t="n">
        <f aca="false">Sens!$I$5179/Sens!$I$5180</f>
        <v>0.28110473450946</v>
      </c>
      <c r="J5185" s="12" t="n">
        <f aca="false">Sens!$J$5179/Sens!$J$5180</f>
        <v>0.30570109287086</v>
      </c>
      <c r="K5185" s="12" t="n">
        <f aca="false">Sens!$K$5179/Sens!$K$5180</f>
        <v>0.324071291782835</v>
      </c>
      <c r="L5185" s="12" t="n">
        <f aca="false">Sens!$L$5179/Sens!$L$5180</f>
        <v>0.339333003903741</v>
      </c>
      <c r="M5185" s="12" t="n">
        <f aca="false">Sens!$M$5179/Sens!$M$5180</f>
        <v>0.3520169237354</v>
      </c>
      <c r="N5185" s="12" t="n">
        <f aca="false">Sens!$N$5179/Sens!$N$5180</f>
        <v>0.185979484737251</v>
      </c>
      <c r="O5185" s="12" t="n">
        <f aca="false">Sens!$O$5179/Sens!$O$5180</f>
        <v>0.174270432341096</v>
      </c>
    </row>
    <row r="5186" customFormat="false" ht="17.15" hidden="false" customHeight="false" outlineLevel="0" collapsed="false">
      <c r="A5186" s="0" t="s">
        <v>654</v>
      </c>
      <c r="B5186" s="0" t="s">
        <v>52</v>
      </c>
      <c r="C5186" s="12" t="n">
        <f aca="false">Sens!$C$5177/Sens!$C$5179</f>
        <v>0.0215795060896058</v>
      </c>
      <c r="D5186" s="12" t="n">
        <f aca="false">Sens!$D$5177/Sens!$D$5179</f>
        <v>0.0676152269462122</v>
      </c>
      <c r="E5186" s="12" t="n">
        <f aca="false">Sens!$E$5177/Sens!$E$5179</f>
        <v>0.106620641395783</v>
      </c>
      <c r="F5186" s="12" t="n">
        <f aca="false">Sens!$F$5177/Sens!$F$5179</f>
        <v>0.159936751776064</v>
      </c>
      <c r="G5186" s="12" t="n">
        <f aca="false">Sens!$G$5177/Sens!$G$5179</f>
        <v>0.135391237003751</v>
      </c>
      <c r="H5186" s="12" t="n">
        <f aca="false">Sens!$H$5177/Sens!$H$5179</f>
        <v>0.249589428545194</v>
      </c>
      <c r="I5186" s="12" t="n">
        <f aca="false">Sens!$I$5177/Sens!$I$5179</f>
        <v>0.325173850577483</v>
      </c>
      <c r="J5186" s="12" t="n">
        <f aca="false">Sens!$J$5177/Sens!$J$5179</f>
        <v>0.376953718817392</v>
      </c>
      <c r="K5186" s="12" t="n">
        <f aca="false">Sens!$K$5177/Sens!$K$5179</f>
        <v>0.419641605578676</v>
      </c>
      <c r="L5186" s="12" t="n">
        <f aca="false">Sens!$L$5177/Sens!$L$5179</f>
        <v>0.450676451094615</v>
      </c>
      <c r="M5186" s="12" t="n">
        <f aca="false">Sens!$M$5177/Sens!$M$5179</f>
        <v>0.473526096798086</v>
      </c>
      <c r="N5186" s="12" t="n">
        <f aca="false">Sens!$N$5177/Sens!$N$5179</f>
        <v>0.0506537999838362</v>
      </c>
      <c r="O5186" s="12" t="n">
        <f aca="false">Sens!$O$5177/Sens!$O$5179</f>
        <v>0.0824881615167056</v>
      </c>
    </row>
    <row r="5189" customFormat="false" ht="19.4" hidden="false" customHeight="false" outlineLevel="0" collapsed="false">
      <c r="A5189" s="31" t="s">
        <v>1157</v>
      </c>
    </row>
    <row r="5190" customFormat="false" ht="17.15" hidden="false" customHeight="false" outlineLevel="0" collapsed="false">
      <c r="A5190" s="6" t="s">
        <v>16</v>
      </c>
      <c r="B5190" s="6" t="s">
        <v>17</v>
      </c>
      <c r="C5190" s="20" t="s">
        <v>457</v>
      </c>
      <c r="D5190" s="20" t="s">
        <v>458</v>
      </c>
      <c r="E5190" s="20" t="s">
        <v>540</v>
      </c>
      <c r="F5190" s="20" t="s">
        <v>541</v>
      </c>
      <c r="G5190" s="20" t="s">
        <v>542</v>
      </c>
      <c r="H5190" s="20" t="s">
        <v>543</v>
      </c>
      <c r="I5190" s="20" t="s">
        <v>544</v>
      </c>
      <c r="J5190" s="20" t="s">
        <v>545</v>
      </c>
      <c r="K5190" s="20" t="s">
        <v>546</v>
      </c>
      <c r="L5190" s="20" t="s">
        <v>547</v>
      </c>
      <c r="M5190" s="20" t="s">
        <v>548</v>
      </c>
      <c r="N5190" s="20" t="s">
        <v>549</v>
      </c>
      <c r="O5190" s="20" t="s">
        <v>550</v>
      </c>
      <c r="P5190" s="6" t="s">
        <v>23</v>
      </c>
      <c r="R5190" s="20" t="n">
        <v>2023</v>
      </c>
      <c r="S5190" s="20" t="n">
        <v>2024</v>
      </c>
      <c r="T5190" s="20" t="n">
        <v>2025</v>
      </c>
      <c r="U5190" s="20" t="n">
        <v>2026</v>
      </c>
      <c r="V5190" s="20" t="n">
        <v>2027</v>
      </c>
      <c r="W5190" s="20" t="n">
        <v>2028</v>
      </c>
      <c r="X5190" s="20" t="n">
        <v>2029</v>
      </c>
      <c r="Y5190" s="20" t="n">
        <v>2030</v>
      </c>
      <c r="Z5190" s="20" t="n">
        <v>2031</v>
      </c>
      <c r="AA5190" s="20" t="n">
        <v>2032</v>
      </c>
    </row>
    <row r="5191" customFormat="false" ht="17.15" hidden="false" customHeight="false" outlineLevel="0" collapsed="false">
      <c r="A5191" s="1" t="s">
        <v>669</v>
      </c>
    </row>
    <row r="5192" customFormat="false" ht="15" hidden="false" customHeight="false" outlineLevel="0" collapsed="false">
      <c r="A5192" s="0" t="s">
        <v>479</v>
      </c>
      <c r="B5192" s="0" t="s">
        <v>73</v>
      </c>
      <c r="C5192" s="38" t="n">
        <f aca="false">Sens!$C$5101</f>
        <v>247.029</v>
      </c>
      <c r="D5192" s="38" t="n">
        <f aca="false">Sens!$D$5101</f>
        <v>269.287</v>
      </c>
      <c r="E5192" s="38" t="n">
        <f aca="false">Sens!$E$5101</f>
        <v>134.686</v>
      </c>
      <c r="F5192" s="38" t="n">
        <f aca="false">Sens!$F$5101</f>
        <v>160.728085930082</v>
      </c>
      <c r="G5192" s="38" t="n">
        <f aca="false">Sens!$G$5101</f>
        <v>295.414085930082</v>
      </c>
      <c r="H5192" s="38" t="n">
        <f aca="false">Sens!$H$5101</f>
        <v>320.828163943375</v>
      </c>
      <c r="I5192" s="38" t="n">
        <f aca="false">Sens!$I$5101</f>
        <v>344.575578072228</v>
      </c>
      <c r="J5192" s="38" t="n">
        <f aca="false">Sens!$J$5101</f>
        <v>365.942555779681</v>
      </c>
      <c r="K5192" s="38" t="n">
        <f aca="false">Sens!$K$5101</f>
        <v>384.239683568665</v>
      </c>
      <c r="L5192" s="38" t="n">
        <f aca="false">Sens!$L$5101</f>
        <v>403.451667747098</v>
      </c>
      <c r="M5192" s="38" t="n">
        <f aca="false">Sens!$M$5101</f>
        <v>423.624251134453</v>
      </c>
      <c r="N5192" s="38" t="n">
        <f aca="false">Sens!$N$5101</f>
        <v>118.892</v>
      </c>
      <c r="O5192" s="38" t="n">
        <f aca="false">Sens!$O$5101</f>
        <v>150.395</v>
      </c>
    </row>
    <row r="5193" customFormat="false" ht="15" hidden="false" customHeight="false" outlineLevel="0" collapsed="false">
      <c r="A5193" s="0" t="s">
        <v>480</v>
      </c>
      <c r="B5193" s="0" t="s">
        <v>73</v>
      </c>
      <c r="C5193" s="38" t="n">
        <f aca="false">Sens!$C$5103</f>
        <v>21.215</v>
      </c>
      <c r="D5193" s="38" t="n">
        <f aca="false">Sens!$D$5103</f>
        <v>22.561</v>
      </c>
      <c r="E5193" s="38" t="n">
        <f aca="false">Sens!$E$5103</f>
        <v>11.579</v>
      </c>
      <c r="F5193" s="38" t="n">
        <f aca="false">Sens!$F$5103</f>
        <v>12.0952613121125</v>
      </c>
      <c r="G5193" s="38" t="n">
        <f aca="false">Sens!$G$5103</f>
        <v>23.6742613121125</v>
      </c>
      <c r="H5193" s="38" t="n">
        <f aca="false">Sens!$H$5103</f>
        <v>24.8803243963206</v>
      </c>
      <c r="I5193" s="38" t="n">
        <f aca="false">Sens!$I$5103</f>
        <v>25.9741308664154</v>
      </c>
      <c r="J5193" s="38" t="n">
        <f aca="false">Sens!$J$5103</f>
        <v>26.9346894124267</v>
      </c>
      <c r="K5193" s="38" t="n">
        <f aca="false">Sens!$K$5103</f>
        <v>27.7427300947995</v>
      </c>
      <c r="L5193" s="38" t="n">
        <f aca="false">Sens!$L$5103</f>
        <v>28.5750119976435</v>
      </c>
      <c r="M5193" s="38" t="n">
        <f aca="false">Sens!$M$5103</f>
        <v>29.4322623575728</v>
      </c>
      <c r="N5193" s="38" t="n">
        <f aca="false">Sens!$N$5103</f>
        <v>11.128</v>
      </c>
      <c r="O5193" s="38" t="n">
        <f aca="false">Sens!$O$5103</f>
        <v>11.433</v>
      </c>
    </row>
    <row r="5194" customFormat="false" ht="15" hidden="false" customHeight="false" outlineLevel="0" collapsed="false">
      <c r="A5194" s="0" t="s">
        <v>481</v>
      </c>
      <c r="B5194" s="0" t="s">
        <v>73</v>
      </c>
      <c r="C5194" s="38" t="n">
        <f aca="false">Sens!$C$5105</f>
        <v>156.146</v>
      </c>
      <c r="D5194" s="38" t="n">
        <f aca="false">Sens!$D$5105</f>
        <v>172.162</v>
      </c>
      <c r="E5194" s="38" t="n">
        <f aca="false">Sens!$E$5105</f>
        <v>88.358</v>
      </c>
      <c r="F5194" s="38" t="n">
        <f aca="false">Sens!$F$5105</f>
        <v>103.62028337149</v>
      </c>
      <c r="G5194" s="38" t="n">
        <f aca="false">Sens!$G$5105</f>
        <v>191.97828337149</v>
      </c>
      <c r="H5194" s="38" t="n">
        <f aca="false">Sens!$H$5105</f>
        <v>212.128608444755</v>
      </c>
      <c r="I5194" s="38" t="n">
        <f aca="false">Sens!$I$5105</f>
        <v>231.92183134134</v>
      </c>
      <c r="J5194" s="38" t="n">
        <f aca="false">Sens!$J$5105</f>
        <v>250.859136487863</v>
      </c>
      <c r="K5194" s="38" t="n">
        <f aca="false">Sens!$K$5105</f>
        <v>268.419276042014</v>
      </c>
      <c r="L5194" s="38" t="n">
        <f aca="false">Sens!$L$5105</f>
        <v>287.208625364954</v>
      </c>
      <c r="M5194" s="38" t="n">
        <f aca="false">Sens!$M$5105</f>
        <v>307.313229140501</v>
      </c>
      <c r="N5194" s="38" t="n">
        <f aca="false">Sens!$N$5105</f>
        <v>76.86</v>
      </c>
      <c r="O5194" s="38" t="n">
        <f aca="false">Sens!$O$5105</f>
        <v>95.302</v>
      </c>
    </row>
    <row r="5195" customFormat="false" ht="15" hidden="false" customHeight="false" outlineLevel="0" collapsed="false">
      <c r="A5195" s="0" t="s">
        <v>482</v>
      </c>
      <c r="B5195" s="0" t="s">
        <v>73</v>
      </c>
      <c r="C5195" s="38" t="n">
        <f aca="false">Sens!$C$5107</f>
        <v>56.214</v>
      </c>
      <c r="D5195" s="38" t="n">
        <f aca="false">Sens!$D$5107</f>
        <v>68.635</v>
      </c>
      <c r="E5195" s="38" t="n">
        <f aca="false">Sens!$E$5107</f>
        <v>37.052</v>
      </c>
      <c r="F5195" s="38" t="n">
        <f aca="false">Sens!$F$5107</f>
        <v>48.1533381827382</v>
      </c>
      <c r="G5195" s="38" t="n">
        <f aca="false">Sens!$G$5107</f>
        <v>85.2053381827382</v>
      </c>
      <c r="H5195" s="38" t="n">
        <f aca="false">Sens!$H$5107</f>
        <v>102.29336185894</v>
      </c>
      <c r="I5195" s="38" t="n">
        <f aca="false">Sens!$I$5107</f>
        <v>119.379837585241</v>
      </c>
      <c r="J5195" s="38" t="n">
        <f aca="false">Sens!$J$5107</f>
        <v>135.319079048844</v>
      </c>
      <c r="K5195" s="38" t="n">
        <f aca="false">Sens!$K$5107</f>
        <v>148.850986953729</v>
      </c>
      <c r="L5195" s="38" t="n">
        <f aca="false">Sens!$L$5107</f>
        <v>163.736085649102</v>
      </c>
      <c r="M5195" s="38" t="n">
        <f aca="false">Sens!$M$5107</f>
        <v>180.109694214012</v>
      </c>
      <c r="N5195" s="38" t="n">
        <f aca="false">Sens!$N$5107</f>
        <v>29.615</v>
      </c>
      <c r="O5195" s="38" t="n">
        <f aca="false">Sens!$O$5107</f>
        <v>39.02</v>
      </c>
    </row>
    <row r="5196" customFormat="false" ht="15" hidden="false" customHeight="false" outlineLevel="0" collapsed="false">
      <c r="A5196" s="0" t="s">
        <v>483</v>
      </c>
      <c r="B5196" s="0" t="s">
        <v>73</v>
      </c>
      <c r="C5196" s="38" t="n">
        <f aca="false">Sens!$C$5109</f>
        <v>44.374</v>
      </c>
      <c r="D5196" s="38" t="n">
        <f aca="false">Sens!$D$5109</f>
        <v>49.619</v>
      </c>
      <c r="E5196" s="38" t="n">
        <f aca="false">Sens!$E$5109</f>
        <v>27.157</v>
      </c>
      <c r="F5196" s="38" t="n">
        <f aca="false">Sens!$F$5109</f>
        <v>28.9776360923374</v>
      </c>
      <c r="G5196" s="38" t="n">
        <f aca="false">Sens!$G$5109</f>
        <v>56.1346360923374</v>
      </c>
      <c r="H5196" s="38" t="n">
        <f aca="false">Sens!$H$5109</f>
        <v>62.4937078946075</v>
      </c>
      <c r="I5196" s="38" t="n">
        <f aca="false">Sens!$I$5109</f>
        <v>68.6715233062498</v>
      </c>
      <c r="J5196" s="38" t="n">
        <f aca="false">Sens!$J$5109</f>
        <v>74.4692882949818</v>
      </c>
      <c r="K5196" s="38" t="n">
        <f aca="false">Sens!$K$5109</f>
        <v>79.6821384756306</v>
      </c>
      <c r="L5196" s="38" t="n">
        <f aca="false">Sens!$L$5109</f>
        <v>85.2598881689247</v>
      </c>
      <c r="M5196" s="38" t="n">
        <f aca="false">Sens!$M$5109</f>
        <v>91.2280803407494</v>
      </c>
      <c r="N5196" s="38" t="n">
        <f aca="false">Sens!$N$5109</f>
        <v>23.923</v>
      </c>
      <c r="O5196" s="38" t="n">
        <f aca="false">Sens!$O$5109</f>
        <v>25.696</v>
      </c>
    </row>
    <row r="5197" customFormat="false" ht="15" hidden="false" customHeight="false" outlineLevel="0" collapsed="false">
      <c r="A5197" s="0" t="s">
        <v>484</v>
      </c>
      <c r="B5197" s="0" t="s">
        <v>73</v>
      </c>
      <c r="C5197" s="38" t="n">
        <f aca="false">Sens!$C$5111</f>
        <v>5.425</v>
      </c>
      <c r="D5197" s="38" t="n">
        <f aca="false">Sens!$D$5111</f>
        <v>5.935</v>
      </c>
      <c r="E5197" s="38" t="n">
        <f aca="false">Sens!$E$5111</f>
        <v>3.474</v>
      </c>
      <c r="F5197" s="38" t="n">
        <f aca="false">Sens!$F$5111</f>
        <v>3.36182431966931</v>
      </c>
      <c r="G5197" s="38" t="n">
        <f aca="false">Sens!$G$5111</f>
        <v>6.83582431966931</v>
      </c>
      <c r="H5197" s="38" t="n">
        <f aca="false">Sens!$H$5111</f>
        <v>7.31157108370141</v>
      </c>
      <c r="I5197" s="38" t="n">
        <f aca="false">Sens!$I$5111</f>
        <v>7.77266852639815</v>
      </c>
      <c r="J5197" s="38" t="n">
        <f aca="false">Sens!$J$5111</f>
        <v>8.2120733019884</v>
      </c>
      <c r="K5197" s="38" t="n">
        <f aca="false">Sens!$K$5111</f>
        <v>8.62267696708783</v>
      </c>
      <c r="L5197" s="38" t="n">
        <f aca="false">Sens!$L$5111</f>
        <v>9.05381081544222</v>
      </c>
      <c r="M5197" s="38" t="n">
        <f aca="false">Sens!$M$5111</f>
        <v>9.50650135621433</v>
      </c>
      <c r="N5197" s="38" t="n">
        <f aca="false">Sens!$N$5111</f>
        <v>2.811</v>
      </c>
      <c r="O5197" s="38" t="n">
        <f aca="false">Sens!$O$5111</f>
        <v>3.124</v>
      </c>
    </row>
    <row r="5198" customFormat="false" ht="17.15" hidden="false" customHeight="false" outlineLevel="0" collapsed="false">
      <c r="A5198" s="0" t="s">
        <v>670</v>
      </c>
      <c r="B5198" s="0" t="s">
        <v>73</v>
      </c>
      <c r="C5198" s="38" t="n">
        <f aca="false">Sens!$C$5179</f>
        <v>107.556</v>
      </c>
      <c r="D5198" s="38" t="n">
        <f aca="false">Sens!$D$5179</f>
        <v>128.725</v>
      </c>
      <c r="E5198" s="38" t="n">
        <f aca="false">Sens!$E$5179</f>
        <v>79.819</v>
      </c>
      <c r="F5198" s="38" t="n">
        <f aca="false">Sens!$F$5179</f>
        <v>93.5584440633857</v>
      </c>
      <c r="G5198" s="38" t="n">
        <f aca="false">Sens!$G$5179</f>
        <v>173.377444063386</v>
      </c>
      <c r="H5198" s="38" t="n">
        <f aca="false">Sens!$H$5179</f>
        <v>241.059451517916</v>
      </c>
      <c r="I5198" s="38" t="n">
        <f aca="false">Sens!$I$5179</f>
        <v>312.152096351442</v>
      </c>
      <c r="J5198" s="38" t="n">
        <f aca="false">Sens!$J$5179</f>
        <v>379.424316597773</v>
      </c>
      <c r="K5198" s="38" t="n">
        <f aca="false">Sens!$K$5179</f>
        <v>439.919237244402</v>
      </c>
      <c r="L5198" s="38" t="n">
        <f aca="false">Sens!$L$5179</f>
        <v>501.954974491517</v>
      </c>
      <c r="M5198" s="38" t="n">
        <f aca="false">Sens!$M$5179</f>
        <v>565.639704466895</v>
      </c>
      <c r="N5198" s="38" t="n">
        <f aca="false">Sens!$N$5179</f>
        <v>60.14</v>
      </c>
      <c r="O5198" s="38" t="n">
        <f aca="false">Sens!$O$5179</f>
        <v>68.585</v>
      </c>
    </row>
    <row r="5199" customFormat="false" ht="15" hidden="false" customHeight="false" outlineLevel="0" collapsed="false">
      <c r="A5199" s="1" t="s">
        <v>472</v>
      </c>
      <c r="B5199" s="8" t="s">
        <v>73</v>
      </c>
      <c r="C5199" s="38" t="n">
        <f aca="false">Sens!$C$5115</f>
        <v>387.497</v>
      </c>
      <c r="D5199" s="38" t="n">
        <f aca="false">Sens!$D$5115</f>
        <v>426.305</v>
      </c>
      <c r="E5199" s="38" t="n">
        <f aca="false">Sens!$E$5115</f>
        <v>220.32</v>
      </c>
      <c r="F5199" s="38" t="n">
        <f aca="false">Sens!$F$5115</f>
        <v>256.304015003807</v>
      </c>
      <c r="G5199" s="38" t="n">
        <f aca="false">Sens!$G$5115</f>
        <v>476.624015003807</v>
      </c>
      <c r="H5199" s="38" t="n">
        <f aca="false">Sens!$H$5115</f>
        <v>527.734391091543</v>
      </c>
      <c r="I5199" s="38" t="n">
        <f aca="false">Sens!$I$5115</f>
        <v>577.157693029577</v>
      </c>
      <c r="J5199" s="38" t="n">
        <f aca="false">Sens!$J$5115</f>
        <v>623.024923663827</v>
      </c>
      <c r="K5199" s="38" t="n">
        <f aca="false">Sens!$K$5115</f>
        <v>663.382568393781</v>
      </c>
      <c r="L5199" s="38" t="n">
        <f aca="false">Sens!$L$5115</f>
        <v>706.564873010432</v>
      </c>
      <c r="M5199" s="38" t="n">
        <f aca="false">Sens!$M$5115</f>
        <v>752.784687406019</v>
      </c>
      <c r="N5199" s="38" t="n">
        <f aca="false">Sens!$N$5115</f>
        <v>192.955</v>
      </c>
      <c r="O5199" s="38" t="n">
        <f aca="false">Sens!$O$5115</f>
        <v>233.35</v>
      </c>
    </row>
    <row r="5200" customFormat="false" ht="15" hidden="false" customHeight="false" outlineLevel="0" collapsed="false">
      <c r="A5200" s="1" t="s">
        <v>475</v>
      </c>
      <c r="B5200" s="8" t="s">
        <v>73</v>
      </c>
      <c r="C5200" s="38" t="n">
        <f aca="false">Sens!$C$5116</f>
        <v>142.906</v>
      </c>
      <c r="D5200" s="38" t="n">
        <f aca="false">Sens!$D$5116</f>
        <v>161.894</v>
      </c>
      <c r="E5200" s="38" t="n">
        <f aca="false">Sens!$E$5116</f>
        <v>81.986</v>
      </c>
      <c r="F5200" s="38" t="n">
        <f aca="false">Sens!$F$5116</f>
        <v>100.632414204623</v>
      </c>
      <c r="G5200" s="38" t="n">
        <f aca="false">Sens!$G$5116</f>
        <v>182.618414204623</v>
      </c>
      <c r="H5200" s="38" t="n">
        <f aca="false">Sens!$H$5116</f>
        <v>202.201346530158</v>
      </c>
      <c r="I5200" s="38" t="n">
        <f aca="false">Sens!$I$5116</f>
        <v>221.137876668296</v>
      </c>
      <c r="J5200" s="38" t="n">
        <f aca="false">Sens!$J$5116</f>
        <v>238.711898661958</v>
      </c>
      <c r="K5200" s="38" t="n">
        <f aca="false">Sens!$K$5116</f>
        <v>254.174923708144</v>
      </c>
      <c r="L5200" s="38" t="n">
        <f aca="false">Sens!$L$5116</f>
        <v>270.720216732733</v>
      </c>
      <c r="M5200" s="38" t="n">
        <f aca="false">Sens!$M$5116</f>
        <v>288.429331137484</v>
      </c>
      <c r="N5200" s="38" t="n">
        <f aca="false">Sens!$N$5116</f>
        <v>70.274</v>
      </c>
      <c r="O5200" s="38" t="n">
        <f aca="false">Sens!$O$5116</f>
        <v>91.62</v>
      </c>
    </row>
    <row r="5201" customFormat="false" ht="15" hidden="false" customHeight="false" outlineLevel="0" collapsed="false">
      <c r="A5201" s="1" t="s">
        <v>476</v>
      </c>
      <c r="B5201" s="8" t="s">
        <v>73</v>
      </c>
      <c r="C5201" s="38" t="n">
        <f aca="false">Sens!$C$5179</f>
        <v>107.556</v>
      </c>
      <c r="D5201" s="38" t="n">
        <f aca="false">Sens!$D$5179</f>
        <v>128.725</v>
      </c>
      <c r="E5201" s="38" t="n">
        <f aca="false">Sens!$E$5179</f>
        <v>79.819</v>
      </c>
      <c r="F5201" s="38" t="n">
        <f aca="false">Sens!$F$5179</f>
        <v>93.5584440633857</v>
      </c>
      <c r="G5201" s="38" t="n">
        <f aca="false">Sens!$G$5179</f>
        <v>173.377444063386</v>
      </c>
      <c r="H5201" s="38" t="n">
        <f aca="false">Sens!$H$5179</f>
        <v>241.059451517916</v>
      </c>
      <c r="I5201" s="38" t="n">
        <f aca="false">Sens!$I$5179</f>
        <v>312.152096351442</v>
      </c>
      <c r="J5201" s="38" t="n">
        <f aca="false">Sens!$J$5179</f>
        <v>379.424316597773</v>
      </c>
      <c r="K5201" s="38" t="n">
        <f aca="false">Sens!$K$5179</f>
        <v>439.919237244402</v>
      </c>
      <c r="L5201" s="38" t="n">
        <f aca="false">Sens!$L$5179</f>
        <v>501.954974491517</v>
      </c>
      <c r="M5201" s="38" t="n">
        <f aca="false">Sens!$M$5179</f>
        <v>565.639704466895</v>
      </c>
      <c r="N5201" s="38" t="n">
        <f aca="false">Sens!$N$5179</f>
        <v>60.14</v>
      </c>
      <c r="O5201" s="38" t="n">
        <f aca="false">Sens!$O$5179</f>
        <v>68.585</v>
      </c>
    </row>
    <row r="5202" customFormat="false" ht="17.15" hidden="false" customHeight="false" outlineLevel="0" collapsed="false">
      <c r="A5202" s="0" t="s">
        <v>644</v>
      </c>
      <c r="B5202" s="0" t="s">
        <v>73</v>
      </c>
      <c r="C5202" s="38" t="n">
        <f aca="false">Sens!$C$5177</f>
        <v>2.32100535697364</v>
      </c>
      <c r="D5202" s="38" t="n">
        <f aca="false">Sens!$D$5177</f>
        <v>8.70377008865116</v>
      </c>
      <c r="E5202" s="38" t="n">
        <f aca="false">Sens!$E$5177</f>
        <v>8.51035297557002</v>
      </c>
      <c r="F5202" s="38" t="n">
        <f aca="false">Sens!$F$5177</f>
        <v>14.9634336447205</v>
      </c>
      <c r="G5202" s="38" t="n">
        <f aca="false">Sens!$G$5177</f>
        <v>23.4737866202905</v>
      </c>
      <c r="H5202" s="38" t="n">
        <f aca="false">Sens!$H$5177</f>
        <v>60.1658907497746</v>
      </c>
      <c r="I5202" s="38" t="n">
        <f aca="false">Sens!$I$5177</f>
        <v>101.503699136432</v>
      </c>
      <c r="J5202" s="38" t="n">
        <f aca="false">Sens!$J$5177</f>
        <v>143.025407151278</v>
      </c>
      <c r="K5202" s="38" t="n">
        <f aca="false">Sens!$K$5177</f>
        <v>184.608415042187</v>
      </c>
      <c r="L5202" s="38" t="n">
        <f aca="false">Sens!$L$5177</f>
        <v>226.219286513125</v>
      </c>
      <c r="M5202" s="38" t="n">
        <f aca="false">Sens!$M$5177</f>
        <v>267.845161450232</v>
      </c>
      <c r="N5202" s="38" t="n">
        <f aca="false">Sens!$N$5177</f>
        <v>3.04631953102791</v>
      </c>
      <c r="O5202" s="38" t="n">
        <f aca="false">Sens!$O$5177</f>
        <v>5.65745055762326</v>
      </c>
    </row>
    <row r="5203" customFormat="false" ht="17.15" hidden="false" customHeight="false" outlineLevel="0" collapsed="false">
      <c r="A5203" s="0" t="s">
        <v>646</v>
      </c>
      <c r="B5203" s="0" t="s">
        <v>73</v>
      </c>
      <c r="C5203" s="38" t="n">
        <f aca="false">Sens!$C$5178</f>
        <v>105.234994643026</v>
      </c>
      <c r="D5203" s="38" t="n">
        <f aca="false">Sens!$D$5178</f>
        <v>120.021229911349</v>
      </c>
      <c r="E5203" s="38" t="n">
        <f aca="false">Sens!$E$5178</f>
        <v>71.30864702443</v>
      </c>
      <c r="F5203" s="38" t="n">
        <f aca="false">Sens!$F$5178</f>
        <v>78.5950104186653</v>
      </c>
      <c r="G5203" s="38" t="n">
        <f aca="false">Sens!$G$5178</f>
        <v>149.903657443095</v>
      </c>
      <c r="H5203" s="38" t="n">
        <f aca="false">Sens!$H$5178</f>
        <v>180.893560768142</v>
      </c>
      <c r="I5203" s="38" t="n">
        <f aca="false">Sens!$I$5178</f>
        <v>210.64839721501</v>
      </c>
      <c r="J5203" s="38" t="n">
        <f aca="false">Sens!$J$5178</f>
        <v>236.398909446495</v>
      </c>
      <c r="K5203" s="38" t="n">
        <f aca="false">Sens!$K$5178</f>
        <v>255.310822202215</v>
      </c>
      <c r="L5203" s="38" t="n">
        <f aca="false">Sens!$L$5178</f>
        <v>275.735687978392</v>
      </c>
      <c r="M5203" s="38" t="n">
        <f aca="false">Sens!$M$5178</f>
        <v>297.794543016663</v>
      </c>
      <c r="N5203" s="38" t="n">
        <f aca="false">Sens!$N$5178</f>
        <v>57.0936804689721</v>
      </c>
      <c r="O5203" s="38" t="n">
        <f aca="false">Sens!$O$5178</f>
        <v>62.9275494423768</v>
      </c>
    </row>
    <row r="5204" customFormat="false" ht="15" hidden="false" customHeight="false" outlineLevel="0" collapsed="false">
      <c r="A5204" s="3" t="s">
        <v>477</v>
      </c>
      <c r="B5204" s="8" t="s">
        <v>73</v>
      </c>
      <c r="C5204" s="38" t="n">
        <f aca="false">Sens!$C$5180</f>
        <v>637.959</v>
      </c>
      <c r="D5204" s="38" t="n">
        <f aca="false">Sens!$D$5180</f>
        <v>716.924</v>
      </c>
      <c r="E5204" s="38" t="n">
        <f aca="false">Sens!$E$5180</f>
        <v>382.125</v>
      </c>
      <c r="F5204" s="38" t="n">
        <f aca="false">Sens!$F$5180</f>
        <v>450.494873271816</v>
      </c>
      <c r="G5204" s="38" t="n">
        <f aca="false">Sens!$G$5180</f>
        <v>832.619873271816</v>
      </c>
      <c r="H5204" s="38" t="n">
        <f aca="false">Sens!$H$5180</f>
        <v>970.995189139617</v>
      </c>
      <c r="I5204" s="38" t="n">
        <f aca="false">Sens!$I$5180</f>
        <v>1110.44766604932</v>
      </c>
      <c r="J5204" s="38" t="n">
        <f aca="false">Sens!$J$5180</f>
        <v>1241.16113892356</v>
      </c>
      <c r="K5204" s="38" t="n">
        <f aca="false">Sens!$K$5180</f>
        <v>1357.47672934633</v>
      </c>
      <c r="L5204" s="38" t="n">
        <f aca="false">Sens!$L$5180</f>
        <v>1479.24006423468</v>
      </c>
      <c r="M5204" s="38" t="n">
        <f aca="false">Sens!$M$5180</f>
        <v>1606.8537230104</v>
      </c>
      <c r="N5204" s="38" t="n">
        <f aca="false">Sens!$N$5180</f>
        <v>323.369</v>
      </c>
      <c r="O5204" s="38" t="n">
        <f aca="false">Sens!$O$5180</f>
        <v>393.555</v>
      </c>
    </row>
    <row r="5205" customFormat="false" ht="17.15" hidden="false" customHeight="false" outlineLevel="0" collapsed="false">
      <c r="A5205" s="24" t="s">
        <v>656</v>
      </c>
      <c r="B5205" s="25" t="s">
        <v>73</v>
      </c>
      <c r="C5205" s="39" t="n">
        <f aca="false">Sens!$C$5192+Sens!$C$5193+Sens!$C$5194+Sens!$C$5195+Sens!$C$5196+Sens!$C$5197-(Sens!$C$5199+Sens!$C$5200)</f>
        <v>0</v>
      </c>
      <c r="D5205" s="39" t="n">
        <f aca="false">Sens!$D$5192+Sens!$D$5193+Sens!$D$5194+Sens!$D$5195+Sens!$D$5196+Sens!$D$5197-(Sens!$D$5199+Sens!$D$5200)</f>
        <v>0</v>
      </c>
      <c r="E5205" s="39" t="n">
        <f aca="false">Sens!$E$5192+Sens!$E$5193+Sens!$E$5194+Sens!$E$5195+Sens!$E$5196+Sens!$E$5197-(Sens!$E$5199+Sens!$E$5200)</f>
        <v>0</v>
      </c>
      <c r="F5205" s="39" t="n">
        <f aca="false">Sens!$F$5192+Sens!$F$5193+Sens!$F$5194+Sens!$F$5195+Sens!$F$5196+Sens!$F$5197-(Sens!$F$5199+Sens!$F$5200)</f>
        <v>0</v>
      </c>
      <c r="G5205" s="39" t="n">
        <f aca="false">Sens!$G$5192+Sens!$G$5193+Sens!$G$5194+Sens!$G$5195+Sens!$G$5196+Sens!$G$5197-(Sens!$G$5199+Sens!$G$5200)</f>
        <v>0</v>
      </c>
      <c r="H5205" s="39" t="n">
        <f aca="false">Sens!$H$5192+Sens!$H$5193+Sens!$H$5194+Sens!$H$5195+Sens!$H$5196+Sens!$H$5197-(Sens!$H$5199+Sens!$H$5200)</f>
        <v>0</v>
      </c>
      <c r="I5205" s="39" t="n">
        <f aca="false">Sens!$I$5192+Sens!$I$5193+Sens!$I$5194+Sens!$I$5195+Sens!$I$5196+Sens!$I$5197-(Sens!$I$5199+Sens!$I$5200)</f>
        <v>0</v>
      </c>
      <c r="J5205" s="39" t="n">
        <f aca="false">Sens!$J$5192+Sens!$J$5193+Sens!$J$5194+Sens!$J$5195+Sens!$J$5196+Sens!$J$5197-(Sens!$J$5199+Sens!$J$5200)</f>
        <v>0</v>
      </c>
      <c r="K5205" s="39" t="n">
        <f aca="false">Sens!$K$5192+Sens!$K$5193+Sens!$K$5194+Sens!$K$5195+Sens!$K$5196+Sens!$K$5197-(Sens!$K$5199+Sens!$K$5200)</f>
        <v>0</v>
      </c>
      <c r="L5205" s="39" t="n">
        <f aca="false">Sens!$L$5192+Sens!$L$5193+Sens!$L$5194+Sens!$L$5195+Sens!$L$5196+Sens!$L$5197-(Sens!$L$5199+Sens!$L$5200)</f>
        <v>0</v>
      </c>
      <c r="M5205" s="39" t="n">
        <f aca="false">Sens!$M$5192+Sens!$M$5193+Sens!$M$5194+Sens!$M$5195+Sens!$M$5196+Sens!$M$5197-(Sens!$M$5199+Sens!$M$5200)</f>
        <v>0</v>
      </c>
      <c r="N5205" s="39" t="n">
        <f aca="false">Sens!$N$5192+Sens!$N$5193+Sens!$N$5194+Sens!$N$5195+Sens!$N$5196+Sens!$N$5197-(Sens!$N$5199+Sens!$N$5200)</f>
        <v>0</v>
      </c>
      <c r="O5205" s="39" t="n">
        <f aca="false">Sens!$O$5192+Sens!$O$5193+Sens!$O$5194+Sens!$O$5195+Sens!$O$5196+Sens!$O$5197-(Sens!$O$5199+Sens!$O$5200)</f>
        <v>0</v>
      </c>
    </row>
    <row r="5206" customFormat="false" ht="17.15" hidden="false" customHeight="false" outlineLevel="0" collapsed="false">
      <c r="A5206" s="24" t="s">
        <v>657</v>
      </c>
      <c r="B5206" s="25" t="s">
        <v>73</v>
      </c>
      <c r="C5206" s="39" t="n">
        <f aca="false">Sens!$C$5202+Sens!$C$5203-Sens!$C$5201</f>
        <v>0</v>
      </c>
      <c r="D5206" s="39" t="n">
        <f aca="false">Sens!$D$5202+Sens!$D$5203-Sens!$D$5201</f>
        <v>0</v>
      </c>
      <c r="E5206" s="39" t="n">
        <f aca="false">Sens!$E$5202+Sens!$E$5203-Sens!$E$5201</f>
        <v>0</v>
      </c>
      <c r="F5206" s="39" t="n">
        <f aca="false">Sens!$F$5202+Sens!$F$5203-Sens!$F$5201</f>
        <v>0</v>
      </c>
      <c r="G5206" s="39" t="n">
        <f aca="false">Sens!$G$5202+Sens!$G$5203-Sens!$G$5201</f>
        <v>0</v>
      </c>
      <c r="H5206" s="39" t="n">
        <f aca="false">Sens!$H$5202+Sens!$H$5203-Sens!$H$5201</f>
        <v>0</v>
      </c>
      <c r="I5206" s="39" t="n">
        <f aca="false">Sens!$I$5202+Sens!$I$5203-Sens!$I$5201</f>
        <v>0</v>
      </c>
      <c r="J5206" s="39" t="n">
        <f aca="false">Sens!$J$5202+Sens!$J$5203-Sens!$J$5201</f>
        <v>0</v>
      </c>
      <c r="K5206" s="39" t="n">
        <f aca="false">Sens!$K$5202+Sens!$K$5203-Sens!$K$5201</f>
        <v>0</v>
      </c>
      <c r="L5206" s="39" t="n">
        <f aca="false">Sens!$L$5202+Sens!$L$5203-Sens!$L$5201</f>
        <v>0</v>
      </c>
      <c r="M5206" s="39" t="n">
        <f aca="false">Sens!$M$5202+Sens!$M$5203-Sens!$M$5201</f>
        <v>0</v>
      </c>
      <c r="N5206" s="39" t="n">
        <f aca="false">Sens!$N$5202+Sens!$N$5203-Sens!$N$5201</f>
        <v>0</v>
      </c>
      <c r="O5206" s="39" t="n">
        <f aca="false">Sens!$O$5202+Sens!$O$5203-Sens!$O$5201</f>
        <v>0</v>
      </c>
    </row>
    <row r="5207" customFormat="false" ht="17.15" hidden="false" customHeight="false" outlineLevel="0" collapsed="false">
      <c r="A5207" s="24" t="s">
        <v>711</v>
      </c>
      <c r="B5207" s="25" t="s">
        <v>73</v>
      </c>
      <c r="C5207" s="39" t="n">
        <f aca="false">Sens!$C$5192+Sens!$C$5193+Sens!$C$5194+Sens!$C$5195+Sens!$C$5196+Sens!$C$5197+Sens!$C$5198-Sens!$C$5204</f>
        <v>0</v>
      </c>
      <c r="D5207" s="39" t="n">
        <f aca="false">Sens!$D$5192+Sens!$D$5193+Sens!$D$5194+Sens!$D$5195+Sens!$D$5196+Sens!$D$5197+Sens!$D$5198-Sens!$D$5204</f>
        <v>0</v>
      </c>
      <c r="E5207" s="39" t="n">
        <f aca="false">Sens!$E$5192+Sens!$E$5193+Sens!$E$5194+Sens!$E$5195+Sens!$E$5196+Sens!$E$5197+Sens!$E$5198-Sens!$E$5204</f>
        <v>0</v>
      </c>
      <c r="F5207" s="39" t="n">
        <f aca="false">Sens!$F$5192+Sens!$F$5193+Sens!$F$5194+Sens!$F$5195+Sens!$F$5196+Sens!$F$5197+Sens!$F$5198-Sens!$F$5204</f>
        <v>0</v>
      </c>
      <c r="G5207" s="39" t="n">
        <f aca="false">Sens!$G$5192+Sens!$G$5193+Sens!$G$5194+Sens!$G$5195+Sens!$G$5196+Sens!$G$5197+Sens!$G$5198-Sens!$G$5204</f>
        <v>0</v>
      </c>
      <c r="H5207" s="39" t="n">
        <f aca="false">Sens!$H$5192+Sens!$H$5193+Sens!$H$5194+Sens!$H$5195+Sens!$H$5196+Sens!$H$5197+Sens!$H$5198-Sens!$H$5204</f>
        <v>0</v>
      </c>
      <c r="I5207" s="39" t="n">
        <f aca="false">Sens!$I$5192+Sens!$I$5193+Sens!$I$5194+Sens!$I$5195+Sens!$I$5196+Sens!$I$5197+Sens!$I$5198-Sens!$I$5204</f>
        <v>0</v>
      </c>
      <c r="J5207" s="39" t="n">
        <f aca="false">Sens!$J$5192+Sens!$J$5193+Sens!$J$5194+Sens!$J$5195+Sens!$J$5196+Sens!$J$5197+Sens!$J$5198-Sens!$J$5204</f>
        <v>0</v>
      </c>
      <c r="K5207" s="39" t="n">
        <f aca="false">Sens!$K$5192+Sens!$K$5193+Sens!$K$5194+Sens!$K$5195+Sens!$K$5196+Sens!$K$5197+Sens!$K$5198-Sens!$K$5204</f>
        <v>0</v>
      </c>
      <c r="L5207" s="39" t="n">
        <f aca="false">Sens!$L$5192+Sens!$L$5193+Sens!$L$5194+Sens!$L$5195+Sens!$L$5196+Sens!$L$5197+Sens!$L$5198-Sens!$L$5204</f>
        <v>0</v>
      </c>
      <c r="M5207" s="39" t="n">
        <f aca="false">Sens!$M$5192+Sens!$M$5193+Sens!$M$5194+Sens!$M$5195+Sens!$M$5196+Sens!$M$5197+Sens!$M$5198-Sens!$M$5204</f>
        <v>0</v>
      </c>
      <c r="N5207" s="39" t="n">
        <f aca="false">Sens!$N$5192+Sens!$N$5193+Sens!$N$5194+Sens!$N$5195+Sens!$N$5196+Sens!$N$5197+Sens!$N$5198-Sens!$N$5204</f>
        <v>0</v>
      </c>
      <c r="O5207" s="39" t="n">
        <f aca="false">Sens!$O$5192+Sens!$O$5193+Sens!$O$5194+Sens!$O$5195+Sens!$O$5196+Sens!$O$5197+Sens!$O$5198-Sens!$O$5204</f>
        <v>0</v>
      </c>
    </row>
    <row r="5208" customFormat="false" ht="17.15" hidden="false" customHeight="false" outlineLevel="0" collapsed="false">
      <c r="A5208" s="24" t="s">
        <v>658</v>
      </c>
      <c r="B5208" s="25" t="s">
        <v>73</v>
      </c>
      <c r="C5208" s="39" t="n">
        <f aca="false">Sens!$C$5199+Sens!$C$5200+Sens!$C$5201-Sens!$C$5204</f>
        <v>0</v>
      </c>
      <c r="D5208" s="39" t="n">
        <f aca="false">Sens!$D$5199+Sens!$D$5200+Sens!$D$5201-Sens!$D$5204</f>
        <v>0</v>
      </c>
      <c r="E5208" s="39" t="n">
        <f aca="false">Sens!$E$5199+Sens!$E$5200+Sens!$E$5201-Sens!$E$5204</f>
        <v>0</v>
      </c>
      <c r="F5208" s="39" t="n">
        <f aca="false">Sens!$F$5199+Sens!$F$5200+Sens!$F$5201-Sens!$F$5204</f>
        <v>0</v>
      </c>
      <c r="G5208" s="39" t="n">
        <f aca="false">Sens!$G$5199+Sens!$G$5200+Sens!$G$5201-Sens!$G$5204</f>
        <v>0</v>
      </c>
      <c r="H5208" s="39" t="n">
        <f aca="false">Sens!$H$5199+Sens!$H$5200+Sens!$H$5201-Sens!$H$5204</f>
        <v>0</v>
      </c>
      <c r="I5208" s="39" t="n">
        <f aca="false">Sens!$I$5199+Sens!$I$5200+Sens!$I$5201-Sens!$I$5204</f>
        <v>0</v>
      </c>
      <c r="J5208" s="39" t="n">
        <f aca="false">Sens!$J$5199+Sens!$J$5200+Sens!$J$5201-Sens!$J$5204</f>
        <v>0</v>
      </c>
      <c r="K5208" s="39" t="n">
        <f aca="false">Sens!$K$5199+Sens!$K$5200+Sens!$K$5201-Sens!$K$5204</f>
        <v>0</v>
      </c>
      <c r="L5208" s="39" t="n">
        <f aca="false">Sens!$L$5199+Sens!$L$5200+Sens!$L$5201-Sens!$L$5204</f>
        <v>0</v>
      </c>
      <c r="M5208" s="39" t="n">
        <f aca="false">Sens!$M$5199+Sens!$M$5200+Sens!$M$5201-Sens!$M$5204</f>
        <v>0</v>
      </c>
      <c r="N5208" s="39" t="n">
        <f aca="false">Sens!$N$5199+Sens!$N$5200+Sens!$N$5201-Sens!$N$5204</f>
        <v>0</v>
      </c>
      <c r="O5208" s="39" t="n">
        <f aca="false">Sens!$O$5199+Sens!$O$5200+Sens!$O$5201-Sens!$O$5204</f>
        <v>0</v>
      </c>
    </row>
    <row r="5209" customFormat="false" ht="17.15" hidden="false" customHeight="false" outlineLevel="0" collapsed="false">
      <c r="A5209" s="1" t="s">
        <v>672</v>
      </c>
    </row>
    <row r="5210" customFormat="false" ht="17.15" hidden="false" customHeight="false" outlineLevel="0" collapsed="false">
      <c r="A5210" s="0" t="s">
        <v>673</v>
      </c>
      <c r="B5210" s="0" t="s">
        <v>73</v>
      </c>
      <c r="C5210" s="38" t="n">
        <f aca="false">Sens!$C$5117*m_ad</f>
        <v>20.5341564414228</v>
      </c>
      <c r="D5210" s="38" t="n">
        <f aca="false">Sens!$D$5117*m_ad</f>
        <v>24.8720617299587</v>
      </c>
      <c r="E5210" s="38" t="n">
        <f aca="false">Sens!$E$5117*m_ad</f>
        <v>13.5017112462207</v>
      </c>
      <c r="F5210" s="38" t="n">
        <f aca="false">Sens!$F$5117*m_ad</f>
        <v>17.2886442824599</v>
      </c>
      <c r="G5210" s="38" t="n">
        <f aca="false">Sens!$G$5117*m_ad</f>
        <v>30.8011958765886</v>
      </c>
      <c r="H5210" s="38" t="n">
        <f aca="false">Sens!$H$5117*m_ad</f>
        <v>36.978409366026</v>
      </c>
      <c r="I5210" s="38" t="n">
        <f aca="false">Sens!$I$5117*m_ad</f>
        <v>43.155063281273</v>
      </c>
      <c r="J5210" s="38" t="n">
        <f aca="false">Sens!$J$5117*m_ad</f>
        <v>48.9169991988532</v>
      </c>
      <c r="K5210" s="38" t="n">
        <f aca="false">Sens!$K$5117*m_ad</f>
        <v>53.8086991187386</v>
      </c>
      <c r="L5210" s="38" t="n">
        <f aca="false">Sens!$L$5117*m_ad</f>
        <v>59.1895690306124</v>
      </c>
      <c r="M5210" s="38" t="n">
        <f aca="false">Sens!$M$5117*m_ad</f>
        <v>65.1085259336737</v>
      </c>
      <c r="N5210" s="38" t="n">
        <f aca="false">Sens!$N$5117*m_ad</f>
        <v>10.8543555706248</v>
      </c>
      <c r="O5210" s="38" t="n">
        <f aca="false">Sens!$O$5117*m_ad</f>
        <v>14.0094731821399</v>
      </c>
    </row>
    <row r="5211" customFormat="false" ht="17.15" hidden="false" customHeight="false" outlineLevel="0" collapsed="false">
      <c r="A5211" s="0" t="s">
        <v>674</v>
      </c>
      <c r="B5211" s="0" t="s">
        <v>73</v>
      </c>
      <c r="C5211" s="38" t="n">
        <f aca="false">Sens!$C$5115-Sens!$C$5117</f>
        <v>346.428687117154</v>
      </c>
      <c r="D5211" s="38" t="n">
        <f aca="false">Sens!$D$5115-Sens!$D$5117</f>
        <v>376.560876540083</v>
      </c>
      <c r="E5211" s="38" t="n">
        <f aca="false">Sens!$E$5115-Sens!$E$5117</f>
        <v>193.316577507559</v>
      </c>
      <c r="F5211" s="38" t="n">
        <f aca="false">Sens!$F$5115-Sens!$F$5117</f>
        <v>221.726726438887</v>
      </c>
      <c r="G5211" s="38" t="n">
        <f aca="false">Sens!$G$5115-Sens!$G$5117</f>
        <v>415.02162325063</v>
      </c>
      <c r="H5211" s="38" t="n">
        <f aca="false">Sens!$H$5115-Sens!$H$5117</f>
        <v>453.777572359491</v>
      </c>
      <c r="I5211" s="38" t="n">
        <f aca="false">Sens!$I$5115-Sens!$I$5117</f>
        <v>490.847566467031</v>
      </c>
      <c r="J5211" s="38" t="n">
        <f aca="false">Sens!$J$5115-Sens!$J$5117</f>
        <v>525.190925266121</v>
      </c>
      <c r="K5211" s="38" t="n">
        <f aca="false">Sens!$K$5115-Sens!$K$5117</f>
        <v>555.765170156304</v>
      </c>
      <c r="L5211" s="38" t="n">
        <f aca="false">Sens!$L$5115-Sens!$L$5117</f>
        <v>588.185734949207</v>
      </c>
      <c r="M5211" s="38" t="n">
        <f aca="false">Sens!$M$5115-Sens!$M$5117</f>
        <v>622.567635538672</v>
      </c>
      <c r="N5211" s="38" t="n">
        <f aca="false">Sens!$N$5115-Sens!$N$5117</f>
        <v>171.24628885875</v>
      </c>
      <c r="O5211" s="38" t="n">
        <f aca="false">Sens!$O$5115-Sens!$O$5117</f>
        <v>205.33105363572</v>
      </c>
    </row>
    <row r="5212" customFormat="false" ht="17.15" hidden="false" customHeight="false" outlineLevel="0" collapsed="false">
      <c r="A5212" s="0" t="s">
        <v>675</v>
      </c>
      <c r="B5212" s="0" t="s">
        <v>73</v>
      </c>
      <c r="C5212" s="38" t="n">
        <f aca="false">Sens!$C$5163*Sens!$C$5114</f>
        <v>0.123617442257179</v>
      </c>
      <c r="D5212" s="38" t="n">
        <f aca="false">Sens!$D$5163*Sens!$D$5114</f>
        <v>0.874366899302609</v>
      </c>
      <c r="E5212" s="38" t="n">
        <f aca="false">Sens!$E$5163*Sens!$E$5114</f>
        <v>1.29318830502574</v>
      </c>
      <c r="F5212" s="38" t="n">
        <f aca="false">Sens!$F$5163*Sens!$F$5114</f>
        <v>1.51802024162534</v>
      </c>
      <c r="G5212" s="38" t="n">
        <f aca="false">Sens!$G$5163*Sens!$G$5114</f>
        <v>2.81130189308167</v>
      </c>
      <c r="H5212" s="38" t="n">
        <f aca="false">Sens!$H$5163*Sens!$H$5114</f>
        <v>7.38966789318209</v>
      </c>
      <c r="I5212" s="38" t="n">
        <f aca="false">Sens!$I$5163*Sens!$I$5114</f>
        <v>12.8987443661473</v>
      </c>
      <c r="J5212" s="38" t="n">
        <f aca="false">Sens!$J$5163*Sens!$J$5114</f>
        <v>18.5570025453645</v>
      </c>
      <c r="K5212" s="38" t="n">
        <f aca="false">Sens!$K$5163*Sens!$K$5114</f>
        <v>24.3158972773405</v>
      </c>
      <c r="L5212" s="38" t="n">
        <f aca="false">Sens!$L$5163*Sens!$L$5114</f>
        <v>29.7827375558674</v>
      </c>
      <c r="M5212" s="38" t="n">
        <f aca="false">Sens!$M$5163*Sens!$M$5114</f>
        <v>35.3532344973194</v>
      </c>
      <c r="N5212" s="38" t="n">
        <f aca="false">Sens!$N$5163*Sens!$N$5114</f>
        <v>0.389180508437431</v>
      </c>
      <c r="O5212" s="38" t="n">
        <f aca="false">Sens!$O$5163*Sens!$O$5114</f>
        <v>0.485052120082802</v>
      </c>
    </row>
    <row r="5213" customFormat="false" ht="17.15" hidden="false" customHeight="false" outlineLevel="0" collapsed="false">
      <c r="A5213" s="0" t="s">
        <v>676</v>
      </c>
      <c r="B5213" s="0" t="s">
        <v>52</v>
      </c>
      <c r="C5213" s="28" t="n">
        <f aca="false">(Sens!$C$5214-Sens!$C$5210+Sens!$C$5212)/Sens!$C$5211</f>
        <v>0.0131526665379575</v>
      </c>
      <c r="D5213" s="28" t="n">
        <f aca="false">(Sens!$D$5214-Sens!$D$5210+Sens!$D$5212)/Sens!$D$5211</f>
        <v>0.0149280116962589</v>
      </c>
      <c r="E5213" s="28" t="n">
        <f aca="false">(Sens!$E$5214-Sens!$E$5210+Sens!$E$5212)/Sens!$E$5211</f>
        <v>0.0268030663774938</v>
      </c>
      <c r="F5213" s="28" t="n">
        <f aca="false">Sens!$O$5213+(Sens!$E$5213-Sens!$N$5213)</f>
        <v>0.0232379346966962</v>
      </c>
      <c r="G5213" s="28" t="n">
        <f aca="false">(Sens!$G$5214-Sens!$G$5210+Sens!$G$5212)/Sens!$G$5211</f>
        <v>0.0248738876928168</v>
      </c>
      <c r="H5213" s="28" t="n">
        <f aca="false">Sens!$G$5213+step_na</f>
        <v>0.0278738876928168</v>
      </c>
      <c r="I5213" s="28" t="n">
        <f aca="false">Sens!$H$5213+step_na</f>
        <v>0.0308738876928168</v>
      </c>
      <c r="J5213" s="28" t="n">
        <f aca="false">Sens!$I$5213+step_na</f>
        <v>0.0338738876928168</v>
      </c>
      <c r="K5213" s="28" t="n">
        <f aca="false">Sens!$J$5213+step_na</f>
        <v>0.0368738876928168</v>
      </c>
      <c r="L5213" s="28" t="n">
        <f aca="false">Sens!$K$5213</f>
        <v>0.0368738876928168</v>
      </c>
      <c r="M5213" s="28" t="n">
        <f aca="false">Sens!$L$5213</f>
        <v>0.0368738876928168</v>
      </c>
      <c r="N5213" s="28" t="n">
        <f aca="false">(Sens!$N$5214-Sens!$N$5210+Sens!$N$5212)/Sens!$N$5211</f>
        <v>0.0168927744775755</v>
      </c>
      <c r="O5213" s="28" t="n">
        <f aca="false">(Sens!$O$5214-Sens!$O$5210+Sens!$O$5212)/Sens!$O$5211</f>
        <v>0.0133276427967779</v>
      </c>
      <c r="P5213" s="8" t="s">
        <v>677</v>
      </c>
    </row>
    <row r="5214" customFormat="false" ht="17.15" hidden="false" customHeight="false" outlineLevel="0" collapsed="false">
      <c r="A5214" s="1" t="s">
        <v>678</v>
      </c>
      <c r="B5214" s="8" t="s">
        <v>73</v>
      </c>
      <c r="C5214" s="38" t="n">
        <f aca="false">Q!$D$22</f>
        <v>24.967</v>
      </c>
      <c r="D5214" s="38" t="n">
        <f aca="false">Q!$E$22</f>
        <v>29.619</v>
      </c>
      <c r="E5214" s="38" t="n">
        <f aca="false">Q!$P$22</f>
        <v>17.39</v>
      </c>
      <c r="F5214" s="38" t="n">
        <f aca="false">Sens!$F$5210+Sens!$F$5211*Sens!$F$5213-Sens!$F$5212</f>
        <v>20.9230952303336</v>
      </c>
      <c r="G5214" s="38" t="n">
        <f aca="false">Sens!$E$5214+Sens!$F$5214</f>
        <v>38.3130952303336</v>
      </c>
      <c r="H5214" s="38" t="n">
        <f aca="false">Sens!$H$5210+Sens!$H$5211*Sens!$H$5213-Sens!$H$5212</f>
        <v>42.2372865623114</v>
      </c>
      <c r="I5214" s="38" t="n">
        <f aca="false">Sens!$I$5210+Sens!$I$5211*Sens!$I$5213-Sens!$I$5212</f>
        <v>45.4106915565213</v>
      </c>
      <c r="J5214" s="38" t="n">
        <f aca="false">Sens!$J$5210+Sens!$J$5211*Sens!$J$5213-Sens!$J$5212</f>
        <v>48.1502550732398</v>
      </c>
      <c r="K5214" s="38" t="n">
        <f aca="false">Sens!$K$5210+Sens!$K$5211*Sens!$K$5213-Sens!$K$5212</f>
        <v>49.9860243093208</v>
      </c>
      <c r="L5214" s="38" t="n">
        <f aca="false">Sens!$L$5210+Sens!$L$5211*Sens!$L$5213-Sens!$L$5212</f>
        <v>51.095526207779</v>
      </c>
      <c r="M5214" s="38" t="n">
        <f aca="false">Sens!$M$5210+Sens!$M$5211*Sens!$M$5213-Sens!$M$5212</f>
        <v>52.7117805103898</v>
      </c>
      <c r="N5214" s="38" t="n">
        <f aca="false">Q!$N$22</f>
        <v>13.358</v>
      </c>
      <c r="O5214" s="38" t="n">
        <f aca="false">Q!$O$22</f>
        <v>16.261</v>
      </c>
    </row>
    <row r="5215" customFormat="false" ht="17.15" hidden="false" customHeight="false" outlineLevel="0" collapsed="false">
      <c r="A5215" s="0" t="s">
        <v>679</v>
      </c>
      <c r="B5215" s="0" t="s">
        <v>73</v>
      </c>
      <c r="C5215" s="38" t="n">
        <f aca="false">Sens!$C$5118*m_ad</f>
        <v>7.57284355857716</v>
      </c>
      <c r="D5215" s="38" t="n">
        <f aca="false">Sens!$D$5118*m_ad</f>
        <v>9.44543827004127</v>
      </c>
      <c r="E5215" s="38" t="n">
        <f aca="false">Sens!$E$5118*m_ad</f>
        <v>5.02428875377928</v>
      </c>
      <c r="F5215" s="38" t="n">
        <f aca="false">Sens!$F$5118*m_ad</f>
        <v>6.78802480890925</v>
      </c>
      <c r="G5215" s="38" t="n">
        <f aca="false">Sens!$G$5118*m_ad</f>
        <v>11.8014732147805</v>
      </c>
      <c r="H5215" s="38" t="n">
        <f aca="false">Sens!$H$5118*m_ad</f>
        <v>14.1682715634442</v>
      </c>
      <c r="I5215" s="38" t="n">
        <f aca="false">Sens!$I$5118*m_ad</f>
        <v>16.5348555113474</v>
      </c>
      <c r="J5215" s="38" t="n">
        <f aca="false">Sens!$J$5118*m_ad</f>
        <v>18.7425403255689</v>
      </c>
      <c r="K5215" s="38" t="n">
        <f aca="false">Sens!$K$5118*m_ad</f>
        <v>20.6167943581258</v>
      </c>
      <c r="L5215" s="38" t="n">
        <f aca="false">Sens!$L$5118*m_ad</f>
        <v>22.6784737939383</v>
      </c>
      <c r="M5215" s="38" t="n">
        <f aca="false">Sens!$M$5118*m_ad</f>
        <v>24.9463211733322</v>
      </c>
      <c r="N5215" s="38" t="n">
        <f aca="false">Sens!$N$5118*m_ad</f>
        <v>3.95314442937518</v>
      </c>
      <c r="O5215" s="38" t="n">
        <f aca="false">Sens!$O$5118*m_ad</f>
        <v>5.50052681786011</v>
      </c>
    </row>
    <row r="5216" customFormat="false" ht="17.15" hidden="false" customHeight="false" outlineLevel="0" collapsed="false">
      <c r="A5216" s="0" t="s">
        <v>680</v>
      </c>
      <c r="B5216" s="0" t="s">
        <v>73</v>
      </c>
      <c r="C5216" s="38" t="n">
        <f aca="false">Sens!$C$5116-Sens!$C$5118</f>
        <v>127.760312882846</v>
      </c>
      <c r="D5216" s="38" t="n">
        <f aca="false">Sens!$D$5116-Sens!$D$5118</f>
        <v>143.003123459917</v>
      </c>
      <c r="E5216" s="38" t="n">
        <f aca="false">Sens!$E$5116-Sens!$E$5118</f>
        <v>71.9374224924414</v>
      </c>
      <c r="F5216" s="38" t="n">
        <f aca="false">Sens!$F$5116-Sens!$F$5118</f>
        <v>87.0563645868046</v>
      </c>
      <c r="G5216" s="38" t="n">
        <f aca="false">Sens!$G$5116-Sens!$G$5118</f>
        <v>159.015467775062</v>
      </c>
      <c r="H5216" s="38" t="n">
        <f aca="false">Sens!$H$5116-Sens!$H$5118</f>
        <v>173.864803403269</v>
      </c>
      <c r="I5216" s="38" t="n">
        <f aca="false">Sens!$I$5116-Sens!$I$5118</f>
        <v>188.068165645601</v>
      </c>
      <c r="J5216" s="38" t="n">
        <f aca="false">Sens!$J$5116-Sens!$J$5118</f>
        <v>201.22681801082</v>
      </c>
      <c r="K5216" s="38" t="n">
        <f aca="false">Sens!$K$5116-Sens!$K$5118</f>
        <v>212.941334991893</v>
      </c>
      <c r="L5216" s="38" t="n">
        <f aca="false">Sens!$L$5116-Sens!$L$5118</f>
        <v>225.363269144856</v>
      </c>
      <c r="M5216" s="38" t="n">
        <f aca="false">Sens!$M$5116-Sens!$M$5118</f>
        <v>238.536688790819</v>
      </c>
      <c r="N5216" s="38" t="n">
        <f aca="false">Sens!$N$5116-Sens!$N$5118</f>
        <v>62.3677111412496</v>
      </c>
      <c r="O5216" s="38" t="n">
        <f aca="false">Sens!$O$5116-Sens!$O$5118</f>
        <v>80.6189463642798</v>
      </c>
    </row>
    <row r="5217" customFormat="false" ht="17.15" hidden="false" customHeight="false" outlineLevel="0" collapsed="false">
      <c r="A5217" s="0" t="s">
        <v>681</v>
      </c>
      <c r="B5217" s="0" t="s">
        <v>73</v>
      </c>
      <c r="C5217" s="38" t="n">
        <f aca="false">Sens!$C$5163*(1-Sens!$C$5114)</f>
        <v>0.0455891896019953</v>
      </c>
      <c r="D5217" s="38" t="n">
        <f aca="false">Sens!$D$5163*(1-Sens!$D$5114)</f>
        <v>0.332050421167231</v>
      </c>
      <c r="E5217" s="38" t="n">
        <f aca="false">Sens!$E$5163*(1-Sens!$E$5114)</f>
        <v>0.481224293644882</v>
      </c>
      <c r="F5217" s="38" t="n">
        <f aca="false">Sens!$F$5163*(1-Sens!$F$5114)</f>
        <v>0.596018918096053</v>
      </c>
      <c r="G5217" s="38" t="n">
        <f aca="false">Sens!$G$5163*(1-Sens!$G$5114)</f>
        <v>1.07714986531035</v>
      </c>
      <c r="H5217" s="38" t="n">
        <f aca="false">Sens!$H$5163*(1-Sens!$H$5114)</f>
        <v>2.83135005721638</v>
      </c>
      <c r="I5217" s="38" t="n">
        <f aca="false">Sens!$I$5163*(1-Sens!$I$5114)</f>
        <v>4.9421518161602</v>
      </c>
      <c r="J5217" s="38" t="n">
        <f aca="false">Sens!$J$5163*(1-Sens!$J$5114)</f>
        <v>7.11011252170866</v>
      </c>
      <c r="K5217" s="38" t="n">
        <f aca="false">Sens!$K$5163*(1-Sens!$K$5114)</f>
        <v>9.31663210615807</v>
      </c>
      <c r="L5217" s="38" t="n">
        <f aca="false">Sens!$L$5163*(1-Sens!$L$5114)</f>
        <v>11.411251074039</v>
      </c>
      <c r="M5217" s="38" t="n">
        <f aca="false">Sens!$M$5163*(1-Sens!$M$5114)</f>
        <v>13.5455860755423</v>
      </c>
      <c r="N5217" s="38" t="n">
        <f aca="false">Sens!$N$5163*(1-Sens!$N$5114)</f>
        <v>0.141739115596548</v>
      </c>
      <c r="O5217" s="38" t="n">
        <f aca="false">Sens!$O$5163*(1-Sens!$O$5114)</f>
        <v>0.190445576353059</v>
      </c>
    </row>
    <row r="5218" customFormat="false" ht="17.15" hidden="false" customHeight="false" outlineLevel="0" collapsed="false">
      <c r="A5218" s="0" t="s">
        <v>682</v>
      </c>
      <c r="B5218" s="0" t="s">
        <v>52</v>
      </c>
      <c r="C5218" s="28" t="n">
        <f aca="false">(Sens!$C$5219-Sens!$C$5215+Sens!$C$5217)/Sens!$C$5216</f>
        <v>-0.0292364215826579</v>
      </c>
      <c r="D5218" s="28" t="n">
        <f aca="false">(Sens!$D$5219-Sens!$D$5215+Sens!$D$5217)/Sens!$D$5216</f>
        <v>-0.0305125352740778</v>
      </c>
      <c r="E5218" s="28" t="n">
        <f aca="false">(Sens!$E$5219-Sens!$E$5215+Sens!$E$5217)/Sens!$E$5216</f>
        <v>-0.019490056934994</v>
      </c>
      <c r="F5218" s="28" t="n">
        <f aca="false">Sens!$O$5218+(Sens!$E$5218-Sens!$N$5218)</f>
        <v>-0.0367332293992226</v>
      </c>
      <c r="G5218" s="28" t="n">
        <f aca="false">(Sens!$G$5219-Sens!$G$5215+Sens!$G$5217)/Sens!$G$5216</f>
        <v>-0.0288599526442178</v>
      </c>
      <c r="H5218" s="28" t="n">
        <f aca="false">Sens!$G$5218+step_in</f>
        <v>-0.0288599526442178</v>
      </c>
      <c r="I5218" s="28" t="n">
        <f aca="false">Sens!$H$5218+step_in</f>
        <v>-0.0288599526442178</v>
      </c>
      <c r="J5218" s="28" t="n">
        <f aca="false">Sens!$I$5218+step_in</f>
        <v>-0.0288599526442178</v>
      </c>
      <c r="K5218" s="28" t="n">
        <f aca="false">Sens!$J$5218+step_in</f>
        <v>-0.0288599526442178</v>
      </c>
      <c r="L5218" s="28" t="n">
        <f aca="false">Sens!$K$5218</f>
        <v>-0.0288599526442178</v>
      </c>
      <c r="M5218" s="28" t="n">
        <f aca="false">Sens!$L$5218</f>
        <v>-0.0288599526442178</v>
      </c>
      <c r="N5218" s="28" t="n">
        <f aca="false">(Sens!$N$5219-Sens!$N$5215+Sens!$N$5217)/Sens!$N$5216</f>
        <v>-0.02085061789158</v>
      </c>
      <c r="O5218" s="28" t="n">
        <f aca="false">(Sens!$O$5219-Sens!$O$5215+Sens!$O$5217)/Sens!$O$5216</f>
        <v>-0.0380937903558086</v>
      </c>
      <c r="P5218" s="8" t="s">
        <v>677</v>
      </c>
    </row>
    <row r="5219" customFormat="false" ht="17.15" hidden="false" customHeight="false" outlineLevel="0" collapsed="false">
      <c r="A5219" s="1" t="s">
        <v>683</v>
      </c>
      <c r="B5219" s="8" t="s">
        <v>73</v>
      </c>
      <c r="C5219" s="38" t="n">
        <f aca="false">Q!$D$23</f>
        <v>3.792</v>
      </c>
      <c r="D5219" s="38" t="n">
        <f aca="false">Q!$E$23</f>
        <v>4.75</v>
      </c>
      <c r="E5219" s="38" t="n">
        <f aca="false">Q!$P$23</f>
        <v>3.141</v>
      </c>
      <c r="F5219" s="38" t="n">
        <f aca="false">Sens!$F$5215+Sens!$F$5216*Sens!$F$5218-Sens!$F$5217</f>
        <v>2.99414447978375</v>
      </c>
      <c r="G5219" s="38" t="n">
        <f aca="false">Sens!$E$5219+Sens!$F$5219</f>
        <v>6.13514447978375</v>
      </c>
      <c r="H5219" s="38" t="n">
        <f aca="false">Sens!$H$5215+Sens!$H$5216*Sens!$H$5218-Sens!$H$5217</f>
        <v>6.31919151351322</v>
      </c>
      <c r="I5219" s="38" t="n">
        <f aca="false">Sens!$I$5215+Sens!$I$5216*Sens!$I$5218-Sens!$I$5217</f>
        <v>6.16506534077027</v>
      </c>
      <c r="J5219" s="38" t="n">
        <f aca="false">Sens!$J$5215+Sens!$J$5216*Sens!$J$5218-Sens!$J$5217</f>
        <v>5.8250313653213</v>
      </c>
      <c r="K5219" s="38" t="n">
        <f aca="false">Sens!$K$5215+Sens!$K$5216*Sens!$K$5218-Sens!$K$5217</f>
        <v>5.15468540810514</v>
      </c>
      <c r="L5219" s="38" t="n">
        <f aca="false">Sens!$L$5215+Sens!$L$5216*Sens!$L$5218-Sens!$L$5217</f>
        <v>4.76324944463266</v>
      </c>
      <c r="M5219" s="38" t="n">
        <f aca="false">Sens!$M$5215+Sens!$M$5216*Sens!$M$5218-Sens!$M$5217</f>
        <v>4.51657755537829</v>
      </c>
      <c r="N5219" s="38" t="n">
        <f aca="false">Q!$N$23</f>
        <v>2.511</v>
      </c>
      <c r="O5219" s="38" t="n">
        <f aca="false">Q!$O$23</f>
        <v>2.239</v>
      </c>
    </row>
    <row r="5220" customFormat="false" ht="17.15" hidden="false" customHeight="false" outlineLevel="0" collapsed="false">
      <c r="A5220" s="0" t="s">
        <v>684</v>
      </c>
      <c r="B5220" s="0" t="s">
        <v>73</v>
      </c>
      <c r="C5220" s="38" t="n">
        <f aca="false">Sens!$C$5160</f>
        <v>1.64417882953695</v>
      </c>
      <c r="D5220" s="38" t="n">
        <f aca="false">Sens!$D$5160</f>
        <v>3.8781008067718</v>
      </c>
      <c r="E5220" s="38" t="n">
        <f aca="false">Sens!$E$5160</f>
        <v>1.41270258088753</v>
      </c>
      <c r="F5220" s="38" t="n">
        <f aca="false">Sens!$F$5160</f>
        <v>6.50727700583486</v>
      </c>
      <c r="G5220" s="38" t="n">
        <f aca="false">Sens!$G$5160</f>
        <v>7.9199795867224</v>
      </c>
      <c r="H5220" s="38" t="n">
        <f aca="false">Sens!$H$5160</f>
        <v>19.2818189481807</v>
      </c>
      <c r="I5220" s="38" t="n">
        <f aca="false">Sens!$I$5160</f>
        <v>30.140114407202</v>
      </c>
      <c r="J5220" s="38" t="n">
        <f aca="false">Sens!$J$5160</f>
        <v>40.3569468829854</v>
      </c>
      <c r="K5220" s="38" t="n">
        <f aca="false">Sens!$K$5160</f>
        <v>50.0782975081929</v>
      </c>
      <c r="L5220" s="38" t="n">
        <f aca="false">Sens!$L$5160</f>
        <v>61.443331993499</v>
      </c>
      <c r="M5220" s="38" t="n">
        <f aca="false">Sens!$M$5160</f>
        <v>72.2498791587849</v>
      </c>
      <c r="N5220" s="38" t="n">
        <f aca="false">Sens!$N$5160</f>
        <v>0.92264103489199</v>
      </c>
      <c r="O5220" s="38" t="n">
        <f aca="false">Sens!$O$5160</f>
        <v>2.95545977187981</v>
      </c>
    </row>
    <row r="5221" customFormat="false" ht="17.15" hidden="false" customHeight="false" outlineLevel="0" collapsed="false">
      <c r="A5221" s="0" t="s">
        <v>604</v>
      </c>
      <c r="B5221" s="0" t="s">
        <v>73</v>
      </c>
      <c r="C5221" s="38" t="n">
        <f aca="false">Sens!$C$5165</f>
        <v>38.1898211704631</v>
      </c>
      <c r="D5221" s="38" t="n">
        <f aca="false">Sens!$D$5165</f>
        <v>41.7278991932282</v>
      </c>
      <c r="E5221" s="38" t="n">
        <f aca="false">Sens!$E$5165</f>
        <v>29.3692974191125</v>
      </c>
      <c r="F5221" s="38" t="n">
        <f aca="false">Sens!$F$5165</f>
        <v>29.458060516894</v>
      </c>
      <c r="G5221" s="38" t="n">
        <f aca="false">Sens!$G$5165</f>
        <v>58.8273579360065</v>
      </c>
      <c r="H5221" s="38" t="n">
        <f aca="false">Sens!$H$5165</f>
        <v>67.8004040185081</v>
      </c>
      <c r="I5221" s="38" t="n">
        <f aca="false">Sens!$I$5165</f>
        <v>78.9527630302702</v>
      </c>
      <c r="J5221" s="38" t="n">
        <f aca="false">Sens!$J$5165</f>
        <v>88.6042681781841</v>
      </c>
      <c r="K5221" s="38" t="n">
        <f aca="false">Sens!$K$5165</f>
        <v>95.6926096324389</v>
      </c>
      <c r="L5221" s="38" t="n">
        <f aca="false">Sens!$L$5165</f>
        <v>103.348018403034</v>
      </c>
      <c r="M5221" s="38" t="n">
        <f aca="false">Sens!$M$5165</f>
        <v>111.615859875277</v>
      </c>
      <c r="N5221" s="38" t="n">
        <f aca="false">Sens!$N$5165</f>
        <v>20.784358965108</v>
      </c>
      <c r="O5221" s="38" t="n">
        <f aca="false">Sens!$O$5165</f>
        <v>20.9435402281202</v>
      </c>
    </row>
    <row r="5222" customFormat="false" ht="17.15" hidden="false" customHeight="false" outlineLevel="0" collapsed="false">
      <c r="A5222" s="1" t="s">
        <v>685</v>
      </c>
      <c r="B5222" s="8" t="s">
        <v>73</v>
      </c>
      <c r="C5222" s="38" t="n">
        <f aca="false">Q!$D$24</f>
        <v>39.834</v>
      </c>
      <c r="D5222" s="38" t="n">
        <f aca="false">Q!$E$24</f>
        <v>45.606</v>
      </c>
      <c r="E5222" s="38" t="n">
        <f aca="false">Q!$P$24</f>
        <v>30.782</v>
      </c>
      <c r="F5222" s="38" t="n">
        <f aca="false">Sens!$F$5220+Sens!$F$5221</f>
        <v>35.9653375227289</v>
      </c>
      <c r="G5222" s="38" t="n">
        <f aca="false">Sens!$G$5220+Sens!$G$5221</f>
        <v>66.7473375227289</v>
      </c>
      <c r="H5222" s="38" t="n">
        <f aca="false">Sens!$H$5220+Sens!$H$5221</f>
        <v>87.0822229666888</v>
      </c>
      <c r="I5222" s="38" t="n">
        <f aca="false">Sens!$I$5220+Sens!$I$5221</f>
        <v>109.092877437472</v>
      </c>
      <c r="J5222" s="38" t="n">
        <f aca="false">Sens!$J$5220+Sens!$J$5221</f>
        <v>128.96121506117</v>
      </c>
      <c r="K5222" s="38" t="n">
        <f aca="false">Sens!$K$5220+Sens!$K$5221</f>
        <v>145.770907140632</v>
      </c>
      <c r="L5222" s="38" t="n">
        <f aca="false">Sens!$L$5220+Sens!$L$5221</f>
        <v>164.791350396533</v>
      </c>
      <c r="M5222" s="38" t="n">
        <f aca="false">Sens!$M$5220+Sens!$M$5221</f>
        <v>183.865739034062</v>
      </c>
      <c r="N5222" s="38" t="n">
        <f aca="false">Q!$N$24</f>
        <v>21.707</v>
      </c>
      <c r="O5222" s="38" t="n">
        <f aca="false">Q!$O$24</f>
        <v>23.899</v>
      </c>
    </row>
    <row r="5223" customFormat="false" ht="17.15" hidden="false" customHeight="false" outlineLevel="0" collapsed="false">
      <c r="A5223" s="5" t="s">
        <v>686</v>
      </c>
      <c r="B5223" s="0" t="s">
        <v>73</v>
      </c>
      <c r="C5223" s="38" t="n">
        <f aca="false">Q!$D$26</f>
        <v>0</v>
      </c>
      <c r="D5223" s="38" t="n">
        <f aca="false">Q!$E$26</f>
        <v>0</v>
      </c>
      <c r="E5223" s="38" t="n">
        <f aca="false">Q!$P$26</f>
        <v>0</v>
      </c>
      <c r="F5223" s="41" t="n">
        <v>0</v>
      </c>
      <c r="G5223" s="38" t="n">
        <f aca="false">Sens!$E$5223+Sens!$F$5223</f>
        <v>0</v>
      </c>
      <c r="H5223" s="41" t="n">
        <v>0</v>
      </c>
      <c r="I5223" s="41" t="n">
        <v>0</v>
      </c>
      <c r="J5223" s="41" t="n">
        <v>0</v>
      </c>
      <c r="K5223" s="41" t="n">
        <v>0</v>
      </c>
      <c r="L5223" s="41" t="n">
        <v>0</v>
      </c>
      <c r="M5223" s="41" t="n">
        <v>0</v>
      </c>
      <c r="N5223" s="38" t="n">
        <f aca="false">Q!$N$26</f>
        <v>0</v>
      </c>
      <c r="O5223" s="38" t="n">
        <f aca="false">Q!$O$26</f>
        <v>0</v>
      </c>
    </row>
    <row r="5224" customFormat="false" ht="15" hidden="false" customHeight="false" outlineLevel="0" collapsed="false">
      <c r="A5224" s="3" t="s">
        <v>494</v>
      </c>
      <c r="B5224" s="8" t="s">
        <v>73</v>
      </c>
      <c r="C5224" s="38" t="n">
        <f aca="false">Q!$D$25</f>
        <v>68.593</v>
      </c>
      <c r="D5224" s="38" t="n">
        <f aca="false">Q!$E$25</f>
        <v>79.975</v>
      </c>
      <c r="E5224" s="38" t="n">
        <f aca="false">Q!$P$25</f>
        <v>51.313</v>
      </c>
      <c r="F5224" s="38" t="n">
        <f aca="false">Sens!$F$5214+Sens!$F$5219+Sens!$F$5222+Sens!$F$5223</f>
        <v>59.8825772328462</v>
      </c>
      <c r="G5224" s="38" t="n">
        <f aca="false">Sens!$G$5214+Sens!$G$5219+Sens!$G$5222+Sens!$G$5223</f>
        <v>111.195577232846</v>
      </c>
      <c r="H5224" s="38" t="n">
        <f aca="false">Sens!$H$5214+Sens!$H$5219+Sens!$H$5222+Sens!$H$5223</f>
        <v>135.638701042513</v>
      </c>
      <c r="I5224" s="38" t="n">
        <f aca="false">Sens!$I$5214+Sens!$I$5219+Sens!$I$5222+Sens!$I$5223</f>
        <v>160.668634334764</v>
      </c>
      <c r="J5224" s="38" t="n">
        <f aca="false">Sens!$J$5214+Sens!$J$5219+Sens!$J$5222+Sens!$J$5223</f>
        <v>182.936501499731</v>
      </c>
      <c r="K5224" s="38" t="n">
        <f aca="false">Sens!$K$5214+Sens!$K$5219+Sens!$K$5222+Sens!$K$5223</f>
        <v>200.911616858058</v>
      </c>
      <c r="L5224" s="38" t="n">
        <f aca="false">Sens!$L$5214+Sens!$L$5219+Sens!$L$5222+Sens!$L$5223</f>
        <v>220.650126048945</v>
      </c>
      <c r="M5224" s="38" t="n">
        <f aca="false">Sens!$M$5214+Sens!$M$5219+Sens!$M$5222+Sens!$M$5223</f>
        <v>241.09409709983</v>
      </c>
      <c r="N5224" s="38" t="n">
        <f aca="false">Q!$N$25</f>
        <v>37.576</v>
      </c>
      <c r="O5224" s="38" t="n">
        <f aca="false">Q!$O$25</f>
        <v>42.399</v>
      </c>
    </row>
    <row r="5225" customFormat="false" ht="17.15" hidden="false" customHeight="false" outlineLevel="0" collapsed="false">
      <c r="A5225" s="24" t="s">
        <v>712</v>
      </c>
      <c r="B5225" s="25" t="s">
        <v>73</v>
      </c>
      <c r="C5225" s="39" t="n">
        <f aca="false">Sens!$C$5214+Sens!$C$5219+Sens!$C$5222+Sens!$C$5223-Sens!$C$5224</f>
        <v>0</v>
      </c>
      <c r="D5225" s="39" t="n">
        <f aca="false">Sens!$D$5214+Sens!$D$5219+Sens!$D$5222+Sens!$D$5223-Sens!$D$5224</f>
        <v>0</v>
      </c>
      <c r="E5225" s="39" t="n">
        <f aca="false">Sens!$E$5214+Sens!$E$5219+Sens!$E$5222+Sens!$E$5223-Sens!$E$5224</f>
        <v>0</v>
      </c>
      <c r="F5225" s="39" t="n">
        <f aca="false">Sens!$F$5214+Sens!$F$5219+Sens!$F$5222+Sens!$F$5223-Sens!$F$5224</f>
        <v>0</v>
      </c>
      <c r="G5225" s="39" t="n">
        <f aca="false">Sens!$G$5214+Sens!$G$5219+Sens!$G$5222+Sens!$G$5223-Sens!$G$5224</f>
        <v>0</v>
      </c>
      <c r="H5225" s="39" t="n">
        <f aca="false">Sens!$H$5214+Sens!$H$5219+Sens!$H$5222+Sens!$H$5223-Sens!$H$5224</f>
        <v>0</v>
      </c>
      <c r="I5225" s="39" t="n">
        <f aca="false">Sens!$I$5214+Sens!$I$5219+Sens!$I$5222+Sens!$I$5223-Sens!$I$5224</f>
        <v>0</v>
      </c>
      <c r="J5225" s="39" t="n">
        <f aca="false">Sens!$J$5214+Sens!$J$5219+Sens!$J$5222+Sens!$J$5223-Sens!$J$5224</f>
        <v>0</v>
      </c>
      <c r="K5225" s="39" t="n">
        <f aca="false">Sens!$K$5214+Sens!$K$5219+Sens!$K$5222+Sens!$K$5223-Sens!$K$5224</f>
        <v>0</v>
      </c>
      <c r="L5225" s="39" t="n">
        <f aca="false">Sens!$L$5214+Sens!$L$5219+Sens!$L$5222+Sens!$L$5223-Sens!$L$5224</f>
        <v>0</v>
      </c>
      <c r="M5225" s="39" t="n">
        <f aca="false">Sens!$M$5214+Sens!$M$5219+Sens!$M$5222+Sens!$M$5223-Sens!$M$5224</f>
        <v>0</v>
      </c>
      <c r="N5225" s="39" t="n">
        <f aca="false">Sens!$N$5214+Sens!$N$5219+Sens!$N$5222+Sens!$N$5223-Sens!$N$5224</f>
        <v>0</v>
      </c>
      <c r="O5225" s="39" t="n">
        <f aca="false">Sens!$O$5214+Sens!$O$5219+Sens!$O$5222+Sens!$O$5223-Sens!$O$5224</f>
        <v>0</v>
      </c>
    </row>
    <row r="5226" customFormat="false" ht="17.15" hidden="false" customHeight="false" outlineLevel="0" collapsed="false">
      <c r="A5226" s="0" t="s">
        <v>688</v>
      </c>
      <c r="B5226" s="0" t="s">
        <v>52</v>
      </c>
      <c r="C5226" s="12" t="n">
        <f aca="false">Sens!$C$5214/Sens!$C$5199</f>
        <v>0.0644314665661928</v>
      </c>
      <c r="D5226" s="12" t="n">
        <f aca="false">Sens!$D$5214/Sens!$D$5199</f>
        <v>0.0694784250712518</v>
      </c>
      <c r="E5226" s="12" t="n">
        <f aca="false">Sens!$E$5214/Sens!$E$5199</f>
        <v>0.0789306463326071</v>
      </c>
      <c r="F5226" s="12" t="n">
        <f aca="false">Sens!$F$5214/Sens!$F$5199</f>
        <v>0.0816338957078875</v>
      </c>
      <c r="G5226" s="12" t="n">
        <f aca="false">Sens!$G$5214/Sens!$G$5199</f>
        <v>0.080384315570057</v>
      </c>
      <c r="H5226" s="12" t="n">
        <f aca="false">Sens!$H$5214/Sens!$H$5199</f>
        <v>0.080035122355679</v>
      </c>
      <c r="I5226" s="12" t="n">
        <f aca="false">Sens!$I$5214/Sens!$I$5199</f>
        <v>0.0786798687862144</v>
      </c>
      <c r="J5226" s="12" t="n">
        <f aca="false">Sens!$J$5214/Sens!$J$5199</f>
        <v>0.0772846370095153</v>
      </c>
      <c r="K5226" s="12" t="n">
        <f aca="false">Sens!$K$5214/Sens!$K$5199</f>
        <v>0.0753502227686655</v>
      </c>
      <c r="L5226" s="12" t="n">
        <f aca="false">Sens!$L$5214/Sens!$L$5199</f>
        <v>0.0723154067793922</v>
      </c>
      <c r="M5226" s="12" t="n">
        <f aca="false">Sens!$M$5214/Sens!$M$5199</f>
        <v>0.070022386735876</v>
      </c>
      <c r="N5226" s="12" t="n">
        <f aca="false">Sens!$N$5214/Sens!$N$5199</f>
        <v>0.069228576611127</v>
      </c>
      <c r="O5226" s="12" t="n">
        <f aca="false">Sens!$O$5214/Sens!$O$5199</f>
        <v>0.069685022498393</v>
      </c>
    </row>
    <row r="5227" customFormat="false" ht="17.15" hidden="false" customHeight="false" outlineLevel="0" collapsed="false">
      <c r="A5227" s="0" t="s">
        <v>689</v>
      </c>
      <c r="B5227" s="0" t="s">
        <v>52</v>
      </c>
      <c r="C5227" s="12" t="n">
        <f aca="false">Sens!$C$5219/Sens!$C$5200</f>
        <v>0.026534925055631</v>
      </c>
      <c r="D5227" s="12" t="n">
        <f aca="false">Sens!$D$5219/Sens!$D$5200</f>
        <v>0.0293401855535103</v>
      </c>
      <c r="E5227" s="12" t="n">
        <f aca="false">Sens!$E$5219/Sens!$E$5200</f>
        <v>0.03831141902276</v>
      </c>
      <c r="F5227" s="12" t="n">
        <f aca="false">Sens!$F$5219/Sens!$F$5200</f>
        <v>0.0297532808235678</v>
      </c>
      <c r="G5227" s="12" t="n">
        <f aca="false">Sens!$G$5219/Sens!$G$5200</f>
        <v>0.0335954317997163</v>
      </c>
      <c r="H5227" s="12" t="n">
        <f aca="false">Sens!$H$5219/Sens!$H$5200</f>
        <v>0.0312519754292078</v>
      </c>
      <c r="I5227" s="12" t="n">
        <f aca="false">Sens!$I$5219/Sens!$I$5200</f>
        <v>0.0278788303191397</v>
      </c>
      <c r="J5227" s="12" t="n">
        <f aca="false">Sens!$J$5219/Sens!$J$5200</f>
        <v>0.0244019313573061</v>
      </c>
      <c r="K5227" s="12" t="n">
        <f aca="false">Sens!$K$5219/Sens!$K$5200</f>
        <v>0.020280070641524</v>
      </c>
      <c r="L5227" s="12" t="n">
        <f aca="false">Sens!$L$5219/Sens!$L$5200</f>
        <v>0.0175947312030086</v>
      </c>
      <c r="M5227" s="12" t="n">
        <f aca="false">Sens!$M$5219/Sens!$M$5200</f>
        <v>0.0156592172424565</v>
      </c>
      <c r="N5227" s="12" t="n">
        <f aca="false">Sens!$N$5219/Sens!$N$5200</f>
        <v>0.0357315650169337</v>
      </c>
      <c r="O5227" s="12" t="n">
        <f aca="false">Sens!$O$5219/Sens!$O$5200</f>
        <v>0.0244378956559703</v>
      </c>
    </row>
    <row r="5228" customFormat="false" ht="17.15" hidden="false" customHeight="false" outlineLevel="0" collapsed="false">
      <c r="A5228" s="13" t="s">
        <v>690</v>
      </c>
      <c r="B5228" s="13" t="s">
        <v>52</v>
      </c>
      <c r="C5228" s="16" t="n">
        <f aca="false">Sens!$C$5222/Sens!$C$5201</f>
        <v>0.370355907620217</v>
      </c>
      <c r="D5228" s="16" t="n">
        <f aca="false">Sens!$D$5222/Sens!$D$5201</f>
        <v>0.35429015342785</v>
      </c>
      <c r="E5228" s="16" t="n">
        <f aca="false">Sens!$E$5222/Sens!$E$5201</f>
        <v>0.385647527531039</v>
      </c>
      <c r="F5228" s="16" t="n">
        <f aca="false">Sens!$F$5222/Sens!$F$5201</f>
        <v>0.384415729470259</v>
      </c>
      <c r="G5228" s="16" t="n">
        <f aca="false">Sens!$G$5222/Sens!$G$5201</f>
        <v>0.38498282105443</v>
      </c>
      <c r="H5228" s="16" t="n">
        <f aca="false">Sens!$H$5222/Sens!$H$5201</f>
        <v>0.361247909668527</v>
      </c>
      <c r="I5228" s="16" t="n">
        <f aca="false">Sens!$I$5222/Sens!$I$5201</f>
        <v>0.349486287974975</v>
      </c>
      <c r="J5228" s="16" t="n">
        <f aca="false">Sens!$J$5222/Sens!$J$5201</f>
        <v>0.339886531832068</v>
      </c>
      <c r="K5228" s="16" t="n">
        <f aca="false">Sens!$K$5222/Sens!$K$5201</f>
        <v>0.33135833762061</v>
      </c>
      <c r="L5228" s="16" t="n">
        <f aca="false">Sens!$L$5222/Sens!$L$5201</f>
        <v>0.328299068185284</v>
      </c>
      <c r="M5228" s="16" t="n">
        <f aca="false">Sens!$M$5222/Sens!$M$5201</f>
        <v>0.325058049465166</v>
      </c>
      <c r="N5228" s="16" t="n">
        <f aca="false">Sens!$N$5222/Sens!$N$5201</f>
        <v>0.360941137346192</v>
      </c>
      <c r="O5228" s="16" t="n">
        <f aca="false">Sens!$O$5222/Sens!$O$5201</f>
        <v>0.348458117664212</v>
      </c>
    </row>
    <row r="5229" customFormat="false" ht="17.15" hidden="false" customHeight="false" outlineLevel="0" collapsed="false">
      <c r="A5229" s="0" t="s">
        <v>691</v>
      </c>
      <c r="B5229" s="0" t="s">
        <v>52</v>
      </c>
      <c r="C5229" s="12" t="n">
        <f aca="false">Sens!$C$5220/Sens!$C$5202</f>
        <v>0.708390794789371</v>
      </c>
      <c r="D5229" s="12" t="n">
        <f aca="false">Sens!$D$5220/Sens!$D$5202</f>
        <v>0.445565630441968</v>
      </c>
      <c r="E5229" s="12" t="n">
        <f aca="false">Sens!$E$5220/Sens!$E$5202</f>
        <v>0.165998118402711</v>
      </c>
      <c r="F5229" s="12" t="n">
        <f aca="false">Sens!$F$5220/Sens!$F$5202</f>
        <v>0.434878595403858</v>
      </c>
      <c r="G5229" s="12" t="n">
        <f aca="false">Sens!$G$5220/Sens!$G$5202</f>
        <v>0.3373967615381</v>
      </c>
      <c r="H5229" s="12" t="n">
        <f aca="false">Sens!$H$5220/Sens!$H$5202</f>
        <v>0.320477578041224</v>
      </c>
      <c r="I5229" s="12" t="n">
        <f aca="false">Sens!$I$5220/Sens!$I$5202</f>
        <v>0.296936118226494</v>
      </c>
      <c r="J5229" s="12" t="n">
        <f aca="false">Sens!$J$5220/Sens!$J$5202</f>
        <v>0.282166278613001</v>
      </c>
      <c r="K5229" s="12" t="n">
        <f aca="false">Sens!$K$5220/Sens!$K$5202</f>
        <v>0.271267685694333</v>
      </c>
      <c r="L5229" s="12" t="n">
        <f aca="false">Sens!$L$5220/Sens!$L$5202</f>
        <v>0.27160960915653</v>
      </c>
      <c r="M5229" s="12" t="n">
        <f aca="false">Sens!$M$5220/Sens!$M$5202</f>
        <v>0.26974494804234</v>
      </c>
      <c r="N5229" s="12" t="n">
        <f aca="false">Sens!$N$5220/Sens!$N$5202</f>
        <v>0.302870734830849</v>
      </c>
      <c r="O5229" s="12" t="n">
        <f aca="false">Sens!$O$5220/Sens!$O$5202</f>
        <v>0.52240134346334</v>
      </c>
    </row>
    <row r="5230" customFormat="false" ht="15" hidden="false" customHeight="false" outlineLevel="0" collapsed="false">
      <c r="A5230" s="5" t="s">
        <v>692</v>
      </c>
      <c r="B5230" s="0" t="s">
        <v>52</v>
      </c>
      <c r="C5230" s="12" t="n">
        <f aca="false">Sens!$C$5224/Sens!$C$5204</f>
        <v>0.107519448742004</v>
      </c>
      <c r="D5230" s="12" t="n">
        <f aca="false">Sens!$D$5224/Sens!$D$5204</f>
        <v>0.111552967957552</v>
      </c>
      <c r="E5230" s="12" t="n">
        <f aca="false">Sens!$E$5224/Sens!$E$5204</f>
        <v>0.13428328426562</v>
      </c>
      <c r="F5230" s="12" t="n">
        <f aca="false">Sens!$F$5224/Sens!$F$5204</f>
        <v>0.132926212451512</v>
      </c>
      <c r="G5230" s="12" t="n">
        <f aca="false">Sens!$G$5224/Sens!$G$5204</f>
        <v>0.133549030959228</v>
      </c>
      <c r="H5230" s="12" t="n">
        <f aca="false">Sens!$H$5224/Sens!$H$5204</f>
        <v>0.139690394514416</v>
      </c>
      <c r="I5230" s="12" t="n">
        <f aca="false">Sens!$I$5224/Sens!$I$5204</f>
        <v>0.144688164284573</v>
      </c>
      <c r="J5230" s="12" t="n">
        <f aca="false">Sens!$J$5224/Sens!$J$5204</f>
        <v>0.147391419021054</v>
      </c>
      <c r="K5230" s="12" t="n">
        <f aca="false">Sens!$K$5224/Sens!$K$5204</f>
        <v>0.148003728177944</v>
      </c>
      <c r="L5230" s="12" t="n">
        <f aca="false">Sens!$L$5224/Sens!$L$5204</f>
        <v>0.149164514525979</v>
      </c>
      <c r="M5230" s="12" t="n">
        <f aca="false">Sens!$M$5224/Sens!$M$5204</f>
        <v>0.150041098108262</v>
      </c>
      <c r="N5230" s="12" t="n">
        <f aca="false">Sens!$N$5224/Sens!$N$5204</f>
        <v>0.116201614873411</v>
      </c>
      <c r="O5230" s="12" t="n">
        <f aca="false">Sens!$O$5224/Sens!$O$5204</f>
        <v>0.107733353660861</v>
      </c>
    </row>
    <row r="5231" customFormat="false" ht="17.15" hidden="false" customHeight="false" outlineLevel="0" collapsed="false">
      <c r="A5231" s="1" t="s">
        <v>693</v>
      </c>
    </row>
    <row r="5232" customFormat="false" ht="17.15" hidden="false" customHeight="false" outlineLevel="0" collapsed="false">
      <c r="A5232" s="5" t="s">
        <v>694</v>
      </c>
      <c r="B5232" s="0" t="s">
        <v>52</v>
      </c>
      <c r="D5232" s="28" t="n">
        <f aca="false">(Q!$E$29+Q!$E$30-(1-ext_sh)*Sens!$D$5156)/Sens!$D$5113</f>
        <v>0.0334674312393194</v>
      </c>
    </row>
    <row r="5233" customFormat="false" ht="17.15" hidden="false" customHeight="false" outlineLevel="0" collapsed="false">
      <c r="A5233" s="0" t="s">
        <v>498</v>
      </c>
      <c r="B5233" s="0" t="s">
        <v>73</v>
      </c>
      <c r="C5233" s="38" t="n">
        <f aca="false">Q!$D$29</f>
        <v>14.285</v>
      </c>
      <c r="D5233" s="38" t="n">
        <f aca="false">Q!$E$29</f>
        <v>15.503</v>
      </c>
      <c r="E5233" s="38" t="n">
        <f aca="false">Q!$P$29</f>
        <v>8.78</v>
      </c>
      <c r="F5233" s="38" t="n">
        <f aca="false">(Sens!$D$5232*Sens!$F$5113+(1-ext_sh)*Sens!$F$5156)*Sens!$F$5114</f>
        <v>9.51361751569285</v>
      </c>
      <c r="G5233" s="38" t="n">
        <f aca="false">Sens!$E$5233+Sens!$F$5233</f>
        <v>18.2936175156929</v>
      </c>
      <c r="H5233" s="38" t="n">
        <f aca="false">(Sens!$D$5232*Sens!$H$5113+(1-ext_sh)*Sens!$H$5156)*Sens!$H$5114</f>
        <v>22.7653661801943</v>
      </c>
      <c r="I5233" s="38" t="n">
        <f aca="false">(Sens!$D$5232*Sens!$I$5113+(1-ext_sh)*Sens!$I$5156)*Sens!$I$5114</f>
        <v>28.4281317305062</v>
      </c>
      <c r="J5233" s="38" t="n">
        <f aca="false">(Sens!$D$5232*Sens!$J$5113+(1-ext_sh)*Sens!$J$5156)*Sens!$J$5114</f>
        <v>34.1182922009732</v>
      </c>
      <c r="K5233" s="38" t="n">
        <f aca="false">(Sens!$D$5232*Sens!$K$5113+(1-ext_sh)*Sens!$K$5156)*Sens!$K$5114</f>
        <v>39.7237727987046</v>
      </c>
      <c r="L5233" s="38" t="n">
        <f aca="false">(Sens!$D$5232*Sens!$L$5113+(1-ext_sh)*Sens!$L$5156)*Sens!$L$5114</f>
        <v>45.1313127180263</v>
      </c>
      <c r="M5233" s="38" t="n">
        <f aca="false">(Sens!$D$5232*Sens!$M$5113+(1-ext_sh)*Sens!$M$5156)*Sens!$M$5114</f>
        <v>50.743940615442</v>
      </c>
      <c r="N5233" s="38" t="n">
        <f aca="false">Q!$N$29</f>
        <v>7.272</v>
      </c>
      <c r="O5233" s="38" t="n">
        <f aca="false">Q!$O$29</f>
        <v>8.231</v>
      </c>
    </row>
    <row r="5234" customFormat="false" ht="17.15" hidden="false" customHeight="false" outlineLevel="0" collapsed="false">
      <c r="A5234" s="0" t="s">
        <v>500</v>
      </c>
      <c r="B5234" s="0" t="s">
        <v>73</v>
      </c>
      <c r="C5234" s="38" t="n">
        <f aca="false">Q!$D$30</f>
        <v>4.462</v>
      </c>
      <c r="D5234" s="38" t="n">
        <f aca="false">Q!$E$30</f>
        <v>4.907</v>
      </c>
      <c r="E5234" s="38" t="n">
        <f aca="false">Q!$P$30</f>
        <v>2.57</v>
      </c>
      <c r="F5234" s="38" t="n">
        <f aca="false">(Sens!$D$5232*Sens!$F$5113+(1-ext_sh)*Sens!$F$5156)*(1-Sens!$F$5114)</f>
        <v>3.7353230631574</v>
      </c>
      <c r="G5234" s="38" t="n">
        <f aca="false">Sens!$E$5234+Sens!$F$5234</f>
        <v>6.3053230631574</v>
      </c>
      <c r="H5234" s="38" t="n">
        <f aca="false">(Sens!$D$5232*Sens!$H$5113+(1-ext_sh)*Sens!$H$5156)*(1-Sens!$H$5114)</f>
        <v>8.72254636724805</v>
      </c>
      <c r="I5234" s="38" t="n">
        <f aca="false">(Sens!$D$5232*Sens!$I$5113+(1-ext_sh)*Sens!$I$5156)*(1-Sens!$I$5114)</f>
        <v>10.8922340713019</v>
      </c>
      <c r="J5234" s="38" t="n">
        <f aca="false">(Sens!$D$5232*Sens!$J$5113+(1-ext_sh)*Sens!$J$5156)*(1-Sens!$J$5114)</f>
        <v>13.0724181345791</v>
      </c>
      <c r="K5234" s="38" t="n">
        <f aca="false">(Sens!$D$5232*Sens!$K$5113+(1-ext_sh)*Sens!$K$5156)*(1-Sens!$K$5114)</f>
        <v>15.2201571183236</v>
      </c>
      <c r="L5234" s="38" t="n">
        <f aca="false">(Sens!$D$5232*Sens!$L$5113+(1-ext_sh)*Sens!$L$5156)*(1-Sens!$L$5114)</f>
        <v>17.2920551631732</v>
      </c>
      <c r="M5234" s="38" t="n">
        <f aca="false">(Sens!$D$5232*Sens!$M$5113+(1-ext_sh)*Sens!$M$5156)*(1-Sens!$M$5114)</f>
        <v>19.4425326336348</v>
      </c>
      <c r="N5234" s="38" t="n">
        <f aca="false">Q!$N$30</f>
        <v>2.316</v>
      </c>
      <c r="O5234" s="38" t="n">
        <f aca="false">Q!$O$30</f>
        <v>2.591</v>
      </c>
    </row>
    <row r="5235" customFormat="false" ht="17.15" hidden="false" customHeight="false" outlineLevel="0" collapsed="false">
      <c r="A5235" s="0" t="s">
        <v>501</v>
      </c>
      <c r="B5235" s="0" t="s">
        <v>73</v>
      </c>
      <c r="C5235" s="38" t="n">
        <f aca="false">Sens!$C$5168</f>
        <v>13.32</v>
      </c>
      <c r="D5235" s="38" t="n">
        <f aca="false">Sens!$D$5168</f>
        <v>21.45</v>
      </c>
      <c r="E5235" s="38" t="n">
        <f aca="false">Sens!$E$5168</f>
        <v>15.353</v>
      </c>
      <c r="F5235" s="38" t="n">
        <f aca="false">Sens!$F$5168</f>
        <v>17.3614451462707</v>
      </c>
      <c r="G5235" s="38" t="n">
        <f aca="false">Sens!$G$5168</f>
        <v>32.7144451462707</v>
      </c>
      <c r="H5235" s="38" t="n">
        <f aca="false">Sens!$H$5168</f>
        <v>56.1966092719415</v>
      </c>
      <c r="I5235" s="38" t="n">
        <f aca="false">Sens!$I$5168</f>
        <v>82.9744039068297</v>
      </c>
      <c r="J5235" s="38" t="n">
        <f aca="false">Sens!$J$5168</f>
        <v>109.943252237669</v>
      </c>
      <c r="K5235" s="38" t="n">
        <f aca="false">Sens!$K$5168</f>
        <v>136.406703436571</v>
      </c>
      <c r="L5235" s="38" t="n">
        <f aca="false">Sens!$L$5168</f>
        <v>161.485870454155</v>
      </c>
      <c r="M5235" s="38" t="n">
        <f aca="false">Sens!$M$5168</f>
        <v>187.389846618199</v>
      </c>
      <c r="N5235" s="38" t="n">
        <f aca="false">Sens!$N$5168</f>
        <v>9.234</v>
      </c>
      <c r="O5235" s="38" t="n">
        <f aca="false">Sens!$O$5168</f>
        <v>12.216</v>
      </c>
    </row>
    <row r="5236" customFormat="false" ht="17.15" hidden="false" customHeight="false" outlineLevel="0" collapsed="false">
      <c r="A5236" s="5" t="s">
        <v>695</v>
      </c>
      <c r="B5236" s="0" t="s">
        <v>73</v>
      </c>
      <c r="C5236" s="38" t="n">
        <f aca="false">Sens!$C$5233+Sens!$C$5234+Sens!$C$5235</f>
        <v>32.067</v>
      </c>
      <c r="D5236" s="38" t="n">
        <f aca="false">Sens!$D$5233+Sens!$D$5234+Sens!$D$5235</f>
        <v>41.86</v>
      </c>
      <c r="E5236" s="38" t="n">
        <f aca="false">Sens!$E$5233+Sens!$E$5234+Sens!$E$5235</f>
        <v>26.703</v>
      </c>
      <c r="F5236" s="38" t="n">
        <f aca="false">Sens!$F$5233+Sens!$F$5234+Sens!$F$5235</f>
        <v>30.6103857251209</v>
      </c>
      <c r="G5236" s="38" t="n">
        <f aca="false">Sens!$G$5233+Sens!$G$5234+Sens!$G$5235</f>
        <v>57.3133857251209</v>
      </c>
      <c r="H5236" s="38" t="n">
        <f aca="false">Sens!$H$5233+Sens!$H$5234+Sens!$H$5235</f>
        <v>87.6845218193838</v>
      </c>
      <c r="I5236" s="38" t="n">
        <f aca="false">Sens!$I$5233+Sens!$I$5234+Sens!$I$5235</f>
        <v>122.294769708638</v>
      </c>
      <c r="J5236" s="38" t="n">
        <f aca="false">Sens!$J$5233+Sens!$J$5234+Sens!$J$5235</f>
        <v>157.133962573221</v>
      </c>
      <c r="K5236" s="38" t="n">
        <f aca="false">Sens!$K$5233+Sens!$K$5234+Sens!$K$5235</f>
        <v>191.350633353599</v>
      </c>
      <c r="L5236" s="38" t="n">
        <f aca="false">Sens!$L$5233+Sens!$L$5234+Sens!$L$5235</f>
        <v>223.909238335354</v>
      </c>
      <c r="M5236" s="38" t="n">
        <f aca="false">Sens!$M$5233+Sens!$M$5234+Sens!$M$5235</f>
        <v>257.576319867276</v>
      </c>
      <c r="N5236" s="38" t="n">
        <f aca="false">Sens!$N$5233+Sens!$N$5234+Sens!$N$5235</f>
        <v>18.822</v>
      </c>
      <c r="O5236" s="38" t="n">
        <f aca="false">Sens!$O$5233+Sens!$O$5234+Sens!$O$5235</f>
        <v>23.038</v>
      </c>
    </row>
    <row r="5237" customFormat="false" ht="17.15" hidden="false" customHeight="false" outlineLevel="0" collapsed="false">
      <c r="A5237" s="0" t="s">
        <v>696</v>
      </c>
      <c r="B5237" s="0" t="s">
        <v>73</v>
      </c>
      <c r="C5237" s="38" t="n">
        <f aca="false">Sens!$C$5210+Sens!$C$5215</f>
        <v>28.107</v>
      </c>
      <c r="D5237" s="38" t="n">
        <f aca="false">Sens!$D$5210+Sens!$D$5215</f>
        <v>34.3175</v>
      </c>
      <c r="E5237" s="38" t="n">
        <f aca="false">Sens!$E$5210+Sens!$E$5215</f>
        <v>18.526</v>
      </c>
      <c r="F5237" s="38" t="n">
        <f aca="false">Sens!$F$5210+Sens!$F$5215</f>
        <v>24.0766690913691</v>
      </c>
      <c r="G5237" s="38" t="n">
        <f aca="false">Sens!$G$5210+Sens!$G$5215</f>
        <v>42.6026690913691</v>
      </c>
      <c r="H5237" s="38" t="n">
        <f aca="false">Sens!$H$5210+Sens!$H$5215</f>
        <v>51.1466809294702</v>
      </c>
      <c r="I5237" s="38" t="n">
        <f aca="false">Sens!$I$5210+Sens!$I$5215</f>
        <v>59.6899187926205</v>
      </c>
      <c r="J5237" s="38" t="n">
        <f aca="false">Sens!$J$5210+Sens!$J$5215</f>
        <v>67.6595395244221</v>
      </c>
      <c r="K5237" s="38" t="n">
        <f aca="false">Sens!$K$5210+Sens!$K$5215</f>
        <v>74.4254934768643</v>
      </c>
      <c r="L5237" s="38" t="n">
        <f aca="false">Sens!$L$5210+Sens!$L$5215</f>
        <v>81.8680428245508</v>
      </c>
      <c r="M5237" s="38" t="n">
        <f aca="false">Sens!$M$5210+Sens!$M$5215</f>
        <v>90.0548471070059</v>
      </c>
      <c r="N5237" s="38" t="n">
        <f aca="false">Sens!$N$5210+Sens!$N$5215</f>
        <v>14.8075</v>
      </c>
      <c r="O5237" s="38" t="n">
        <f aca="false">Sens!$O$5210+Sens!$O$5215</f>
        <v>19.51</v>
      </c>
    </row>
    <row r="5238" customFormat="false" ht="17.15" hidden="false" customHeight="false" outlineLevel="0" collapsed="false">
      <c r="A5238" s="0" t="s">
        <v>697</v>
      </c>
      <c r="B5238" s="0" t="s">
        <v>73</v>
      </c>
      <c r="C5238" s="38" t="n">
        <f aca="false">Sens!$C$5214+Sens!$C$5219+Sens!$C$5233+Sens!$C$5234-Sens!$C$5237</f>
        <v>19.399</v>
      </c>
      <c r="D5238" s="38" t="n">
        <f aca="false">Sens!$D$5214+Sens!$D$5219+Sens!$D$5233+Sens!$D$5234-Sens!$D$5237</f>
        <v>20.4615</v>
      </c>
      <c r="E5238" s="38" t="n">
        <f aca="false">Sens!$E$5214+Sens!$E$5219+Sens!$E$5233+Sens!$E$5234-Sens!$E$5237</f>
        <v>13.355</v>
      </c>
      <c r="F5238" s="38" t="n">
        <f aca="false">Sens!$F$5214+Sens!$F$5219+Sens!$F$5233+Sens!$F$5234-Sens!$F$5237</f>
        <v>13.0895111975985</v>
      </c>
      <c r="G5238" s="38" t="n">
        <f aca="false">Sens!$G$5214+Sens!$G$5219+Sens!$G$5233+Sens!$G$5234-Sens!$G$5237</f>
        <v>26.4445111975985</v>
      </c>
      <c r="H5238" s="38" t="n">
        <f aca="false">Sens!$H$5214+Sens!$H$5219+Sens!$H$5233+Sens!$H$5234-Sens!$H$5237</f>
        <v>28.8977096937968</v>
      </c>
      <c r="I5238" s="38" t="n">
        <f aca="false">Sens!$I$5214+Sens!$I$5219+Sens!$I$5233+Sens!$I$5234-Sens!$I$5237</f>
        <v>31.2062039064791</v>
      </c>
      <c r="J5238" s="38" t="n">
        <f aca="false">Sens!$J$5214+Sens!$J$5219+Sens!$J$5233+Sens!$J$5234-Sens!$J$5237</f>
        <v>33.5064572496913</v>
      </c>
      <c r="K5238" s="38" t="n">
        <f aca="false">Sens!$K$5214+Sens!$K$5219+Sens!$K$5233+Sens!$K$5234-Sens!$K$5237</f>
        <v>35.6591461575899</v>
      </c>
      <c r="L5238" s="38" t="n">
        <f aca="false">Sens!$L$5214+Sens!$L$5219+Sens!$L$5233+Sens!$L$5234-Sens!$L$5237</f>
        <v>36.4141007090604</v>
      </c>
      <c r="M5238" s="38" t="n">
        <f aca="false">Sens!$M$5214+Sens!$M$5219+Sens!$M$5233+Sens!$M$5234-Sens!$M$5237</f>
        <v>37.359984207839</v>
      </c>
      <c r="N5238" s="38" t="n">
        <f aca="false">Sens!$N$5214+Sens!$N$5219+Sens!$N$5233+Sens!$N$5234-Sens!$N$5237</f>
        <v>10.6495</v>
      </c>
      <c r="O5238" s="38" t="n">
        <f aca="false">Sens!$O$5214+Sens!$O$5219+Sens!$O$5233+Sens!$O$5234-Sens!$O$5237</f>
        <v>9.81200000000001</v>
      </c>
    </row>
    <row r="5239" customFormat="false" ht="17.15" hidden="false" customHeight="false" outlineLevel="0" collapsed="false">
      <c r="A5239" s="0" t="s">
        <v>698</v>
      </c>
      <c r="B5239" s="0" t="s">
        <v>73</v>
      </c>
      <c r="C5239" s="38" t="n">
        <f aca="false">Sens!$C$5221+Sens!$C$5235-ext_sh*Sens!$C$5156</f>
        <v>51.3470500115664</v>
      </c>
      <c r="D5239" s="38" t="n">
        <f aca="false">Sens!$D$5221+Sens!$D$5235-ext_sh*Sens!$D$5156</f>
        <v>60.2799375433739</v>
      </c>
      <c r="E5239" s="38" t="n">
        <f aca="false">Sens!$E$5221+Sens!$E$5235-ext_sh*Sens!$E$5156</f>
        <v>39.5095167090767</v>
      </c>
      <c r="F5239" s="38" t="n">
        <f aca="false">Sens!$F$5221+Sens!$F$5235-ext_sh*Sens!$F$5156</f>
        <v>41.606724953129</v>
      </c>
      <c r="G5239" s="38" t="n">
        <f aca="false">Sens!$G$5221+Sens!$G$5235-ext_sh*Sens!$G$5156</f>
        <v>81.1162416622057</v>
      </c>
      <c r="H5239" s="38" t="n">
        <f aca="false">Sens!$H$5221+Sens!$H$5235-ext_sh*Sens!$H$5156</f>
        <v>95.7616595325849</v>
      </c>
      <c r="I5239" s="38" t="n">
        <f aca="false">Sens!$I$5221+Sens!$I$5235-ext_sh*Sens!$I$5156</f>
        <v>111.513312079935</v>
      </c>
      <c r="J5239" s="38" t="n">
        <f aca="false">Sens!$J$5221+Sens!$J$5235-ext_sh*Sens!$J$5156</f>
        <v>125.145150463955</v>
      </c>
      <c r="K5239" s="38" t="n">
        <f aca="false">Sens!$K$5221+Sens!$K$5235-ext_sh*Sens!$K$5156</f>
        <v>135.156762501071</v>
      </c>
      <c r="L5239" s="38" t="n">
        <f aca="false">Sens!$L$5221+Sens!$L$5235-ext_sh*Sens!$L$5156</f>
        <v>145.969303501157</v>
      </c>
      <c r="M5239" s="38" t="n">
        <f aca="false">Sens!$M$5221+Sens!$M$5235-ext_sh*Sens!$M$5156</f>
        <v>157.646847781249</v>
      </c>
      <c r="N5239" s="38" t="n">
        <f aca="false">Sens!$N$5221+Sens!$N$5235-ext_sh*Sens!$N$5156</f>
        <v>28.5693781401809</v>
      </c>
      <c r="O5239" s="38" t="n">
        <f aca="false">Sens!$O$5221+Sens!$O$5235-ext_sh*Sens!$O$5156</f>
        <v>31.7105594031931</v>
      </c>
    </row>
    <row r="5240" customFormat="false" ht="17.15" hidden="false" customHeight="false" outlineLevel="0" collapsed="false">
      <c r="A5240" s="0" t="s">
        <v>699</v>
      </c>
      <c r="B5240" s="0" t="s">
        <v>73</v>
      </c>
      <c r="C5240" s="38" t="n">
        <f aca="false">Sens!$C$5159</f>
        <v>1.80694998843362</v>
      </c>
      <c r="D5240" s="38" t="n">
        <f aca="false">Sens!$D$5159</f>
        <v>6.77606245662607</v>
      </c>
      <c r="E5240" s="38" t="n">
        <f aca="false">Sens!$E$5159</f>
        <v>6.62548329092326</v>
      </c>
      <c r="F5240" s="38" t="n">
        <f aca="false">Sens!$F$5159</f>
        <v>11.7200577158706</v>
      </c>
      <c r="G5240" s="38" t="n">
        <f aca="false">Sens!$G$5159</f>
        <v>18.3455410067939</v>
      </c>
      <c r="H5240" s="38" t="n">
        <f aca="false">Sens!$H$5159</f>
        <v>47.5171727060453</v>
      </c>
      <c r="I5240" s="38" t="n">
        <f aca="false">Sens!$I$5159</f>
        <v>80.5539692643667</v>
      </c>
      <c r="J5240" s="38" t="n">
        <f aca="false">Sens!$J$5159</f>
        <v>113.759316834883</v>
      </c>
      <c r="K5240" s="38" t="n">
        <f aca="false">Sens!$K$5159</f>
        <v>147.020848076132</v>
      </c>
      <c r="L5240" s="38" t="n">
        <f aca="false">Sens!$L$5159</f>
        <v>180.307917349531</v>
      </c>
      <c r="M5240" s="38" t="n">
        <f aca="false">Sens!$M$5159</f>
        <v>213.608737871012</v>
      </c>
      <c r="N5240" s="38" t="n">
        <f aca="false">Sens!$N$5159</f>
        <v>2.37162185981912</v>
      </c>
      <c r="O5240" s="38" t="n">
        <f aca="false">Sens!$O$5159</f>
        <v>4.40444059680694</v>
      </c>
    </row>
    <row r="5241" customFormat="false" ht="17.15" hidden="false" customHeight="false" outlineLevel="0" collapsed="false">
      <c r="A5241" s="0" t="s">
        <v>700</v>
      </c>
      <c r="B5241" s="0" t="s">
        <v>73</v>
      </c>
      <c r="C5241" s="38" t="n">
        <f aca="false">Sens!$C$5224+Sens!$C$5236</f>
        <v>100.66</v>
      </c>
      <c r="D5241" s="38" t="n">
        <f aca="false">Sens!$D$5224+Sens!$D$5236</f>
        <v>121.835</v>
      </c>
      <c r="E5241" s="38" t="n">
        <f aca="false">Sens!$E$5224+Sens!$E$5236</f>
        <v>78.016</v>
      </c>
      <c r="F5241" s="38" t="n">
        <f aca="false">Sens!$F$5224+Sens!$F$5236</f>
        <v>90.4929629579672</v>
      </c>
      <c r="G5241" s="38" t="n">
        <f aca="false">Sens!$G$5224+Sens!$G$5236</f>
        <v>168.508962957967</v>
      </c>
      <c r="H5241" s="38" t="n">
        <f aca="false">Sens!$H$5224+Sens!$H$5236</f>
        <v>223.323222861897</v>
      </c>
      <c r="I5241" s="38" t="n">
        <f aca="false">Sens!$I$5224+Sens!$I$5236</f>
        <v>282.963404043402</v>
      </c>
      <c r="J5241" s="38" t="n">
        <f aca="false">Sens!$J$5224+Sens!$J$5236</f>
        <v>340.070464072952</v>
      </c>
      <c r="K5241" s="38" t="n">
        <f aca="false">Sens!$K$5224+Sens!$K$5236</f>
        <v>392.262250211657</v>
      </c>
      <c r="L5241" s="38" t="n">
        <f aca="false">Sens!$L$5224+Sens!$L$5236</f>
        <v>444.559364384299</v>
      </c>
      <c r="M5241" s="38" t="n">
        <f aca="false">Sens!$M$5224+Sens!$M$5236</f>
        <v>498.670416967106</v>
      </c>
      <c r="N5241" s="38" t="n">
        <f aca="false">Sens!$N$5224+Sens!$N$5236</f>
        <v>56.398</v>
      </c>
      <c r="O5241" s="38" t="n">
        <f aca="false">Sens!$O$5224+Sens!$O$5236</f>
        <v>65.437</v>
      </c>
    </row>
    <row r="5242" customFormat="false" ht="17.15" hidden="false" customHeight="false" outlineLevel="0" collapsed="false">
      <c r="A5242" s="1" t="s">
        <v>701</v>
      </c>
    </row>
    <row r="5243" customFormat="false" ht="15" hidden="false" customHeight="false" outlineLevel="0" collapsed="false">
      <c r="A5243" s="5" t="s">
        <v>504</v>
      </c>
      <c r="B5243" s="0" t="s">
        <v>73</v>
      </c>
      <c r="C5243" s="38" t="n">
        <f aca="false">Q!$D$34</f>
        <v>2.406</v>
      </c>
      <c r="D5243" s="38" t="n">
        <f aca="false">Q!$E$34</f>
        <v>2.274</v>
      </c>
      <c r="E5243" s="38" t="n">
        <f aca="false">Q!$P$34</f>
        <v>2.114</v>
      </c>
      <c r="F5243" s="38" t="n">
        <f aca="false">Sens!$F$5279</f>
        <v>3.24888964316061</v>
      </c>
      <c r="G5243" s="38" t="n">
        <f aca="false">Sens!$E$5243+Sens!$F$5243</f>
        <v>5.36288964316061</v>
      </c>
      <c r="H5243" s="38" t="n">
        <f aca="false">Sens!$H$5279</f>
        <v>7.42354178632123</v>
      </c>
      <c r="I5243" s="38" t="n">
        <f aca="false">Sens!$I$5279</f>
        <v>7.51827597635917</v>
      </c>
      <c r="J5243" s="38" t="n">
        <f aca="false">Sens!$J$5279</f>
        <v>7.76994062068418</v>
      </c>
      <c r="K5243" s="38" t="n">
        <f aca="false">Sens!$K$5279</f>
        <v>7.76994062068418</v>
      </c>
      <c r="L5243" s="38" t="n">
        <f aca="false">Sens!$L$5279</f>
        <v>7.76994062068418</v>
      </c>
      <c r="M5243" s="38" t="n">
        <f aca="false">Sens!$M$5279</f>
        <v>7.76994062068418</v>
      </c>
      <c r="N5243" s="38" t="n">
        <f aca="false">Q!$N$34</f>
        <v>1.057</v>
      </c>
      <c r="O5243" s="38" t="n">
        <f aca="false">Q!$O$34</f>
        <v>1.217</v>
      </c>
    </row>
    <row r="5244" customFormat="false" ht="15" hidden="false" customHeight="false" outlineLevel="0" collapsed="false">
      <c r="A5244" s="5" t="s">
        <v>702</v>
      </c>
      <c r="B5244" s="0" t="s">
        <v>73</v>
      </c>
      <c r="F5244" s="38" t="n">
        <f aca="false">Sens!$F$5280</f>
        <v>2.59</v>
      </c>
      <c r="H5244" s="38" t="n">
        <f aca="false">Sens!$H$5280</f>
        <v>4.00971603121774</v>
      </c>
      <c r="I5244" s="38" t="n">
        <f aca="false">Sens!$I$5280</f>
        <v>2.10589651022864</v>
      </c>
      <c r="J5244" s="38" t="n">
        <f aca="false">Sens!$J$5280</f>
        <v>2.10589651022864</v>
      </c>
      <c r="K5244" s="38" t="n">
        <f aca="false">Sens!$K$5280</f>
        <v>3.77985822695893</v>
      </c>
      <c r="L5244" s="38" t="n">
        <f aca="false">Sens!$L$5280</f>
        <v>7.24081936505971</v>
      </c>
      <c r="M5244" s="38" t="n">
        <f aca="false">Sens!$M$5280</f>
        <v>11.205150593419</v>
      </c>
    </row>
    <row r="5245" customFormat="false" ht="17.15" hidden="false" customHeight="false" outlineLevel="0" collapsed="false">
      <c r="A5245" s="5" t="s">
        <v>703</v>
      </c>
      <c r="B5245" s="0" t="s">
        <v>73</v>
      </c>
      <c r="C5245" s="38" t="n">
        <f aca="false">Q!$D$39</f>
        <v>2.427</v>
      </c>
      <c r="D5245" s="38" t="n">
        <f aca="false">Q!$E$39</f>
        <v>19.61</v>
      </c>
      <c r="E5245" s="38" t="n">
        <f aca="false">Q!$P$39</f>
        <v>71.492</v>
      </c>
      <c r="F5245" s="41" t="n">
        <v>0</v>
      </c>
      <c r="G5245" s="38" t="n">
        <f aca="false">Sens!$E$5245+Sens!$F$5245</f>
        <v>71.492</v>
      </c>
      <c r="H5245" s="41" t="n">
        <v>0</v>
      </c>
      <c r="I5245" s="41" t="n">
        <v>0</v>
      </c>
      <c r="J5245" s="41" t="n">
        <v>0</v>
      </c>
      <c r="K5245" s="41" t="n">
        <v>0</v>
      </c>
      <c r="L5245" s="41" t="n">
        <v>0</v>
      </c>
      <c r="M5245" s="41" t="n">
        <v>0</v>
      </c>
      <c r="N5245" s="38" t="n">
        <f aca="false">Q!$N$39</f>
        <v>6.017</v>
      </c>
      <c r="O5245" s="38" t="n">
        <f aca="false">Q!$O$39</f>
        <v>13.593</v>
      </c>
      <c r="P5245" s="5" t="s">
        <v>704</v>
      </c>
    </row>
    <row r="5246" customFormat="false" ht="15" hidden="false" customHeight="false" outlineLevel="0" collapsed="false">
      <c r="A5246" s="5" t="s">
        <v>507</v>
      </c>
      <c r="B5246" s="0" t="s">
        <v>73</v>
      </c>
      <c r="C5246" s="38" t="n">
        <f aca="false">Q!$D$36</f>
        <v>68.614</v>
      </c>
      <c r="D5246" s="38" t="n">
        <f aca="false">Q!$E$36</f>
        <v>97.311</v>
      </c>
      <c r="E5246" s="38" t="n">
        <f aca="false">Q!$P$36</f>
        <v>120.691</v>
      </c>
      <c r="F5246" s="38" t="n">
        <f aca="false">Sens!$F$5224-Sens!$F$5243+Sens!$F$5244+Sens!$F$5245</f>
        <v>59.2236875896856</v>
      </c>
      <c r="G5246" s="38" t="n">
        <f aca="false">Sens!$E$5246+Sens!$F$5246</f>
        <v>179.914687589686</v>
      </c>
      <c r="H5246" s="38" t="n">
        <f aca="false">Sens!$H$5224-Sens!$H$5243+Sens!$H$5244+Sens!$H$5245</f>
        <v>132.22487528741</v>
      </c>
      <c r="I5246" s="38" t="n">
        <f aca="false">Sens!$I$5224-Sens!$I$5243+Sens!$I$5244+Sens!$I$5245</f>
        <v>155.256254868633</v>
      </c>
      <c r="J5246" s="38" t="n">
        <f aca="false">Sens!$J$5224-Sens!$J$5243+Sens!$J$5244+Sens!$J$5245</f>
        <v>177.272457389275</v>
      </c>
      <c r="K5246" s="38" t="n">
        <f aca="false">Sens!$K$5224-Sens!$K$5243+Sens!$K$5244+Sens!$K$5245</f>
        <v>196.921534464333</v>
      </c>
      <c r="L5246" s="38" t="n">
        <f aca="false">Sens!$L$5224-Sens!$L$5243+Sens!$L$5244+Sens!$L$5245</f>
        <v>220.12100479332</v>
      </c>
      <c r="M5246" s="38" t="n">
        <f aca="false">Sens!$M$5224-Sens!$M$5243+Sens!$M$5244+Sens!$M$5245</f>
        <v>244.529307072564</v>
      </c>
      <c r="N5246" s="38" t="n">
        <f aca="false">Q!$N$36</f>
        <v>42.536</v>
      </c>
      <c r="O5246" s="38" t="n">
        <f aca="false">Q!$O$36</f>
        <v>54.775</v>
      </c>
    </row>
    <row r="5247" customFormat="false" ht="15" hidden="false" customHeight="false" outlineLevel="0" collapsed="false">
      <c r="A5247" s="5" t="s">
        <v>508</v>
      </c>
      <c r="B5247" s="0" t="s">
        <v>73</v>
      </c>
      <c r="C5247" s="38" t="n">
        <f aca="false">Q!$D$37</f>
        <v>9.265</v>
      </c>
      <c r="D5247" s="38" t="n">
        <f aca="false">Q!$E$37</f>
        <v>19.087</v>
      </c>
      <c r="E5247" s="38" t="n">
        <f aca="false">Q!$P$37</f>
        <v>27.759</v>
      </c>
      <c r="F5247" s="38" t="n">
        <f aca="false">Sens!$F$5246*tax</f>
        <v>10.2803157750071</v>
      </c>
      <c r="G5247" s="38" t="n">
        <f aca="false">Sens!$E$5247+Sens!$F$5247</f>
        <v>38.0393157750071</v>
      </c>
      <c r="H5247" s="38" t="n">
        <f aca="false">Sens!$H$5246*tax</f>
        <v>22.9521923842892</v>
      </c>
      <c r="I5247" s="38" t="n">
        <f aca="false">Sens!$I$5246*tax</f>
        <v>26.9500835063251</v>
      </c>
      <c r="J5247" s="38" t="n">
        <f aca="false">Sens!$J$5246*tax</f>
        <v>30.7717555988633</v>
      </c>
      <c r="K5247" s="38" t="n">
        <f aca="false">Sens!$K$5246*tax</f>
        <v>34.1825313414772</v>
      </c>
      <c r="L5247" s="38" t="n">
        <f aca="false">Sens!$L$5246*tax</f>
        <v>38.209600416393</v>
      </c>
      <c r="M5247" s="38" t="n">
        <f aca="false">Sens!$M$5246*tax</f>
        <v>42.4465040131586</v>
      </c>
      <c r="N5247" s="38" t="n">
        <f aca="false">Q!$N$37</f>
        <v>7.231</v>
      </c>
      <c r="O5247" s="38" t="n">
        <f aca="false">Q!$O$37</f>
        <v>11.856</v>
      </c>
    </row>
    <row r="5248" customFormat="false" ht="15" hidden="false" customHeight="false" outlineLevel="0" collapsed="false">
      <c r="A5248" s="3" t="s">
        <v>509</v>
      </c>
      <c r="B5248" s="8" t="s">
        <v>73</v>
      </c>
      <c r="C5248" s="38" t="n">
        <f aca="false">Q!$D$38</f>
        <v>59.248</v>
      </c>
      <c r="D5248" s="38" t="n">
        <f aca="false">Q!$E$38</f>
        <v>77.67</v>
      </c>
      <c r="E5248" s="38" t="n">
        <f aca="false">Q!$P$38</f>
        <v>92.902</v>
      </c>
      <c r="F5248" s="38" t="n">
        <f aca="false">Sens!$F$5246-Sens!$F$5247</f>
        <v>48.9433718146785</v>
      </c>
      <c r="G5248" s="38" t="n">
        <f aca="false">Sens!$E$5248+Sens!$F$5248</f>
        <v>141.845371814679</v>
      </c>
      <c r="H5248" s="38" t="n">
        <f aca="false">Sens!$H$5246-Sens!$H$5247</f>
        <v>109.272682903121</v>
      </c>
      <c r="I5248" s="38" t="n">
        <f aca="false">Sens!$I$5246-Sens!$I$5247</f>
        <v>128.306171362308</v>
      </c>
      <c r="J5248" s="38" t="n">
        <f aca="false">Sens!$J$5246-Sens!$J$5247</f>
        <v>146.500701790412</v>
      </c>
      <c r="K5248" s="38" t="n">
        <f aca="false">Sens!$K$5246-Sens!$K$5247</f>
        <v>162.739003122855</v>
      </c>
      <c r="L5248" s="38" t="n">
        <f aca="false">Sens!$L$5246-Sens!$L$5247</f>
        <v>181.911404376927</v>
      </c>
      <c r="M5248" s="38" t="n">
        <f aca="false">Sens!$M$5246-Sens!$M$5247</f>
        <v>202.082803059406</v>
      </c>
      <c r="N5248" s="38" t="n">
        <f aca="false">Q!$N$38</f>
        <v>35.291</v>
      </c>
      <c r="O5248" s="38" t="n">
        <f aca="false">Q!$O$38</f>
        <v>42.379</v>
      </c>
    </row>
    <row r="5249" customFormat="false" ht="17.15" hidden="false" customHeight="false" outlineLevel="0" collapsed="false">
      <c r="A5249" s="5" t="s">
        <v>512</v>
      </c>
      <c r="B5249" s="5" t="s">
        <v>33</v>
      </c>
      <c r="C5249" s="22" t="n">
        <f aca="false">Q!$D$41</f>
        <v>10.721</v>
      </c>
      <c r="D5249" s="22" t="n">
        <f aca="false">Q!$E$41</f>
        <v>10.827</v>
      </c>
      <c r="E5249" s="22" t="n">
        <f aca="false">(Q!$L$41+Q!$M$41)/2</f>
        <v>10.8885</v>
      </c>
      <c r="F5249" s="22" t="n">
        <f aca="false">Sens!$G$5249</f>
        <v>10.924806</v>
      </c>
      <c r="G5249" s="22" t="n">
        <f aca="false">Q!$M$41*(1+sh_g*0.25)</f>
        <v>10.924806</v>
      </c>
      <c r="H5249" s="22" t="n">
        <f aca="false">Sens!$G$5249*(1+sh_g)</f>
        <v>11.012204448</v>
      </c>
      <c r="I5249" s="22" t="n">
        <f aca="false">Sens!$H$5249*(1+sh_g)</f>
        <v>11.100302083584</v>
      </c>
      <c r="J5249" s="22" t="n">
        <f aca="false">Sens!$I$5249*(1+sh_g)</f>
        <v>11.1891045002527</v>
      </c>
      <c r="K5249" s="22" t="n">
        <f aca="false">Sens!$J$5249*(1+sh_g)</f>
        <v>11.2786173362547</v>
      </c>
      <c r="L5249" s="22" t="n">
        <f aca="false">Sens!$K$5249*(1+sh_g)</f>
        <v>11.3688462749447</v>
      </c>
      <c r="M5249" s="22" t="n">
        <f aca="false">Sens!$L$5249*(1+sh_g)</f>
        <v>11.4597970451443</v>
      </c>
      <c r="P5249" s="5" t="s">
        <v>705</v>
      </c>
    </row>
    <row r="5250" customFormat="false" ht="17.15" hidden="false" customHeight="false" outlineLevel="0" collapsed="false">
      <c r="A5250" s="42" t="s">
        <v>706</v>
      </c>
      <c r="B5250" s="13" t="s">
        <v>27</v>
      </c>
      <c r="C5250" s="43" t="n">
        <f aca="false">Sens!$C$5248/Sens!$C$5249</f>
        <v>5.52635015390355</v>
      </c>
      <c r="D5250" s="43" t="n">
        <f aca="false">Sens!$D$5248/Sens!$D$5249</f>
        <v>7.1737323358271</v>
      </c>
      <c r="E5250" s="43" t="n">
        <f aca="false">Sens!$E$5248/Sens!$E$5249</f>
        <v>8.53212104513937</v>
      </c>
      <c r="F5250" s="13"/>
      <c r="G5250" s="43" t="n">
        <f aca="false">Sens!$G$5248/Sens!$G$5249</f>
        <v>12.9837886196495</v>
      </c>
      <c r="H5250" s="43" t="n">
        <f aca="false">Sens!$H$5248/Sens!$H$5249</f>
        <v>9.92287088558062</v>
      </c>
      <c r="I5250" s="43" t="n">
        <f aca="false">Sens!$I$5248/Sens!$I$5249</f>
        <v>11.5587999674403</v>
      </c>
      <c r="J5250" s="43" t="n">
        <f aca="false">Sens!$J$5248/Sens!$J$5249</f>
        <v>13.0931569892035</v>
      </c>
      <c r="K5250" s="43" t="n">
        <f aca="false">Sens!$K$5248/Sens!$K$5249</f>
        <v>14.4289852444711</v>
      </c>
      <c r="L5250" s="43" t="n">
        <f aca="false">Sens!$L$5248/Sens!$L$5249</f>
        <v>16.0008676322621</v>
      </c>
      <c r="M5250" s="43" t="n">
        <f aca="false">Sens!$M$5248/Sens!$M$5249</f>
        <v>17.6340647450673</v>
      </c>
      <c r="N5250" s="13"/>
      <c r="O5250" s="13"/>
    </row>
    <row r="5251" customFormat="false" ht="17.15" hidden="false" customHeight="false" outlineLevel="0" collapsed="false">
      <c r="A5251" s="0" t="s">
        <v>707</v>
      </c>
      <c r="B5251" s="0" t="s">
        <v>27</v>
      </c>
      <c r="C5251" s="30" t="n">
        <f aca="false">(Sens!$C$5248-Sens!$C$5245*(1-tax))/Sens!$C$5249</f>
        <v>5.33926775917445</v>
      </c>
      <c r="D5251" s="30" t="n">
        <f aca="false">(Sens!$D$5248-Sens!$D$5245*(1-tax))/Sens!$D$5249</f>
        <v>5.67691812755503</v>
      </c>
      <c r="E5251" s="30" t="n">
        <f aca="false">(Sens!$E$5248-Sens!$E$5245*(1-tax))/Sens!$E$5249</f>
        <v>3.10602057006846</v>
      </c>
      <c r="G5251" s="30" t="n">
        <f aca="false">(Sens!$G$5248-Sens!$G$5245*(1-tax))/Sens!$G$5249</f>
        <v>7.57572050175252</v>
      </c>
      <c r="H5251" s="30" t="n">
        <f aca="false">(Sens!$H$5248-Sens!$H$5245*(1-tax))/Sens!$H$5249</f>
        <v>9.92287088558062</v>
      </c>
      <c r="I5251" s="30" t="n">
        <f aca="false">(Sens!$I$5248-Sens!$I$5245*(1-tax))/Sens!$I$5249</f>
        <v>11.5587999674403</v>
      </c>
      <c r="J5251" s="30" t="n">
        <f aca="false">(Sens!$J$5248-Sens!$J$5245*(1-tax))/Sens!$J$5249</f>
        <v>13.0931569892035</v>
      </c>
      <c r="K5251" s="30" t="n">
        <f aca="false">(Sens!$K$5248-Sens!$K$5245*(1-tax))/Sens!$K$5249</f>
        <v>14.4289852444711</v>
      </c>
      <c r="L5251" s="30" t="n">
        <f aca="false">(Sens!$L$5248-Sens!$L$5245*(1-tax))/Sens!$L$5249</f>
        <v>16.0008676322621</v>
      </c>
      <c r="M5251" s="30" t="n">
        <f aca="false">(Sens!$M$5248-Sens!$M$5245*(1-tax))/Sens!$M$5249</f>
        <v>17.6340647450673</v>
      </c>
      <c r="P5251" s="5" t="s">
        <v>708</v>
      </c>
    </row>
    <row r="5252" customFormat="false" ht="17.15" hidden="false" customHeight="false" outlineLevel="0" collapsed="false">
      <c r="A5252" s="0" t="s">
        <v>709</v>
      </c>
      <c r="B5252" s="0" t="s">
        <v>52</v>
      </c>
      <c r="H5252" s="12" t="n">
        <f aca="false">Sens!$H$5250/Sens!$G$5250-1</f>
        <v>-0.23574919645846</v>
      </c>
      <c r="I5252" s="12" t="n">
        <f aca="false">Sens!$I$5250/Sens!$H$5250-1</f>
        <v>0.164864493423664</v>
      </c>
      <c r="J5252" s="12" t="n">
        <f aca="false">Sens!$J$5250/Sens!$I$5250-1</f>
        <v>0.132743626162345</v>
      </c>
      <c r="K5252" s="12" t="n">
        <f aca="false">Sens!$K$5250/Sens!$J$5250-1</f>
        <v>0.102024917013454</v>
      </c>
      <c r="L5252" s="12" t="n">
        <f aca="false">Sens!$L$5250/Sens!$K$5250-1</f>
        <v>0.108939219297719</v>
      </c>
      <c r="M5252" s="12" t="n">
        <f aca="false">Sens!$M$5250/Sens!$L$5250-1</f>
        <v>0.102069284637555</v>
      </c>
    </row>
    <row r="5255" customFormat="false" ht="19.4" hidden="false" customHeight="false" outlineLevel="0" collapsed="false">
      <c r="A5255" s="31" t="s">
        <v>1158</v>
      </c>
    </row>
    <row r="5256" customFormat="false" ht="17.15" hidden="false" customHeight="false" outlineLevel="0" collapsed="false">
      <c r="A5256" s="6" t="s">
        <v>16</v>
      </c>
      <c r="B5256" s="6" t="s">
        <v>17</v>
      </c>
      <c r="C5256" s="20" t="s">
        <v>457</v>
      </c>
      <c r="D5256" s="20" t="s">
        <v>458</v>
      </c>
      <c r="E5256" s="20" t="s">
        <v>540</v>
      </c>
      <c r="F5256" s="20" t="s">
        <v>541</v>
      </c>
      <c r="G5256" s="20" t="s">
        <v>542</v>
      </c>
      <c r="H5256" s="20" t="s">
        <v>543</v>
      </c>
      <c r="I5256" s="20" t="s">
        <v>544</v>
      </c>
      <c r="J5256" s="20" t="s">
        <v>545</v>
      </c>
      <c r="K5256" s="20" t="s">
        <v>546</v>
      </c>
      <c r="L5256" s="20" t="s">
        <v>547</v>
      </c>
      <c r="M5256" s="20" t="s">
        <v>548</v>
      </c>
      <c r="N5256" s="20" t="s">
        <v>549</v>
      </c>
      <c r="O5256" s="20" t="s">
        <v>550</v>
      </c>
      <c r="P5256" s="6" t="s">
        <v>23</v>
      </c>
      <c r="R5256" s="20" t="n">
        <v>2023</v>
      </c>
      <c r="S5256" s="20" t="n">
        <v>2024</v>
      </c>
      <c r="T5256" s="20" t="n">
        <v>2025</v>
      </c>
      <c r="U5256" s="20" t="n">
        <v>2026</v>
      </c>
      <c r="V5256" s="20" t="n">
        <v>2027</v>
      </c>
      <c r="W5256" s="20" t="n">
        <v>2028</v>
      </c>
      <c r="X5256" s="20" t="n">
        <v>2029</v>
      </c>
      <c r="Y5256" s="20" t="n">
        <v>2030</v>
      </c>
      <c r="Z5256" s="20" t="n">
        <v>2031</v>
      </c>
      <c r="AA5256" s="20" t="n">
        <v>2032</v>
      </c>
    </row>
    <row r="5257" customFormat="false" ht="15" hidden="false" customHeight="false" outlineLevel="0" collapsed="false">
      <c r="A5257" s="5" t="s">
        <v>509</v>
      </c>
      <c r="B5257" s="0" t="s">
        <v>73</v>
      </c>
      <c r="C5257" s="38" t="n">
        <f aca="false">Sens!$C$5248</f>
        <v>59.248</v>
      </c>
      <c r="D5257" s="38" t="n">
        <f aca="false">Sens!$D$5248</f>
        <v>77.67</v>
      </c>
      <c r="E5257" s="38" t="n">
        <f aca="false">Sens!$E$5248</f>
        <v>92.902</v>
      </c>
      <c r="F5257" s="38" t="n">
        <f aca="false">Sens!$F$5248</f>
        <v>48.9433718146785</v>
      </c>
      <c r="G5257" s="38" t="n">
        <f aca="false">Sens!$G$5248</f>
        <v>141.845371814679</v>
      </c>
      <c r="H5257" s="38" t="n">
        <f aca="false">Sens!$H$5248</f>
        <v>109.272682903121</v>
      </c>
      <c r="I5257" s="38" t="n">
        <f aca="false">Sens!$I$5248</f>
        <v>128.306171362308</v>
      </c>
      <c r="J5257" s="38" t="n">
        <f aca="false">Sens!$J$5248</f>
        <v>146.500701790412</v>
      </c>
      <c r="K5257" s="38" t="n">
        <f aca="false">Sens!$K$5248</f>
        <v>162.739003122855</v>
      </c>
      <c r="L5257" s="38" t="n">
        <f aca="false">Sens!$L$5248</f>
        <v>181.911404376927</v>
      </c>
      <c r="M5257" s="38" t="n">
        <f aca="false">Sens!$M$5248</f>
        <v>202.082803059406</v>
      </c>
    </row>
    <row r="5258" customFormat="false" ht="17.15" hidden="false" customHeight="false" outlineLevel="0" collapsed="false">
      <c r="A5258" s="5" t="s">
        <v>731</v>
      </c>
      <c r="B5258" s="0" t="s">
        <v>73</v>
      </c>
      <c r="C5258" s="38" t="n">
        <f aca="false">Sens!$C$5236</f>
        <v>32.067</v>
      </c>
      <c r="D5258" s="38" t="n">
        <f aca="false">Sens!$D$5236</f>
        <v>41.86</v>
      </c>
      <c r="E5258" s="38" t="n">
        <f aca="false">Sens!$E$5236</f>
        <v>26.703</v>
      </c>
      <c r="F5258" s="38" t="n">
        <f aca="false">Sens!$F$5236</f>
        <v>30.6103857251209</v>
      </c>
      <c r="G5258" s="38" t="n">
        <f aca="false">Sens!$G$5236</f>
        <v>57.3133857251209</v>
      </c>
      <c r="H5258" s="38" t="n">
        <f aca="false">Sens!$H$5236</f>
        <v>87.6845218193838</v>
      </c>
      <c r="I5258" s="38" t="n">
        <f aca="false">Sens!$I$5236</f>
        <v>122.294769708638</v>
      </c>
      <c r="J5258" s="38" t="n">
        <f aca="false">Sens!$J$5236</f>
        <v>157.133962573221</v>
      </c>
      <c r="K5258" s="38" t="n">
        <f aca="false">Sens!$K$5236</f>
        <v>191.350633353599</v>
      </c>
      <c r="L5258" s="38" t="n">
        <f aca="false">Sens!$L$5236</f>
        <v>223.909238335354</v>
      </c>
      <c r="M5258" s="38" t="n">
        <f aca="false">Sens!$M$5236</f>
        <v>257.576319867276</v>
      </c>
    </row>
    <row r="5259" customFormat="false" ht="15" hidden="false" customHeight="false" outlineLevel="0" collapsed="false">
      <c r="A5259" s="5" t="s">
        <v>732</v>
      </c>
      <c r="B5259" s="0" t="s">
        <v>73</v>
      </c>
      <c r="C5259" s="38" t="n">
        <f aca="false">Q!$D$48</f>
        <v>22.011</v>
      </c>
      <c r="D5259" s="38" t="n">
        <f aca="false">Q!$E$48</f>
        <v>19.467</v>
      </c>
      <c r="E5259" s="38" t="n">
        <f aca="false">Q!$P$48</f>
        <v>10.07</v>
      </c>
      <c r="F5259" s="38" t="n">
        <f aca="false">sbc_r*Sens!$F$5180</f>
        <v>11.2170714500462</v>
      </c>
      <c r="G5259" s="38" t="n">
        <f aca="false">Sens!$E$5259+Sens!$F$5259</f>
        <v>21.2870714500462</v>
      </c>
      <c r="H5259" s="38" t="n">
        <f aca="false">sbc_r*Sens!$H$5180</f>
        <v>24.1772394325528</v>
      </c>
      <c r="I5259" s="38" t="n">
        <f aca="false">sbc_r*Sens!$I$5180</f>
        <v>27.6495284422397</v>
      </c>
      <c r="J5259" s="38" t="n">
        <f aca="false">sbc_r*Sens!$J$5180</f>
        <v>30.9042211184633</v>
      </c>
      <c r="K5259" s="38" t="n">
        <f aca="false">sbc_r*Sens!$K$5180</f>
        <v>33.8004145402678</v>
      </c>
      <c r="L5259" s="38" t="n">
        <f aca="false">sbc_r*Sens!$L$5180</f>
        <v>36.8322537652494</v>
      </c>
      <c r="M5259" s="38" t="n">
        <f aca="false">sbc_r*Sens!$M$5180</f>
        <v>40.0097627968013</v>
      </c>
    </row>
    <row r="5260" customFormat="false" ht="17.15" hidden="false" customHeight="false" outlineLevel="0" collapsed="false">
      <c r="A5260" s="5" t="s">
        <v>733</v>
      </c>
      <c r="B5260" s="0" t="s">
        <v>73</v>
      </c>
      <c r="C5260" s="38" t="n">
        <f aca="false">Q!$D$44-Sens!$C$5257-Sens!$C$5258-Sens!$C$5259</f>
        <v>2.551</v>
      </c>
      <c r="D5260" s="38" t="n">
        <f aca="false">Q!$E$44-Sens!$D$5257-Sens!$D$5258-Sens!$D$5259</f>
        <v>0.51700000000001</v>
      </c>
      <c r="E5260" s="38" t="n">
        <f aca="false">Q!$P$44-Sens!$E$5257-Sens!$E$5258-Sens!$E$5259</f>
        <v>-58.256</v>
      </c>
      <c r="F5260" s="38" t="n">
        <f aca="false">wc_2h26+oth_r*Sens!$F$5180</f>
        <v>7.34599241893378</v>
      </c>
      <c r="G5260" s="38" t="n">
        <f aca="false">Sens!$E$5260+Sens!$F$5260</f>
        <v>-50.9100075810662</v>
      </c>
      <c r="H5260" s="38" t="n">
        <f aca="false">oth_r*Sens!$H$5180</f>
        <v>11.6369707537667</v>
      </c>
      <c r="I5260" s="38" t="n">
        <f aca="false">oth_r*Sens!$I$5180</f>
        <v>13.3082502961262</v>
      </c>
      <c r="J5260" s="38" t="n">
        <f aca="false">oth_r*Sens!$J$5180</f>
        <v>14.8747965344332</v>
      </c>
      <c r="K5260" s="38" t="n">
        <f aca="false">oth_r*Sens!$K$5180</f>
        <v>16.2687901804328</v>
      </c>
      <c r="L5260" s="38" t="n">
        <f aca="false">oth_r*Sens!$L$5180</f>
        <v>17.7280727627002</v>
      </c>
      <c r="M5260" s="38" t="n">
        <f aca="false">oth_r*Sens!$M$5180</f>
        <v>19.2574690270319</v>
      </c>
      <c r="P5260" s="8" t="s">
        <v>734</v>
      </c>
    </row>
    <row r="5261" customFormat="false" ht="15" hidden="false" customHeight="false" outlineLevel="0" collapsed="false">
      <c r="A5261" s="3" t="s">
        <v>515</v>
      </c>
      <c r="B5261" s="8" t="s">
        <v>73</v>
      </c>
      <c r="C5261" s="38" t="n">
        <f aca="false">Q!$D$44</f>
        <v>115.877</v>
      </c>
      <c r="D5261" s="38" t="n">
        <f aca="false">Q!$E$44</f>
        <v>139.514</v>
      </c>
      <c r="E5261" s="38" t="n">
        <f aca="false">Q!$P$44</f>
        <v>71.419</v>
      </c>
      <c r="F5261" s="38" t="n">
        <f aca="false">Sens!$F$5257+Sens!$F$5258+Sens!$F$5259+Sens!$F$5260</f>
        <v>98.1168214087795</v>
      </c>
      <c r="G5261" s="38" t="n">
        <f aca="false">Sens!$E$5261+Sens!$F$5261</f>
        <v>169.535821408779</v>
      </c>
      <c r="H5261" s="38" t="n">
        <f aca="false">Sens!$H$5257+Sens!$H$5258+Sens!$H$5259+Sens!$H$5260</f>
        <v>232.771414908824</v>
      </c>
      <c r="I5261" s="38" t="n">
        <f aca="false">Sens!$I$5257+Sens!$I$5258+Sens!$I$5259+Sens!$I$5260</f>
        <v>291.558719809312</v>
      </c>
      <c r="J5261" s="38" t="n">
        <f aca="false">Sens!$J$5257+Sens!$J$5258+Sens!$J$5259+Sens!$J$5260</f>
        <v>349.413682016529</v>
      </c>
      <c r="K5261" s="38" t="n">
        <f aca="false">Sens!$K$5257+Sens!$K$5258+Sens!$K$5259+Sens!$K$5260</f>
        <v>404.158841197156</v>
      </c>
      <c r="L5261" s="38" t="n">
        <f aca="false">Sens!$L$5257+Sens!$L$5258+Sens!$L$5259+Sens!$L$5260</f>
        <v>460.380969240231</v>
      </c>
      <c r="M5261" s="38" t="n">
        <f aca="false">Sens!$M$5257+Sens!$M$5258+Sens!$M$5259+Sens!$M$5260</f>
        <v>518.926354750515</v>
      </c>
    </row>
    <row r="5262" customFormat="false" ht="17.15" hidden="false" customHeight="false" outlineLevel="0" collapsed="false">
      <c r="A5262" s="5" t="s">
        <v>735</v>
      </c>
      <c r="B5262" s="0" t="s">
        <v>73</v>
      </c>
      <c r="C5262" s="38" t="n">
        <f aca="false">Sens!$C$5149</f>
        <v>25.2781053077374</v>
      </c>
      <c r="D5262" s="38" t="n">
        <f aca="false">Sens!$D$5149</f>
        <v>69.5686316310026</v>
      </c>
      <c r="E5262" s="38" t="n">
        <f aca="false">Sens!$E$5149</f>
        <v>64.1899206485108</v>
      </c>
      <c r="F5262" s="38" t="n">
        <f aca="false">Sens!$F$5149</f>
        <v>96.2481299895</v>
      </c>
      <c r="G5262" s="38" t="n">
        <f aca="false">Sens!$G$5149</f>
        <v>160.438050638011</v>
      </c>
      <c r="H5262" s="38" t="n">
        <f aca="false">Sens!$H$5149</f>
        <v>198.57136494475</v>
      </c>
      <c r="I5262" s="38" t="n">
        <f aca="false">Sens!$I$5149</f>
        <v>204.6464699105</v>
      </c>
      <c r="J5262" s="38" t="n">
        <f aca="false">Sens!$J$5149</f>
        <v>209.8832381105</v>
      </c>
      <c r="K5262" s="38" t="n">
        <f aca="false">Sens!$K$5149</f>
        <v>215.1200063105</v>
      </c>
      <c r="L5262" s="38" t="n">
        <f aca="false">Sens!$L$5149</f>
        <v>251.7773837105</v>
      </c>
      <c r="M5262" s="38" t="n">
        <f aca="false">Sens!$M$5149</f>
        <v>311.87584476575</v>
      </c>
    </row>
    <row r="5263" customFormat="false" ht="17.15" hidden="false" customHeight="false" outlineLevel="0" collapsed="false">
      <c r="A5263" s="5" t="s">
        <v>736</v>
      </c>
      <c r="B5263" s="0" t="s">
        <v>73</v>
      </c>
      <c r="C5263" s="38" t="n">
        <f aca="false">cx_awso*Sens!$C$5178</f>
        <v>21.0469989286053</v>
      </c>
      <c r="D5263" s="38" t="n">
        <f aca="false">cx_awso*Sens!$D$5178</f>
        <v>24.0042459822698</v>
      </c>
      <c r="E5263" s="38" t="n">
        <f aca="false">cx_awso*Sens!$E$5178</f>
        <v>14.261729404886</v>
      </c>
      <c r="F5263" s="38" t="n">
        <f aca="false">cx_awso*Sens!$F$5178</f>
        <v>15.7190020837331</v>
      </c>
      <c r="G5263" s="38" t="n">
        <f aca="false">Sens!$E$5263+Sens!$F$5263</f>
        <v>29.9807314886191</v>
      </c>
      <c r="H5263" s="38" t="n">
        <f aca="false">cx_awso*Sens!$H$5178</f>
        <v>36.1787121536283</v>
      </c>
      <c r="I5263" s="38" t="n">
        <f aca="false">cx_awso*Sens!$I$5178</f>
        <v>42.1296794430021</v>
      </c>
      <c r="J5263" s="38" t="n">
        <f aca="false">cx_awso*Sens!$J$5178</f>
        <v>47.279781889299</v>
      </c>
      <c r="K5263" s="38" t="n">
        <f aca="false">cx_awso*Sens!$K$5178</f>
        <v>51.0621644404429</v>
      </c>
      <c r="L5263" s="38" t="n">
        <f aca="false">cx_awso*Sens!$L$5178</f>
        <v>55.1471375956783</v>
      </c>
      <c r="M5263" s="38" t="n">
        <f aca="false">cx_awso*Sens!$M$5178</f>
        <v>59.5589086033326</v>
      </c>
    </row>
    <row r="5264" customFormat="false" ht="17.15" hidden="false" customHeight="false" outlineLevel="0" collapsed="false">
      <c r="A5264" s="5" t="s">
        <v>737</v>
      </c>
      <c r="B5264" s="0" t="s">
        <v>73</v>
      </c>
      <c r="C5264" s="38" t="n">
        <f aca="false">Q!$D$46-Sens!$C$5262-Sens!$C$5263</f>
        <v>31.3328957636573</v>
      </c>
      <c r="D5264" s="38" t="n">
        <f aca="false">Q!$E$46-Sens!$D$5262-Sens!$D$5263</f>
        <v>34.7471223867276</v>
      </c>
      <c r="E5264" s="38" t="n">
        <f aca="false">Q!$P$46-Sens!$E$5262-Sens!$E$5263</f>
        <v>17.8583499466032</v>
      </c>
      <c r="F5264" s="38" t="n">
        <f aca="false">cx_rt*Sens!$F$5113</f>
        <v>21.0855744229195</v>
      </c>
      <c r="G5264" s="38" t="n">
        <f aca="false">Sens!$E$5264+Sens!$F$5264</f>
        <v>38.9439243695228</v>
      </c>
      <c r="H5264" s="38" t="n">
        <f aca="false">cx_rt*Sens!$H$5113</f>
        <v>43.1200434029767</v>
      </c>
      <c r="I5264" s="38" t="n">
        <f aca="false">cx_rt*Sens!$I$5113</f>
        <v>47.1583152318763</v>
      </c>
      <c r="J5264" s="38" t="n">
        <f aca="false">cx_rt*Sens!$J$5113</f>
        <v>50.9060281137911</v>
      </c>
      <c r="K5264" s="38" t="n">
        <f aca="false">cx_rt*Sens!$K$5113</f>
        <v>54.2035645673053</v>
      </c>
      <c r="L5264" s="38" t="n">
        <f aca="false">cx_rt*Sens!$L$5113</f>
        <v>57.7318979121519</v>
      </c>
      <c r="M5264" s="38" t="n">
        <f aca="false">cx_rt*Sens!$M$5113</f>
        <v>61.5084196557756</v>
      </c>
    </row>
    <row r="5265" customFormat="false" ht="15" hidden="false" customHeight="false" outlineLevel="0" collapsed="false">
      <c r="A5265" s="3" t="s">
        <v>738</v>
      </c>
      <c r="B5265" s="8" t="s">
        <v>73</v>
      </c>
      <c r="C5265" s="38" t="n">
        <f aca="false">Q!$D$46</f>
        <v>77.658</v>
      </c>
      <c r="D5265" s="38" t="n">
        <f aca="false">Q!$E$46</f>
        <v>128.32</v>
      </c>
      <c r="E5265" s="38" t="n">
        <f aca="false">Q!$P$46</f>
        <v>96.31</v>
      </c>
      <c r="F5265" s="38" t="n">
        <f aca="false">Sens!$F$5262+Sens!$F$5263+Sens!$F$5264</f>
        <v>133.052706496153</v>
      </c>
      <c r="G5265" s="38" t="n">
        <f aca="false">Sens!$E$5265+Sens!$F$5265</f>
        <v>229.362706496153</v>
      </c>
      <c r="H5265" s="38" t="n">
        <f aca="false">Sens!$H$5262+Sens!$H$5263+Sens!$H$5264</f>
        <v>277.870120501355</v>
      </c>
      <c r="I5265" s="38" t="n">
        <f aca="false">Sens!$I$5262+Sens!$I$5263+Sens!$I$5264</f>
        <v>293.934464585378</v>
      </c>
      <c r="J5265" s="38" t="n">
        <f aca="false">Sens!$J$5262+Sens!$J$5263+Sens!$J$5264</f>
        <v>308.06904811359</v>
      </c>
      <c r="K5265" s="38" t="n">
        <f aca="false">Sens!$K$5262+Sens!$K$5263+Sens!$K$5264</f>
        <v>320.385735318248</v>
      </c>
      <c r="L5265" s="38" t="n">
        <f aca="false">Sens!$L$5262+Sens!$L$5263+Sens!$L$5264</f>
        <v>364.65641921833</v>
      </c>
      <c r="M5265" s="38" t="n">
        <f aca="false">Sens!$M$5262+Sens!$M$5263+Sens!$M$5264</f>
        <v>432.943173024858</v>
      </c>
    </row>
    <row r="5266" customFormat="false" ht="17.15" hidden="false" customHeight="false" outlineLevel="0" collapsed="false">
      <c r="A5266" s="5" t="s">
        <v>523</v>
      </c>
      <c r="B5266" s="0" t="s">
        <v>73</v>
      </c>
      <c r="C5266" s="38" t="n">
        <f aca="false">Q!$D$50</f>
        <v>2.043</v>
      </c>
      <c r="D5266" s="38" t="n">
        <f aca="false">Q!$E$50</f>
        <v>1.557</v>
      </c>
      <c r="E5266" s="38" t="n">
        <f aca="false">lease_pr/2</f>
        <v>0.8</v>
      </c>
      <c r="F5266" s="38" t="n">
        <f aca="false">lease_pr/2</f>
        <v>0.8</v>
      </c>
      <c r="G5266" s="38" t="n">
        <f aca="false">Sens!$E$5266+Sens!$F$5266</f>
        <v>1.6</v>
      </c>
      <c r="H5266" s="38" t="n">
        <f aca="false">lease_pr</f>
        <v>1.6</v>
      </c>
      <c r="I5266" s="38" t="n">
        <f aca="false">lease_pr</f>
        <v>1.6</v>
      </c>
      <c r="J5266" s="38" t="n">
        <f aca="false">lease_pr</f>
        <v>1.6</v>
      </c>
      <c r="K5266" s="38" t="n">
        <f aca="false">lease_pr</f>
        <v>1.6</v>
      </c>
      <c r="L5266" s="38" t="n">
        <f aca="false">lease_pr</f>
        <v>1.6</v>
      </c>
      <c r="M5266" s="38" t="n">
        <f aca="false">lease_pr</f>
        <v>1.6</v>
      </c>
      <c r="P5266" s="8" t="s">
        <v>739</v>
      </c>
    </row>
    <row r="5267" customFormat="false" ht="15" hidden="false" customHeight="false" outlineLevel="0" collapsed="false">
      <c r="A5267" s="46" t="s">
        <v>740</v>
      </c>
      <c r="B5267" s="13" t="s">
        <v>73</v>
      </c>
      <c r="C5267" s="47" t="n">
        <f aca="false">Sens!$C$5261-Sens!$C$5265-Sens!$C$5266</f>
        <v>36.176</v>
      </c>
      <c r="D5267" s="47" t="n">
        <f aca="false">Sens!$D$5261-Sens!$D$5265-Sens!$D$5266</f>
        <v>9.63700000000002</v>
      </c>
      <c r="E5267" s="47" t="n">
        <f aca="false">Sens!$E$5261-Sens!$E$5265-Sens!$E$5266</f>
        <v>-25.691</v>
      </c>
      <c r="F5267" s="47" t="n">
        <f aca="false">Sens!$F$5261-Sens!$F$5265-Sens!$F$5266</f>
        <v>-35.7358850873731</v>
      </c>
      <c r="G5267" s="47" t="n">
        <f aca="false">Sens!$G$5261-Sens!$G$5265-Sens!$G$5266</f>
        <v>-61.4268850873731</v>
      </c>
      <c r="H5267" s="47" t="n">
        <f aca="false">Sens!$H$5261-Sens!$H$5265-Sens!$H$5266</f>
        <v>-46.6987055925312</v>
      </c>
      <c r="I5267" s="47" t="n">
        <f aca="false">Sens!$I$5261-Sens!$I$5265-Sens!$I$5266</f>
        <v>-3.97574477606648</v>
      </c>
      <c r="J5267" s="47" t="n">
        <f aca="false">Sens!$J$5261-Sens!$J$5265-Sens!$J$5266</f>
        <v>39.7446339029391</v>
      </c>
      <c r="K5267" s="47" t="n">
        <f aca="false">Sens!$K$5261-Sens!$K$5265-Sens!$K$5266</f>
        <v>82.1731058789073</v>
      </c>
      <c r="L5267" s="47" t="n">
        <f aca="false">Sens!$L$5261-Sens!$L$5265-Sens!$L$5266</f>
        <v>94.1245500219009</v>
      </c>
      <c r="M5267" s="47" t="n">
        <f aca="false">Sens!$M$5261-Sens!$M$5265-Sens!$M$5266</f>
        <v>84.3831817256571</v>
      </c>
      <c r="N5267" s="13"/>
      <c r="O5267" s="13"/>
    </row>
    <row r="5268" customFormat="false" ht="17.15" hidden="false" customHeight="false" outlineLevel="0" collapsed="false">
      <c r="A5268" s="5" t="s">
        <v>741</v>
      </c>
      <c r="B5268" s="0" t="s">
        <v>73</v>
      </c>
      <c r="C5268" s="38" t="n">
        <f aca="false">dps*Sens!$C$5249</f>
        <v>0</v>
      </c>
      <c r="D5268" s="38" t="n">
        <f aca="false">dps*Sens!$D$5249</f>
        <v>0</v>
      </c>
      <c r="E5268" s="38" t="n">
        <f aca="false">dps*Sens!$E$5249</f>
        <v>0</v>
      </c>
      <c r="F5268" s="38" t="n">
        <f aca="false">0</f>
        <v>0</v>
      </c>
      <c r="G5268" s="38" t="n">
        <f aca="false">dps*Sens!$G$5249</f>
        <v>0</v>
      </c>
      <c r="H5268" s="38" t="n">
        <f aca="false">dps*Sens!$H$5249</f>
        <v>0</v>
      </c>
      <c r="I5268" s="38" t="n">
        <f aca="false">dps*Sens!$I$5249</f>
        <v>0</v>
      </c>
      <c r="J5268" s="38" t="n">
        <f aca="false">dps*Sens!$J$5249</f>
        <v>0</v>
      </c>
      <c r="K5268" s="38" t="n">
        <f aca="false">dps*Sens!$K$5249</f>
        <v>0</v>
      </c>
      <c r="L5268" s="38" t="n">
        <f aca="false">dps*Sens!$L$5249</f>
        <v>0</v>
      </c>
      <c r="M5268" s="38" t="n">
        <f aca="false">dps*Sens!$M$5249</f>
        <v>0</v>
      </c>
      <c r="P5268" s="8" t="s">
        <v>742</v>
      </c>
    </row>
    <row r="5269" customFormat="false" ht="17.15" hidden="false" customHeight="false" outlineLevel="0" collapsed="false">
      <c r="A5269" s="5" t="s">
        <v>743</v>
      </c>
      <c r="B5269" s="0" t="s">
        <v>73</v>
      </c>
      <c r="C5269" s="38" t="n">
        <f aca="false">0</f>
        <v>0</v>
      </c>
      <c r="D5269" s="38" t="n">
        <f aca="false">0</f>
        <v>0</v>
      </c>
      <c r="E5269" s="38" t="n">
        <f aca="false">0</f>
        <v>0</v>
      </c>
      <c r="F5269" s="38" t="n">
        <f aca="false">0</f>
        <v>0</v>
      </c>
      <c r="G5269" s="38" t="n">
        <f aca="false">0</f>
        <v>0</v>
      </c>
      <c r="H5269" s="38" t="n">
        <f aca="false">0</f>
        <v>0</v>
      </c>
      <c r="I5269" s="38" t="n">
        <f aca="false">0</f>
        <v>0</v>
      </c>
      <c r="J5269" s="38" t="n">
        <f aca="false">0</f>
        <v>0</v>
      </c>
      <c r="K5269" s="38" t="n">
        <f aca="false">0</f>
        <v>0</v>
      </c>
      <c r="L5269" s="38" t="n">
        <f aca="false">0</f>
        <v>0</v>
      </c>
      <c r="M5269" s="38" t="n">
        <f aca="false">0</f>
        <v>0</v>
      </c>
      <c r="P5269" s="8" t="s">
        <v>744</v>
      </c>
    </row>
    <row r="5270" customFormat="false" ht="15" hidden="false" customHeight="false" outlineLevel="0" collapsed="false">
      <c r="A5270" s="3" t="s">
        <v>745</v>
      </c>
      <c r="B5270" s="8" t="s">
        <v>73</v>
      </c>
      <c r="C5270" s="38" t="n">
        <f aca="false">Sens!$C$5267-Sens!$C$5268</f>
        <v>36.176</v>
      </c>
      <c r="D5270" s="38" t="n">
        <f aca="false">Sens!$D$5267-Sens!$D$5268</f>
        <v>9.63700000000002</v>
      </c>
      <c r="E5270" s="38" t="n">
        <f aca="false">Sens!$E$5267-Sens!$E$5268</f>
        <v>-25.691</v>
      </c>
      <c r="F5270" s="38" t="n">
        <f aca="false">Sens!$F$5267-Sens!$F$5268</f>
        <v>-35.7358850873731</v>
      </c>
      <c r="G5270" s="38" t="n">
        <f aca="false">Sens!$G$5267-Sens!$G$5268</f>
        <v>-61.4268850873731</v>
      </c>
      <c r="H5270" s="38" t="n">
        <f aca="false">Sens!$H$5267-Sens!$H$5268</f>
        <v>-46.6987055925312</v>
      </c>
      <c r="I5270" s="38" t="n">
        <f aca="false">Sens!$I$5267-Sens!$I$5268</f>
        <v>-3.97574477606648</v>
      </c>
      <c r="J5270" s="38" t="n">
        <f aca="false">Sens!$J$5267-Sens!$J$5268</f>
        <v>39.7446339029391</v>
      </c>
      <c r="K5270" s="38" t="n">
        <f aca="false">Sens!$K$5267-Sens!$K$5268</f>
        <v>82.1731058789073</v>
      </c>
      <c r="L5270" s="38" t="n">
        <f aca="false">Sens!$L$5267-Sens!$L$5268</f>
        <v>94.1245500219009</v>
      </c>
      <c r="M5270" s="38" t="n">
        <f aca="false">Sens!$M$5267-Sens!$M$5268</f>
        <v>84.3831817256571</v>
      </c>
    </row>
    <row r="5271" customFormat="false" ht="17.15" hidden="false" customHeight="false" outlineLevel="0" collapsed="false">
      <c r="A5271" s="5" t="s">
        <v>746</v>
      </c>
      <c r="B5271" s="0" t="s">
        <v>73</v>
      </c>
      <c r="E5271" s="38" t="n">
        <f aca="false">Q!$P$53</f>
        <v>39.767</v>
      </c>
      <c r="F5271" s="38" t="n">
        <f aca="false">inv_2h26</f>
        <v>21.3</v>
      </c>
      <c r="G5271" s="38" t="n">
        <f aca="false">Sens!$E$5271+Sens!$F$5271</f>
        <v>61.067</v>
      </c>
      <c r="H5271" s="41" t="n">
        <v>0</v>
      </c>
      <c r="I5271" s="41" t="n">
        <v>0</v>
      </c>
      <c r="J5271" s="41" t="n">
        <v>0</v>
      </c>
      <c r="K5271" s="41" t="n">
        <v>0</v>
      </c>
      <c r="L5271" s="41" t="n">
        <v>0</v>
      </c>
      <c r="M5271" s="41" t="n">
        <v>0</v>
      </c>
    </row>
    <row r="5272" customFormat="false" ht="17.15" hidden="false" customHeight="false" outlineLevel="0" collapsed="false">
      <c r="A5272" s="5" t="s">
        <v>747</v>
      </c>
      <c r="B5272" s="0" t="s">
        <v>73</v>
      </c>
      <c r="F5272" s="38" t="n">
        <f aca="false">iss_2h26</f>
        <v>29.25</v>
      </c>
      <c r="G5272" s="38" t="n">
        <f aca="false">Sens!$F$5272</f>
        <v>29.25</v>
      </c>
      <c r="H5272" s="41" t="n">
        <v>0</v>
      </c>
      <c r="I5272" s="41" t="n">
        <v>0</v>
      </c>
      <c r="J5272" s="41" t="n">
        <v>0</v>
      </c>
      <c r="K5272" s="41" t="n">
        <v>0</v>
      </c>
      <c r="L5272" s="41" t="n">
        <v>0</v>
      </c>
      <c r="M5272" s="41" t="n">
        <v>0</v>
      </c>
    </row>
    <row r="5273" customFormat="false" ht="17.15" hidden="false" customHeight="false" outlineLevel="0" collapsed="false">
      <c r="A5273" s="5" t="s">
        <v>748</v>
      </c>
      <c r="B5273" s="0" t="s">
        <v>73</v>
      </c>
      <c r="F5273" s="38" t="n">
        <f aca="false">cash_q2</f>
        <v>122.988</v>
      </c>
      <c r="G5273" s="38" t="n">
        <f aca="false">cash_q2</f>
        <v>122.988</v>
      </c>
      <c r="H5273" s="38" t="n">
        <f aca="false">Sens!$G$5276</f>
        <v>95.2021149126269</v>
      </c>
      <c r="I5273" s="38" t="n">
        <f aca="false">Sens!$H$5276</f>
        <v>50</v>
      </c>
      <c r="J5273" s="38" t="n">
        <f aca="false">Sens!$I$5276</f>
        <v>50</v>
      </c>
      <c r="K5273" s="38" t="n">
        <f aca="false">Sens!$J$5276</f>
        <v>89.7446339029391</v>
      </c>
      <c r="L5273" s="38" t="n">
        <f aca="false">Sens!$K$5276</f>
        <v>171.917739781846</v>
      </c>
      <c r="M5273" s="38" t="n">
        <f aca="false">Sens!$L$5276</f>
        <v>266.042289803747</v>
      </c>
    </row>
    <row r="5274" customFormat="false" ht="15" hidden="false" customHeight="false" outlineLevel="0" collapsed="false">
      <c r="A5274" s="5" t="s">
        <v>749</v>
      </c>
      <c r="B5274" s="0" t="s">
        <v>73</v>
      </c>
      <c r="F5274" s="38" t="n">
        <f aca="false">Sens!$F$5273+Sens!$F$5270-Sens!$F$5269-Sens!$F$5271+Sens!$F$5272</f>
        <v>95.2021149126269</v>
      </c>
      <c r="H5274" s="38" t="n">
        <f aca="false">Sens!$H$5273+Sens!$H$5270-Sens!$H$5269-Sens!$H$5271+Sens!$H$5272</f>
        <v>48.5034093200957</v>
      </c>
      <c r="I5274" s="38" t="n">
        <f aca="false">Sens!$I$5273+Sens!$I$5270-Sens!$I$5269-Sens!$I$5271+Sens!$I$5272</f>
        <v>46.0242552239335</v>
      </c>
      <c r="J5274" s="38" t="n">
        <f aca="false">Sens!$J$5273+Sens!$J$5270-Sens!$J$5269-Sens!$J$5271+Sens!$J$5272</f>
        <v>89.7446339029391</v>
      </c>
      <c r="K5274" s="38" t="n">
        <f aca="false">Sens!$K$5273+Sens!$K$5270-Sens!$K$5269-Sens!$K$5271+Sens!$K$5272</f>
        <v>171.917739781846</v>
      </c>
      <c r="L5274" s="38" t="n">
        <f aca="false">Sens!$L$5273+Sens!$L$5270-Sens!$L$5269-Sens!$L$5271+Sens!$L$5272</f>
        <v>266.042289803747</v>
      </c>
      <c r="M5274" s="38" t="n">
        <f aca="false">Sens!$M$5273+Sens!$M$5270-Sens!$M$5269-Sens!$M$5271+Sens!$M$5272</f>
        <v>350.425471529404</v>
      </c>
    </row>
    <row r="5275" customFormat="false" ht="17.15" hidden="false" customHeight="false" outlineLevel="0" collapsed="false">
      <c r="A5275" s="5" t="s">
        <v>750</v>
      </c>
      <c r="B5275" s="0" t="s">
        <v>73</v>
      </c>
      <c r="F5275" s="38" t="n">
        <f aca="false">MAX(0,min_cash-Sens!$F$5274)</f>
        <v>0</v>
      </c>
      <c r="G5275" s="38" t="n">
        <f aca="false">Sens!$F$5275</f>
        <v>0</v>
      </c>
      <c r="H5275" s="38" t="n">
        <f aca="false">MAX(0,min_cash-Sens!$H$5274)</f>
        <v>1.49659067990431</v>
      </c>
      <c r="I5275" s="38" t="n">
        <f aca="false">MAX(0,min_cash-Sens!$I$5274)</f>
        <v>3.97574477606648</v>
      </c>
      <c r="J5275" s="38" t="n">
        <f aca="false">MAX(0,min_cash-Sens!$J$5274)</f>
        <v>0</v>
      </c>
      <c r="K5275" s="38" t="n">
        <f aca="false">MAX(0,min_cash-Sens!$K$5274)</f>
        <v>0</v>
      </c>
      <c r="L5275" s="38" t="n">
        <f aca="false">MAX(0,min_cash-Sens!$L$5274)</f>
        <v>0</v>
      </c>
      <c r="M5275" s="38" t="n">
        <f aca="false">MAX(0,min_cash-Sens!$M$5274)</f>
        <v>0</v>
      </c>
      <c r="P5275" s="5" t="s">
        <v>751</v>
      </c>
    </row>
    <row r="5276" customFormat="false" ht="15" hidden="false" customHeight="false" outlineLevel="0" collapsed="false">
      <c r="A5276" s="5" t="s">
        <v>752</v>
      </c>
      <c r="B5276" s="0" t="s">
        <v>73</v>
      </c>
      <c r="D5276" s="38" t="n">
        <f aca="false">Q!$E$61</f>
        <v>123.029</v>
      </c>
      <c r="E5276" s="38" t="n">
        <f aca="false">Q!$M$61</f>
        <v>122.988</v>
      </c>
      <c r="F5276" s="38" t="n">
        <f aca="false">Sens!$F$5274+Sens!$F$5275</f>
        <v>95.2021149126269</v>
      </c>
      <c r="G5276" s="38" t="n">
        <f aca="false">Sens!$F$5276</f>
        <v>95.2021149126269</v>
      </c>
      <c r="H5276" s="38" t="n">
        <f aca="false">Sens!$H$5274+Sens!$H$5275</f>
        <v>50</v>
      </c>
      <c r="I5276" s="38" t="n">
        <f aca="false">Sens!$I$5274+Sens!$I$5275</f>
        <v>50</v>
      </c>
      <c r="J5276" s="38" t="n">
        <f aca="false">Sens!$J$5274+Sens!$J$5275</f>
        <v>89.7446339029391</v>
      </c>
      <c r="K5276" s="38" t="n">
        <f aca="false">Sens!$K$5274+Sens!$K$5275</f>
        <v>171.917739781846</v>
      </c>
      <c r="L5276" s="38" t="n">
        <f aca="false">Sens!$L$5274+Sens!$L$5275</f>
        <v>266.042289803747</v>
      </c>
      <c r="M5276" s="38" t="n">
        <f aca="false">Sens!$M$5274+Sens!$M$5275</f>
        <v>350.425471529404</v>
      </c>
    </row>
    <row r="5277" customFormat="false" ht="15" hidden="false" customHeight="false" outlineLevel="0" collapsed="false">
      <c r="A5277" s="5" t="s">
        <v>753</v>
      </c>
      <c r="B5277" s="0" t="s">
        <v>73</v>
      </c>
      <c r="D5277" s="38" t="n">
        <f aca="false">Q!$E$62</f>
        <v>68.836</v>
      </c>
      <c r="E5277" s="38" t="n">
        <f aca="false">Q!$M$62</f>
        <v>132.995</v>
      </c>
      <c r="F5277" s="38" t="n">
        <f aca="false">debt_q2+Sens!$F$5272+Sens!$F$5275</f>
        <v>162.245</v>
      </c>
      <c r="G5277" s="38" t="n">
        <f aca="false">Sens!$F$5277</f>
        <v>162.245</v>
      </c>
      <c r="H5277" s="38" t="n">
        <f aca="false">Sens!$G$5277+Sens!$H$5275</f>
        <v>163.741590679904</v>
      </c>
      <c r="I5277" s="38" t="n">
        <f aca="false">Sens!$H$5277+Sens!$I$5275</f>
        <v>167.717335455971</v>
      </c>
      <c r="J5277" s="38" t="n">
        <f aca="false">Sens!$I$5277+Sens!$J$5275</f>
        <v>167.717335455971</v>
      </c>
      <c r="K5277" s="38" t="n">
        <f aca="false">Sens!$J$5277+Sens!$K$5275</f>
        <v>167.717335455971</v>
      </c>
      <c r="L5277" s="38" t="n">
        <f aca="false">Sens!$K$5277+Sens!$L$5275</f>
        <v>167.717335455971</v>
      </c>
      <c r="M5277" s="38" t="n">
        <f aca="false">Sens!$L$5277+Sens!$M$5275</f>
        <v>167.717335455971</v>
      </c>
    </row>
    <row r="5278" customFormat="false" ht="15" hidden="false" customHeight="false" outlineLevel="0" collapsed="false">
      <c r="A5278" s="5" t="s">
        <v>754</v>
      </c>
      <c r="B5278" s="0" t="s">
        <v>73</v>
      </c>
      <c r="D5278" s="38" t="n">
        <f aca="false">Sens!$D$5277-Sens!$D$5276</f>
        <v>-54.193</v>
      </c>
      <c r="E5278" s="38" t="n">
        <f aca="false">Sens!$E$5277-Sens!$E$5276</f>
        <v>10.007</v>
      </c>
      <c r="F5278" s="38" t="n">
        <f aca="false">Sens!$F$5277-Sens!$F$5276</f>
        <v>67.0428850873731</v>
      </c>
      <c r="G5278" s="38" t="n">
        <f aca="false">Sens!$G$5277-Sens!$G$5276</f>
        <v>67.0428850873731</v>
      </c>
      <c r="H5278" s="38" t="n">
        <f aca="false">Sens!$H$5277-Sens!$H$5276</f>
        <v>113.741590679904</v>
      </c>
      <c r="I5278" s="38" t="n">
        <f aca="false">Sens!$I$5277-Sens!$I$5276</f>
        <v>117.717335455971</v>
      </c>
      <c r="J5278" s="38" t="n">
        <f aca="false">Sens!$J$5277-Sens!$J$5276</f>
        <v>77.9727015530317</v>
      </c>
      <c r="K5278" s="38" t="n">
        <f aca="false">Sens!$K$5277-Sens!$K$5276</f>
        <v>-4.20040432587558</v>
      </c>
      <c r="L5278" s="38" t="n">
        <f aca="false">Sens!$L$5277-Sens!$L$5276</f>
        <v>-98.3249543477765</v>
      </c>
      <c r="M5278" s="38" t="n">
        <f aca="false">Sens!$M$5277-Sens!$M$5276</f>
        <v>-182.708136073434</v>
      </c>
    </row>
    <row r="5279" customFormat="false" ht="17.15" hidden="false" customHeight="false" outlineLevel="0" collapsed="false">
      <c r="A5279" s="5" t="s">
        <v>755</v>
      </c>
      <c r="B5279" s="0" t="s">
        <v>73</v>
      </c>
      <c r="F5279" s="38" t="n">
        <f aca="false">debt_q2*kd_book*0.5+iss_2h26*kd_new*0.25</f>
        <v>3.24888964316061</v>
      </c>
      <c r="H5279" s="38" t="n">
        <f aca="false">debt_q2*kd_book+(Sens!$G$5277-debt_q2)*kd_new</f>
        <v>7.42354178632123</v>
      </c>
      <c r="I5279" s="38" t="n">
        <f aca="false">debt_q2*kd_book+(Sens!$H$5277-debt_q2)*kd_new</f>
        <v>7.51827597635917</v>
      </c>
      <c r="J5279" s="38" t="n">
        <f aca="false">debt_q2*kd_book+(Sens!$I$5277-debt_q2)*kd_new</f>
        <v>7.76994062068418</v>
      </c>
      <c r="K5279" s="38" t="n">
        <f aca="false">debt_q2*kd_book+(Sens!$J$5277-debt_q2)*kd_new</f>
        <v>7.76994062068418</v>
      </c>
      <c r="L5279" s="38" t="n">
        <f aca="false">debt_q2*kd_book+(Sens!$K$5277-debt_q2)*kd_new</f>
        <v>7.76994062068418</v>
      </c>
      <c r="M5279" s="38" t="n">
        <f aca="false">debt_q2*kd_book+(Sens!$L$5277-debt_q2)*kd_new</f>
        <v>7.76994062068418</v>
      </c>
    </row>
    <row r="5280" customFormat="false" ht="17.15" hidden="false" customHeight="false" outlineLevel="0" collapsed="false">
      <c r="A5280" s="5" t="s">
        <v>756</v>
      </c>
      <c r="B5280" s="0" t="s">
        <v>73</v>
      </c>
      <c r="F5280" s="38" t="n">
        <f aca="false">cash_q2*y_cash*0.5</f>
        <v>2.59</v>
      </c>
      <c r="H5280" s="38" t="n">
        <f aca="false">Sens!$G$5276*y_cash</f>
        <v>4.00971603121774</v>
      </c>
      <c r="I5280" s="38" t="n">
        <f aca="false">Sens!$H$5276*y_cash</f>
        <v>2.10589651022864</v>
      </c>
      <c r="J5280" s="38" t="n">
        <f aca="false">Sens!$I$5276*y_cash</f>
        <v>2.10589651022864</v>
      </c>
      <c r="K5280" s="38" t="n">
        <f aca="false">Sens!$J$5276*y_cash</f>
        <v>3.77985822695893</v>
      </c>
      <c r="L5280" s="38" t="n">
        <f aca="false">Sens!$K$5276*y_cash</f>
        <v>7.24081936505971</v>
      </c>
      <c r="M5280" s="38" t="n">
        <f aca="false">Sens!$L$5276*y_cash</f>
        <v>11.205150593419</v>
      </c>
    </row>
    <row r="5281" customFormat="false" ht="17.15" hidden="false" customHeight="false" outlineLevel="0" collapsed="false">
      <c r="A5281" s="46" t="s">
        <v>757</v>
      </c>
      <c r="B5281" s="13" t="s">
        <v>73</v>
      </c>
      <c r="C5281" s="13"/>
      <c r="D5281" s="13"/>
      <c r="E5281" s="13"/>
      <c r="F5281" s="13"/>
      <c r="G5281" s="47" t="n">
        <f aca="false">SUM(Sens!$G$5270:$K$5270)</f>
        <v>9.81640432587554</v>
      </c>
      <c r="H5281" s="13"/>
      <c r="I5281" s="13"/>
      <c r="J5281" s="13"/>
      <c r="K5281" s="13"/>
      <c r="L5281" s="13"/>
      <c r="M5281" s="13"/>
      <c r="N5281" s="13"/>
      <c r="O5281" s="13"/>
    </row>
    <row r="5282" customFormat="false" ht="17.15" hidden="false" customHeight="false" outlineLevel="0" collapsed="false">
      <c r="A5282" s="0" t="s">
        <v>724</v>
      </c>
      <c r="B5282" s="0" t="s">
        <v>73</v>
      </c>
      <c r="G5282" s="38" t="n">
        <f aca="false">SUM(Sens!$G$5275:$K$5275)</f>
        <v>5.47233545597079</v>
      </c>
    </row>
    <row r="5285" customFormat="false" ht="19.4" hidden="false" customHeight="false" outlineLevel="0" collapsed="false">
      <c r="A5285" s="31" t="s">
        <v>1159</v>
      </c>
    </row>
    <row r="5286" customFormat="false" ht="17.15" hidden="false" customHeight="false" outlineLevel="0" collapsed="false">
      <c r="A5286" s="6" t="s">
        <v>16</v>
      </c>
      <c r="B5286" s="6" t="s">
        <v>17</v>
      </c>
      <c r="C5286" s="20" t="s">
        <v>457</v>
      </c>
      <c r="D5286" s="20" t="s">
        <v>458</v>
      </c>
      <c r="E5286" s="20" t="s">
        <v>540</v>
      </c>
      <c r="F5286" s="20" t="s">
        <v>541</v>
      </c>
      <c r="G5286" s="20" t="s">
        <v>542</v>
      </c>
      <c r="H5286" s="20" t="s">
        <v>543</v>
      </c>
      <c r="I5286" s="20" t="s">
        <v>544</v>
      </c>
      <c r="J5286" s="20" t="s">
        <v>545</v>
      </c>
      <c r="K5286" s="20" t="s">
        <v>546</v>
      </c>
      <c r="L5286" s="20" t="s">
        <v>547</v>
      </c>
      <c r="M5286" s="20" t="s">
        <v>548</v>
      </c>
      <c r="N5286" s="20" t="s">
        <v>549</v>
      </c>
      <c r="O5286" s="20" t="s">
        <v>550</v>
      </c>
      <c r="P5286" s="6" t="s">
        <v>23</v>
      </c>
      <c r="R5286" s="20" t="n">
        <v>2023</v>
      </c>
      <c r="S5286" s="20" t="n">
        <v>2024</v>
      </c>
      <c r="T5286" s="20" t="n">
        <v>2025</v>
      </c>
      <c r="U5286" s="20" t="n">
        <v>2026</v>
      </c>
      <c r="V5286" s="20" t="n">
        <v>2027</v>
      </c>
      <c r="W5286" s="20" t="n">
        <v>2028</v>
      </c>
      <c r="X5286" s="20" t="n">
        <v>2029</v>
      </c>
      <c r="Y5286" s="20" t="n">
        <v>2030</v>
      </c>
      <c r="Z5286" s="20" t="n">
        <v>2031</v>
      </c>
      <c r="AA5286" s="20" t="n">
        <v>2032</v>
      </c>
    </row>
    <row r="5287" customFormat="false" ht="17.15" hidden="false" customHeight="false" outlineLevel="0" collapsed="false">
      <c r="A5287" s="1" t="s">
        <v>852</v>
      </c>
    </row>
    <row r="5288" customFormat="false" ht="17.15" hidden="false" customHeight="false" outlineLevel="0" collapsed="false">
      <c r="A5288" s="0" t="s">
        <v>853</v>
      </c>
      <c r="B5288" s="0" t="s">
        <v>73</v>
      </c>
      <c r="H5288" s="38" t="n">
        <f aca="false">Sens!$H$5224*(1-tax)</f>
        <v>112.093921330558</v>
      </c>
      <c r="I5288" s="38" t="n">
        <f aca="false">Sens!$I$5224*(1-tax)</f>
        <v>132.779045500917</v>
      </c>
      <c r="J5288" s="38" t="n">
        <f aca="false">Sens!$J$5224*(1-tax)</f>
        <v>151.181555485193</v>
      </c>
      <c r="K5288" s="38" t="n">
        <f aca="false">Sens!$K$5224*(1-tax)</f>
        <v>166.036468953087</v>
      </c>
      <c r="L5288" s="38" t="n">
        <f aca="false">Sens!$L$5224*(1-tax)</f>
        <v>182.348678369869</v>
      </c>
      <c r="M5288" s="38" t="n">
        <f aca="false">Sens!$M$5224*(1-tax)</f>
        <v>199.243892383632</v>
      </c>
    </row>
    <row r="5289" customFormat="false" ht="15" hidden="false" customHeight="false" outlineLevel="0" collapsed="false">
      <c r="A5289" s="5" t="s">
        <v>854</v>
      </c>
      <c r="B5289" s="0" t="s">
        <v>73</v>
      </c>
      <c r="H5289" s="38" t="n">
        <f aca="false">Sens!$H$5236</f>
        <v>87.6845218193838</v>
      </c>
      <c r="I5289" s="38" t="n">
        <f aca="false">Sens!$I$5236</f>
        <v>122.294769708638</v>
      </c>
      <c r="J5289" s="38" t="n">
        <f aca="false">Sens!$J$5236</f>
        <v>157.133962573221</v>
      </c>
      <c r="K5289" s="38" t="n">
        <f aca="false">Sens!$K$5236</f>
        <v>191.350633353599</v>
      </c>
      <c r="L5289" s="38" t="n">
        <f aca="false">Sens!$L$5236</f>
        <v>223.909238335354</v>
      </c>
      <c r="M5289" s="38" t="n">
        <f aca="false">Sens!$M$5236</f>
        <v>257.576319867276</v>
      </c>
    </row>
    <row r="5290" customFormat="false" ht="15" hidden="false" customHeight="false" outlineLevel="0" collapsed="false">
      <c r="A5290" s="5" t="s">
        <v>855</v>
      </c>
      <c r="B5290" s="0" t="s">
        <v>73</v>
      </c>
      <c r="H5290" s="38" t="n">
        <f aca="false">Sens!$H$5265</f>
        <v>277.870120501355</v>
      </c>
      <c r="I5290" s="38" t="n">
        <f aca="false">Sens!$I$5265</f>
        <v>293.934464585378</v>
      </c>
      <c r="J5290" s="38" t="n">
        <f aca="false">Sens!$J$5265</f>
        <v>308.06904811359</v>
      </c>
      <c r="K5290" s="38" t="n">
        <f aca="false">Sens!$K$5265</f>
        <v>320.385735318248</v>
      </c>
      <c r="L5290" s="38" t="n">
        <f aca="false">Sens!$L$5265</f>
        <v>364.65641921833</v>
      </c>
      <c r="M5290" s="38" t="n">
        <f aca="false">Sens!$M$5265</f>
        <v>432.943173024858</v>
      </c>
    </row>
    <row r="5291" customFormat="false" ht="15" hidden="false" customHeight="false" outlineLevel="0" collapsed="false">
      <c r="A5291" s="5" t="s">
        <v>856</v>
      </c>
      <c r="B5291" s="0" t="s">
        <v>73</v>
      </c>
      <c r="H5291" s="38" t="n">
        <f aca="false">Sens!$H$5266</f>
        <v>1.6</v>
      </c>
      <c r="I5291" s="38" t="n">
        <f aca="false">Sens!$I$5266</f>
        <v>1.6</v>
      </c>
      <c r="J5291" s="38" t="n">
        <f aca="false">Sens!$J$5266</f>
        <v>1.6</v>
      </c>
      <c r="K5291" s="38" t="n">
        <f aca="false">Sens!$K$5266</f>
        <v>1.6</v>
      </c>
      <c r="L5291" s="38" t="n">
        <f aca="false">Sens!$L$5266</f>
        <v>1.6</v>
      </c>
      <c r="M5291" s="38" t="n">
        <f aca="false">Sens!$M$5266</f>
        <v>1.6</v>
      </c>
    </row>
    <row r="5292" customFormat="false" ht="15" hidden="false" customHeight="false" outlineLevel="0" collapsed="false">
      <c r="A5292" s="5" t="s">
        <v>857</v>
      </c>
      <c r="B5292" s="0" t="s">
        <v>73</v>
      </c>
      <c r="H5292" s="38" t="n">
        <f aca="false">Sens!$H$5260</f>
        <v>11.6369707537667</v>
      </c>
      <c r="I5292" s="38" t="n">
        <f aca="false">Sens!$I$5260</f>
        <v>13.3082502961262</v>
      </c>
      <c r="J5292" s="38" t="n">
        <f aca="false">Sens!$J$5260</f>
        <v>14.8747965344332</v>
      </c>
      <c r="K5292" s="38" t="n">
        <f aca="false">Sens!$K$5260</f>
        <v>16.2687901804328</v>
      </c>
      <c r="L5292" s="38" t="n">
        <f aca="false">Sens!$L$5260</f>
        <v>17.7280727627002</v>
      </c>
      <c r="M5292" s="38" t="n">
        <f aca="false">Sens!$M$5260</f>
        <v>19.2574690270319</v>
      </c>
    </row>
    <row r="5293" customFormat="false" ht="17.15" hidden="false" customHeight="false" outlineLevel="0" collapsed="false">
      <c r="A5293" s="1" t="s">
        <v>858</v>
      </c>
      <c r="B5293" s="8" t="s">
        <v>73</v>
      </c>
      <c r="H5293" s="38" t="n">
        <f aca="false">Sens!$H$5288+Sens!$H$5289-Sens!$H$5290-Sens!$H$5291+Sens!$H$5292</f>
        <v>-68.0547065976468</v>
      </c>
      <c r="I5293" s="38" t="n">
        <f aca="false">Sens!$I$5288+Sens!$I$5289-Sens!$I$5290-Sens!$I$5291+Sens!$I$5292</f>
        <v>-27.1523990796972</v>
      </c>
      <c r="J5293" s="38" t="n">
        <f aca="false">Sens!$J$5288+Sens!$J$5289-Sens!$J$5290-Sens!$J$5291+Sens!$J$5292</f>
        <v>13.5212664792573</v>
      </c>
      <c r="K5293" s="38" t="n">
        <f aca="false">Sens!$K$5288+Sens!$K$5289-Sens!$K$5290-Sens!$K$5291+Sens!$K$5292</f>
        <v>51.6701571688709</v>
      </c>
      <c r="L5293" s="38" t="n">
        <f aca="false">Sens!$L$5288+Sens!$L$5289-Sens!$L$5290-Sens!$L$5291+Sens!$L$5292</f>
        <v>57.7295702495933</v>
      </c>
      <c r="M5293" s="38" t="n">
        <f aca="false">Sens!$M$5288+Sens!$M$5289-Sens!$M$5290-Sens!$M$5291+Sens!$M$5292</f>
        <v>41.534508253082</v>
      </c>
    </row>
    <row r="5294" customFormat="false" ht="15" hidden="false" customHeight="false" outlineLevel="0" collapsed="false">
      <c r="A5294" s="5" t="s">
        <v>859</v>
      </c>
      <c r="B5294" s="0" t="s">
        <v>57</v>
      </c>
      <c r="H5294" s="51" t="n">
        <f aca="false">1/(1+wacc)^(2027-2026-0.5)</f>
        <v>0.942858177653364</v>
      </c>
      <c r="I5294" s="51" t="n">
        <f aca="false">1/(1+wacc)^(2028-2026-0.5)</f>
        <v>0.838183517758688</v>
      </c>
      <c r="J5294" s="51" t="n">
        <f aca="false">1/(1+wacc)^(2029-2026-0.5)</f>
        <v>0.745129677074952</v>
      </c>
      <c r="K5294" s="51" t="n">
        <f aca="false">1/(1+wacc)^(2030-2026-0.5)</f>
        <v>0.662406530186232</v>
      </c>
      <c r="L5294" s="51" t="n">
        <f aca="false">1/(1+wacc)^(2031-2026-0.5)</f>
        <v>0.588867179409399</v>
      </c>
      <c r="M5294" s="51" t="n">
        <f aca="false">1/(1+wacc)^(2032-2026-0.5)</f>
        <v>0.52349205387225</v>
      </c>
    </row>
    <row r="5295" customFormat="false" ht="15" hidden="false" customHeight="false" outlineLevel="0" collapsed="false">
      <c r="A5295" s="5" t="s">
        <v>860</v>
      </c>
      <c r="B5295" s="0" t="s">
        <v>73</v>
      </c>
      <c r="H5295" s="38" t="n">
        <f aca="false">Sens!$H$5293*Sens!$H$5294</f>
        <v>-64.1659366433916</v>
      </c>
      <c r="I5295" s="38" t="n">
        <f aca="false">Sens!$I$5293*Sens!$I$5294</f>
        <v>-22.7586933762084</v>
      </c>
      <c r="J5295" s="38" t="n">
        <f aca="false">Sens!$J$5293*Sens!$J$5294</f>
        <v>10.0750969253334</v>
      </c>
      <c r="K5295" s="38" t="n">
        <f aca="false">Sens!$K$5293*Sens!$K$5294</f>
        <v>34.226649524409</v>
      </c>
      <c r="L5295" s="38" t="n">
        <f aca="false">Sens!$L$5293*Sens!$L$5294</f>
        <v>33.9950492013948</v>
      </c>
      <c r="M5295" s="38" t="n">
        <f aca="false">Sens!$M$5293*Sens!$M$5294</f>
        <v>21.7429850319798</v>
      </c>
    </row>
    <row r="5296" customFormat="false" ht="15" hidden="false" customHeight="false" outlineLevel="0" collapsed="false">
      <c r="A5296" s="5" t="s">
        <v>861</v>
      </c>
      <c r="B5296" s="0" t="s">
        <v>73</v>
      </c>
      <c r="C5296" s="38" t="n">
        <f aca="false">SUM(Sens!$H$5295:$M$5295)</f>
        <v>13.115150663517</v>
      </c>
    </row>
    <row r="5297" customFormat="false" ht="17.15" hidden="false" customHeight="false" outlineLevel="0" collapsed="false">
      <c r="A5297" s="5" t="s">
        <v>862</v>
      </c>
      <c r="B5297" s="0" t="s">
        <v>73</v>
      </c>
      <c r="C5297" s="38" t="n">
        <f aca="false">Sens!$M$5288*(1+tg_hi)*(1-tg_hi/ronic)/(wacc-tg_hi)</f>
        <v>1659.26562024858</v>
      </c>
    </row>
    <row r="5298" customFormat="false" ht="15" hidden="false" customHeight="false" outlineLevel="0" collapsed="false">
      <c r="A5298" s="5" t="s">
        <v>863</v>
      </c>
      <c r="B5298" s="0" t="s">
        <v>73</v>
      </c>
      <c r="C5298" s="38" t="n">
        <f aca="false">Sens!$C$5297/(1+wacc)^6</f>
        <v>818.978273873848</v>
      </c>
    </row>
    <row r="5299" customFormat="false" ht="17.15" hidden="false" customHeight="false" outlineLevel="0" collapsed="false">
      <c r="A5299" s="5" t="s">
        <v>864</v>
      </c>
      <c r="B5299" s="0" t="s">
        <v>73</v>
      </c>
      <c r="C5299" s="38" t="n">
        <f aca="false">Sens!$C$5296+Sens!$C$5298</f>
        <v>832.093424537365</v>
      </c>
    </row>
    <row r="5300" customFormat="false" ht="17.15" hidden="false" customHeight="false" outlineLevel="0" collapsed="false">
      <c r="A5300" s="5" t="s">
        <v>865</v>
      </c>
      <c r="B5300" s="0" t="s">
        <v>52</v>
      </c>
      <c r="C5300" s="12" t="n">
        <f aca="false">Sens!$C$5298/Sens!$C$5299</f>
        <v>0.984238367619827</v>
      </c>
    </row>
    <row r="5301" customFormat="false" ht="17.15" hidden="false" customHeight="false" outlineLevel="0" collapsed="false">
      <c r="A5301" s="5" t="s">
        <v>866</v>
      </c>
      <c r="B5301" s="0" t="s">
        <v>73</v>
      </c>
      <c r="C5301" s="38" t="n">
        <f aca="false">Sens!$G$5278</f>
        <v>67.0428850873731</v>
      </c>
    </row>
    <row r="5302" customFormat="false" ht="17.15" hidden="false" customHeight="false" outlineLevel="0" collapsed="false">
      <c r="A5302" s="5" t="s">
        <v>867</v>
      </c>
      <c r="B5302" s="0" t="s">
        <v>73</v>
      </c>
      <c r="C5302" s="38" t="n">
        <f aca="false">(ant_val*ant_sh+oai_val*oai_sh)*(1-liq_disc)</f>
        <v>178.944</v>
      </c>
    </row>
    <row r="5303" customFormat="false" ht="15" hidden="false" customHeight="false" outlineLevel="0" collapsed="false">
      <c r="A5303" s="5" t="s">
        <v>868</v>
      </c>
      <c r="B5303" s="0" t="s">
        <v>73</v>
      </c>
      <c r="C5303" s="38" t="n">
        <f aca="false">Sens!$C$5299-Sens!$C$5301+Sens!$C$5302</f>
        <v>943.994539449992</v>
      </c>
    </row>
    <row r="5304" customFormat="false" ht="17.15" hidden="false" customHeight="false" outlineLevel="0" collapsed="false">
      <c r="A5304" s="5" t="s">
        <v>869</v>
      </c>
      <c r="B5304" s="0" t="s">
        <v>27</v>
      </c>
      <c r="C5304" s="30" t="n">
        <f aca="false">Sens!$C$5303/sh_val</f>
        <v>85.5818374209467</v>
      </c>
    </row>
    <row r="5305" customFormat="false" ht="17.15" hidden="false" customHeight="false" outlineLevel="0" collapsed="false">
      <c r="A5305" s="1" t="s">
        <v>870</v>
      </c>
      <c r="B5305" s="8" t="s">
        <v>27</v>
      </c>
      <c r="C5305" s="30" t="n">
        <f aca="false">Sens!$C$5304*(1+ke)^tp_yf</f>
        <v>94.5204256199676</v>
      </c>
    </row>
    <row r="5306" customFormat="false" ht="17.15" hidden="false" customHeight="false" outlineLevel="0" collapsed="false">
      <c r="A5306" s="3" t="s">
        <v>871</v>
      </c>
    </row>
    <row r="5307" customFormat="false" ht="17.15" hidden="false" customHeight="false" outlineLevel="0" collapsed="false">
      <c r="A5307" s="5" t="s">
        <v>872</v>
      </c>
      <c r="B5307" s="0" t="s">
        <v>73</v>
      </c>
      <c r="C5307" s="38" t="n">
        <f aca="false">0.25*Sens!$H$5237+0.75*Sens!$I$5237</f>
        <v>57.5541093268329</v>
      </c>
    </row>
    <row r="5308" customFormat="false" ht="15" hidden="false" customHeight="false" outlineLevel="0" collapsed="false">
      <c r="A5308" s="5" t="s">
        <v>873</v>
      </c>
      <c r="B5308" s="0" t="s">
        <v>57</v>
      </c>
      <c r="C5308" s="30" t="n">
        <f aca="false">m_ads*m_x</f>
        <v>9.11</v>
      </c>
    </row>
    <row r="5309" customFormat="false" ht="17.15" hidden="false" customHeight="false" outlineLevel="0" collapsed="false">
      <c r="A5309" s="5" t="s">
        <v>874</v>
      </c>
      <c r="B5309" s="0" t="s">
        <v>73</v>
      </c>
      <c r="C5309" s="38" t="n">
        <f aca="false">Sens!$C$5307*Sens!$C$5308</f>
        <v>524.317935967448</v>
      </c>
    </row>
    <row r="5310" customFormat="false" ht="17.15" hidden="false" customHeight="false" outlineLevel="0" collapsed="false">
      <c r="A5310" s="5" t="s">
        <v>875</v>
      </c>
      <c r="B5310" s="0" t="s">
        <v>73</v>
      </c>
      <c r="C5310" s="38" t="n">
        <f aca="false">0.25*Sens!$H$5238+0.75*Sens!$I$5238</f>
        <v>30.6290803533085</v>
      </c>
    </row>
    <row r="5311" customFormat="false" ht="15" hidden="false" customHeight="false" outlineLevel="0" collapsed="false">
      <c r="A5311" s="5" t="s">
        <v>876</v>
      </c>
      <c r="B5311" s="0" t="s">
        <v>57</v>
      </c>
      <c r="C5311" s="30" t="n">
        <f aca="false">m_retail*m_x</f>
        <v>17.72</v>
      </c>
    </row>
    <row r="5312" customFormat="false" ht="17.15" hidden="false" customHeight="false" outlineLevel="0" collapsed="false">
      <c r="A5312" s="5" t="s">
        <v>877</v>
      </c>
      <c r="B5312" s="0" t="s">
        <v>73</v>
      </c>
      <c r="C5312" s="38" t="n">
        <f aca="false">Sens!$C$5310*Sens!$C$5311</f>
        <v>542.747303860627</v>
      </c>
    </row>
    <row r="5313" customFormat="false" ht="17.15" hidden="false" customHeight="false" outlineLevel="0" collapsed="false">
      <c r="A5313" s="0" t="s">
        <v>878</v>
      </c>
      <c r="B5313" s="0" t="s">
        <v>73</v>
      </c>
      <c r="C5313" s="38" t="n">
        <f aca="false">0.25*Sens!$H$5239+0.75*Sens!$I$5239</f>
        <v>107.575398943098</v>
      </c>
    </row>
    <row r="5314" customFormat="false" ht="17.15" hidden="false" customHeight="false" outlineLevel="0" collapsed="false">
      <c r="A5314" s="0" t="s">
        <v>879</v>
      </c>
      <c r="B5314" s="0" t="s">
        <v>57</v>
      </c>
      <c r="C5314" s="30" t="n">
        <f aca="false">m_cloud*m_x</f>
        <v>13.82</v>
      </c>
    </row>
    <row r="5315" customFormat="false" ht="17.15" hidden="false" customHeight="false" outlineLevel="0" collapsed="false">
      <c r="A5315" s="0" t="s">
        <v>880</v>
      </c>
      <c r="B5315" s="0" t="s">
        <v>73</v>
      </c>
      <c r="C5315" s="38" t="n">
        <f aca="false">Sens!$C$5313*Sens!$C$5314</f>
        <v>1486.69201339361</v>
      </c>
    </row>
    <row r="5316" customFormat="false" ht="17.15" hidden="false" customHeight="false" outlineLevel="0" collapsed="false">
      <c r="A5316" s="0" t="s">
        <v>881</v>
      </c>
      <c r="B5316" s="0" t="s">
        <v>73</v>
      </c>
      <c r="C5316" s="38" t="n">
        <f aca="false">0.25*Sens!$H$5240+0.75*Sens!$I$5240</f>
        <v>72.2947701247864</v>
      </c>
    </row>
    <row r="5317" customFormat="false" ht="17.15" hidden="false" customHeight="false" outlineLevel="0" collapsed="false">
      <c r="A5317" s="0" t="s">
        <v>882</v>
      </c>
      <c r="B5317" s="0" t="s">
        <v>57</v>
      </c>
      <c r="C5317" s="30" t="n">
        <f aca="false">m_ai</f>
        <v>6</v>
      </c>
    </row>
    <row r="5318" customFormat="false" ht="17.15" hidden="false" customHeight="false" outlineLevel="0" collapsed="false">
      <c r="A5318" s="0" t="s">
        <v>883</v>
      </c>
      <c r="B5318" s="0" t="s">
        <v>73</v>
      </c>
      <c r="C5318" s="38" t="n">
        <f aca="false">Sens!$C$5316*Sens!$C$5317</f>
        <v>433.768620748718</v>
      </c>
    </row>
    <row r="5319" customFormat="false" ht="17.15" hidden="false" customHeight="false" outlineLevel="0" collapsed="false">
      <c r="A5319" s="5" t="s">
        <v>884</v>
      </c>
      <c r="B5319" s="0" t="s">
        <v>73</v>
      </c>
      <c r="C5319" s="38" t="n">
        <f aca="false">Sens!$C$5309+Sens!$C$5312+Sens!$C$5315+Sens!$C$5318</f>
        <v>2987.5258739704</v>
      </c>
    </row>
    <row r="5320" customFormat="false" ht="17.15" hidden="false" customHeight="false" outlineLevel="0" collapsed="false">
      <c r="A5320" s="5" t="s">
        <v>885</v>
      </c>
      <c r="B5320" s="0" t="s">
        <v>73</v>
      </c>
      <c r="C5320" s="38" t="n">
        <f aca="false">Sens!$H$5278</f>
        <v>113.741590679904</v>
      </c>
    </row>
    <row r="5321" customFormat="false" ht="15" hidden="false" customHeight="false" outlineLevel="0" collapsed="false">
      <c r="A5321" s="5" t="s">
        <v>886</v>
      </c>
      <c r="B5321" s="0" t="s">
        <v>73</v>
      </c>
      <c r="C5321" s="38" t="n">
        <f aca="false">Sens!$C$5319-Sens!$C$5320+Sens!$C$5302</f>
        <v>3052.7282832905</v>
      </c>
    </row>
    <row r="5322" customFormat="false" ht="15" hidden="false" customHeight="false" outlineLevel="0" collapsed="false">
      <c r="A5322" s="3" t="s">
        <v>887</v>
      </c>
      <c r="B5322" s="8" t="s">
        <v>27</v>
      </c>
      <c r="C5322" s="30" t="n">
        <f aca="false">Sens!$C$5321/sh_val</f>
        <v>276.758058137828</v>
      </c>
    </row>
    <row r="5323" customFormat="false" ht="17.15" hidden="false" customHeight="false" outlineLevel="0" collapsed="false">
      <c r="A5323" s="46" t="s">
        <v>888</v>
      </c>
      <c r="B5323" s="13" t="s">
        <v>27</v>
      </c>
      <c r="C5323" s="43" t="n">
        <f aca="false">w_dcf*Sens!$C$5305+(1-w_dcf)*Sens!$C$5322</f>
        <v>185.639241878898</v>
      </c>
      <c r="D5323" s="13"/>
      <c r="E5323" s="13"/>
      <c r="F5323" s="13"/>
      <c r="G5323" s="13"/>
      <c r="H5323" s="13"/>
      <c r="I5323" s="13"/>
      <c r="J5323" s="13"/>
      <c r="K5323" s="13"/>
      <c r="L5323" s="13"/>
      <c r="M5323" s="13"/>
      <c r="N5323" s="13"/>
      <c r="O5323" s="13"/>
    </row>
    <row r="5324" customFormat="false" ht="17.15" hidden="false" customHeight="false" outlineLevel="0" collapsed="false">
      <c r="A5324" s="5" t="s">
        <v>889</v>
      </c>
      <c r="B5324" s="0" t="s">
        <v>27</v>
      </c>
      <c r="C5324" s="30" t="n">
        <f aca="false">0.45*Sens!$C$5305+0.55*Sens!$C$5322</f>
        <v>194.751123504791</v>
      </c>
    </row>
    <row r="5327" customFormat="false" ht="19.4" hidden="false" customHeight="false" outlineLevel="0" collapsed="false">
      <c r="A5327" s="31" t="s">
        <v>1160</v>
      </c>
    </row>
    <row r="5328" customFormat="false" ht="17.15" hidden="false" customHeight="false" outlineLevel="0" collapsed="false">
      <c r="A5328" s="6" t="s">
        <v>16</v>
      </c>
      <c r="B5328" s="6" t="s">
        <v>17</v>
      </c>
      <c r="C5328" s="20" t="s">
        <v>457</v>
      </c>
      <c r="D5328" s="20" t="s">
        <v>458</v>
      </c>
      <c r="E5328" s="20" t="s">
        <v>540</v>
      </c>
      <c r="F5328" s="20" t="s">
        <v>541</v>
      </c>
      <c r="G5328" s="20" t="s">
        <v>542</v>
      </c>
      <c r="H5328" s="20" t="s">
        <v>543</v>
      </c>
      <c r="I5328" s="20" t="s">
        <v>544</v>
      </c>
      <c r="J5328" s="20" t="s">
        <v>545</v>
      </c>
      <c r="K5328" s="20" t="s">
        <v>546</v>
      </c>
      <c r="L5328" s="20" t="s">
        <v>547</v>
      </c>
      <c r="M5328" s="20" t="s">
        <v>548</v>
      </c>
      <c r="N5328" s="20" t="s">
        <v>549</v>
      </c>
      <c r="O5328" s="20" t="s">
        <v>550</v>
      </c>
      <c r="P5328" s="6" t="s">
        <v>23</v>
      </c>
      <c r="R5328" s="20" t="n">
        <v>2023</v>
      </c>
      <c r="S5328" s="20" t="n">
        <v>2024</v>
      </c>
      <c r="T5328" s="20" t="n">
        <v>2025</v>
      </c>
      <c r="U5328" s="20" t="n">
        <v>2026</v>
      </c>
      <c r="V5328" s="20" t="n">
        <v>2027</v>
      </c>
      <c r="W5328" s="20" t="n">
        <v>2028</v>
      </c>
      <c r="X5328" s="20" t="n">
        <v>2029</v>
      </c>
      <c r="Y5328" s="20" t="n">
        <v>2030</v>
      </c>
      <c r="Z5328" s="20" t="n">
        <v>2031</v>
      </c>
      <c r="AA5328" s="20" t="n">
        <v>2032</v>
      </c>
    </row>
    <row r="5329" customFormat="false" ht="17.15" hidden="false" customHeight="false" outlineLevel="0" collapsed="false">
      <c r="A5329" s="1" t="s">
        <v>621</v>
      </c>
    </row>
    <row r="5330" customFormat="false" ht="17.15" hidden="false" customHeight="false" outlineLevel="0" collapsed="false">
      <c r="A5330" s="0" t="s">
        <v>479</v>
      </c>
      <c r="B5330" s="0" t="s">
        <v>73</v>
      </c>
      <c r="C5330" s="38" t="n">
        <f aca="false">Q!$D$10</f>
        <v>247.029</v>
      </c>
      <c r="D5330" s="38" t="n">
        <f aca="false">Q!$E$10</f>
        <v>269.287</v>
      </c>
      <c r="E5330" s="38" t="n">
        <f aca="false">Q!$P$10</f>
        <v>134.686</v>
      </c>
      <c r="F5330" s="38" t="n">
        <f aca="false">Sens!$O$5330*(1+Sens!$F$5331)-pd_amt*Q!$O$10/(Q!$O$10+Q!$O$12)</f>
        <v>160.728085930082</v>
      </c>
      <c r="G5330" s="38" t="n">
        <f aca="false">Sens!$E$5330+Sens!$F$5330</f>
        <v>295.414085930082</v>
      </c>
      <c r="H5330" s="38" t="n">
        <f aca="false">Sens!$G$5330*(1+Sens!$H$5331)</f>
        <v>320.828163943375</v>
      </c>
      <c r="I5330" s="38" t="n">
        <f aca="false">Sens!$H$5330*(1+Sens!$I$5331)</f>
        <v>344.575578072228</v>
      </c>
      <c r="J5330" s="38" t="n">
        <f aca="false">Sens!$I$5330*(1+Sens!$J$5331)</f>
        <v>365.942555779681</v>
      </c>
      <c r="K5330" s="38" t="n">
        <f aca="false">Sens!$J$5330*(1+Sens!$K$5331)</f>
        <v>384.239683568665</v>
      </c>
      <c r="L5330" s="38" t="n">
        <f aca="false">Sens!$K$5330*(1+Sens!$L$5331)</f>
        <v>403.451667747098</v>
      </c>
      <c r="M5330" s="38" t="n">
        <f aca="false">Sens!$L$5330*(1+Sens!$M$5331)</f>
        <v>423.624251134453</v>
      </c>
      <c r="N5330" s="38" t="n">
        <f aca="false">Q!$N$10</f>
        <v>118.892</v>
      </c>
      <c r="O5330" s="38" t="n">
        <f aca="false">Q!$O$10</f>
        <v>150.395</v>
      </c>
      <c r="P5330" s="8" t="s">
        <v>622</v>
      </c>
    </row>
    <row r="5331" customFormat="false" ht="17.15" hidden="false" customHeight="false" outlineLevel="0" collapsed="false">
      <c r="A5331" s="0" t="s">
        <v>623</v>
      </c>
      <c r="B5331" s="0" t="s">
        <v>52</v>
      </c>
      <c r="E5331" s="12" t="n">
        <f aca="false">Sens!$E$5330/Sens!$N$5330-1</f>
        <v>0.132843252699929</v>
      </c>
      <c r="F5331" s="12" t="n">
        <f aca="false">Sens!$O$5330/(Q!$F$10+Q!$G$10)-1</f>
        <v>0.0980382135842941</v>
      </c>
      <c r="G5331" s="12" t="n">
        <f aca="false">Sens!$G$5330/Sens!$D$5330-1</f>
        <v>0.0970231980380869</v>
      </c>
      <c r="H5331" s="12" t="n">
        <f aca="false">Sens!$F$5331+(g_os-Sens!$F$5331)*1/4</f>
        <v>0.0860286601882206</v>
      </c>
      <c r="I5331" s="12" t="n">
        <f aca="false">Sens!$F$5331+(g_os-Sens!$F$5331)*2/4</f>
        <v>0.074019106792147</v>
      </c>
      <c r="J5331" s="12" t="n">
        <f aca="false">Sens!$F$5331+(g_os-Sens!$F$5331)*3/4</f>
        <v>0.0620095533960735</v>
      </c>
      <c r="K5331" s="12" t="n">
        <f aca="false">Sens!$F$5331+(g_os-Sens!$F$5331)*4/4</f>
        <v>0.05</v>
      </c>
      <c r="L5331" s="12" t="n">
        <f aca="false">g_os</f>
        <v>0.05</v>
      </c>
      <c r="M5331" s="12" t="n">
        <f aca="false">g_os</f>
        <v>0.05</v>
      </c>
      <c r="P5331" s="8" t="s">
        <v>624</v>
      </c>
    </row>
    <row r="5332" customFormat="false" ht="17.15" hidden="false" customHeight="false" outlineLevel="0" collapsed="false">
      <c r="A5332" s="0" t="s">
        <v>480</v>
      </c>
      <c r="B5332" s="0" t="s">
        <v>73</v>
      </c>
      <c r="C5332" s="38" t="n">
        <f aca="false">Q!$D$11</f>
        <v>21.215</v>
      </c>
      <c r="D5332" s="38" t="n">
        <f aca="false">Q!$E$11</f>
        <v>22.561</v>
      </c>
      <c r="E5332" s="38" t="n">
        <f aca="false">Q!$P$11</f>
        <v>11.579</v>
      </c>
      <c r="F5332" s="38" t="n">
        <f aca="false">Sens!$O$5332*(1+Sens!$F$5333)</f>
        <v>12.0952613121125</v>
      </c>
      <c r="G5332" s="38" t="n">
        <f aca="false">Sens!$E$5332+Sens!$F$5332</f>
        <v>23.6742613121125</v>
      </c>
      <c r="H5332" s="38" t="n">
        <f aca="false">Sens!$G$5332*(1+Sens!$H$5333)</f>
        <v>24.8803243963206</v>
      </c>
      <c r="I5332" s="38" t="n">
        <f aca="false">Sens!$H$5332*(1+Sens!$I$5333)</f>
        <v>25.9741308664154</v>
      </c>
      <c r="J5332" s="38" t="n">
        <f aca="false">Sens!$I$5332*(1+Sens!$J$5333)</f>
        <v>26.9346894124267</v>
      </c>
      <c r="K5332" s="38" t="n">
        <f aca="false">Sens!$J$5332*(1+Sens!$K$5333)</f>
        <v>27.7427300947995</v>
      </c>
      <c r="L5332" s="38" t="n">
        <f aca="false">Sens!$K$5332*(1+Sens!$L$5333)</f>
        <v>28.5750119976435</v>
      </c>
      <c r="M5332" s="38" t="n">
        <f aca="false">Sens!$L$5332*(1+Sens!$M$5333)</f>
        <v>29.4322623575728</v>
      </c>
      <c r="N5332" s="38" t="n">
        <f aca="false">Q!$N$11</f>
        <v>11.128</v>
      </c>
      <c r="O5332" s="38" t="n">
        <f aca="false">Q!$O$11</f>
        <v>11.433</v>
      </c>
      <c r="P5332" s="8" t="s">
        <v>622</v>
      </c>
    </row>
    <row r="5333" customFormat="false" ht="17.15" hidden="false" customHeight="false" outlineLevel="0" collapsed="false">
      <c r="A5333" s="0" t="s">
        <v>625</v>
      </c>
      <c r="B5333" s="0" t="s">
        <v>52</v>
      </c>
      <c r="E5333" s="12" t="n">
        <f aca="false">Sens!$E$5332/Sens!$N$5332-1</f>
        <v>0.0405283968368082</v>
      </c>
      <c r="F5333" s="12" t="n">
        <f aca="false">Sens!$O$5332/(Q!$F$11+Q!$G$11)-1</f>
        <v>0.0579254187100955</v>
      </c>
      <c r="G5333" s="12" t="n">
        <f aca="false">Sens!$G$5332/Sens!$D$5332-1</f>
        <v>0.0493445021103904</v>
      </c>
      <c r="H5333" s="12" t="n">
        <f aca="false">Sens!$F$5333+(g_ps-Sens!$F$5333)*1/4</f>
        <v>0.0509440640325716</v>
      </c>
      <c r="I5333" s="12" t="n">
        <f aca="false">Sens!$F$5333+(g_ps-Sens!$F$5333)*2/4</f>
        <v>0.0439627093550477</v>
      </c>
      <c r="J5333" s="12" t="n">
        <f aca="false">Sens!$F$5333+(g_ps-Sens!$F$5333)*3/4</f>
        <v>0.0369813546775239</v>
      </c>
      <c r="K5333" s="12" t="n">
        <f aca="false">Sens!$F$5333+(g_ps-Sens!$F$5333)*4/4</f>
        <v>0.03</v>
      </c>
      <c r="L5333" s="12" t="n">
        <f aca="false">g_ps</f>
        <v>0.03</v>
      </c>
      <c r="M5333" s="12" t="n">
        <f aca="false">g_ps</f>
        <v>0.03</v>
      </c>
      <c r="P5333" s="8" t="s">
        <v>626</v>
      </c>
    </row>
    <row r="5334" customFormat="false" ht="17.15" hidden="false" customHeight="false" outlineLevel="0" collapsed="false">
      <c r="A5334" s="0" t="s">
        <v>481</v>
      </c>
      <c r="B5334" s="0" t="s">
        <v>73</v>
      </c>
      <c r="C5334" s="38" t="n">
        <f aca="false">Q!$D$12</f>
        <v>156.146</v>
      </c>
      <c r="D5334" s="38" t="n">
        <f aca="false">Q!$E$12</f>
        <v>172.162</v>
      </c>
      <c r="E5334" s="38" t="n">
        <f aca="false">Q!$P$12</f>
        <v>88.358</v>
      </c>
      <c r="F5334" s="38" t="n">
        <f aca="false">Sens!$O$5334*(1+Sens!$F$5335)-pd_amt*Q!$O$12/(Q!$O$10+Q!$O$12)</f>
        <v>103.62028337149</v>
      </c>
      <c r="G5334" s="38" t="n">
        <f aca="false">Sens!$E$5334+Sens!$F$5334</f>
        <v>191.97828337149</v>
      </c>
      <c r="H5334" s="38" t="n">
        <f aca="false">Sens!$G$5334*(1+Sens!$H$5335)</f>
        <v>212.128608444755</v>
      </c>
      <c r="I5334" s="38" t="n">
        <f aca="false">Sens!$H$5334*(1+Sens!$I$5335)</f>
        <v>231.92183134134</v>
      </c>
      <c r="J5334" s="38" t="n">
        <f aca="false">Sens!$I$5334*(1+Sens!$J$5335)</f>
        <v>250.859136487863</v>
      </c>
      <c r="K5334" s="38" t="n">
        <f aca="false">Sens!$J$5334*(1+Sens!$K$5335)</f>
        <v>268.419276042014</v>
      </c>
      <c r="L5334" s="38" t="n">
        <f aca="false">Sens!$K$5334*(1+Sens!$L$5335)</f>
        <v>287.208625364954</v>
      </c>
      <c r="M5334" s="38" t="n">
        <f aca="false">Sens!$L$5334*(1+Sens!$M$5335)</f>
        <v>307.313229140501</v>
      </c>
      <c r="N5334" s="38" t="n">
        <f aca="false">Q!$N$12</f>
        <v>76.86</v>
      </c>
      <c r="O5334" s="38" t="n">
        <f aca="false">Q!$O$12</f>
        <v>95.302</v>
      </c>
      <c r="P5334" s="8" t="s">
        <v>622</v>
      </c>
    </row>
    <row r="5335" customFormat="false" ht="17.15" hidden="false" customHeight="false" outlineLevel="0" collapsed="false">
      <c r="A5335" s="0" t="s">
        <v>627</v>
      </c>
      <c r="B5335" s="0" t="s">
        <v>52</v>
      </c>
      <c r="E5335" s="12" t="n">
        <f aca="false">Sens!$E$5334/Sens!$N$5334-1</f>
        <v>0.1495966692688</v>
      </c>
      <c r="F5335" s="12" t="n">
        <f aca="false">Sens!$O$5334/(Q!$F$12+Q!$G$12)-1</f>
        <v>0.11661530890813</v>
      </c>
      <c r="G5335" s="12" t="n">
        <f aca="false">Sens!$G$5334/Sens!$D$5334-1</f>
        <v>0.115102539303041</v>
      </c>
      <c r="H5335" s="12" t="n">
        <f aca="false">Sens!$F$5335+(g_sp-Sens!$F$5335)*1/4</f>
        <v>0.104961481681098</v>
      </c>
      <c r="I5335" s="12" t="n">
        <f aca="false">Sens!$F$5335+(g_sp-Sens!$F$5335)*2/4</f>
        <v>0.0933076544540651</v>
      </c>
      <c r="J5335" s="12" t="n">
        <f aca="false">Sens!$F$5335+(g_sp-Sens!$F$5335)*3/4</f>
        <v>0.0816538272270325</v>
      </c>
      <c r="K5335" s="12" t="n">
        <f aca="false">Sens!$F$5335+(g_sp-Sens!$F$5335)*4/4</f>
        <v>0.07</v>
      </c>
      <c r="L5335" s="12" t="n">
        <f aca="false">g_sp</f>
        <v>0.07</v>
      </c>
      <c r="M5335" s="12" t="n">
        <f aca="false">g_sp</f>
        <v>0.07</v>
      </c>
      <c r="P5335" s="8" t="s">
        <v>628</v>
      </c>
    </row>
    <row r="5336" customFormat="false" ht="17.15" hidden="false" customHeight="false" outlineLevel="0" collapsed="false">
      <c r="A5336" s="0" t="s">
        <v>482</v>
      </c>
      <c r="B5336" s="0" t="s">
        <v>73</v>
      </c>
      <c r="C5336" s="38" t="n">
        <f aca="false">Q!$D$13</f>
        <v>56.214</v>
      </c>
      <c r="D5336" s="38" t="n">
        <f aca="false">Q!$E$13</f>
        <v>68.635</v>
      </c>
      <c r="E5336" s="38" t="n">
        <f aca="false">Q!$P$13</f>
        <v>37.052</v>
      </c>
      <c r="F5336" s="38" t="n">
        <f aca="false">Sens!$O$5336*(1+Sens!$F$5337)</f>
        <v>48.1533381827382</v>
      </c>
      <c r="G5336" s="38" t="n">
        <f aca="false">Sens!$E$5336+Sens!$F$5336</f>
        <v>85.2053381827382</v>
      </c>
      <c r="H5336" s="38" t="n">
        <f aca="false">Sens!$G$5336*(1+Sens!$H$5337)</f>
        <v>102.29336185894</v>
      </c>
      <c r="I5336" s="38" t="n">
        <f aca="false">Sens!$H$5336*(1+Sens!$I$5337)</f>
        <v>119.379837585241</v>
      </c>
      <c r="J5336" s="38" t="n">
        <f aca="false">Sens!$I$5336*(1+Sens!$J$5337)</f>
        <v>135.319079048844</v>
      </c>
      <c r="K5336" s="38" t="n">
        <f aca="false">Sens!$J$5336*(1+Sens!$K$5337)</f>
        <v>148.850986953729</v>
      </c>
      <c r="L5336" s="38" t="n">
        <f aca="false">Sens!$K$5336*(1+Sens!$L$5337)</f>
        <v>163.736085649102</v>
      </c>
      <c r="M5336" s="38" t="n">
        <f aca="false">Sens!$L$5336*(1+Sens!$M$5337)</f>
        <v>180.109694214012</v>
      </c>
      <c r="N5336" s="38" t="n">
        <f aca="false">Q!$N$13</f>
        <v>29.615</v>
      </c>
      <c r="O5336" s="38" t="n">
        <f aca="false">Q!$O$13</f>
        <v>39.02</v>
      </c>
      <c r="P5336" s="8" t="s">
        <v>622</v>
      </c>
    </row>
    <row r="5337" customFormat="false" ht="17.15" hidden="false" customHeight="false" outlineLevel="0" collapsed="false">
      <c r="A5337" s="0" t="s">
        <v>629</v>
      </c>
      <c r="B5337" s="0" t="s">
        <v>52</v>
      </c>
      <c r="E5337" s="12" t="n">
        <f aca="false">Sens!$E$5336/Sens!$N$5336-1</f>
        <v>0.25112274185379</v>
      </c>
      <c r="F5337" s="12" t="n">
        <f aca="false">Sens!$O$5336/(Q!$F$13+Q!$G$13)-1</f>
        <v>0.234068123596572</v>
      </c>
      <c r="G5337" s="12" t="n">
        <f aca="false">Sens!$G$5336/Sens!$D$5336-1</f>
        <v>0.241426942270536</v>
      </c>
      <c r="H5337" s="12" t="n">
        <f aca="false">Sens!$F$5337+(g_ad-Sens!$F$5337)*1/4</f>
        <v>0.200551092697429</v>
      </c>
      <c r="I5337" s="12" t="n">
        <f aca="false">Sens!$F$5337+(g_ad-Sens!$F$5337)*2/4</f>
        <v>0.167034061798286</v>
      </c>
      <c r="J5337" s="12" t="n">
        <f aca="false">Sens!$F$5337+(g_ad-Sens!$F$5337)*3/4</f>
        <v>0.133517030899143</v>
      </c>
      <c r="K5337" s="12" t="n">
        <f aca="false">Sens!$F$5337+(g_ad-Sens!$F$5337)*4/4</f>
        <v>0.1</v>
      </c>
      <c r="L5337" s="12" t="n">
        <f aca="false">g_ad</f>
        <v>0.1</v>
      </c>
      <c r="M5337" s="12" t="n">
        <f aca="false">g_ad</f>
        <v>0.1</v>
      </c>
      <c r="P5337" s="8" t="s">
        <v>630</v>
      </c>
    </row>
    <row r="5338" customFormat="false" ht="17.15" hidden="false" customHeight="false" outlineLevel="0" collapsed="false">
      <c r="A5338" s="0" t="s">
        <v>483</v>
      </c>
      <c r="B5338" s="0" t="s">
        <v>73</v>
      </c>
      <c r="C5338" s="38" t="n">
        <f aca="false">Q!$D$14</f>
        <v>44.374</v>
      </c>
      <c r="D5338" s="38" t="n">
        <f aca="false">Q!$E$14</f>
        <v>49.619</v>
      </c>
      <c r="E5338" s="38" t="n">
        <f aca="false">Q!$P$14</f>
        <v>27.157</v>
      </c>
      <c r="F5338" s="38" t="n">
        <f aca="false">Sens!$O$5338*(1+Sens!$F$5339)</f>
        <v>28.9776360923374</v>
      </c>
      <c r="G5338" s="38" t="n">
        <f aca="false">Sens!$E$5338+Sens!$F$5338</f>
        <v>56.1346360923374</v>
      </c>
      <c r="H5338" s="38" t="n">
        <f aca="false">Sens!$G$5338*(1+Sens!$H$5339)</f>
        <v>62.4937078946075</v>
      </c>
      <c r="I5338" s="38" t="n">
        <f aca="false">Sens!$H$5338*(1+Sens!$I$5339)</f>
        <v>68.6715233062498</v>
      </c>
      <c r="J5338" s="38" t="n">
        <f aca="false">Sens!$I$5338*(1+Sens!$J$5339)</f>
        <v>74.4692882949818</v>
      </c>
      <c r="K5338" s="38" t="n">
        <f aca="false">Sens!$J$5338*(1+Sens!$K$5339)</f>
        <v>79.6821384756306</v>
      </c>
      <c r="L5338" s="38" t="n">
        <f aca="false">Sens!$K$5338*(1+Sens!$L$5339)</f>
        <v>85.2598881689247</v>
      </c>
      <c r="M5338" s="38" t="n">
        <f aca="false">Sens!$L$5338*(1+Sens!$M$5339)</f>
        <v>91.2280803407494</v>
      </c>
      <c r="N5338" s="38" t="n">
        <f aca="false">Q!$N$14</f>
        <v>23.923</v>
      </c>
      <c r="O5338" s="38" t="n">
        <f aca="false">Q!$O$14</f>
        <v>25.696</v>
      </c>
      <c r="P5338" s="8" t="s">
        <v>622</v>
      </c>
    </row>
    <row r="5339" customFormat="false" ht="17.15" hidden="false" customHeight="false" outlineLevel="0" collapsed="false">
      <c r="A5339" s="0" t="s">
        <v>631</v>
      </c>
      <c r="B5339" s="0" t="s">
        <v>52</v>
      </c>
      <c r="E5339" s="12" t="n">
        <f aca="false">Sens!$E$5338/Sens!$N$5338-1</f>
        <v>0.135183714417088</v>
      </c>
      <c r="F5339" s="12" t="n">
        <f aca="false">Sens!$O$5338/(Q!$F$14+Q!$G$14)-1</f>
        <v>0.127709997366804</v>
      </c>
      <c r="G5339" s="12" t="n">
        <f aca="false">Sens!$G$5338/Sens!$D$5338-1</f>
        <v>0.131313329416905</v>
      </c>
      <c r="H5339" s="12" t="n">
        <f aca="false">Sens!$F$5339+(g_sub-Sens!$F$5339)*1/4</f>
        <v>0.113282498025103</v>
      </c>
      <c r="I5339" s="12" t="n">
        <f aca="false">Sens!$F$5339+(g_sub-Sens!$F$5339)*2/4</f>
        <v>0.0988549986834021</v>
      </c>
      <c r="J5339" s="12" t="n">
        <f aca="false">Sens!$F$5339+(g_sub-Sens!$F$5339)*3/4</f>
        <v>0.084427499341701</v>
      </c>
      <c r="K5339" s="12" t="n">
        <f aca="false">Sens!$F$5339+(g_sub-Sens!$F$5339)*4/4</f>
        <v>0.07</v>
      </c>
      <c r="L5339" s="12" t="n">
        <f aca="false">g_sub</f>
        <v>0.07</v>
      </c>
      <c r="M5339" s="12" t="n">
        <f aca="false">g_sub</f>
        <v>0.07</v>
      </c>
      <c r="P5339" s="8" t="s">
        <v>632</v>
      </c>
    </row>
    <row r="5340" customFormat="false" ht="17.15" hidden="false" customHeight="false" outlineLevel="0" collapsed="false">
      <c r="A5340" s="0" t="s">
        <v>484</v>
      </c>
      <c r="B5340" s="0" t="s">
        <v>73</v>
      </c>
      <c r="C5340" s="38" t="n">
        <f aca="false">Q!$D$15</f>
        <v>5.425</v>
      </c>
      <c r="D5340" s="38" t="n">
        <f aca="false">Q!$E$15</f>
        <v>5.935</v>
      </c>
      <c r="E5340" s="38" t="n">
        <f aca="false">Q!$P$15</f>
        <v>3.474</v>
      </c>
      <c r="F5340" s="38" t="n">
        <f aca="false">Sens!$O$5340*(1+Sens!$F$5341)</f>
        <v>3.36182431966931</v>
      </c>
      <c r="G5340" s="38" t="n">
        <f aca="false">Sens!$E$5340+Sens!$F$5340</f>
        <v>6.83582431966931</v>
      </c>
      <c r="H5340" s="38" t="n">
        <f aca="false">Sens!$G$5340*(1+Sens!$H$5341)</f>
        <v>7.31157108370141</v>
      </c>
      <c r="I5340" s="38" t="n">
        <f aca="false">Sens!$H$5340*(1+Sens!$I$5341)</f>
        <v>7.77266852639815</v>
      </c>
      <c r="J5340" s="38" t="n">
        <f aca="false">Sens!$I$5340*(1+Sens!$J$5341)</f>
        <v>8.2120733019884</v>
      </c>
      <c r="K5340" s="38" t="n">
        <f aca="false">Sens!$J$5340*(1+Sens!$K$5341)</f>
        <v>8.62267696708783</v>
      </c>
      <c r="L5340" s="38" t="n">
        <f aca="false">Sens!$K$5340*(1+Sens!$L$5341)</f>
        <v>9.05381081544222</v>
      </c>
      <c r="M5340" s="38" t="n">
        <f aca="false">Sens!$L$5340*(1+Sens!$M$5341)</f>
        <v>9.50650135621433</v>
      </c>
      <c r="N5340" s="38" t="n">
        <f aca="false">Q!$N$15</f>
        <v>2.811</v>
      </c>
      <c r="O5340" s="38" t="n">
        <f aca="false">Q!$O$15</f>
        <v>3.124</v>
      </c>
      <c r="P5340" s="8" t="s">
        <v>622</v>
      </c>
    </row>
    <row r="5341" customFormat="false" ht="17.15" hidden="false" customHeight="false" outlineLevel="0" collapsed="false">
      <c r="A5341" s="0" t="s">
        <v>633</v>
      </c>
      <c r="B5341" s="0" t="s">
        <v>52</v>
      </c>
      <c r="E5341" s="12" t="n">
        <f aca="false">Sens!$E$5340/Sens!$N$5340-1</f>
        <v>0.235859124866596</v>
      </c>
      <c r="F5341" s="12" t="n">
        <f aca="false">Sens!$O$5340/(Q!$F$15+Q!$G$15)-1</f>
        <v>0.0761281433000345</v>
      </c>
      <c r="G5341" s="12" t="n">
        <f aca="false">Sens!$G$5340/Sens!$D$5340-1</f>
        <v>0.151781688234087</v>
      </c>
      <c r="H5341" s="12" t="n">
        <f aca="false">Sens!$F$5341+(g_ot-Sens!$F$5341)*1/4</f>
        <v>0.0695961074750259</v>
      </c>
      <c r="I5341" s="12" t="n">
        <f aca="false">Sens!$F$5341+(g_ot-Sens!$F$5341)*2/4</f>
        <v>0.0630640716500172</v>
      </c>
      <c r="J5341" s="12" t="n">
        <f aca="false">Sens!$F$5341+(g_ot-Sens!$F$5341)*3/4</f>
        <v>0.0565320358250086</v>
      </c>
      <c r="K5341" s="12" t="n">
        <f aca="false">Sens!$F$5341+(g_ot-Sens!$F$5341)*4/4</f>
        <v>0.05</v>
      </c>
      <c r="L5341" s="12" t="n">
        <f aca="false">g_ot</f>
        <v>0.05</v>
      </c>
      <c r="M5341" s="12" t="n">
        <f aca="false">g_ot</f>
        <v>0.05</v>
      </c>
      <c r="P5341" s="8" t="s">
        <v>634</v>
      </c>
    </row>
    <row r="5342" customFormat="false" ht="17.15" hidden="false" customHeight="false" outlineLevel="0" collapsed="false">
      <c r="A5342" s="3" t="s">
        <v>635</v>
      </c>
      <c r="B5342" s="8" t="s">
        <v>73</v>
      </c>
      <c r="C5342" s="38" t="n">
        <f aca="false">Sens!$C$5330+Sens!$C$5332+Sens!$C$5334+Sens!$C$5336+Sens!$C$5338+Sens!$C$5340</f>
        <v>530.403</v>
      </c>
      <c r="D5342" s="38" t="n">
        <f aca="false">Sens!$D$5330+Sens!$D$5332+Sens!$D$5334+Sens!$D$5336+Sens!$D$5338+Sens!$D$5340</f>
        <v>588.199</v>
      </c>
      <c r="E5342" s="38" t="n">
        <f aca="false">Sens!$E$5330+Sens!$E$5332+Sens!$E$5334+Sens!$E$5336+Sens!$E$5338+Sens!$E$5340</f>
        <v>302.306</v>
      </c>
      <c r="F5342" s="38" t="n">
        <f aca="false">Sens!$F$5330+Sens!$F$5332+Sens!$F$5334+Sens!$F$5336+Sens!$F$5338+Sens!$F$5340</f>
        <v>356.93642920843</v>
      </c>
      <c r="G5342" s="38" t="n">
        <f aca="false">Sens!$G$5330+Sens!$G$5332+Sens!$G$5334+Sens!$G$5336+Sens!$G$5338+Sens!$G$5340</f>
        <v>659.24242920843</v>
      </c>
      <c r="H5342" s="38" t="n">
        <f aca="false">Sens!$H$5330+Sens!$H$5332+Sens!$H$5334+Sens!$H$5336+Sens!$H$5338+Sens!$H$5340</f>
        <v>729.935737621701</v>
      </c>
      <c r="I5342" s="38" t="n">
        <f aca="false">Sens!$I$5330+Sens!$I$5332+Sens!$I$5334+Sens!$I$5336+Sens!$I$5338+Sens!$I$5340</f>
        <v>798.295569697873</v>
      </c>
      <c r="J5342" s="38" t="n">
        <f aca="false">Sens!$J$5330+Sens!$J$5332+Sens!$J$5334+Sens!$J$5336+Sens!$J$5338+Sens!$J$5340</f>
        <v>861.736822325785</v>
      </c>
      <c r="K5342" s="38" t="n">
        <f aca="false">Sens!$K$5330+Sens!$K$5332+Sens!$K$5334+Sens!$K$5336+Sens!$K$5338+Sens!$K$5340</f>
        <v>917.557492101925</v>
      </c>
      <c r="L5342" s="38" t="n">
        <f aca="false">Sens!$L$5330+Sens!$L$5332+Sens!$L$5334+Sens!$L$5336+Sens!$L$5338+Sens!$L$5340</f>
        <v>977.285089743165</v>
      </c>
      <c r="M5342" s="38" t="n">
        <f aca="false">Sens!$M$5330+Sens!$M$5332+Sens!$M$5334+Sens!$M$5336+Sens!$M$5338+Sens!$M$5340</f>
        <v>1041.2140185435</v>
      </c>
      <c r="N5342" s="38" t="n">
        <f aca="false">Sens!$N$5330+Sens!$N$5332+Sens!$N$5334+Sens!$N$5336+Sens!$N$5338+Sens!$N$5340</f>
        <v>263.229</v>
      </c>
      <c r="O5342" s="38" t="n">
        <f aca="false">Sens!$O$5330+Sens!$O$5332+Sens!$O$5334+Sens!$O$5336+Sens!$O$5338+Sens!$O$5340</f>
        <v>324.97</v>
      </c>
    </row>
    <row r="5343" customFormat="false" ht="17.15" hidden="false" customHeight="false" outlineLevel="0" collapsed="false">
      <c r="A5343" s="5" t="s">
        <v>636</v>
      </c>
      <c r="B5343" s="0" t="s">
        <v>52</v>
      </c>
      <c r="C5343" s="12" t="n">
        <f aca="false">Q!$D$5/(Q!$D$5+Q!$D$6)</f>
        <v>0.730570905519011</v>
      </c>
      <c r="D5343" s="12" t="n">
        <f aca="false">Q!$E$5/(Q!$E$5+Q!$E$6)</f>
        <v>0.724763217890544</v>
      </c>
      <c r="E5343" s="12" t="n">
        <f aca="false">Q!$P$5/(Q!$P$5+Q!$P$6)</f>
        <v>0.728797972914861</v>
      </c>
      <c r="F5343" s="12" t="n">
        <f aca="false">Sens!$O$5343</f>
        <v>0.718066283041511</v>
      </c>
      <c r="G5343" s="12" t="n">
        <f aca="false">Sens!$G$5344/Sens!$G$5342</f>
        <v>0.722987468473627</v>
      </c>
      <c r="H5343" s="12" t="n">
        <f aca="false">Sens!$G$5343</f>
        <v>0.722987468473627</v>
      </c>
      <c r="I5343" s="12" t="n">
        <f aca="false">Sens!$G$5343</f>
        <v>0.722987468473627</v>
      </c>
      <c r="J5343" s="12" t="n">
        <f aca="false">Sens!$G$5343</f>
        <v>0.722987468473627</v>
      </c>
      <c r="K5343" s="12" t="n">
        <f aca="false">Sens!$G$5343</f>
        <v>0.722987468473627</v>
      </c>
      <c r="L5343" s="12" t="n">
        <f aca="false">Sens!$G$5343</f>
        <v>0.722987468473627</v>
      </c>
      <c r="M5343" s="12" t="n">
        <f aca="false">Sens!$G$5343</f>
        <v>0.722987468473627</v>
      </c>
      <c r="N5343" s="12" t="n">
        <f aca="false">Q!$N$5/(Q!$N$5+Q!$N$6)</f>
        <v>0.733030935041352</v>
      </c>
      <c r="O5343" s="12" t="n">
        <f aca="false">Q!$O$5/(Q!$O$5+Q!$O$6)</f>
        <v>0.718066283041511</v>
      </c>
      <c r="P5343" s="8" t="s">
        <v>637</v>
      </c>
    </row>
    <row r="5344" customFormat="false" ht="17.15" hidden="false" customHeight="false" outlineLevel="0" collapsed="false">
      <c r="A5344" s="1" t="s">
        <v>472</v>
      </c>
      <c r="B5344" s="8" t="s">
        <v>73</v>
      </c>
      <c r="C5344" s="38" t="n">
        <f aca="false">Q!$D$5</f>
        <v>387.497</v>
      </c>
      <c r="D5344" s="38" t="n">
        <f aca="false">Q!$E$5</f>
        <v>426.305</v>
      </c>
      <c r="E5344" s="38" t="n">
        <f aca="false">Q!$P$5</f>
        <v>220.32</v>
      </c>
      <c r="F5344" s="38" t="n">
        <f aca="false">Sens!$F$5342*Sens!$F$5343</f>
        <v>256.304015003807</v>
      </c>
      <c r="G5344" s="38" t="n">
        <f aca="false">Sens!$E$5344+Sens!$F$5344</f>
        <v>476.624015003807</v>
      </c>
      <c r="H5344" s="38" t="n">
        <f aca="false">Sens!$H$5342*Sens!$H$5343</f>
        <v>527.734391091543</v>
      </c>
      <c r="I5344" s="38" t="n">
        <f aca="false">Sens!$I$5342*Sens!$I$5343</f>
        <v>577.157693029577</v>
      </c>
      <c r="J5344" s="38" t="n">
        <f aca="false">Sens!$J$5342*Sens!$J$5343</f>
        <v>623.024923663827</v>
      </c>
      <c r="K5344" s="38" t="n">
        <f aca="false">Sens!$K$5342*Sens!$K$5343</f>
        <v>663.382568393781</v>
      </c>
      <c r="L5344" s="38" t="n">
        <f aca="false">Sens!$L$5342*Sens!$L$5343</f>
        <v>706.564873010432</v>
      </c>
      <c r="M5344" s="38" t="n">
        <f aca="false">Sens!$M$5342*Sens!$M$5343</f>
        <v>752.784687406019</v>
      </c>
      <c r="N5344" s="38" t="n">
        <f aca="false">Q!$N$5</f>
        <v>192.955</v>
      </c>
      <c r="O5344" s="38" t="n">
        <f aca="false">Q!$O$5</f>
        <v>233.35</v>
      </c>
      <c r="P5344" s="5" t="s">
        <v>638</v>
      </c>
    </row>
    <row r="5345" customFormat="false" ht="17.15" hidden="false" customHeight="false" outlineLevel="0" collapsed="false">
      <c r="A5345" s="1" t="s">
        <v>475</v>
      </c>
      <c r="B5345" s="8" t="s">
        <v>73</v>
      </c>
      <c r="C5345" s="38" t="n">
        <f aca="false">Q!$D$6</f>
        <v>142.906</v>
      </c>
      <c r="D5345" s="38" t="n">
        <f aca="false">Q!$E$6</f>
        <v>161.894</v>
      </c>
      <c r="E5345" s="38" t="n">
        <f aca="false">Q!$P$6</f>
        <v>81.986</v>
      </c>
      <c r="F5345" s="38" t="n">
        <f aca="false">Sens!$F$5342*(1-Sens!$F$5343)</f>
        <v>100.632414204623</v>
      </c>
      <c r="G5345" s="38" t="n">
        <f aca="false">Sens!$E$5345+Sens!$F$5345</f>
        <v>182.618414204623</v>
      </c>
      <c r="H5345" s="38" t="n">
        <f aca="false">Sens!$H$5342*(1-Sens!$H$5343)</f>
        <v>202.201346530158</v>
      </c>
      <c r="I5345" s="38" t="n">
        <f aca="false">Sens!$I$5342*(1-Sens!$I$5343)</f>
        <v>221.137876668296</v>
      </c>
      <c r="J5345" s="38" t="n">
        <f aca="false">Sens!$J$5342*(1-Sens!$J$5343)</f>
        <v>238.711898661958</v>
      </c>
      <c r="K5345" s="38" t="n">
        <f aca="false">Sens!$K$5342*(1-Sens!$K$5343)</f>
        <v>254.174923708144</v>
      </c>
      <c r="L5345" s="38" t="n">
        <f aca="false">Sens!$L$5342*(1-Sens!$L$5343)</f>
        <v>270.720216732733</v>
      </c>
      <c r="M5345" s="38" t="n">
        <f aca="false">Sens!$M$5342*(1-Sens!$M$5343)</f>
        <v>288.429331137484</v>
      </c>
      <c r="N5345" s="38" t="n">
        <f aca="false">Q!$N$6</f>
        <v>70.274</v>
      </c>
      <c r="O5345" s="38" t="n">
        <f aca="false">Q!$O$6</f>
        <v>91.62</v>
      </c>
      <c r="P5345" s="5" t="s">
        <v>639</v>
      </c>
    </row>
    <row r="5346" customFormat="false" ht="17.15" hidden="false" customHeight="false" outlineLevel="0" collapsed="false">
      <c r="A5346" s="5" t="s">
        <v>640</v>
      </c>
      <c r="B5346" s="0" t="s">
        <v>73</v>
      </c>
      <c r="C5346" s="38" t="n">
        <f aca="false">Sens!$C$5336*Sens!$C$5343</f>
        <v>41.0683128828457</v>
      </c>
      <c r="D5346" s="38" t="n">
        <f aca="false">Sens!$D$5336*Sens!$D$5343</f>
        <v>49.7441234599175</v>
      </c>
      <c r="E5346" s="38" t="n">
        <f aca="false">Sens!$E$5336*Sens!$E$5343</f>
        <v>27.0034224924414</v>
      </c>
      <c r="F5346" s="38" t="n">
        <f aca="false">Sens!$F$5336*Sens!$F$5343</f>
        <v>34.5772885649197</v>
      </c>
      <c r="G5346" s="38" t="n">
        <f aca="false">Sens!$G$5336*Sens!$G$5343</f>
        <v>61.6023917531772</v>
      </c>
      <c r="H5346" s="38" t="n">
        <f aca="false">Sens!$H$5336*Sens!$H$5343</f>
        <v>73.9568187320519</v>
      </c>
      <c r="I5346" s="38" t="n">
        <f aca="false">Sens!$I$5336*Sens!$I$5343</f>
        <v>86.3101265625461</v>
      </c>
      <c r="J5346" s="38" t="n">
        <f aca="false">Sens!$J$5336*Sens!$J$5343</f>
        <v>97.8339983977065</v>
      </c>
      <c r="K5346" s="38" t="n">
        <f aca="false">Sens!$K$5336*Sens!$K$5343</f>
        <v>107.617398237477</v>
      </c>
      <c r="L5346" s="38" t="n">
        <f aca="false">Sens!$L$5336*Sens!$L$5343</f>
        <v>118.379138061225</v>
      </c>
      <c r="M5346" s="38" t="n">
        <f aca="false">Sens!$M$5336*Sens!$M$5343</f>
        <v>130.217051867347</v>
      </c>
      <c r="N5346" s="38" t="n">
        <f aca="false">Sens!$N$5336*Sens!$N$5343</f>
        <v>21.7087111412496</v>
      </c>
      <c r="O5346" s="38" t="n">
        <f aca="false">Sens!$O$5336*Sens!$O$5343</f>
        <v>28.0189463642798</v>
      </c>
      <c r="P5346" s="5" t="s">
        <v>641</v>
      </c>
    </row>
    <row r="5347" customFormat="false" ht="15" hidden="false" customHeight="false" outlineLevel="0" collapsed="false">
      <c r="A5347" s="5" t="s">
        <v>642</v>
      </c>
      <c r="B5347" s="0" t="s">
        <v>73</v>
      </c>
      <c r="C5347" s="38" t="n">
        <f aca="false">Sens!$C$5336-Sens!$C$5346</f>
        <v>15.1456871171543</v>
      </c>
      <c r="D5347" s="38" t="n">
        <f aca="false">Sens!$D$5336-Sens!$D$5346</f>
        <v>18.8908765400825</v>
      </c>
      <c r="E5347" s="38" t="n">
        <f aca="false">Sens!$E$5336-Sens!$E$5346</f>
        <v>10.0485775075586</v>
      </c>
      <c r="F5347" s="38" t="n">
        <f aca="false">Sens!$F$5336-Sens!$F$5346</f>
        <v>13.5760496178185</v>
      </c>
      <c r="G5347" s="38" t="n">
        <f aca="false">Sens!$G$5336-Sens!$G$5346</f>
        <v>23.6029464295611</v>
      </c>
      <c r="H5347" s="38" t="n">
        <f aca="false">Sens!$H$5336-Sens!$H$5346</f>
        <v>28.3365431268884</v>
      </c>
      <c r="I5347" s="38" t="n">
        <f aca="false">Sens!$I$5336-Sens!$I$5346</f>
        <v>33.0697110226949</v>
      </c>
      <c r="J5347" s="38" t="n">
        <f aca="false">Sens!$J$5336-Sens!$J$5346</f>
        <v>37.4850806511378</v>
      </c>
      <c r="K5347" s="38" t="n">
        <f aca="false">Sens!$K$5336-Sens!$K$5346</f>
        <v>41.2335887162515</v>
      </c>
      <c r="L5347" s="38" t="n">
        <f aca="false">Sens!$L$5336-Sens!$L$5346</f>
        <v>45.3569475878767</v>
      </c>
      <c r="M5347" s="38" t="n">
        <f aca="false">Sens!$M$5336-Sens!$M$5346</f>
        <v>49.8926423466644</v>
      </c>
      <c r="N5347" s="38" t="n">
        <f aca="false">Sens!$N$5336-Sens!$N$5346</f>
        <v>7.90628885875037</v>
      </c>
      <c r="O5347" s="38" t="n">
        <f aca="false">Sens!$O$5336-Sens!$O$5346</f>
        <v>11.0010536357202</v>
      </c>
    </row>
    <row r="5348" customFormat="false" ht="19.4" hidden="false" customHeight="false" outlineLevel="0" collapsed="false">
      <c r="A5348" s="31" t="s">
        <v>1161</v>
      </c>
    </row>
    <row r="5349" customFormat="false" ht="17.15" hidden="false" customHeight="false" outlineLevel="0" collapsed="false">
      <c r="A5349" s="6" t="s">
        <v>16</v>
      </c>
      <c r="B5349" s="6" t="s">
        <v>17</v>
      </c>
      <c r="C5349" s="20" t="s">
        <v>457</v>
      </c>
      <c r="D5349" s="20" t="s">
        <v>458</v>
      </c>
      <c r="E5349" s="20" t="s">
        <v>540</v>
      </c>
      <c r="F5349" s="20" t="s">
        <v>541</v>
      </c>
      <c r="G5349" s="20" t="s">
        <v>542</v>
      </c>
      <c r="H5349" s="20" t="s">
        <v>543</v>
      </c>
      <c r="I5349" s="20" t="s">
        <v>544</v>
      </c>
      <c r="J5349" s="20" t="s">
        <v>545</v>
      </c>
      <c r="K5349" s="20" t="s">
        <v>546</v>
      </c>
      <c r="L5349" s="20" t="s">
        <v>547</v>
      </c>
      <c r="M5349" s="20" t="s">
        <v>548</v>
      </c>
      <c r="N5349" s="20" t="s">
        <v>549</v>
      </c>
      <c r="O5349" s="20" t="s">
        <v>550</v>
      </c>
      <c r="P5349" s="6" t="s">
        <v>23</v>
      </c>
      <c r="R5349" s="20" t="n">
        <v>2023</v>
      </c>
      <c r="S5349" s="20" t="n">
        <v>2024</v>
      </c>
      <c r="T5349" s="20" t="n">
        <v>2025</v>
      </c>
      <c r="U5349" s="20" t="n">
        <v>2026</v>
      </c>
      <c r="V5349" s="20" t="n">
        <v>2027</v>
      </c>
      <c r="W5349" s="20" t="n">
        <v>2028</v>
      </c>
      <c r="X5349" s="20" t="n">
        <v>2029</v>
      </c>
      <c r="Y5349" s="20" t="n">
        <v>2030</v>
      </c>
      <c r="Z5349" s="20" t="n">
        <v>2031</v>
      </c>
      <c r="AA5349" s="20" t="n">
        <v>2032</v>
      </c>
    </row>
    <row r="5350" customFormat="false" ht="17.15" hidden="false" customHeight="false" outlineLevel="0" collapsed="false">
      <c r="A5350" s="1" t="s">
        <v>551</v>
      </c>
    </row>
    <row r="5351" customFormat="false" ht="17.15" hidden="false" customHeight="false" outlineLevel="0" collapsed="false">
      <c r="A5351" s="14" t="s">
        <v>552</v>
      </c>
      <c r="B5351" s="13" t="s">
        <v>108</v>
      </c>
      <c r="C5351" s="32" t="n">
        <f aca="false">mw_ye24</f>
        <v>360</v>
      </c>
      <c r="D5351" s="32" t="n">
        <f aca="false">mw_ye25</f>
        <v>1440</v>
      </c>
      <c r="E5351" s="32" t="n">
        <f aca="false">mw_open</f>
        <v>2080</v>
      </c>
      <c r="F5351" s="32" t="n">
        <f aca="false">Sens!$E$5351+pace_B*0.5</f>
        <v>3897.15</v>
      </c>
      <c r="G5351" s="32" t="n">
        <f aca="false">Sens!$F$5351</f>
        <v>3897.15</v>
      </c>
      <c r="H5351" s="32" t="n">
        <f aca="false">Sens!$G$5351+pace_B</f>
        <v>7531.45</v>
      </c>
      <c r="I5351" s="32" t="n">
        <f aca="false">Sens!$H$5351+pace_B</f>
        <v>11165.75</v>
      </c>
      <c r="J5351" s="32" t="n">
        <f aca="false">Sens!$I$5351+pace_B</f>
        <v>14800.05</v>
      </c>
      <c r="K5351" s="32" t="n">
        <f aca="false">Sens!$J$5351+pace_B</f>
        <v>18434.35</v>
      </c>
      <c r="L5351" s="32" t="n">
        <f aca="false">Sens!$K$5351+pace_B</f>
        <v>22068.65</v>
      </c>
      <c r="M5351" s="32" t="n">
        <f aca="false">Sens!$L$5351+pace_B</f>
        <v>25702.95</v>
      </c>
      <c r="N5351" s="32" t="n">
        <f aca="false">(mw_ye24+mw_ye25)/2</f>
        <v>900</v>
      </c>
      <c r="O5351" s="32" t="n">
        <f aca="false">mw_ye25</f>
        <v>1440</v>
      </c>
      <c r="P5351" s="5" t="s">
        <v>553</v>
      </c>
    </row>
    <row r="5352" customFormat="false" ht="17.15" hidden="false" customHeight="false" outlineLevel="0" collapsed="false">
      <c r="A5352" s="5" t="s">
        <v>554</v>
      </c>
      <c r="B5352" s="0" t="s">
        <v>108</v>
      </c>
      <c r="C5352" s="33" t="n">
        <f aca="false">(mw_ye23+mw_ye24)/2</f>
        <v>240</v>
      </c>
      <c r="D5352" s="33" t="n">
        <f aca="false">(Sens!$C$5351+Sens!$D$5351)/2</f>
        <v>900</v>
      </c>
      <c r="E5352" s="33" t="n">
        <f aca="false">(Sens!$D$5351+Sens!$E$5351)/2</f>
        <v>1760</v>
      </c>
      <c r="F5352" s="33" t="n">
        <f aca="false">(Sens!$E$5351+Sens!$F$5351)/2</f>
        <v>2988.575</v>
      </c>
      <c r="G5352" s="33" t="n">
        <f aca="false">(Sens!$E$5352+Sens!$F$5352)/2</f>
        <v>2374.2875</v>
      </c>
      <c r="H5352" s="33" t="n">
        <f aca="false">(Sens!$G$5351+Sens!$H$5351)/2</f>
        <v>5714.3</v>
      </c>
      <c r="I5352" s="33" t="n">
        <f aca="false">(Sens!$H$5351+Sens!$I$5351)/2</f>
        <v>9348.6</v>
      </c>
      <c r="J5352" s="33" t="n">
        <f aca="false">(Sens!$I$5351+Sens!$J$5351)/2</f>
        <v>12982.9</v>
      </c>
      <c r="K5352" s="33" t="n">
        <f aca="false">(Sens!$J$5351+Sens!$K$5351)/2</f>
        <v>16617.2</v>
      </c>
      <c r="L5352" s="33" t="n">
        <f aca="false">(Sens!$K$5351+Sens!$L$5351)/2</f>
        <v>20251.5</v>
      </c>
      <c r="M5352" s="33" t="n">
        <f aca="false">(Sens!$L$5351+Sens!$M$5351)/2</f>
        <v>23885.8</v>
      </c>
      <c r="N5352" s="33" t="n">
        <f aca="false">(Sens!$C$5351+Sens!$N$5351)/2</f>
        <v>630</v>
      </c>
      <c r="O5352" s="33" t="n">
        <f aca="false">(Sens!$N$5351+Sens!$O$5351)/2</f>
        <v>1170</v>
      </c>
    </row>
    <row r="5353" customFormat="false" ht="15" hidden="false" customHeight="false" outlineLevel="0" collapsed="false">
      <c r="A5353" s="5" t="s">
        <v>555</v>
      </c>
      <c r="B5353" s="5" t="s">
        <v>102</v>
      </c>
      <c r="C5353" s="34" t="n">
        <v>1</v>
      </c>
      <c r="D5353" s="34" t="n">
        <v>1</v>
      </c>
      <c r="E5353" s="34" t="n">
        <v>0.5</v>
      </c>
      <c r="F5353" s="34" t="n">
        <v>0.5</v>
      </c>
      <c r="G5353" s="34" t="n">
        <v>1</v>
      </c>
      <c r="H5353" s="34" t="n">
        <v>1</v>
      </c>
      <c r="I5353" s="34" t="n">
        <v>1</v>
      </c>
      <c r="J5353" s="34" t="n">
        <v>1</v>
      </c>
      <c r="K5353" s="34" t="n">
        <v>1</v>
      </c>
      <c r="L5353" s="34" t="n">
        <v>1</v>
      </c>
      <c r="M5353" s="34" t="n">
        <v>1</v>
      </c>
      <c r="N5353" s="34" t="n">
        <v>0.5</v>
      </c>
      <c r="O5353" s="34" t="n">
        <v>0.5</v>
      </c>
    </row>
    <row r="5354" customFormat="false" ht="17.15" hidden="false" customHeight="false" outlineLevel="0" collapsed="false">
      <c r="A5354" s="5" t="s">
        <v>556</v>
      </c>
      <c r="B5354" s="0" t="s">
        <v>108</v>
      </c>
      <c r="C5354" s="33" t="n">
        <f aca="false">Sens!$C$5351-mw_ye23</f>
        <v>240</v>
      </c>
      <c r="D5354" s="33" t="n">
        <f aca="false">Sens!$D$5351-Sens!$C$5351</f>
        <v>1080</v>
      </c>
      <c r="E5354" s="33" t="n">
        <f aca="false">Sens!$E$5351-Sens!$D$5351</f>
        <v>640</v>
      </c>
      <c r="F5354" s="33" t="n">
        <f aca="false">Sens!$F$5351-Sens!$E$5351</f>
        <v>1817.15</v>
      </c>
      <c r="G5354" s="33" t="n">
        <f aca="false">Sens!$E$5354+Sens!$F$5354</f>
        <v>2457.15</v>
      </c>
      <c r="H5354" s="33" t="n">
        <f aca="false">Sens!$H$5351-Sens!$G$5351</f>
        <v>3634.3</v>
      </c>
      <c r="I5354" s="33" t="n">
        <f aca="false">Sens!$I$5351-Sens!$H$5351</f>
        <v>3634.3</v>
      </c>
      <c r="J5354" s="33" t="n">
        <f aca="false">Sens!$J$5351-Sens!$I$5351</f>
        <v>3634.3</v>
      </c>
      <c r="K5354" s="33" t="n">
        <f aca="false">Sens!$K$5351-Sens!$J$5351</f>
        <v>3634.3</v>
      </c>
      <c r="L5354" s="33" t="n">
        <f aca="false">Sens!$L$5351-Sens!$K$5351</f>
        <v>3634.3</v>
      </c>
      <c r="M5354" s="33" t="n">
        <f aca="false">Sens!$M$5351-Sens!$L$5351</f>
        <v>3634.3</v>
      </c>
      <c r="N5354" s="33" t="n">
        <f aca="false">Sens!$N$5351-Sens!$C$5351</f>
        <v>540</v>
      </c>
      <c r="O5354" s="33" t="n">
        <f aca="false">Sens!$O$5351-Sens!$N$5351</f>
        <v>540</v>
      </c>
    </row>
    <row r="5355" customFormat="false" ht="17.15" hidden="false" customHeight="false" outlineLevel="0" collapsed="false">
      <c r="A5355" s="5" t="s">
        <v>557</v>
      </c>
      <c r="B5355" s="0" t="s">
        <v>108</v>
      </c>
      <c r="C5355" s="33" t="n">
        <f aca="false">Sens!$C$5354/ext_sh</f>
        <v>300</v>
      </c>
      <c r="D5355" s="33" t="n">
        <f aca="false">Sens!$D$5354/ext_sh</f>
        <v>1350</v>
      </c>
      <c r="E5355" s="33" t="n">
        <f aca="false">Sens!$E$5354/ext_sh</f>
        <v>800</v>
      </c>
      <c r="F5355" s="33" t="n">
        <f aca="false">Sens!$F$5354/ext_sh</f>
        <v>2271.4375</v>
      </c>
      <c r="G5355" s="33" t="n">
        <f aca="false">Sens!$G$5354/ext_sh</f>
        <v>3071.4375</v>
      </c>
      <c r="H5355" s="33" t="n">
        <f aca="false">Sens!$H$5354/ext_sh</f>
        <v>4542.875</v>
      </c>
      <c r="I5355" s="33" t="n">
        <f aca="false">Sens!$I$5354/ext_sh</f>
        <v>4542.875</v>
      </c>
      <c r="J5355" s="33" t="n">
        <f aca="false">Sens!$J$5354/ext_sh</f>
        <v>4542.875</v>
      </c>
      <c r="K5355" s="33" t="n">
        <f aca="false">Sens!$K$5354/ext_sh</f>
        <v>4542.875</v>
      </c>
      <c r="L5355" s="33" t="n">
        <f aca="false">Sens!$L$5354/ext_sh</f>
        <v>4542.875</v>
      </c>
      <c r="M5355" s="33" t="n">
        <f aca="false">Sens!$M$5354/ext_sh</f>
        <v>4542.875</v>
      </c>
      <c r="N5355" s="33" t="n">
        <f aca="false">Sens!$N$5354/ext_sh</f>
        <v>675</v>
      </c>
      <c r="O5355" s="33" t="n">
        <f aca="false">Sens!$O$5354/ext_sh</f>
        <v>675</v>
      </c>
      <c r="P5355" s="8" t="s">
        <v>558</v>
      </c>
      <c r="R5355" s="33" t="n">
        <f aca="false">mw_ye23/ext_sh</f>
        <v>150</v>
      </c>
      <c r="S5355" s="33" t="n">
        <f aca="false">Sens!$C$5355</f>
        <v>300</v>
      </c>
      <c r="T5355" s="33" t="n">
        <f aca="false">Sens!$D$5355</f>
        <v>1350</v>
      </c>
      <c r="U5355" s="33" t="n">
        <f aca="false">Sens!$G$5355</f>
        <v>3071.4375</v>
      </c>
      <c r="V5355" s="33" t="n">
        <f aca="false">Sens!$H$5355</f>
        <v>4542.875</v>
      </c>
      <c r="W5355" s="33" t="n">
        <f aca="false">Sens!$I$5355</f>
        <v>4542.875</v>
      </c>
      <c r="X5355" s="33" t="n">
        <f aca="false">Sens!$J$5355</f>
        <v>4542.875</v>
      </c>
      <c r="Y5355" s="33" t="n">
        <f aca="false">Sens!$K$5355</f>
        <v>4542.875</v>
      </c>
      <c r="Z5355" s="33" t="n">
        <f aca="false">Sens!$L$5355</f>
        <v>4542.875</v>
      </c>
      <c r="AA5355" s="33" t="n">
        <f aca="false">Sens!$M$5355</f>
        <v>4542.875</v>
      </c>
    </row>
    <row r="5356" customFormat="false" ht="17.15" hidden="false" customHeight="false" outlineLevel="0" collapsed="false">
      <c r="A5356" s="1" t="s">
        <v>559</v>
      </c>
    </row>
    <row r="5357" customFormat="false" ht="17.15" hidden="false" customHeight="false" outlineLevel="0" collapsed="false">
      <c r="A5357" s="0" t="s">
        <v>560</v>
      </c>
      <c r="B5357" s="0" t="s">
        <v>52</v>
      </c>
      <c r="F5357" s="35" t="n">
        <f aca="false">na_vr26</f>
        <v>0</v>
      </c>
      <c r="G5357" s="35" t="n">
        <f aca="false">na_vr26</f>
        <v>0</v>
      </c>
      <c r="H5357" s="35" t="n">
        <f aca="false">na_vr27</f>
        <v>0.5</v>
      </c>
      <c r="I5357" s="35" t="n">
        <f aca="false">na_vr28</f>
        <v>1</v>
      </c>
      <c r="J5357" s="35" t="n">
        <f aca="false">na_vr28</f>
        <v>1</v>
      </c>
      <c r="K5357" s="35" t="n">
        <f aca="false">na_vr28</f>
        <v>1</v>
      </c>
      <c r="L5357" s="35" t="n">
        <f aca="false">na_vr28</f>
        <v>1</v>
      </c>
      <c r="M5357" s="35" t="n">
        <f aca="false">na_vr28</f>
        <v>1</v>
      </c>
    </row>
    <row r="5358" customFormat="false" ht="17.15" hidden="false" customHeight="false" outlineLevel="0" collapsed="false">
      <c r="A5358" s="5" t="s">
        <v>561</v>
      </c>
      <c r="B5358" s="0" t="s">
        <v>151</v>
      </c>
      <c r="F5358" s="36" t="n">
        <f aca="false">cust_sh*tk_he_gb300*cf_chip+(1-cust_sh)*((1-Sens!$F$5357)*tk_he_gb300+Sens!$F$5357*tk_he_vr200)</f>
        <v>10.8864110021101</v>
      </c>
      <c r="G5358" s="36" t="n">
        <f aca="false">cust_sh*tk_he_gb300*cf_chip+(1-cust_sh)*((1-Sens!$G$5357)*tk_he_gb300+Sens!$G$5357*tk_he_vr200)</f>
        <v>10.8864110021101</v>
      </c>
      <c r="H5358" s="36" t="n">
        <f aca="false">cust_sh*tk_he_gb300*cf_chip+(1-cust_sh)*((1-Sens!$H$5357)*tk_he_gb300+Sens!$H$5357*tk_he_vr200)</f>
        <v>11.2211760027286</v>
      </c>
      <c r="I5358" s="36" t="n">
        <f aca="false">cust_sh*tk_he_gb300*cf_chip+(1-cust_sh)*((1-Sens!$I$5357)*tk_he_gb300+Sens!$I$5357*tk_he_vr200)</f>
        <v>11.5559410033471</v>
      </c>
      <c r="J5358" s="36" t="n">
        <f aca="false">cust_sh*tk_he_gb300*cf_chip+(1-cust_sh)*((1-Sens!$J$5357)*tk_he_gb300+Sens!$J$5357*tk_he_vr200)</f>
        <v>11.5559410033471</v>
      </c>
      <c r="K5358" s="36" t="n">
        <f aca="false">cust_sh*tk_he_gb300*cf_chip+(1-cust_sh)*((1-Sens!$K$5357)*tk_he_gb300+Sens!$K$5357*tk_he_vr200)</f>
        <v>11.5559410033471</v>
      </c>
      <c r="L5358" s="36" t="n">
        <f aca="false">cust_sh*tk_he_gb300*cf_chip+(1-cust_sh)*((1-Sens!$L$5357)*tk_he_gb300+Sens!$L$5357*tk_he_vr200)</f>
        <v>11.5559410033471</v>
      </c>
      <c r="M5358" s="36" t="n">
        <f aca="false">cust_sh*tk_he_gb300*cf_chip+(1-cust_sh)*((1-Sens!$M$5357)*tk_he_gb300+Sens!$M$5357*tk_he_vr200)</f>
        <v>11.5559410033471</v>
      </c>
    </row>
    <row r="5359" customFormat="false" ht="17.15" hidden="false" customHeight="false" outlineLevel="0" collapsed="false">
      <c r="A5359" s="5" t="s">
        <v>562</v>
      </c>
      <c r="B5359" s="0" t="s">
        <v>151</v>
      </c>
      <c r="F5359" s="36" t="n">
        <f aca="false">cust_sh*tk_ox_gb300+(1-cust_sh)*((1-Sens!$F$5357)*tk_ox_gb300+Sens!$F$5357*tk_ox_vr200)</f>
        <v>1.98263481314457</v>
      </c>
      <c r="G5359" s="36" t="n">
        <f aca="false">cust_sh*tk_ox_gb300+(1-cust_sh)*((1-Sens!$G$5357)*tk_ox_gb300+Sens!$G$5357*tk_ox_vr200)</f>
        <v>1.98263481314457</v>
      </c>
      <c r="H5359" s="36" t="n">
        <f aca="false">cust_sh*tk_ox_gb300+(1-cust_sh)*((1-Sens!$H$5357)*tk_ox_gb300+Sens!$H$5357*tk_ox_vr200)</f>
        <v>2.01034999693694</v>
      </c>
      <c r="I5359" s="36" t="n">
        <f aca="false">cust_sh*tk_ox_gb300+(1-cust_sh)*((1-Sens!$I$5357)*tk_ox_gb300+Sens!$I$5357*tk_ox_vr200)</f>
        <v>2.0380651807293</v>
      </c>
      <c r="J5359" s="36" t="n">
        <f aca="false">cust_sh*tk_ox_gb300+(1-cust_sh)*((1-Sens!$J$5357)*tk_ox_gb300+Sens!$J$5357*tk_ox_vr200)</f>
        <v>2.0380651807293</v>
      </c>
      <c r="K5359" s="36" t="n">
        <f aca="false">cust_sh*tk_ox_gb300+(1-cust_sh)*((1-Sens!$K$5357)*tk_ox_gb300+Sens!$K$5357*tk_ox_vr200)</f>
        <v>2.0380651807293</v>
      </c>
      <c r="L5359" s="36" t="n">
        <f aca="false">cust_sh*tk_ox_gb300+(1-cust_sh)*((1-Sens!$L$5357)*tk_ox_gb300+Sens!$L$5357*tk_ox_vr200)</f>
        <v>2.0380651807293</v>
      </c>
      <c r="M5359" s="36" t="n">
        <f aca="false">cust_sh*tk_ox_gb300+(1-cust_sh)*((1-Sens!$M$5357)*tk_ox_gb300+Sens!$M$5357*tk_ox_vr200)</f>
        <v>2.0380651807293</v>
      </c>
    </row>
    <row r="5360" customFormat="false" ht="17.15" hidden="false" customHeight="false" outlineLevel="0" collapsed="false">
      <c r="A5360" s="5" t="s">
        <v>563</v>
      </c>
      <c r="B5360" s="0" t="s">
        <v>170</v>
      </c>
      <c r="F5360" s="36" t="n">
        <f aca="false">cust_sh*tk_cx_gb300*cf_cx+(1-cust_sh)*((1-Sens!$F$5357)*tk_cx_gb300+Sens!$F$5357*tk_cx_vr200)</f>
        <v>32.237224</v>
      </c>
      <c r="G5360" s="36" t="n">
        <f aca="false">cust_sh*tk_cx_gb300*cf_cx+(1-cust_sh)*((1-Sens!$G$5357)*tk_cx_gb300+Sens!$G$5357*tk_cx_vr200)</f>
        <v>32.237224</v>
      </c>
      <c r="H5360" s="36" t="n">
        <f aca="false">cust_sh*tk_cx_gb300*cf_cx+(1-cust_sh)*((1-Sens!$H$5357)*tk_cx_gb300+Sens!$H$5357*tk_cx_vr200)</f>
        <v>33.574506</v>
      </c>
      <c r="I5360" s="36" t="n">
        <f aca="false">cust_sh*tk_cx_gb300*cf_cx+(1-cust_sh)*((1-Sens!$I$5357)*tk_cx_gb300+Sens!$I$5357*tk_cx_vr200)</f>
        <v>34.911788</v>
      </c>
      <c r="J5360" s="36" t="n">
        <f aca="false">cust_sh*tk_cx_gb300*cf_cx+(1-cust_sh)*((1-Sens!$J$5357)*tk_cx_gb300+Sens!$J$5357*tk_cx_vr200)</f>
        <v>34.911788</v>
      </c>
      <c r="K5360" s="36" t="n">
        <f aca="false">cust_sh*tk_cx_gb300*cf_cx+(1-cust_sh)*((1-Sens!$K$5357)*tk_cx_gb300+Sens!$K$5357*tk_cx_vr200)</f>
        <v>34.911788</v>
      </c>
      <c r="L5360" s="36" t="n">
        <f aca="false">cust_sh*tk_cx_gb300*cf_cx+(1-cust_sh)*((1-Sens!$L$5357)*tk_cx_gb300+Sens!$L$5357*tk_cx_vr200)</f>
        <v>34.911788</v>
      </c>
      <c r="M5360" s="36" t="n">
        <f aca="false">cust_sh*tk_cx_gb300*cf_cx+(1-cust_sh)*((1-Sens!$M$5357)*tk_cx_gb300+Sens!$M$5357*tk_cx_vr200)</f>
        <v>34.911788</v>
      </c>
    </row>
    <row r="5361" customFormat="false" ht="17.15" hidden="false" customHeight="false" outlineLevel="0" collapsed="false">
      <c r="A5361" s="5" t="s">
        <v>564</v>
      </c>
      <c r="B5361" s="0" t="s">
        <v>108</v>
      </c>
      <c r="F5361" s="33" t="n">
        <f aca="false">Sens!$F$5351-mw_open</f>
        <v>1817.15</v>
      </c>
      <c r="G5361" s="33" t="n">
        <f aca="false">Sens!$F$5361</f>
        <v>1817.15</v>
      </c>
      <c r="H5361" s="33" t="n">
        <f aca="false">Sens!$H$5351-mw_open</f>
        <v>5451.45</v>
      </c>
      <c r="I5361" s="33" t="n">
        <f aca="false">Sens!$I$5351-mw_open</f>
        <v>9085.75</v>
      </c>
      <c r="J5361" s="33" t="n">
        <f aca="false">Sens!$J$5351-mw_open</f>
        <v>12720.05</v>
      </c>
      <c r="K5361" s="33" t="n">
        <f aca="false">Sens!$K$5351-mw_open</f>
        <v>16354.35</v>
      </c>
      <c r="L5361" s="33" t="n">
        <f aca="false">Sens!$L$5351-mw_open</f>
        <v>19988.65</v>
      </c>
      <c r="M5361" s="33" t="n">
        <f aca="false">Sens!$M$5351-mw_open</f>
        <v>23622.95</v>
      </c>
    </row>
    <row r="5362" customFormat="false" ht="17.15" hidden="false" customHeight="false" outlineLevel="0" collapsed="false">
      <c r="A5362" s="0" t="s">
        <v>565</v>
      </c>
      <c r="B5362" s="0" t="s">
        <v>566</v>
      </c>
      <c r="F5362" s="33" t="n">
        <f aca="false">Sens!$F$5354*Sens!$F$5358</f>
        <v>19782.2417524844</v>
      </c>
      <c r="G5362" s="33" t="n">
        <f aca="false">Sens!$F$5362</f>
        <v>19782.2417524844</v>
      </c>
      <c r="H5362" s="33" t="n">
        <f aca="false">Sens!$G$5362+Sens!$H$5354*Sens!$H$5358</f>
        <v>60563.3616992009</v>
      </c>
      <c r="I5362" s="33" t="n">
        <f aca="false">Sens!$H$5362+Sens!$I$5354*Sens!$I$5358</f>
        <v>102561.118087665</v>
      </c>
      <c r="J5362" s="33" t="n">
        <f aca="false">Sens!$I$5362+Sens!$J$5354*Sens!$J$5358</f>
        <v>144558.87447613</v>
      </c>
      <c r="K5362" s="33" t="n">
        <f aca="false">Sens!$J$5362+Sens!$K$5354*Sens!$K$5358</f>
        <v>186556.630864594</v>
      </c>
      <c r="L5362" s="33" t="n">
        <f aca="false">Sens!$K$5362+Sens!$L$5354*Sens!$L$5358</f>
        <v>228554.387253058</v>
      </c>
      <c r="M5362" s="33" t="n">
        <f aca="false">Sens!$L$5362+Sens!$M$5354*Sens!$M$5358</f>
        <v>270552.143641523</v>
      </c>
    </row>
    <row r="5363" customFormat="false" ht="17.15" hidden="false" customHeight="false" outlineLevel="0" collapsed="false">
      <c r="A5363" s="0" t="s">
        <v>567</v>
      </c>
      <c r="B5363" s="0" t="s">
        <v>566</v>
      </c>
      <c r="F5363" s="33" t="n">
        <f aca="false">Sens!$F$5354*Sens!$F$5359</f>
        <v>3602.74485070566</v>
      </c>
      <c r="G5363" s="33" t="n">
        <f aca="false">Sens!$F$5363</f>
        <v>3602.74485070566</v>
      </c>
      <c r="H5363" s="33" t="n">
        <f aca="false">Sens!$G$5363+Sens!$H$5354*Sens!$H$5359</f>
        <v>10908.9598445736</v>
      </c>
      <c r="I5363" s="33" t="n">
        <f aca="false">Sens!$H$5363+Sens!$I$5354*Sens!$I$5359</f>
        <v>18315.9001308981</v>
      </c>
      <c r="J5363" s="33" t="n">
        <f aca="false">Sens!$I$5363+Sens!$J$5354*Sens!$J$5359</f>
        <v>25722.8404172225</v>
      </c>
      <c r="K5363" s="33" t="n">
        <f aca="false">Sens!$J$5363+Sens!$K$5354*Sens!$K$5359</f>
        <v>33129.780703547</v>
      </c>
      <c r="L5363" s="33" t="n">
        <f aca="false">Sens!$K$5363+Sens!$L$5354*Sens!$L$5359</f>
        <v>40536.7209898715</v>
      </c>
      <c r="M5363" s="33" t="n">
        <f aca="false">Sens!$L$5363+Sens!$M$5354*Sens!$M$5359</f>
        <v>47943.661276196</v>
      </c>
    </row>
    <row r="5364" customFormat="false" ht="17.15" hidden="false" customHeight="false" outlineLevel="0" collapsed="false">
      <c r="A5364" s="5" t="s">
        <v>568</v>
      </c>
      <c r="B5364" s="0" t="s">
        <v>151</v>
      </c>
      <c r="F5364" s="36" t="n">
        <f aca="false">IF(Sens!$F$5361&gt;0,Sens!$F$5362/Sens!$F$5361,Sens!$F$5358)</f>
        <v>10.8864110021101</v>
      </c>
      <c r="G5364" s="36" t="n">
        <f aca="false">IF(Sens!$G$5361&gt;0,Sens!$G$5362/Sens!$G$5361,Sens!$G$5358)</f>
        <v>10.8864110021101</v>
      </c>
      <c r="H5364" s="36" t="n">
        <f aca="false">IF(Sens!$H$5361&gt;0,Sens!$H$5362/Sens!$H$5361,Sens!$H$5358)</f>
        <v>11.1095876691891</v>
      </c>
      <c r="I5364" s="36" t="n">
        <f aca="false">IF(Sens!$I$5361&gt;0,Sens!$I$5362/Sens!$I$5361,Sens!$I$5358)</f>
        <v>11.2881290028523</v>
      </c>
      <c r="J5364" s="36" t="n">
        <f aca="false">IF(Sens!$J$5361&gt;0,Sens!$J$5362/Sens!$J$5361,Sens!$J$5358)</f>
        <v>11.3646467172794</v>
      </c>
      <c r="K5364" s="36" t="n">
        <f aca="false">IF(Sens!$K$5361&gt;0,Sens!$K$5362/Sens!$K$5361,Sens!$K$5358)</f>
        <v>11.4071565586278</v>
      </c>
      <c r="L5364" s="36" t="n">
        <f aca="false">IF(Sens!$L$5361&gt;0,Sens!$L$5362/Sens!$L$5361,Sens!$L$5358)</f>
        <v>11.4342082758495</v>
      </c>
      <c r="M5364" s="36" t="n">
        <f aca="false">IF(Sens!$M$5361&gt;0,Sens!$M$5362/Sens!$M$5361,Sens!$M$5358)</f>
        <v>11.4529363877722</v>
      </c>
    </row>
    <row r="5365" customFormat="false" ht="17.15" hidden="false" customHeight="false" outlineLevel="0" collapsed="false">
      <c r="A5365" s="5" t="s">
        <v>569</v>
      </c>
      <c r="B5365" s="0" t="s">
        <v>151</v>
      </c>
      <c r="F5365" s="36" t="n">
        <f aca="false">IF(Sens!$F$5361&gt;0,Sens!$F$5363/Sens!$F$5361,Sens!$F$5359)</f>
        <v>1.98263481314457</v>
      </c>
      <c r="G5365" s="36" t="n">
        <f aca="false">IF(Sens!$G$5361&gt;0,Sens!$G$5363/Sens!$G$5361,Sens!$G$5359)</f>
        <v>1.98263481314457</v>
      </c>
      <c r="H5365" s="36" t="n">
        <f aca="false">IF(Sens!$H$5361&gt;0,Sens!$H$5363/Sens!$H$5361,Sens!$H$5359)</f>
        <v>2.00111160233948</v>
      </c>
      <c r="I5365" s="36" t="n">
        <f aca="false">IF(Sens!$I$5361&gt;0,Sens!$I$5363/Sens!$I$5361,Sens!$I$5359)</f>
        <v>2.01589303369541</v>
      </c>
      <c r="J5365" s="36" t="n">
        <f aca="false">IF(Sens!$J$5361&gt;0,Sens!$J$5363/Sens!$J$5361,Sens!$J$5359)</f>
        <v>2.02222793284795</v>
      </c>
      <c r="K5365" s="36" t="n">
        <f aca="false">IF(Sens!$K$5361&gt;0,Sens!$K$5363/Sens!$K$5361,Sens!$K$5359)</f>
        <v>2.02574732126603</v>
      </c>
      <c r="L5365" s="36" t="n">
        <f aca="false">IF(Sens!$L$5361&gt;0,Sens!$L$5363/Sens!$L$5361,Sens!$L$5359)</f>
        <v>2.02798693207753</v>
      </c>
      <c r="M5365" s="36" t="n">
        <f aca="false">IF(Sens!$M$5361&gt;0,Sens!$M$5363/Sens!$M$5361,Sens!$M$5359)</f>
        <v>2.02953743187011</v>
      </c>
    </row>
    <row r="5366" customFormat="false" ht="17.15" hidden="false" customHeight="false" outlineLevel="0" collapsed="false">
      <c r="A5366" s="14" t="s">
        <v>570</v>
      </c>
      <c r="B5366" s="13" t="s">
        <v>151</v>
      </c>
      <c r="C5366" s="13"/>
      <c r="D5366" s="13"/>
      <c r="E5366" s="13"/>
      <c r="F5366" s="37" t="n">
        <f aca="false">Sens!$F$5364*k_B</f>
        <v>10.7987645808025</v>
      </c>
      <c r="G5366" s="37" t="n">
        <f aca="false">Sens!$G$5364*k_B</f>
        <v>10.7987645808025</v>
      </c>
      <c r="H5366" s="37" t="n">
        <f aca="false">Sens!$H$5364*k_B</f>
        <v>11.0201444540452</v>
      </c>
      <c r="I5366" s="37" t="n">
        <f aca="false">Sens!$I$5364*k_B</f>
        <v>11.1972483526393</v>
      </c>
      <c r="J5366" s="37" t="n">
        <f aca="false">Sens!$J$5364*k_B</f>
        <v>11.2731500234653</v>
      </c>
      <c r="K5366" s="37" t="n">
        <f aca="false">Sens!$K$5364*k_B</f>
        <v>11.3153176183687</v>
      </c>
      <c r="L5366" s="37" t="n">
        <f aca="false">Sens!$L$5364*k_B</f>
        <v>11.3421515423981</v>
      </c>
      <c r="M5366" s="37" t="n">
        <f aca="false">Sens!$M$5364*k_B</f>
        <v>11.3607288744184</v>
      </c>
      <c r="N5366" s="13"/>
      <c r="O5366" s="13"/>
      <c r="P5366" s="5" t="s">
        <v>571</v>
      </c>
    </row>
    <row r="5367" customFormat="false" ht="17.15" hidden="false" customHeight="false" outlineLevel="0" collapsed="false">
      <c r="A5367" s="5" t="s">
        <v>572</v>
      </c>
      <c r="B5367" s="0" t="s">
        <v>108</v>
      </c>
      <c r="F5367" s="33" t="n">
        <f aca="false">Sens!$F$5361/2</f>
        <v>908.575</v>
      </c>
      <c r="H5367" s="33" t="n">
        <f aca="false">(Sens!$G$5361+Sens!$H$5361)/2</f>
        <v>3634.3</v>
      </c>
      <c r="I5367" s="33" t="n">
        <f aca="false">(Sens!$H$5361+Sens!$I$5361)/2</f>
        <v>7268.6</v>
      </c>
      <c r="J5367" s="33" t="n">
        <f aca="false">(Sens!$I$5361+Sens!$J$5361)/2</f>
        <v>10902.9</v>
      </c>
      <c r="K5367" s="33" t="n">
        <f aca="false">(Sens!$J$5361+Sens!$K$5361)/2</f>
        <v>14537.2</v>
      </c>
      <c r="L5367" s="33" t="n">
        <f aca="false">(Sens!$K$5361+Sens!$L$5361)/2</f>
        <v>18171.5</v>
      </c>
      <c r="M5367" s="33" t="n">
        <f aca="false">(Sens!$L$5361+Sens!$M$5361)/2</f>
        <v>21805.8</v>
      </c>
    </row>
    <row r="5368" customFormat="false" ht="17.15" hidden="false" customHeight="false" outlineLevel="0" collapsed="false">
      <c r="A5368" s="1" t="s">
        <v>573</v>
      </c>
    </row>
    <row r="5369" customFormat="false" ht="17.15" hidden="false" customHeight="false" outlineLevel="0" collapsed="false">
      <c r="A5369" s="1" t="s">
        <v>574</v>
      </c>
      <c r="B5369" s="8" t="s">
        <v>73</v>
      </c>
      <c r="C5369" s="38" t="n">
        <f aca="false">Sens!$C$5352*rpm_open*Sens!$C$5353/1000</f>
        <v>2.32100535697364</v>
      </c>
      <c r="D5369" s="38" t="n">
        <f aca="false">Sens!$D$5352*rpm_open*Sens!$D$5353/1000</f>
        <v>8.70377008865116</v>
      </c>
      <c r="E5369" s="38" t="n">
        <f aca="false">Sens!$E$5352*rpm_open*Sens!$E$5353/1000</f>
        <v>8.51035297557002</v>
      </c>
      <c r="F5369" s="38" t="n">
        <f aca="false">(mw_open*rpm_open+Sens!$F$5367*Sens!$F$5366)*Sens!$F$5353/1000</f>
        <v>14.9634336447205</v>
      </c>
      <c r="G5369" s="38" t="n">
        <f aca="false">Sens!$E$5369+Sens!$F$5369</f>
        <v>23.4737866202905</v>
      </c>
      <c r="H5369" s="38" t="n">
        <f aca="false">(mw_open*rpm_open+Sens!$H$5367*Sens!$H$5366)/1000</f>
        <v>60.1658907497746</v>
      </c>
      <c r="I5369" s="38" t="n">
        <f aca="false">(mw_open*rpm_open+Sens!$I$5367*Sens!$I$5366)/1000</f>
        <v>101.503699136432</v>
      </c>
      <c r="J5369" s="38" t="n">
        <f aca="false">(mw_open*rpm_open+Sens!$J$5367*Sens!$J$5366)/1000</f>
        <v>143.025407151278</v>
      </c>
      <c r="K5369" s="38" t="n">
        <f aca="false">(mw_open*rpm_open+Sens!$K$5367*Sens!$K$5366)/1000</f>
        <v>184.608415042187</v>
      </c>
      <c r="L5369" s="38" t="n">
        <f aca="false">(mw_open*rpm_open+Sens!$L$5367*Sens!$L$5366)/1000</f>
        <v>226.219286513125</v>
      </c>
      <c r="M5369" s="38" t="n">
        <f aca="false">(mw_open*rpm_open+Sens!$M$5367*Sens!$M$5366)/1000</f>
        <v>267.845161450232</v>
      </c>
      <c r="N5369" s="38" t="n">
        <f aca="false">Sens!$N$5352*rpm_open*Sens!$N$5353/1000</f>
        <v>3.04631953102791</v>
      </c>
      <c r="O5369" s="38" t="n">
        <f aca="false">Sens!$O$5352*rpm_open*Sens!$O$5353/1000</f>
        <v>5.65745055762326</v>
      </c>
      <c r="P5369" s="5" t="s">
        <v>575</v>
      </c>
    </row>
    <row r="5370" customFormat="false" ht="17.15" hidden="false" customHeight="false" outlineLevel="0" collapsed="false">
      <c r="A5370" s="5" t="s">
        <v>576</v>
      </c>
      <c r="B5370" s="0" t="s">
        <v>151</v>
      </c>
      <c r="C5370" s="36" t="n">
        <f aca="false">Sens!$C$5369*1000/(Sens!$C$5352*Sens!$C$5353)</f>
        <v>9.67085565405685</v>
      </c>
      <c r="D5370" s="36" t="n">
        <f aca="false">Sens!$D$5369*1000/(Sens!$D$5352*Sens!$D$5353)</f>
        <v>9.67085565405685</v>
      </c>
      <c r="E5370" s="36" t="n">
        <f aca="false">Sens!$E$5369*1000/(Sens!$E$5352*Sens!$E$5353)</f>
        <v>9.67085565405685</v>
      </c>
      <c r="F5370" s="36" t="n">
        <f aca="false">Sens!$F$5369*1000/(Sens!$F$5352*Sens!$F$5353)</f>
        <v>10.0137581588017</v>
      </c>
      <c r="G5370" s="36" t="n">
        <f aca="false">Sens!$G$5369*1000/(Sens!$G$5352*Sens!$G$5353)</f>
        <v>9.88666562928478</v>
      </c>
      <c r="H5370" s="36" t="n">
        <f aca="false">Sens!$H$5369*1000/(Sens!$H$5352*Sens!$H$5353)</f>
        <v>10.5290045586992</v>
      </c>
      <c r="I5370" s="36" t="n">
        <f aca="false">Sens!$I$5369*1000/(Sens!$I$5352*Sens!$I$5353)</f>
        <v>10.8576363451674</v>
      </c>
      <c r="J5370" s="36" t="n">
        <f aca="false">Sens!$J$5369*1000/(Sens!$J$5352*Sens!$J$5353)</f>
        <v>11.0164452588619</v>
      </c>
      <c r="K5370" s="36" t="n">
        <f aca="false">Sens!$K$5369*1000/(Sens!$K$5352*Sens!$K$5353)</f>
        <v>11.1094778327388</v>
      </c>
      <c r="L5370" s="36" t="n">
        <f aca="false">Sens!$L$5369*1000/(Sens!$L$5352*Sens!$L$5353)</f>
        <v>11.1704953466718</v>
      </c>
      <c r="M5370" s="36" t="n">
        <f aca="false">Sens!$M$5369*1000/(Sens!$M$5352*Sens!$M$5353)</f>
        <v>11.2135729785158</v>
      </c>
      <c r="N5370" s="36" t="n">
        <f aca="false">Sens!$N$5369*1000/(Sens!$N$5352*Sens!$N$5353)</f>
        <v>9.67085565405685</v>
      </c>
      <c r="O5370" s="36" t="n">
        <f aca="false">Sens!$O$5369*1000/(Sens!$O$5352*Sens!$O$5353)</f>
        <v>9.67085565405685</v>
      </c>
    </row>
    <row r="5371" customFormat="false" ht="17.15" hidden="false" customHeight="false" outlineLevel="0" collapsed="false">
      <c r="A5371" s="0" t="s">
        <v>577</v>
      </c>
      <c r="B5371" s="0" t="s">
        <v>73</v>
      </c>
      <c r="C5371" s="38" t="n">
        <f aca="false">Sens!$C$5352/ext_sh*(ox_open+rent_mw)*Sens!$C$5353/1000</f>
        <v>0.642569210675032</v>
      </c>
      <c r="D5371" s="38" t="n">
        <f aca="false">Sens!$D$5352/ext_sh*(ox_open+rent_mw)*Sens!$D$5353/1000</f>
        <v>2.40963454003137</v>
      </c>
      <c r="E5371" s="38" t="n">
        <f aca="false">Sens!$E$5352/ext_sh*(ox_open+rent_mw)*Sens!$E$5353/1000</f>
        <v>2.35608710580845</v>
      </c>
      <c r="F5371" s="38" t="n">
        <f aca="false">((mw_open*ox_open+Sens!$F$5367*Sens!$F$5365)/ext_sh+Sens!$F$5352/ext_sh*rent_mw)*Sens!$F$5353/1000</f>
        <v>4.05421991106232</v>
      </c>
      <c r="G5371" s="38" t="n">
        <f aca="false">Sens!$E$5371+Sens!$F$5371</f>
        <v>6.41030701687077</v>
      </c>
      <c r="H5371" s="38" t="n">
        <f aca="false">((mw_open*ox_open+Sens!$H$5367*Sens!$H$5365)/ext_sh+Sens!$H$5352/ext_sh*rent_mw)*Sens!$H$5353/1000</f>
        <v>15.8108975546616</v>
      </c>
      <c r="I5371" s="38" t="n">
        <f aca="false">((mw_open*ox_open+Sens!$I$5367*Sens!$I$5365)/ext_sh+Sens!$I$5352/ext_sh*rent_mw)*Sens!$I$5353/1000</f>
        <v>26.1871623400817</v>
      </c>
      <c r="J5371" s="38" t="n">
        <f aca="false">((mw_open*ox_open+Sens!$J$5367*Sens!$J$5365)/ext_sh+Sens!$J$5352/ext_sh*rent_mw)*Sens!$J$5353/1000</f>
        <v>36.5826128954935</v>
      </c>
      <c r="K5371" s="38" t="n">
        <f aca="false">((mw_open*ox_open+Sens!$K$5367*Sens!$K$5365)/ext_sh+Sens!$K$5352/ext_sh*rent_mw)*Sens!$K$5353/1000</f>
        <v>46.9844587075692</v>
      </c>
      <c r="L5371" s="38" t="n">
        <f aca="false">((mw_open*ox_open+Sens!$L$5367*Sens!$L$5365)/ext_sh+Sens!$L$5352/ext_sh*rent_mw)*Sens!$L$5353/1000</f>
        <v>57.3892114544922</v>
      </c>
      <c r="M5371" s="38" t="n">
        <f aca="false">((mw_open*ox_open+Sens!$M$5367*Sens!$M$5365)/ext_sh+Sens!$M$5352/ext_sh*rent_mw)*Sens!$M$5353/1000</f>
        <v>67.7955294740252</v>
      </c>
      <c r="N5371" s="38" t="n">
        <f aca="false">Sens!$N$5352/ext_sh*(ox_open+rent_mw)*Sens!$N$5353/1000</f>
        <v>0.84337208901098</v>
      </c>
      <c r="O5371" s="38" t="n">
        <f aca="false">Sens!$O$5352/ext_sh*(ox_open+rent_mw)*Sens!$O$5353/1000</f>
        <v>1.56626245102039</v>
      </c>
    </row>
    <row r="5372" customFormat="false" ht="17.15" hidden="false" customHeight="false" outlineLevel="0" collapsed="false">
      <c r="A5372" s="0" t="s">
        <v>578</v>
      </c>
      <c r="B5372" s="0" t="s">
        <v>73</v>
      </c>
      <c r="C5372" s="38" t="n">
        <f aca="false">Q!$D$7</f>
        <v>107.556</v>
      </c>
      <c r="D5372" s="38" t="n">
        <f aca="false">Q!$E$7</f>
        <v>128.725</v>
      </c>
      <c r="E5372" s="38" t="n">
        <f aca="false">Q!$P$7</f>
        <v>79.819</v>
      </c>
      <c r="N5372" s="38" t="n">
        <f aca="false">Q!$N$7</f>
        <v>60.14</v>
      </c>
      <c r="O5372" s="38" t="n">
        <f aca="false">Q!$O$7</f>
        <v>68.585</v>
      </c>
    </row>
    <row r="5373" customFormat="false" ht="17.15" hidden="false" customHeight="false" outlineLevel="0" collapsed="false">
      <c r="A5373" s="1" t="s">
        <v>579</v>
      </c>
      <c r="B5373" s="8" t="s">
        <v>73</v>
      </c>
      <c r="C5373" s="38" t="n">
        <f aca="false">Sens!$C$5372-Sens!$C$5369</f>
        <v>105.234994643026</v>
      </c>
      <c r="D5373" s="38" t="n">
        <f aca="false">Sens!$D$5372-Sens!$D$5369</f>
        <v>120.021229911349</v>
      </c>
      <c r="E5373" s="38" t="n">
        <f aca="false">Sens!$E$5372-Sens!$E$5369</f>
        <v>71.30864702443</v>
      </c>
      <c r="F5373" s="38" t="n">
        <f aca="false">Sens!$O$5373*(1+Sens!$F$5374)</f>
        <v>78.5950104186653</v>
      </c>
      <c r="G5373" s="38" t="n">
        <f aca="false">Sens!$E$5373+Sens!$F$5373</f>
        <v>149.903657443095</v>
      </c>
      <c r="H5373" s="38" t="n">
        <f aca="false">Sens!$G$5373*(1+Sens!$H$5374)</f>
        <v>180.893560768142</v>
      </c>
      <c r="I5373" s="38" t="n">
        <f aca="false">Sens!$H$5373*(1+Sens!$I$5374)</f>
        <v>210.64839721501</v>
      </c>
      <c r="J5373" s="38" t="n">
        <f aca="false">Sens!$I$5373*(1+Sens!$J$5374)</f>
        <v>236.398909446495</v>
      </c>
      <c r="K5373" s="38" t="n">
        <f aca="false">Sens!$J$5373*(1+Sens!$K$5374)</f>
        <v>255.310822202215</v>
      </c>
      <c r="L5373" s="38" t="n">
        <f aca="false">Sens!$K$5373*(1+Sens!$L$5374)</f>
        <v>275.735687978392</v>
      </c>
      <c r="M5373" s="38" t="n">
        <f aca="false">Sens!$L$5373*(1+Sens!$M$5374)</f>
        <v>297.794543016663</v>
      </c>
      <c r="N5373" s="38" t="n">
        <f aca="false">Sens!$N$5372-Sens!$N$5369</f>
        <v>57.0936804689721</v>
      </c>
      <c r="O5373" s="38" t="n">
        <f aca="false">Sens!$O$5372-Sens!$O$5369</f>
        <v>62.9275494423768</v>
      </c>
      <c r="P5373" s="5" t="s">
        <v>580</v>
      </c>
    </row>
    <row r="5374" customFormat="false" ht="17.15" hidden="false" customHeight="false" outlineLevel="0" collapsed="false">
      <c r="A5374" s="0" t="s">
        <v>581</v>
      </c>
      <c r="B5374" s="0" t="s">
        <v>52</v>
      </c>
      <c r="E5374" s="12" t="n">
        <f aca="false">Sens!$E$5373/Sens!$N$5373-1</f>
        <v>0.248976181579029</v>
      </c>
      <c r="F5374" s="12" t="n">
        <f aca="false">Sens!$E$5374</f>
        <v>0.248976181579029</v>
      </c>
      <c r="G5374" s="12" t="n">
        <f aca="false">Sens!$G$5373/Sens!$D$5373-1</f>
        <v>0.248976181579029</v>
      </c>
      <c r="H5374" s="12" t="n">
        <f aca="false">Sens!$E$5374+(g_awso_lt-Sens!$E$5374)*1/4</f>
        <v>0.206732136184272</v>
      </c>
      <c r="I5374" s="12" t="n">
        <f aca="false">Sens!$E$5374+(g_awso_lt-Sens!$E$5374)*2/4</f>
        <v>0.164488090789515</v>
      </c>
      <c r="J5374" s="12" t="n">
        <f aca="false">Sens!$E$5374+(g_awso_lt-Sens!$E$5374)*3/4</f>
        <v>0.122244045394757</v>
      </c>
      <c r="K5374" s="12" t="n">
        <f aca="false">Sens!$E$5374+(g_awso_lt-Sens!$E$5374)*4/4</f>
        <v>0.08</v>
      </c>
      <c r="L5374" s="12" t="n">
        <f aca="false">g_awso_lt</f>
        <v>0.08</v>
      </c>
      <c r="M5374" s="12" t="n">
        <f aca="false">g_awso_lt</f>
        <v>0.08</v>
      </c>
      <c r="P5374" s="8" t="s">
        <v>582</v>
      </c>
    </row>
    <row r="5375" customFormat="false" ht="17.15" hidden="false" customHeight="false" outlineLevel="0" collapsed="false">
      <c r="A5375" s="1" t="s">
        <v>583</v>
      </c>
    </row>
    <row r="5376" customFormat="false" ht="17.15" hidden="false" customHeight="false" outlineLevel="0" collapsed="false">
      <c r="A5376" s="0" t="s">
        <v>584</v>
      </c>
      <c r="B5376" s="0" t="s">
        <v>73</v>
      </c>
      <c r="F5376" s="38" t="n">
        <f aca="false">cx_rt*Sens!$F$5342+cx_awso*Sens!$F$5373</f>
        <v>36.8045765066526</v>
      </c>
    </row>
    <row r="5377" customFormat="false" ht="17.15" hidden="false" customHeight="false" outlineLevel="0" collapsed="false">
      <c r="A5377" s="0" t="s">
        <v>585</v>
      </c>
      <c r="B5377" s="0" t="s">
        <v>52</v>
      </c>
      <c r="C5377" s="12" t="n">
        <f aca="false">tk_cx_h100/(tk_cx_h100+tk_fac*(1-colo_sh))</f>
        <v>0.730756458006641</v>
      </c>
      <c r="D5377" s="12" t="n">
        <f aca="false">tk_cx_h100/(tk_cx_h100+tk_fac*(1-colo_sh))</f>
        <v>0.730756458006641</v>
      </c>
      <c r="E5377" s="12" t="n">
        <f aca="false">Sens!$F$5377</f>
        <v>0.760792334328868</v>
      </c>
      <c r="F5377" s="12" t="n">
        <f aca="false">Sens!$F$5360/(Sens!$F$5360+tk_fac*(1-colo_sh))</f>
        <v>0.760792334328868</v>
      </c>
      <c r="G5377" s="12" t="n">
        <f aca="false">Sens!$G$5360/(Sens!$G$5360+tk_fac*(1-colo_sh))</f>
        <v>0.760792334328868</v>
      </c>
      <c r="H5377" s="12" t="n">
        <f aca="false">Sens!$H$5360/(Sens!$H$5360+tk_fac*(1-colo_sh))</f>
        <v>0.768110668862996</v>
      </c>
      <c r="I5377" s="12" t="n">
        <f aca="false">Sens!$I$5360/(Sens!$I$5360+tk_fac*(1-colo_sh))</f>
        <v>0.77499450139483</v>
      </c>
      <c r="J5377" s="12" t="n">
        <f aca="false">Sens!$J$5360/(Sens!$J$5360+tk_fac*(1-colo_sh))</f>
        <v>0.77499450139483</v>
      </c>
      <c r="K5377" s="12" t="n">
        <f aca="false">Sens!$K$5360/(Sens!$K$5360+tk_fac*(1-colo_sh))</f>
        <v>0.77499450139483</v>
      </c>
      <c r="L5377" s="12" t="n">
        <f aca="false">Sens!$L$5360/(Sens!$L$5360+tk_fac*(1-colo_sh))</f>
        <v>0.77499450139483</v>
      </c>
      <c r="M5377" s="12" t="n">
        <f aca="false">Sens!$M$5360/(Sens!$M$5360+tk_fac*(1-colo_sh))</f>
        <v>0.77499450139483</v>
      </c>
    </row>
    <row r="5378" customFormat="false" ht="17.15" hidden="false" customHeight="false" outlineLevel="0" collapsed="false">
      <c r="A5378" s="1" t="s">
        <v>586</v>
      </c>
      <c r="B5378" s="8" t="s">
        <v>73</v>
      </c>
      <c r="C5378" s="38" t="n">
        <f aca="false">Q!$D$46-cx_rt*Q!$D$16-cx_awso*Sens!$C$5373</f>
        <v>25.2781053077374</v>
      </c>
      <c r="D5378" s="38" t="n">
        <f aca="false">Q!$E$46-cx_rt*Q!$E$16-cx_awso*Sens!$D$5373</f>
        <v>69.5686316310026</v>
      </c>
      <c r="E5378" s="38" t="n">
        <f aca="false">Q!$P$46-cx_rt*Q!$P$16-cx_awso*Sens!$E$5373</f>
        <v>64.1899206485108</v>
      </c>
      <c r="F5378" s="38" t="n">
        <f aca="false">MAX(Sens!$F$5355*(Sens!$F$5360+tk_fac*(1-colo_sh))/1000,capex_g26-Q!$P$46-Sens!$F$5376)</f>
        <v>96.2481299895</v>
      </c>
      <c r="G5378" s="38" t="n">
        <f aca="false">Sens!$E$5378+Sens!$F$5378</f>
        <v>160.438050638011</v>
      </c>
      <c r="H5378" s="38" t="n">
        <f aca="false">Sens!$H$5355*(Sens!$H$5360+tk_fac*(1-colo_sh))/1000+Sens!$H$5379</f>
        <v>198.57136494475</v>
      </c>
      <c r="I5378" s="38" t="n">
        <f aca="false">Sens!$I$5355*(Sens!$I$5360+tk_fac*(1-colo_sh))/1000+Sens!$I$5379</f>
        <v>204.6464699105</v>
      </c>
      <c r="J5378" s="38" t="n">
        <f aca="false">Sens!$J$5355*(Sens!$J$5360+tk_fac*(1-colo_sh))/1000+Sens!$J$5379</f>
        <v>209.8832381105</v>
      </c>
      <c r="K5378" s="38" t="n">
        <f aca="false">Sens!$K$5355*(Sens!$K$5360+tk_fac*(1-colo_sh))/1000+Sens!$K$5379</f>
        <v>215.1200063105</v>
      </c>
      <c r="L5378" s="38" t="n">
        <f aca="false">Sens!$L$5355*(Sens!$L$5360+tk_fac*(1-colo_sh))/1000+Sens!$L$5379</f>
        <v>251.7773837105</v>
      </c>
      <c r="M5378" s="38" t="n">
        <f aca="false">Sens!$M$5355*(Sens!$M$5360+tk_fac*(1-colo_sh))/1000+Sens!$M$5379</f>
        <v>311.87584476575</v>
      </c>
      <c r="P5378" s="5" t="s">
        <v>587</v>
      </c>
      <c r="R5378" s="38" t="n">
        <f aca="false">Q!$C$46-cx_rt*Q!$C$16-cx_awso*(Q!$C$7-mw_ye23/2*rpm_open/1000)</f>
        <v>1.50429979529945</v>
      </c>
      <c r="S5378" s="38" t="n">
        <f aca="false">Sens!$C$5378</f>
        <v>25.2781053077374</v>
      </c>
      <c r="T5378" s="38" t="n">
        <f aca="false">Sens!$D$5378</f>
        <v>69.5686316310026</v>
      </c>
      <c r="U5378" s="38" t="n">
        <f aca="false">Sens!$G$5378</f>
        <v>160.438050638011</v>
      </c>
      <c r="V5378" s="38" t="n">
        <f aca="false">Sens!$H$5378</f>
        <v>198.57136494475</v>
      </c>
      <c r="W5378" s="38" t="n">
        <f aca="false">Sens!$I$5378</f>
        <v>204.6464699105</v>
      </c>
      <c r="X5378" s="38" t="n">
        <f aca="false">Sens!$J$5378</f>
        <v>209.8832381105</v>
      </c>
      <c r="Y5378" s="38" t="n">
        <f aca="false">Sens!$K$5378</f>
        <v>215.1200063105</v>
      </c>
      <c r="Z5378" s="38" t="n">
        <f aca="false">Sens!$L$5378</f>
        <v>251.7773837105</v>
      </c>
      <c r="AA5378" s="38" t="n">
        <f aca="false">Sens!$M$5378</f>
        <v>311.87584476575</v>
      </c>
    </row>
    <row r="5379" customFormat="false" ht="17.15" hidden="false" customHeight="false" outlineLevel="0" collapsed="false">
      <c r="A5379" s="0" t="s">
        <v>588</v>
      </c>
      <c r="B5379" s="0" t="s">
        <v>73</v>
      </c>
      <c r="H5379" s="38" t="n">
        <f aca="false">SUMPRODUCT(--(Sens!$R$5349:$AA$5349=2027-tk_life),Sens!$R$5355:$AA$5355)*Sens!$H$5360/1000</f>
        <v>0</v>
      </c>
      <c r="I5379" s="38" t="n">
        <f aca="false">SUMPRODUCT(--(Sens!$R$5349:$AA$5349=2028-tk_life),Sens!$R$5355:$AA$5355)*Sens!$I$5360/1000</f>
        <v>0</v>
      </c>
      <c r="J5379" s="38" t="n">
        <f aca="false">SUMPRODUCT(--(Sens!$R$5349:$AA$5349=2029-tk_life),Sens!$R$5355:$AA$5355)*Sens!$J$5360/1000</f>
        <v>5.2367682</v>
      </c>
      <c r="K5379" s="38" t="n">
        <f aca="false">SUMPRODUCT(--(Sens!$R$5349:$AA$5349=2030-tk_life),Sens!$R$5355:$AA$5355)*Sens!$K$5360/1000</f>
        <v>10.4735364</v>
      </c>
      <c r="L5379" s="38" t="n">
        <f aca="false">SUMPRODUCT(--(Sens!$R$5349:$AA$5349=2031-tk_life),Sens!$R$5355:$AA$5355)*Sens!$L$5360/1000</f>
        <v>47.1309138</v>
      </c>
      <c r="M5379" s="38" t="n">
        <f aca="false">SUMPRODUCT(--(Sens!$R$5349:$AA$5349=2032-tk_life),Sens!$R$5355:$AA$5355)*Sens!$M$5360/1000</f>
        <v>107.22937485525</v>
      </c>
    </row>
    <row r="5380" customFormat="false" ht="17.15" hidden="false" customHeight="false" outlineLevel="0" collapsed="false">
      <c r="A5380" s="5" t="s">
        <v>589</v>
      </c>
      <c r="B5380" s="0" t="s">
        <v>73</v>
      </c>
      <c r="C5380" s="38" t="n">
        <f aca="false">Sens!$C$5378*Sens!$C$5377</f>
        <v>18.472138699801</v>
      </c>
      <c r="D5380" s="38" t="n">
        <f aca="false">Sens!$D$5378*Sens!$D$5377</f>
        <v>50.8377268390402</v>
      </c>
      <c r="E5380" s="38" t="n">
        <f aca="false">Sens!$E$5378*Sens!$E$5377</f>
        <v>48.8351995705653</v>
      </c>
      <c r="F5380" s="38" t="n">
        <f aca="false">Sens!$F$5378*Sens!$F$5377</f>
        <v>73.2248394895</v>
      </c>
      <c r="G5380" s="38" t="n">
        <f aca="false">Sens!$E$5380+Sens!$F$5380</f>
        <v>122.060039060065</v>
      </c>
      <c r="H5380" s="38" t="n">
        <f aca="false">(Sens!$H$5378-Sens!$H$5379)*Sens!$H$5377+Sens!$H$5379</f>
        <v>152.52478394475</v>
      </c>
      <c r="I5380" s="38" t="n">
        <f aca="false">(Sens!$I$5378-Sens!$I$5379)*Sens!$I$5377+Sens!$I$5379</f>
        <v>158.5998889105</v>
      </c>
      <c r="J5380" s="38" t="n">
        <f aca="false">(Sens!$J$5378-Sens!$J$5379)*Sens!$J$5377+Sens!$J$5379</f>
        <v>163.8366571105</v>
      </c>
      <c r="K5380" s="38" t="n">
        <f aca="false">(Sens!$K$5378-Sens!$K$5379)*Sens!$K$5377+Sens!$K$5379</f>
        <v>169.0734253105</v>
      </c>
      <c r="L5380" s="38" t="n">
        <f aca="false">(Sens!$L$5378-Sens!$L$5379)*Sens!$L$5377+Sens!$L$5379</f>
        <v>205.7308027105</v>
      </c>
      <c r="M5380" s="38" t="n">
        <f aca="false">(Sens!$M$5378-Sens!$M$5379)*Sens!$M$5377+Sens!$M$5379</f>
        <v>265.82926376575</v>
      </c>
      <c r="R5380" s="38" t="n">
        <f aca="false">Sens!$R$5378*Sens!$C$5377</f>
        <v>1.09927679019314</v>
      </c>
      <c r="S5380" s="38" t="n">
        <f aca="false">Sens!$C$5380</f>
        <v>18.472138699801</v>
      </c>
      <c r="T5380" s="38" t="n">
        <f aca="false">Sens!$D$5380</f>
        <v>50.8377268390402</v>
      </c>
      <c r="U5380" s="38" t="n">
        <f aca="false">Sens!$G$5380</f>
        <v>122.060039060065</v>
      </c>
      <c r="V5380" s="38" t="n">
        <f aca="false">Sens!$H$5380</f>
        <v>152.52478394475</v>
      </c>
      <c r="W5380" s="38" t="n">
        <f aca="false">Sens!$I$5380</f>
        <v>158.5998889105</v>
      </c>
      <c r="X5380" s="38" t="n">
        <f aca="false">Sens!$J$5380</f>
        <v>163.8366571105</v>
      </c>
      <c r="Y5380" s="38" t="n">
        <f aca="false">Sens!$K$5380</f>
        <v>169.0734253105</v>
      </c>
      <c r="Z5380" s="38" t="n">
        <f aca="false">Sens!$L$5380</f>
        <v>205.7308027105</v>
      </c>
      <c r="AA5380" s="38" t="n">
        <f aca="false">Sens!$M$5380</f>
        <v>265.82926376575</v>
      </c>
    </row>
    <row r="5381" customFormat="false" ht="15" hidden="false" customHeight="false" outlineLevel="0" collapsed="false">
      <c r="A5381" s="5" t="s">
        <v>590</v>
      </c>
      <c r="B5381" s="0" t="s">
        <v>73</v>
      </c>
      <c r="C5381" s="38" t="n">
        <f aca="false">Sens!$C$5378-Sens!$C$5380</f>
        <v>6.80596660793636</v>
      </c>
      <c r="D5381" s="38" t="n">
        <f aca="false">Sens!$D$5378-Sens!$D$5380</f>
        <v>18.7309047919624</v>
      </c>
      <c r="E5381" s="38" t="n">
        <f aca="false">Sens!$E$5378-Sens!$E$5380</f>
        <v>15.3547210779455</v>
      </c>
      <c r="F5381" s="38" t="n">
        <f aca="false">Sens!$F$5378-Sens!$F$5380</f>
        <v>23.0232905</v>
      </c>
      <c r="G5381" s="38" t="n">
        <f aca="false">Sens!$G$5378-Sens!$G$5380</f>
        <v>38.3780115779455</v>
      </c>
      <c r="H5381" s="38" t="n">
        <f aca="false">Sens!$H$5378-Sens!$H$5380</f>
        <v>46.046581</v>
      </c>
      <c r="I5381" s="38" t="n">
        <f aca="false">Sens!$I$5378-Sens!$I$5380</f>
        <v>46.046581</v>
      </c>
      <c r="J5381" s="38" t="n">
        <f aca="false">Sens!$J$5378-Sens!$J$5380</f>
        <v>46.046581</v>
      </c>
      <c r="K5381" s="38" t="n">
        <f aca="false">Sens!$K$5378-Sens!$K$5380</f>
        <v>46.046581</v>
      </c>
      <c r="L5381" s="38" t="n">
        <f aca="false">Sens!$L$5378-Sens!$L$5380</f>
        <v>46.046581</v>
      </c>
      <c r="M5381" s="38" t="n">
        <f aca="false">Sens!$M$5378-Sens!$M$5380</f>
        <v>46.046581</v>
      </c>
      <c r="R5381" s="38" t="n">
        <f aca="false">Sens!$R$5378-Sens!$R$5380</f>
        <v>0.405023005106309</v>
      </c>
      <c r="S5381" s="38" t="n">
        <f aca="false">Sens!$S$5378-Sens!$S$5380</f>
        <v>6.80596660793636</v>
      </c>
      <c r="T5381" s="38" t="n">
        <f aca="false">Sens!$T$5378-Sens!$T$5380</f>
        <v>18.7309047919624</v>
      </c>
      <c r="U5381" s="38" t="n">
        <f aca="false">Sens!$U$5378-Sens!$U$5380</f>
        <v>38.3780115779455</v>
      </c>
      <c r="V5381" s="38" t="n">
        <f aca="false">Sens!$V$5378-Sens!$V$5380</f>
        <v>46.046581</v>
      </c>
      <c r="W5381" s="38" t="n">
        <f aca="false">Sens!$W$5378-Sens!$W$5380</f>
        <v>46.046581</v>
      </c>
      <c r="X5381" s="38" t="n">
        <f aca="false">Sens!$X$5378-Sens!$X$5380</f>
        <v>46.046581</v>
      </c>
      <c r="Y5381" s="38" t="n">
        <f aca="false">Sens!$Y$5378-Sens!$Y$5380</f>
        <v>46.046581</v>
      </c>
      <c r="Z5381" s="38" t="n">
        <f aca="false">Sens!$Z$5378-Sens!$Z$5380</f>
        <v>46.046581</v>
      </c>
      <c r="AA5381" s="38" t="n">
        <f aca="false">Sens!$AA$5378-Sens!$AA$5380</f>
        <v>46.046581</v>
      </c>
    </row>
    <row r="5382" customFormat="false" ht="17.15" hidden="false" customHeight="false" outlineLevel="0" collapsed="false">
      <c r="A5382" s="0" t="s">
        <v>591</v>
      </c>
      <c r="B5382" s="0" t="s">
        <v>52</v>
      </c>
      <c r="C5382" s="12" t="n">
        <f aca="false">Sens!$C$5378/Sens!$C$5494</f>
        <v>0.325505489553393</v>
      </c>
      <c r="D5382" s="12" t="n">
        <f aca="false">Sens!$D$5378/Sens!$D$5494</f>
        <v>0.54214956071542</v>
      </c>
      <c r="E5382" s="12" t="n">
        <f aca="false">Sens!$E$5378/Sens!$E$5494</f>
        <v>0.666492790452817</v>
      </c>
      <c r="F5382" s="12" t="n">
        <f aca="false">Sens!$F$5378/Sens!$F$5494</f>
        <v>0.723383481058938</v>
      </c>
      <c r="G5382" s="12" t="n">
        <f aca="false">Sens!$G$5378/Sens!$G$5494</f>
        <v>0.699494931364102</v>
      </c>
      <c r="H5382" s="12" t="n">
        <f aca="false">Sens!$H$5378/Sens!$H$5494</f>
        <v>0.714619350171483</v>
      </c>
      <c r="I5382" s="12" t="n">
        <f aca="false">Sens!$I$5378/Sens!$I$5494</f>
        <v>0.696231624961614</v>
      </c>
      <c r="J5382" s="12" t="n">
        <f aca="false">Sens!$J$5378/Sens!$J$5494</f>
        <v>0.681286352509885</v>
      </c>
      <c r="K5382" s="12" t="n">
        <f aca="false">Sens!$K$5378/Sens!$K$5494</f>
        <v>0.671440649805508</v>
      </c>
      <c r="L5382" s="12" t="n">
        <f aca="false">Sens!$L$5378/Sens!$L$5494</f>
        <v>0.6904509846562</v>
      </c>
      <c r="M5382" s="12" t="n">
        <f aca="false">Sens!$M$5378/Sens!$M$5494</f>
        <v>0.720362080285865</v>
      </c>
    </row>
    <row r="5383" customFormat="false" ht="17.15" hidden="false" customHeight="false" outlineLevel="0" collapsed="false">
      <c r="A5383" s="0" t="s">
        <v>592</v>
      </c>
      <c r="B5383" s="0" t="s">
        <v>73</v>
      </c>
      <c r="C5383" s="38" t="n">
        <f aca="false">Sens!$S$5383</f>
        <v>0.183212798365523</v>
      </c>
      <c r="D5383" s="38" t="n">
        <f aca="false">Sens!$T$5383</f>
        <v>3.2619025816657</v>
      </c>
      <c r="E5383" s="38" t="n">
        <f aca="false">Sens!$G$5383/2</f>
        <v>5.86742852741953</v>
      </c>
      <c r="F5383" s="38" t="n">
        <f aca="false">Sens!$G$5383/2</f>
        <v>5.86742852741953</v>
      </c>
      <c r="G5383" s="38" t="n">
        <f aca="false">Sens!$U$5383</f>
        <v>11.7348570548391</v>
      </c>
      <c r="H5383" s="38" t="n">
        <f aca="false">Sens!$V$5383</f>
        <v>32.0781968981833</v>
      </c>
      <c r="I5383" s="38" t="n">
        <f aca="false">Sens!$W$5383</f>
        <v>57.4989942223083</v>
      </c>
      <c r="J5383" s="38" t="n">
        <f aca="false">Sens!$X$5383</f>
        <v>83.932309040725</v>
      </c>
      <c r="K5383" s="38" t="n">
        <f aca="false">Sens!$Y$5383</f>
        <v>111.055205760776</v>
      </c>
      <c r="L5383" s="38" t="n">
        <f aca="false">Sens!$Z$5383</f>
        <v>136.155420195893</v>
      </c>
      <c r="M5383" s="38" t="n">
        <f aca="false">Sens!$AA$5383</f>
        <v>161.970932841136</v>
      </c>
      <c r="N5383" s="38" t="n">
        <f aca="false">Sens!$D$5383/2</f>
        <v>1.63095129083285</v>
      </c>
      <c r="O5383" s="38" t="n">
        <f aca="false">Sens!$D$5383/2</f>
        <v>1.63095129083285</v>
      </c>
      <c r="R5383" s="38" t="n">
        <f aca="false">SUMPRODUCT(--(Sens!$R$5349:$AA$5349&lt;Sens!R$5349),--(Sens!$R$5349:$AA$5349&gt;=Sens!R$5349-tk_life),Sens!$R$5380:$AA$5380)/tk_life</f>
        <v>0</v>
      </c>
      <c r="S5383" s="38" t="n">
        <f aca="false">SUMPRODUCT(--(Sens!$R$5349:$AA$5349&lt;Sens!S$5349),--(Sens!$R$5349:$AA$5349&gt;=Sens!S$5349-tk_life),Sens!$R$5380:$AA$5380)/tk_life</f>
        <v>0.183212798365523</v>
      </c>
      <c r="T5383" s="38" t="n">
        <f aca="false">SUMPRODUCT(--(Sens!$R$5349:$AA$5349&lt;Sens!T$5349),--(Sens!$R$5349:$AA$5349&gt;=Sens!T$5349-tk_life),Sens!$R$5380:$AA$5380)/tk_life</f>
        <v>3.2619025816657</v>
      </c>
      <c r="U5383" s="38" t="n">
        <f aca="false">SUMPRODUCT(--(Sens!$R$5349:$AA$5349&lt;Sens!U$5349),--(Sens!$R$5349:$AA$5349&gt;=Sens!U$5349-tk_life),Sens!$R$5380:$AA$5380)/tk_life</f>
        <v>11.7348570548391</v>
      </c>
      <c r="V5383" s="38" t="n">
        <f aca="false">SUMPRODUCT(--(Sens!$R$5349:$AA$5349&lt;Sens!V$5349),--(Sens!$R$5349:$AA$5349&gt;=Sens!V$5349-tk_life),Sens!$R$5380:$AA$5380)/tk_life</f>
        <v>32.0781968981833</v>
      </c>
      <c r="W5383" s="38" t="n">
        <f aca="false">SUMPRODUCT(--(Sens!$R$5349:$AA$5349&lt;Sens!W$5349),--(Sens!$R$5349:$AA$5349&gt;=Sens!W$5349-tk_life),Sens!$R$5380:$AA$5380)/tk_life</f>
        <v>57.4989942223083</v>
      </c>
      <c r="X5383" s="38" t="n">
        <f aca="false">SUMPRODUCT(--(Sens!$R$5349:$AA$5349&lt;Sens!X$5349),--(Sens!$R$5349:$AA$5349&gt;=Sens!X$5349-tk_life),Sens!$R$5380:$AA$5380)/tk_life</f>
        <v>83.932309040725</v>
      </c>
      <c r="Y5383" s="38" t="n">
        <f aca="false">SUMPRODUCT(--(Sens!$R$5349:$AA$5349&lt;Sens!Y$5349),--(Sens!$R$5349:$AA$5349&gt;=Sens!Y$5349-tk_life),Sens!$R$5380:$AA$5380)/tk_life</f>
        <v>111.055205760776</v>
      </c>
      <c r="Z5383" s="38" t="n">
        <f aca="false">SUMPRODUCT(--(Sens!$R$5349:$AA$5349&lt;Sens!Z$5349),--(Sens!$R$5349:$AA$5349&gt;=Sens!Z$5349-tk_life),Sens!$R$5380:$AA$5380)/tk_life</f>
        <v>136.155420195893</v>
      </c>
      <c r="AA5383" s="38" t="n">
        <f aca="false">SUMPRODUCT(--(Sens!$R$5349:$AA$5349&lt;Sens!AA$5349),--(Sens!$R$5349:$AA$5349&gt;=Sens!AA$5349-tk_life),Sens!$R$5380:$AA$5380)/tk_life</f>
        <v>161.970932841136</v>
      </c>
    </row>
    <row r="5384" customFormat="false" ht="17.15" hidden="false" customHeight="false" outlineLevel="0" collapsed="false">
      <c r="A5384" s="0" t="s">
        <v>593</v>
      </c>
      <c r="B5384" s="0" t="s">
        <v>73</v>
      </c>
      <c r="C5384" s="38" t="n">
        <f aca="false">Sens!$S$5384</f>
        <v>0.0202511502553155</v>
      </c>
      <c r="D5384" s="38" t="n">
        <f aca="false">Sens!$T$5384</f>
        <v>0.360549480652134</v>
      </c>
      <c r="E5384" s="38" t="n">
        <f aca="false">Sens!$G$5384/2</f>
        <v>0.648547360125127</v>
      </c>
      <c r="F5384" s="38" t="n">
        <f aca="false">Sens!$G$5384/2</f>
        <v>0.648547360125127</v>
      </c>
      <c r="G5384" s="38" t="n">
        <f aca="false">Sens!$U$5384</f>
        <v>1.29709472025025</v>
      </c>
      <c r="H5384" s="38" t="n">
        <f aca="false">Sens!$V$5384</f>
        <v>3.21599529914753</v>
      </c>
      <c r="I5384" s="38" t="n">
        <f aca="false">Sens!$W$5384</f>
        <v>5.51832434914753</v>
      </c>
      <c r="J5384" s="38" t="n">
        <f aca="false">Sens!$X$5384</f>
        <v>7.82065339914753</v>
      </c>
      <c r="K5384" s="38" t="n">
        <f aca="false">Sens!$Y$5384</f>
        <v>10.1229824491475</v>
      </c>
      <c r="L5384" s="38" t="n">
        <f aca="false">Sens!$Z$5384</f>
        <v>12.4253114991475</v>
      </c>
      <c r="M5384" s="38" t="n">
        <f aca="false">Sens!$AA$5384</f>
        <v>14.7276405491475</v>
      </c>
      <c r="N5384" s="38" t="n">
        <f aca="false">Sens!$D$5384/2</f>
        <v>0.180274740326067</v>
      </c>
      <c r="O5384" s="38" t="n">
        <f aca="false">Sens!$D$5384/2</f>
        <v>0.180274740326067</v>
      </c>
      <c r="R5384" s="38" t="n">
        <f aca="false">SUMPRODUCT(--(Sens!$R$5349:$AA$5349&lt;Sens!R$5349),Sens!$R$5381:$AA$5381)/fac_life</f>
        <v>0</v>
      </c>
      <c r="S5384" s="38" t="n">
        <f aca="false">SUMPRODUCT(--(Sens!$R$5349:$AA$5349&lt;Sens!S$5349),Sens!$R$5381:$AA$5381)/fac_life</f>
        <v>0.0202511502553155</v>
      </c>
      <c r="T5384" s="38" t="n">
        <f aca="false">SUMPRODUCT(--(Sens!$R$5349:$AA$5349&lt;Sens!T$5349),Sens!$R$5381:$AA$5381)/fac_life</f>
        <v>0.360549480652134</v>
      </c>
      <c r="U5384" s="38" t="n">
        <f aca="false">SUMPRODUCT(--(Sens!$R$5349:$AA$5349&lt;Sens!U$5349),Sens!$R$5381:$AA$5381)/fac_life</f>
        <v>1.29709472025025</v>
      </c>
      <c r="V5384" s="38" t="n">
        <f aca="false">SUMPRODUCT(--(Sens!$R$5349:$AA$5349&lt;Sens!V$5349),Sens!$R$5381:$AA$5381)/fac_life</f>
        <v>3.21599529914753</v>
      </c>
      <c r="W5384" s="38" t="n">
        <f aca="false">SUMPRODUCT(--(Sens!$R$5349:$AA$5349&lt;Sens!W$5349),Sens!$R$5381:$AA$5381)/fac_life</f>
        <v>5.51832434914753</v>
      </c>
      <c r="X5384" s="38" t="n">
        <f aca="false">SUMPRODUCT(--(Sens!$R$5349:$AA$5349&lt;Sens!X$5349),Sens!$R$5381:$AA$5381)/fac_life</f>
        <v>7.82065339914753</v>
      </c>
      <c r="Y5384" s="38" t="n">
        <f aca="false">SUMPRODUCT(--(Sens!$R$5349:$AA$5349&lt;Sens!Y$5349),Sens!$R$5381:$AA$5381)/fac_life</f>
        <v>10.1229824491475</v>
      </c>
      <c r="Z5384" s="38" t="n">
        <f aca="false">SUMPRODUCT(--(Sens!$R$5349:$AA$5349&lt;Sens!Z$5349),Sens!$R$5381:$AA$5381)/fac_life</f>
        <v>12.4253114991475</v>
      </c>
      <c r="AA5384" s="38" t="n">
        <f aca="false">SUMPRODUCT(--(Sens!$R$5349:$AA$5349&lt;Sens!AA$5349),Sens!$R$5381:$AA$5381)/fac_life</f>
        <v>14.7276405491475</v>
      </c>
    </row>
    <row r="5385" customFormat="false" ht="17.15" hidden="false" customHeight="false" outlineLevel="0" collapsed="false">
      <c r="A5385" s="1" t="s">
        <v>594</v>
      </c>
      <c r="B5385" s="8" t="s">
        <v>73</v>
      </c>
      <c r="C5385" s="38" t="n">
        <f aca="false">Sens!$C$5383+Sens!$C$5384</f>
        <v>0.203463948620839</v>
      </c>
      <c r="D5385" s="38" t="n">
        <f aca="false">Sens!$D$5383+Sens!$D$5384</f>
        <v>3.62245206231783</v>
      </c>
      <c r="E5385" s="38" t="n">
        <f aca="false">Sens!$E$5383+Sens!$E$5384</f>
        <v>6.51597588754466</v>
      </c>
      <c r="F5385" s="38" t="n">
        <f aca="false">Sens!$F$5383+Sens!$F$5384</f>
        <v>6.51597588754466</v>
      </c>
      <c r="G5385" s="38" t="n">
        <f aca="false">Sens!$G$5383+Sens!$G$5384</f>
        <v>13.0319517750893</v>
      </c>
      <c r="H5385" s="38" t="n">
        <f aca="false">Sens!$H$5383+Sens!$H$5384</f>
        <v>35.2941921973308</v>
      </c>
      <c r="I5385" s="38" t="n">
        <f aca="false">Sens!$I$5383+Sens!$I$5384</f>
        <v>63.0173185714558</v>
      </c>
      <c r="J5385" s="38" t="n">
        <f aca="false">Sens!$J$5383+Sens!$J$5384</f>
        <v>91.7529624398725</v>
      </c>
      <c r="K5385" s="38" t="n">
        <f aca="false">Sens!$K$5383+Sens!$K$5384</f>
        <v>121.178188209924</v>
      </c>
      <c r="L5385" s="38" t="n">
        <f aca="false">Sens!$L$5383+Sens!$L$5384</f>
        <v>148.58073169504</v>
      </c>
      <c r="M5385" s="38" t="n">
        <f aca="false">Sens!$M$5383+Sens!$M$5384</f>
        <v>176.698573390283</v>
      </c>
      <c r="N5385" s="38" t="n">
        <f aca="false">Sens!$N$5383+Sens!$N$5384</f>
        <v>1.81122603115892</v>
      </c>
      <c r="O5385" s="38" t="n">
        <f aca="false">Sens!$O$5383+Sens!$O$5384</f>
        <v>1.81122603115892</v>
      </c>
      <c r="R5385" s="38" t="n">
        <f aca="false">Sens!$R$5383+Sens!$R$5384</f>
        <v>0</v>
      </c>
      <c r="S5385" s="38" t="n">
        <f aca="false">Sens!$S$5383+Sens!$S$5384</f>
        <v>0.203463948620839</v>
      </c>
      <c r="T5385" s="38" t="n">
        <f aca="false">Sens!$T$5383+Sens!$T$5384</f>
        <v>3.62245206231783</v>
      </c>
      <c r="U5385" s="38" t="n">
        <f aca="false">Sens!$U$5383+Sens!$U$5384</f>
        <v>13.0319517750893</v>
      </c>
      <c r="V5385" s="38" t="n">
        <f aca="false">Sens!$V$5383+Sens!$V$5384</f>
        <v>35.2941921973308</v>
      </c>
      <c r="W5385" s="38" t="n">
        <f aca="false">Sens!$W$5383+Sens!$W$5384</f>
        <v>63.0173185714558</v>
      </c>
      <c r="X5385" s="38" t="n">
        <f aca="false">Sens!$X$5383+Sens!$X$5384</f>
        <v>91.7529624398725</v>
      </c>
      <c r="Y5385" s="38" t="n">
        <f aca="false">Sens!$Y$5383+Sens!$Y$5384</f>
        <v>121.178188209924</v>
      </c>
      <c r="Z5385" s="38" t="n">
        <f aca="false">Sens!$Z$5383+Sens!$Z$5384</f>
        <v>148.58073169504</v>
      </c>
      <c r="AA5385" s="38" t="n">
        <f aca="false">Sens!$AA$5383+Sens!$AA$5384</f>
        <v>176.698573390283</v>
      </c>
    </row>
    <row r="5386" customFormat="false" ht="17.15" hidden="false" customHeight="false" outlineLevel="0" collapsed="false">
      <c r="A5386" s="0" t="s">
        <v>595</v>
      </c>
      <c r="B5386" s="0" t="s">
        <v>73</v>
      </c>
      <c r="C5386" s="38" t="n">
        <f aca="false">Sens!$S$5386</f>
        <v>26.578941154416</v>
      </c>
      <c r="D5386" s="38" t="n">
        <f aca="false">Sens!$T$5386</f>
        <v>92.5251207231008</v>
      </c>
      <c r="G5386" s="38" t="n">
        <f aca="false">Sens!$U$5386</f>
        <v>239.931219586022</v>
      </c>
      <c r="H5386" s="38" t="n">
        <f aca="false">Sens!$V$5386</f>
        <v>403.208392333442</v>
      </c>
      <c r="I5386" s="38" t="n">
        <f aca="false">Sens!$W$5386</f>
        <v>544.837543672486</v>
      </c>
      <c r="J5386" s="38" t="n">
        <f aca="false">Sens!$X$5386</f>
        <v>662.967819343113</v>
      </c>
      <c r="K5386" s="38" t="n">
        <f aca="false">Sens!$Y$5386</f>
        <v>756.90963744369</v>
      </c>
      <c r="L5386" s="38" t="n">
        <f aca="false">Sens!$Z$5386</f>
        <v>860.10628945915</v>
      </c>
      <c r="M5386" s="38" t="n">
        <f aca="false">Sens!$AA$5386</f>
        <v>995.283560834616</v>
      </c>
      <c r="R5386" s="38" t="n">
        <f aca="false">SUM(Sens!$R$5378:$R$5378)-SUM(Sens!$R$5385:$R$5385)</f>
        <v>1.50429979529945</v>
      </c>
      <c r="S5386" s="38" t="n">
        <f aca="false">SUM(Sens!$R$5378:$S$5378)-SUM(Sens!$R$5385:$S$5385)</f>
        <v>26.578941154416</v>
      </c>
      <c r="T5386" s="38" t="n">
        <f aca="false">SUM(Sens!$R$5378:$T$5378)-SUM(Sens!$R$5385:$T$5385)</f>
        <v>92.5251207231008</v>
      </c>
      <c r="U5386" s="38" t="n">
        <f aca="false">SUM(Sens!$R$5378:$U$5378)-SUM(Sens!$R$5385:$U$5385)</f>
        <v>239.931219586022</v>
      </c>
      <c r="V5386" s="38" t="n">
        <f aca="false">SUM(Sens!$R$5378:$V$5378)-SUM(Sens!$R$5385:$V$5385)</f>
        <v>403.208392333442</v>
      </c>
      <c r="W5386" s="38" t="n">
        <f aca="false">SUM(Sens!$R$5378:$W$5378)-SUM(Sens!$R$5385:$W$5385)</f>
        <v>544.837543672486</v>
      </c>
      <c r="X5386" s="38" t="n">
        <f aca="false">SUM(Sens!$R$5378:$X$5378)-SUM(Sens!$R$5385:$X$5385)</f>
        <v>662.967819343113</v>
      </c>
      <c r="Y5386" s="38" t="n">
        <f aca="false">SUM(Sens!$R$5378:$Y$5378)-SUM(Sens!$R$5385:$Y$5385)</f>
        <v>756.90963744369</v>
      </c>
      <c r="Z5386" s="38" t="n">
        <f aca="false">SUM(Sens!$R$5378:$Z$5378)-SUM(Sens!$R$5385:$Z$5385)</f>
        <v>860.10628945915</v>
      </c>
      <c r="AA5386" s="38" t="n">
        <f aca="false">SUM(Sens!$R$5378:$AA$5378)-SUM(Sens!$R$5385:$AA$5385)</f>
        <v>995.283560834616</v>
      </c>
    </row>
    <row r="5387" customFormat="false" ht="17.15" hidden="false" customHeight="false" outlineLevel="0" collapsed="false">
      <c r="A5387" s="1" t="s">
        <v>596</v>
      </c>
    </row>
    <row r="5388" customFormat="false" ht="17.15" hidden="false" customHeight="false" outlineLevel="0" collapsed="false">
      <c r="A5388" s="0" t="s">
        <v>597</v>
      </c>
      <c r="B5388" s="0" t="s">
        <v>73</v>
      </c>
      <c r="C5388" s="38" t="n">
        <f aca="false">Sens!$C$5369-ext_sh*Sens!$C$5371</f>
        <v>1.80694998843362</v>
      </c>
      <c r="D5388" s="38" t="n">
        <f aca="false">Sens!$D$5369-ext_sh*Sens!$D$5371</f>
        <v>6.77606245662607</v>
      </c>
      <c r="E5388" s="38" t="n">
        <f aca="false">Sens!$E$5369-ext_sh*Sens!$E$5371</f>
        <v>6.62548329092326</v>
      </c>
      <c r="F5388" s="38" t="n">
        <f aca="false">Sens!$F$5369-ext_sh*Sens!$F$5371</f>
        <v>11.7200577158706</v>
      </c>
      <c r="G5388" s="38" t="n">
        <f aca="false">Sens!$G$5369-ext_sh*Sens!$G$5371</f>
        <v>18.3455410067939</v>
      </c>
      <c r="H5388" s="38" t="n">
        <f aca="false">Sens!$H$5369-ext_sh*Sens!$H$5371</f>
        <v>47.5171727060453</v>
      </c>
      <c r="I5388" s="38" t="n">
        <f aca="false">Sens!$I$5369-ext_sh*Sens!$I$5371</f>
        <v>80.5539692643667</v>
      </c>
      <c r="J5388" s="38" t="n">
        <f aca="false">Sens!$J$5369-ext_sh*Sens!$J$5371</f>
        <v>113.759316834883</v>
      </c>
      <c r="K5388" s="38" t="n">
        <f aca="false">Sens!$K$5369-ext_sh*Sens!$K$5371</f>
        <v>147.020848076132</v>
      </c>
      <c r="L5388" s="38" t="n">
        <f aca="false">Sens!$L$5369-ext_sh*Sens!$L$5371</f>
        <v>180.307917349531</v>
      </c>
      <c r="M5388" s="38" t="n">
        <f aca="false">Sens!$M$5369-ext_sh*Sens!$M$5371</f>
        <v>213.608737871012</v>
      </c>
      <c r="N5388" s="38" t="n">
        <f aca="false">Sens!$N$5369-ext_sh*Sens!$N$5371</f>
        <v>2.37162185981912</v>
      </c>
      <c r="O5388" s="38" t="n">
        <f aca="false">Sens!$O$5369-ext_sh*Sens!$O$5371</f>
        <v>4.40444059680694</v>
      </c>
    </row>
    <row r="5389" customFormat="false" ht="17.15" hidden="false" customHeight="false" outlineLevel="0" collapsed="false">
      <c r="A5389" s="1" t="s">
        <v>598</v>
      </c>
      <c r="B5389" s="8" t="s">
        <v>73</v>
      </c>
      <c r="C5389" s="38" t="n">
        <f aca="false">Sens!$C$5388-ext_sh*Sens!$C$5385</f>
        <v>1.64417882953695</v>
      </c>
      <c r="D5389" s="38" t="n">
        <f aca="false">Sens!$D$5388-ext_sh*Sens!$D$5385</f>
        <v>3.8781008067718</v>
      </c>
      <c r="E5389" s="38" t="n">
        <f aca="false">Sens!$E$5388-ext_sh*Sens!$E$5385</f>
        <v>1.41270258088753</v>
      </c>
      <c r="F5389" s="38" t="n">
        <f aca="false">Sens!$F$5388-ext_sh*Sens!$F$5385</f>
        <v>6.50727700583486</v>
      </c>
      <c r="G5389" s="38" t="n">
        <f aca="false">Sens!$G$5388-ext_sh*Sens!$G$5385</f>
        <v>7.9199795867224</v>
      </c>
      <c r="H5389" s="38" t="n">
        <f aca="false">Sens!$H$5388-ext_sh*Sens!$H$5385</f>
        <v>19.2818189481807</v>
      </c>
      <c r="I5389" s="38" t="n">
        <f aca="false">Sens!$I$5388-ext_sh*Sens!$I$5385</f>
        <v>30.140114407202</v>
      </c>
      <c r="J5389" s="38" t="n">
        <f aca="false">Sens!$J$5388-ext_sh*Sens!$J$5385</f>
        <v>40.3569468829854</v>
      </c>
      <c r="K5389" s="38" t="n">
        <f aca="false">Sens!$K$5388-ext_sh*Sens!$K$5385</f>
        <v>50.0782975081929</v>
      </c>
      <c r="L5389" s="38" t="n">
        <f aca="false">Sens!$L$5388-ext_sh*Sens!$L$5385</f>
        <v>61.443331993499</v>
      </c>
      <c r="M5389" s="38" t="n">
        <f aca="false">Sens!$M$5388-ext_sh*Sens!$M$5385</f>
        <v>72.2498791587849</v>
      </c>
      <c r="N5389" s="38" t="n">
        <f aca="false">Sens!$N$5388-ext_sh*Sens!$N$5385</f>
        <v>0.92264103489199</v>
      </c>
      <c r="O5389" s="38" t="n">
        <f aca="false">Sens!$O$5388-ext_sh*Sens!$O$5385</f>
        <v>2.95545977187981</v>
      </c>
    </row>
    <row r="5390" customFormat="false" ht="17.15" hidden="false" customHeight="false" outlineLevel="0" collapsed="false">
      <c r="A5390" s="0" t="s">
        <v>599</v>
      </c>
      <c r="B5390" s="0" t="s">
        <v>52</v>
      </c>
      <c r="C5390" s="12" t="n">
        <f aca="false">Sens!$C$5389/Sens!$C$5369</f>
        <v>0.708390794789371</v>
      </c>
      <c r="D5390" s="12" t="n">
        <f aca="false">Sens!$D$5389/Sens!$D$5369</f>
        <v>0.445565630441968</v>
      </c>
      <c r="E5390" s="12" t="n">
        <f aca="false">Sens!$E$5389/Sens!$E$5369</f>
        <v>0.165998118402711</v>
      </c>
      <c r="F5390" s="12" t="n">
        <f aca="false">Sens!$F$5389/Sens!$F$5369</f>
        <v>0.434878595403858</v>
      </c>
      <c r="G5390" s="12" t="n">
        <f aca="false">Sens!$G$5389/Sens!$G$5369</f>
        <v>0.3373967615381</v>
      </c>
      <c r="H5390" s="12" t="n">
        <f aca="false">Sens!$H$5389/Sens!$H$5369</f>
        <v>0.320477578041224</v>
      </c>
      <c r="I5390" s="12" t="n">
        <f aca="false">Sens!$I$5389/Sens!$I$5369</f>
        <v>0.296936118226494</v>
      </c>
      <c r="J5390" s="12" t="n">
        <f aca="false">Sens!$J$5389/Sens!$J$5369</f>
        <v>0.282166278613001</v>
      </c>
      <c r="K5390" s="12" t="n">
        <f aca="false">Sens!$K$5389/Sens!$K$5369</f>
        <v>0.271267685694333</v>
      </c>
      <c r="L5390" s="12" t="n">
        <f aca="false">Sens!$L$5389/Sens!$L$5369</f>
        <v>0.27160960915653</v>
      </c>
      <c r="M5390" s="12" t="n">
        <f aca="false">Sens!$M$5389/Sens!$M$5369</f>
        <v>0.26974494804234</v>
      </c>
      <c r="N5390" s="12" t="n">
        <f aca="false">Sens!$N$5389/Sens!$N$5369</f>
        <v>0.302870734830849</v>
      </c>
      <c r="O5390" s="12" t="n">
        <f aca="false">Sens!$O$5389/Sens!$O$5369</f>
        <v>0.52240134346334</v>
      </c>
    </row>
    <row r="5391" customFormat="false" ht="17.15" hidden="false" customHeight="false" outlineLevel="0" collapsed="false">
      <c r="A5391" s="5" t="s">
        <v>600</v>
      </c>
      <c r="B5391" s="0" t="s">
        <v>73</v>
      </c>
      <c r="C5391" s="38" t="n">
        <f aca="false">rd2*(1-ext_sh)/ext_sh*Sens!$C$5352*he_open*Sens!$C$5353/1000</f>
        <v>0</v>
      </c>
      <c r="D5391" s="38" t="n">
        <f aca="false">rd2*(1-ext_sh)/ext_sh*Sens!$D$5352*he_open*Sens!$D$5353/1000</f>
        <v>0</v>
      </c>
      <c r="E5391" s="38" t="n">
        <f aca="false">rd2*(1-ext_sh)/ext_sh*Sens!$E$5352*he_open*Sens!$E$5353/1000</f>
        <v>0</v>
      </c>
      <c r="F5391" s="38" t="n">
        <f aca="false">rd2*(1-ext_sh)/ext_sh*(mw_open*he_open+Sens!$F$5367*Sens!$F$5364)*Sens!$F$5353/1000</f>
        <v>0</v>
      </c>
      <c r="G5391" s="38" t="n">
        <f aca="false">Sens!$E$5391+Sens!$F$5391</f>
        <v>0</v>
      </c>
      <c r="H5391" s="38" t="n">
        <f aca="false">rd2*(1-ext_sh)/ext_sh*(mw_open*he_open+Sens!$H$5367*Sens!$H$5364)*Sens!$H$5353/1000</f>
        <v>0</v>
      </c>
      <c r="I5391" s="38" t="n">
        <f aca="false">rd2*(1-ext_sh)/ext_sh*(mw_open*he_open+Sens!$I$5367*Sens!$I$5364)*Sens!$I$5353/1000</f>
        <v>0</v>
      </c>
      <c r="J5391" s="38" t="n">
        <f aca="false">rd2*(1-ext_sh)/ext_sh*(mw_open*he_open+Sens!$J$5367*Sens!$J$5364)*Sens!$J$5353/1000</f>
        <v>0</v>
      </c>
      <c r="K5391" s="38" t="n">
        <f aca="false">rd2*(1-ext_sh)/ext_sh*(mw_open*he_open+Sens!$K$5367*Sens!$K$5364)*Sens!$K$5353/1000</f>
        <v>0</v>
      </c>
      <c r="L5391" s="38" t="n">
        <f aca="false">rd2*(1-ext_sh)/ext_sh*(mw_open*he_open+Sens!$L$5367*Sens!$L$5364)*Sens!$L$5353/1000</f>
        <v>0</v>
      </c>
      <c r="M5391" s="38" t="n">
        <f aca="false">rd2*(1-ext_sh)/ext_sh*(mw_open*he_open+Sens!$M$5367*Sens!$M$5364)*Sens!$M$5353/1000</f>
        <v>0</v>
      </c>
      <c r="N5391" s="38" t="n">
        <f aca="false">rd2*(1-ext_sh)/ext_sh*Sens!$N$5352*he_open*Sens!$N$5353/1000</f>
        <v>0</v>
      </c>
      <c r="O5391" s="38" t="n">
        <f aca="false">rd2*(1-ext_sh)/ext_sh*Sens!$O$5352*he_open*Sens!$O$5353/1000</f>
        <v>0</v>
      </c>
      <c r="P5391" s="8" t="s">
        <v>601</v>
      </c>
    </row>
    <row r="5392" customFormat="false" ht="17.15" hidden="false" customHeight="false" outlineLevel="0" collapsed="false">
      <c r="A5392" s="5" t="s">
        <v>602</v>
      </c>
      <c r="B5392" s="0" t="s">
        <v>73</v>
      </c>
      <c r="C5392" s="38" t="n">
        <f aca="false">(1-ext_sh)*(Sens!$C$5371+Sens!$C$5385)-Sens!$C$5391</f>
        <v>0.169206631859174</v>
      </c>
      <c r="D5392" s="38" t="n">
        <f aca="false">(1-ext_sh)*(Sens!$D$5371+Sens!$D$5385)-Sens!$D$5391</f>
        <v>1.20641732046984</v>
      </c>
      <c r="E5392" s="38" t="n">
        <f aca="false">(1-ext_sh)*(Sens!$E$5371+Sens!$E$5385)-Sens!$E$5391</f>
        <v>1.77441259867062</v>
      </c>
      <c r="F5392" s="38" t="n">
        <f aca="false">(1-ext_sh)*(Sens!$F$5371+Sens!$F$5385)-Sens!$F$5391</f>
        <v>2.1140391597214</v>
      </c>
      <c r="G5392" s="38" t="n">
        <f aca="false">(1-ext_sh)*(Sens!$G$5371+Sens!$G$5385)-Sens!$G$5391</f>
        <v>3.88845175839202</v>
      </c>
      <c r="H5392" s="38" t="n">
        <f aca="false">(1-ext_sh)*(Sens!$H$5371+Sens!$H$5385)-Sens!$H$5391</f>
        <v>10.2210179503985</v>
      </c>
      <c r="I5392" s="38" t="n">
        <f aca="false">(1-ext_sh)*(Sens!$I$5371+Sens!$I$5385)-Sens!$I$5391</f>
        <v>17.8408961823075</v>
      </c>
      <c r="J5392" s="38" t="n">
        <f aca="false">(1-ext_sh)*(Sens!$J$5371+Sens!$J$5385)-Sens!$J$5391</f>
        <v>25.6671150670732</v>
      </c>
      <c r="K5392" s="38" t="n">
        <f aca="false">(1-ext_sh)*(Sens!$K$5371+Sens!$K$5385)-Sens!$K$5391</f>
        <v>33.6325293834986</v>
      </c>
      <c r="L5392" s="38" t="n">
        <f aca="false">(1-ext_sh)*(Sens!$L$5371+Sens!$L$5385)-Sens!$L$5391</f>
        <v>41.1939886299065</v>
      </c>
      <c r="M5392" s="38" t="n">
        <f aca="false">(1-ext_sh)*(Sens!$M$5371+Sens!$M$5385)-Sens!$M$5391</f>
        <v>48.8988205728617</v>
      </c>
      <c r="N5392" s="38" t="n">
        <f aca="false">(1-ext_sh)*(Sens!$N$5371+Sens!$N$5385)-Sens!$N$5391</f>
        <v>0.530919624033979</v>
      </c>
      <c r="O5392" s="38" t="n">
        <f aca="false">(1-ext_sh)*(Sens!$O$5371+Sens!$O$5385)-Sens!$O$5391</f>
        <v>0.675497696435861</v>
      </c>
    </row>
    <row r="5393" customFormat="false" ht="17.15" hidden="false" customHeight="false" outlineLevel="0" collapsed="false">
      <c r="A5393" s="0" t="s">
        <v>603</v>
      </c>
      <c r="B5393" s="0" t="s">
        <v>73</v>
      </c>
      <c r="C5393" s="38" t="n">
        <f aca="false">Q!$D$24</f>
        <v>39.834</v>
      </c>
      <c r="D5393" s="38" t="n">
        <f aca="false">Q!$E$24</f>
        <v>45.606</v>
      </c>
      <c r="E5393" s="38" t="n">
        <f aca="false">Q!$P$24</f>
        <v>30.782</v>
      </c>
      <c r="N5393" s="38" t="n">
        <f aca="false">Q!$N$24</f>
        <v>21.707</v>
      </c>
      <c r="O5393" s="38" t="n">
        <f aca="false">Q!$O$24</f>
        <v>23.899</v>
      </c>
    </row>
    <row r="5394" customFormat="false" ht="17.15" hidden="false" customHeight="false" outlineLevel="0" collapsed="false">
      <c r="A5394" s="0" t="s">
        <v>604</v>
      </c>
      <c r="B5394" s="0" t="s">
        <v>73</v>
      </c>
      <c r="C5394" s="38" t="n">
        <f aca="false">Sens!$C$5393-Sens!$C$5389</f>
        <v>38.1898211704631</v>
      </c>
      <c r="D5394" s="38" t="n">
        <f aca="false">Sens!$D$5393-Sens!$D$5389</f>
        <v>41.7278991932282</v>
      </c>
      <c r="E5394" s="38" t="n">
        <f aca="false">Sens!$E$5393-Sens!$E$5389</f>
        <v>29.3692974191125</v>
      </c>
      <c r="F5394" s="38" t="n">
        <f aca="false">Sens!$F$5373*Sens!$F$5395</f>
        <v>29.458060516894</v>
      </c>
      <c r="G5394" s="38" t="n">
        <f aca="false">Sens!$E$5394+Sens!$F$5394</f>
        <v>58.8273579360065</v>
      </c>
      <c r="H5394" s="38" t="n">
        <f aca="false">Sens!$H$5373*Sens!$H$5395</f>
        <v>67.8004040185081</v>
      </c>
      <c r="I5394" s="38" t="n">
        <f aca="false">Sens!$I$5373*Sens!$I$5395</f>
        <v>78.9527630302702</v>
      </c>
      <c r="J5394" s="38" t="n">
        <f aca="false">Sens!$J$5373*Sens!$J$5395</f>
        <v>88.6042681781841</v>
      </c>
      <c r="K5394" s="38" t="n">
        <f aca="false">Sens!$K$5373*Sens!$K$5395</f>
        <v>95.6926096324389</v>
      </c>
      <c r="L5394" s="38" t="n">
        <f aca="false">Sens!$L$5373*Sens!$L$5395</f>
        <v>103.348018403034</v>
      </c>
      <c r="M5394" s="38" t="n">
        <f aca="false">Sens!$M$5373*Sens!$M$5395</f>
        <v>111.615859875277</v>
      </c>
      <c r="N5394" s="38" t="n">
        <f aca="false">Sens!$N$5393-Sens!$N$5389</f>
        <v>20.784358965108</v>
      </c>
      <c r="O5394" s="38" t="n">
        <f aca="false">Sens!$O$5393-Sens!$O$5389</f>
        <v>20.9435402281202</v>
      </c>
      <c r="P5394" s="5" t="s">
        <v>605</v>
      </c>
    </row>
    <row r="5395" customFormat="false" ht="17.15" hidden="false" customHeight="false" outlineLevel="0" collapsed="false">
      <c r="A5395" s="0" t="s">
        <v>606</v>
      </c>
      <c r="B5395" s="0" t="s">
        <v>52</v>
      </c>
      <c r="C5395" s="12" t="n">
        <f aca="false">Sens!$C$5394/Sens!$C$5373</f>
        <v>0.362900395443635</v>
      </c>
      <c r="D5395" s="12" t="n">
        <f aca="false">Sens!$D$5394/Sens!$D$5373</f>
        <v>0.34767098474203</v>
      </c>
      <c r="E5395" s="12" t="n">
        <f aca="false">Sens!$E$5394/Sens!$E$5373</f>
        <v>0.411861655558416</v>
      </c>
      <c r="F5395" s="12" t="n">
        <f aca="false">(Sens!$O$5394+Sens!$E$5394)/(Sens!$O$5373+Sens!$E$5373)</f>
        <v>0.37480827803158</v>
      </c>
      <c r="G5395" s="12" t="n">
        <f aca="false">Sens!$G$5394/Sens!$G$5373</f>
        <v>0.392434440489471</v>
      </c>
      <c r="H5395" s="12" t="n">
        <f aca="false">Sens!$F$5395</f>
        <v>0.37480827803158</v>
      </c>
      <c r="I5395" s="12" t="n">
        <f aca="false">Sens!$F$5395</f>
        <v>0.37480827803158</v>
      </c>
      <c r="J5395" s="12" t="n">
        <f aca="false">Sens!$F$5395</f>
        <v>0.37480827803158</v>
      </c>
      <c r="K5395" s="12" t="n">
        <f aca="false">Sens!$F$5395</f>
        <v>0.37480827803158</v>
      </c>
      <c r="L5395" s="12" t="n">
        <f aca="false">Sens!$F$5395</f>
        <v>0.37480827803158</v>
      </c>
      <c r="M5395" s="12" t="n">
        <f aca="false">Sens!$F$5395</f>
        <v>0.37480827803158</v>
      </c>
      <c r="N5395" s="12" t="n">
        <f aca="false">Sens!$N$5394/Sens!$N$5373</f>
        <v>0.364039571356823</v>
      </c>
      <c r="O5395" s="12" t="n">
        <f aca="false">Sens!$O$5394/Sens!$O$5373</f>
        <v>0.332819892300086</v>
      </c>
      <c r="P5395" s="8" t="s">
        <v>607</v>
      </c>
    </row>
    <row r="5396" customFormat="false" ht="17.15" hidden="false" customHeight="false" outlineLevel="0" collapsed="false">
      <c r="A5396" s="0" t="s">
        <v>608</v>
      </c>
      <c r="B5396" s="0" t="s">
        <v>52</v>
      </c>
      <c r="D5396" s="12" t="n">
        <f aca="false">(Q!$E$31-ext_sh*Sens!$D$5385)/Sens!$D$5373</f>
        <v>0.154572973163571</v>
      </c>
    </row>
    <row r="5397" customFormat="false" ht="17.15" hidden="false" customHeight="false" outlineLevel="0" collapsed="false">
      <c r="A5397" s="0" t="s">
        <v>609</v>
      </c>
      <c r="B5397" s="0" t="s">
        <v>73</v>
      </c>
      <c r="C5397" s="38" t="n">
        <f aca="false">Q!$D$31</f>
        <v>13.32</v>
      </c>
      <c r="D5397" s="38" t="n">
        <f aca="false">Q!$E$31</f>
        <v>21.45</v>
      </c>
      <c r="E5397" s="38" t="n">
        <f aca="false">Q!$P$31</f>
        <v>15.353</v>
      </c>
      <c r="F5397" s="38" t="n">
        <f aca="false">ext_sh*Sens!$F$5385+Sens!$D$5396*Sens!$F$5373</f>
        <v>17.3614451462707</v>
      </c>
      <c r="G5397" s="38" t="n">
        <f aca="false">Sens!$E$5397+Sens!$F$5397</f>
        <v>32.7144451462707</v>
      </c>
      <c r="H5397" s="38" t="n">
        <f aca="false">ext_sh*Sens!$H$5385+Sens!$D$5396*Sens!$H$5373</f>
        <v>56.1966092719415</v>
      </c>
      <c r="I5397" s="38" t="n">
        <f aca="false">ext_sh*Sens!$I$5385+Sens!$D$5396*Sens!$I$5373</f>
        <v>82.9744039068297</v>
      </c>
      <c r="J5397" s="38" t="n">
        <f aca="false">ext_sh*Sens!$J$5385+Sens!$D$5396*Sens!$J$5373</f>
        <v>109.943252237669</v>
      </c>
      <c r="K5397" s="38" t="n">
        <f aca="false">ext_sh*Sens!$K$5385+Sens!$D$5396*Sens!$K$5373</f>
        <v>136.406703436571</v>
      </c>
      <c r="L5397" s="38" t="n">
        <f aca="false">ext_sh*Sens!$L$5385+Sens!$D$5396*Sens!$L$5373</f>
        <v>161.485870454155</v>
      </c>
      <c r="M5397" s="38" t="n">
        <f aca="false">ext_sh*Sens!$M$5385+Sens!$D$5396*Sens!$M$5373</f>
        <v>187.389846618199</v>
      </c>
      <c r="N5397" s="38" t="n">
        <f aca="false">Q!$N$31</f>
        <v>9.234</v>
      </c>
      <c r="O5397" s="38" t="n">
        <f aca="false">Q!$O$31</f>
        <v>12.216</v>
      </c>
    </row>
    <row r="5398" customFormat="false" ht="17.15" hidden="false" customHeight="false" outlineLevel="0" collapsed="false">
      <c r="A5398" s="1" t="s">
        <v>610</v>
      </c>
    </row>
    <row r="5399" customFormat="false" ht="17.15" hidden="false" customHeight="false" outlineLevel="0" collapsed="false">
      <c r="A5399" s="14" t="s">
        <v>611</v>
      </c>
      <c r="B5399" s="13" t="s">
        <v>52</v>
      </c>
      <c r="C5399" s="13"/>
      <c r="D5399" s="13"/>
      <c r="E5399" s="13"/>
      <c r="F5399" s="13"/>
      <c r="G5399" s="16" t="n">
        <f aca="false">Sens!$G$5389*(1-tax)/(ext_sh*(Sens!$D$5386+Sens!$G$5386)/2)</f>
        <v>0.0492184452944045</v>
      </c>
      <c r="H5399" s="16" t="n">
        <f aca="false">Sens!$H$5389*(1-tax)/(ext_sh*(Sens!$G$5386+Sens!$H$5386)/2)</f>
        <v>0.0619414246858107</v>
      </c>
      <c r="I5399" s="16" t="n">
        <f aca="false">Sens!$I$5389*(1-tax)/(ext_sh*(Sens!$H$5386+Sens!$I$5386)/2)</f>
        <v>0.0656831488051666</v>
      </c>
      <c r="J5399" s="16" t="n">
        <f aca="false">Sens!$J$5389*(1-tax)/(ext_sh*(Sens!$I$5386+Sens!$J$5386)/2)</f>
        <v>0.0690334849962116</v>
      </c>
      <c r="K5399" s="16" t="n">
        <f aca="false">Sens!$K$5389*(1-tax)/(ext_sh*(Sens!$J$5386+Sens!$K$5386)/2)</f>
        <v>0.0728680488295485</v>
      </c>
      <c r="L5399" s="16" t="n">
        <f aca="false">Sens!$L$5389*(1-tax)/(ext_sh*(Sens!$K$5386+Sens!$L$5386)/2)</f>
        <v>0.0785052878122331</v>
      </c>
      <c r="M5399" s="16" t="n">
        <f aca="false">Sens!$M$5389*(1-tax)/(ext_sh*(Sens!$L$5386+Sens!$M$5386)/2)</f>
        <v>0.0804526580722741</v>
      </c>
      <c r="N5399" s="13"/>
      <c r="O5399" s="13"/>
      <c r="P5399" s="8" t="s">
        <v>612</v>
      </c>
    </row>
    <row r="5400" customFormat="false" ht="17.15" hidden="false" customHeight="false" outlineLevel="0" collapsed="false">
      <c r="A5400" s="5" t="s">
        <v>613</v>
      </c>
      <c r="B5400" s="0" t="s">
        <v>57</v>
      </c>
      <c r="H5400" s="36" t="n">
        <f aca="false">Sens!$H$5369*1000/(mw_open*he_open+Sens!$H$5367*Sens!$H$5364)</f>
        <v>0.991949006767191</v>
      </c>
      <c r="I5400" s="36" t="n">
        <f aca="false">Sens!$I$5369*1000/(mw_open*he_open+Sens!$I$5367*Sens!$I$5364)</f>
        <v>0.991949006767191</v>
      </c>
      <c r="J5400" s="36" t="n">
        <f aca="false">Sens!$J$5369*1000/(mw_open*he_open+Sens!$J$5367*Sens!$J$5364)</f>
        <v>0.991949006767191</v>
      </c>
      <c r="K5400" s="36" t="n">
        <f aca="false">Sens!$K$5369*1000/(mw_open*he_open+Sens!$K$5367*Sens!$K$5364)</f>
        <v>0.991949006767191</v>
      </c>
      <c r="L5400" s="36" t="n">
        <f aca="false">Sens!$L$5369*1000/(mw_open*he_open+Sens!$L$5367*Sens!$L$5364)</f>
        <v>0.991949006767191</v>
      </c>
      <c r="M5400" s="36" t="n">
        <f aca="false">Sens!$M$5369*1000/(mw_open*he_open+Sens!$M$5367*Sens!$M$5364)</f>
        <v>0.991949006767192</v>
      </c>
    </row>
    <row r="5401" customFormat="false" ht="17.15" hidden="false" customHeight="false" outlineLevel="0" collapsed="false">
      <c r="A5401" s="5" t="s">
        <v>614</v>
      </c>
      <c r="B5401" s="0" t="s">
        <v>57</v>
      </c>
      <c r="H5401" s="36" t="n">
        <f aca="false">Sens!$H$5400*(Sens!$H$5369+wacc*ext_sh*(Sens!$G$5386+Sens!$H$5386)/2/(1-tax)-Sens!$H$5389)/Sens!$H$5369</f>
        <v>1.3149781212103</v>
      </c>
      <c r="I5401" s="36" t="n">
        <f aca="false">Sens!$I$5400*(Sens!$I$5369+wacc*ext_sh*(Sens!$H$5386+Sens!$I$5386)/2/(1-tax)-Sens!$I$5389)/Sens!$I$5369</f>
        <v>1.25742005569107</v>
      </c>
      <c r="J5401" s="36" t="n">
        <f aca="false">Sens!$J$5400*(Sens!$J$5369+wacc*ext_sh*(Sens!$I$5386+Sens!$J$5386)/2/(1-tax)-Sens!$J$5389)/Sens!$J$5369</f>
        <v>1.21838845868559</v>
      </c>
      <c r="K5401" s="36" t="n">
        <f aca="false">Sens!$K$5400*(Sens!$K$5369+wacc*ext_sh*(Sens!$J$5386+Sens!$K$5386)/2/(1-tax)-Sens!$K$5389)/Sens!$K$5369</f>
        <v>1.18402644209548</v>
      </c>
      <c r="L5401" s="36" t="n">
        <f aca="false">Sens!$L$5400*(Sens!$L$5369+wacc*ext_sh*(Sens!$K$5386+Sens!$L$5386)/2/(1-tax)-Sens!$L$5389)/Sens!$L$5369</f>
        <v>1.15111215322059</v>
      </c>
      <c r="M5401" s="36" t="n">
        <f aca="false">Sens!$M$5400*(Sens!$M$5369+wacc*ext_sh*(Sens!$L$5386+Sens!$M$5386)/2/(1-tax)-Sens!$M$5389)/Sens!$M$5369</f>
        <v>1.1397166845677</v>
      </c>
    </row>
    <row r="5402" customFormat="false" ht="17.15" hidden="false" customHeight="false" outlineLevel="0" collapsed="false">
      <c r="A5402" s="5" t="s">
        <v>615</v>
      </c>
      <c r="B5402" s="0" t="s">
        <v>52</v>
      </c>
      <c r="C5402" s="12" t="n">
        <f aca="false">Sens!$C$5370/tk_pq</f>
        <v>0.195316432429398</v>
      </c>
      <c r="D5402" s="12" t="n">
        <f aca="false">Sens!$D$5370/tk_pq</f>
        <v>0.195316432429398</v>
      </c>
      <c r="E5402" s="12" t="n">
        <f aca="false">Sens!$E$5370/tk_pq</f>
        <v>0.195316432429398</v>
      </c>
      <c r="F5402" s="12" t="n">
        <f aca="false">Sens!$F$5370/tk_pq</f>
        <v>0.202241827274866</v>
      </c>
      <c r="G5402" s="12" t="n">
        <f aca="false">Sens!$G$5370/tk_pq</f>
        <v>0.199675016194063</v>
      </c>
      <c r="H5402" s="12" t="n">
        <f aca="false">Sens!$H$5370/tk_pq</f>
        <v>0.212647947710325</v>
      </c>
      <c r="I5402" s="12" t="n">
        <f aca="false">Sens!$I$5370/tk_pq</f>
        <v>0.219285125475351</v>
      </c>
      <c r="J5402" s="12" t="n">
        <f aca="false">Sens!$J$5370/tk_pq</f>
        <v>0.222492493217189</v>
      </c>
      <c r="K5402" s="12" t="n">
        <f aca="false">Sens!$K$5370/tk_pq</f>
        <v>0.224371415939166</v>
      </c>
      <c r="L5402" s="12" t="n">
        <f aca="false">Sens!$L$5370/tk_pq</f>
        <v>0.225603749825993</v>
      </c>
      <c r="M5402" s="12" t="n">
        <f aca="false">Sens!$M$5370/tk_pq</f>
        <v>0.22647376274628</v>
      </c>
      <c r="N5402" s="12" t="n">
        <f aca="false">Sens!$N$5370/tk_pq</f>
        <v>0.195316432429398</v>
      </c>
      <c r="O5402" s="12" t="n">
        <f aca="false">Sens!$O$5370/tk_pq</f>
        <v>0.195316432429398</v>
      </c>
      <c r="P5402" s="5" t="s">
        <v>616</v>
      </c>
    </row>
    <row r="5405" customFormat="false" ht="17.15" hidden="false" customHeight="false" outlineLevel="0" collapsed="false">
      <c r="A5405" s="1" t="s">
        <v>643</v>
      </c>
    </row>
    <row r="5406" customFormat="false" ht="17.15" hidden="false" customHeight="false" outlineLevel="0" collapsed="false">
      <c r="A5406" s="0" t="s">
        <v>644</v>
      </c>
      <c r="B5406" s="0" t="s">
        <v>73</v>
      </c>
      <c r="C5406" s="38" t="n">
        <f aca="false">Sens!$C$5369</f>
        <v>2.32100535697364</v>
      </c>
      <c r="D5406" s="38" t="n">
        <f aca="false">Sens!$D$5369</f>
        <v>8.70377008865116</v>
      </c>
      <c r="E5406" s="38" t="n">
        <f aca="false">Sens!$E$5369</f>
        <v>8.51035297557002</v>
      </c>
      <c r="F5406" s="38" t="n">
        <f aca="false">Sens!$F$5369</f>
        <v>14.9634336447205</v>
      </c>
      <c r="G5406" s="38" t="n">
        <f aca="false">Sens!$G$5369</f>
        <v>23.4737866202905</v>
      </c>
      <c r="H5406" s="38" t="n">
        <f aca="false">Sens!$H$5369</f>
        <v>60.1658907497746</v>
      </c>
      <c r="I5406" s="38" t="n">
        <f aca="false">Sens!$I$5369</f>
        <v>101.503699136432</v>
      </c>
      <c r="J5406" s="38" t="n">
        <f aca="false">Sens!$J$5369</f>
        <v>143.025407151278</v>
      </c>
      <c r="K5406" s="38" t="n">
        <f aca="false">Sens!$K$5369</f>
        <v>184.608415042187</v>
      </c>
      <c r="L5406" s="38" t="n">
        <f aca="false">Sens!$L$5369</f>
        <v>226.219286513125</v>
      </c>
      <c r="M5406" s="38" t="n">
        <f aca="false">Sens!$M$5369</f>
        <v>267.845161450232</v>
      </c>
      <c r="N5406" s="38" t="n">
        <f aca="false">Sens!$N$5369</f>
        <v>3.04631953102791</v>
      </c>
      <c r="O5406" s="38" t="n">
        <f aca="false">Sens!$O$5369</f>
        <v>5.65745055762326</v>
      </c>
      <c r="P5406" s="8" t="s">
        <v>645</v>
      </c>
    </row>
    <row r="5407" customFormat="false" ht="17.15" hidden="false" customHeight="false" outlineLevel="0" collapsed="false">
      <c r="A5407" s="0" t="s">
        <v>646</v>
      </c>
      <c r="B5407" s="0" t="s">
        <v>73</v>
      </c>
      <c r="C5407" s="38" t="n">
        <f aca="false">Sens!$C$5373</f>
        <v>105.234994643026</v>
      </c>
      <c r="D5407" s="38" t="n">
        <f aca="false">Sens!$D$5373</f>
        <v>120.021229911349</v>
      </c>
      <c r="E5407" s="38" t="n">
        <f aca="false">Sens!$E$5373</f>
        <v>71.30864702443</v>
      </c>
      <c r="F5407" s="38" t="n">
        <f aca="false">Sens!$F$5373</f>
        <v>78.5950104186653</v>
      </c>
      <c r="G5407" s="38" t="n">
        <f aca="false">Sens!$G$5373</f>
        <v>149.903657443095</v>
      </c>
      <c r="H5407" s="38" t="n">
        <f aca="false">Sens!$H$5373</f>
        <v>180.893560768142</v>
      </c>
      <c r="I5407" s="38" t="n">
        <f aca="false">Sens!$I$5373</f>
        <v>210.64839721501</v>
      </c>
      <c r="J5407" s="38" t="n">
        <f aca="false">Sens!$J$5373</f>
        <v>236.398909446495</v>
      </c>
      <c r="K5407" s="38" t="n">
        <f aca="false">Sens!$K$5373</f>
        <v>255.310822202215</v>
      </c>
      <c r="L5407" s="38" t="n">
        <f aca="false">Sens!$L$5373</f>
        <v>275.735687978392</v>
      </c>
      <c r="M5407" s="38" t="n">
        <f aca="false">Sens!$M$5373</f>
        <v>297.794543016663</v>
      </c>
      <c r="N5407" s="38" t="n">
        <f aca="false">Sens!$N$5373</f>
        <v>57.0936804689721</v>
      </c>
      <c r="O5407" s="38" t="n">
        <f aca="false">Sens!$O$5373</f>
        <v>62.9275494423768</v>
      </c>
      <c r="P5407" s="8" t="s">
        <v>645</v>
      </c>
    </row>
    <row r="5408" customFormat="false" ht="17.15" hidden="false" customHeight="false" outlineLevel="0" collapsed="false">
      <c r="A5408" s="1" t="s">
        <v>476</v>
      </c>
      <c r="B5408" s="8" t="s">
        <v>73</v>
      </c>
      <c r="C5408" s="38" t="n">
        <f aca="false">Q!$D$7</f>
        <v>107.556</v>
      </c>
      <c r="D5408" s="38" t="n">
        <f aca="false">Q!$E$7</f>
        <v>128.725</v>
      </c>
      <c r="E5408" s="38" t="n">
        <f aca="false">Q!$P$7</f>
        <v>79.819</v>
      </c>
      <c r="F5408" s="38" t="n">
        <f aca="false">Sens!$F$5406+Sens!$F$5407</f>
        <v>93.5584440633857</v>
      </c>
      <c r="G5408" s="38" t="n">
        <f aca="false">Sens!$G$5406+Sens!$G$5407</f>
        <v>173.377444063386</v>
      </c>
      <c r="H5408" s="38" t="n">
        <f aca="false">Sens!$H$5406+Sens!$H$5407</f>
        <v>241.059451517916</v>
      </c>
      <c r="I5408" s="38" t="n">
        <f aca="false">Sens!$I$5406+Sens!$I$5407</f>
        <v>312.152096351442</v>
      </c>
      <c r="J5408" s="38" t="n">
        <f aca="false">Sens!$J$5406+Sens!$J$5407</f>
        <v>379.424316597773</v>
      </c>
      <c r="K5408" s="38" t="n">
        <f aca="false">Sens!$K$5406+Sens!$K$5407</f>
        <v>439.919237244402</v>
      </c>
      <c r="L5408" s="38" t="n">
        <f aca="false">Sens!$L$5406+Sens!$L$5407</f>
        <v>501.954974491517</v>
      </c>
      <c r="M5408" s="38" t="n">
        <f aca="false">Sens!$M$5406+Sens!$M$5407</f>
        <v>565.639704466895</v>
      </c>
      <c r="N5408" s="38" t="n">
        <f aca="false">Q!$N$7</f>
        <v>60.14</v>
      </c>
      <c r="O5408" s="38" t="n">
        <f aca="false">Q!$O$7</f>
        <v>68.585</v>
      </c>
      <c r="P5408" s="5" t="s">
        <v>647</v>
      </c>
    </row>
    <row r="5409" customFormat="false" ht="15" hidden="false" customHeight="false" outlineLevel="0" collapsed="false">
      <c r="A5409" s="3" t="s">
        <v>648</v>
      </c>
      <c r="B5409" s="8" t="s">
        <v>73</v>
      </c>
      <c r="C5409" s="38" t="n">
        <f aca="false">Q!$D$8</f>
        <v>637.959</v>
      </c>
      <c r="D5409" s="38" t="n">
        <f aca="false">Q!$E$8</f>
        <v>716.924</v>
      </c>
      <c r="E5409" s="38" t="n">
        <f aca="false">Q!$P$8</f>
        <v>382.125</v>
      </c>
      <c r="F5409" s="38" t="n">
        <f aca="false">Sens!$F$5342+Sens!$F$5408</f>
        <v>450.494873271816</v>
      </c>
      <c r="G5409" s="38" t="n">
        <f aca="false">Sens!$G$5342+Sens!$G$5408</f>
        <v>832.619873271816</v>
      </c>
      <c r="H5409" s="38" t="n">
        <f aca="false">Sens!$H$5342+Sens!$H$5408</f>
        <v>970.995189139617</v>
      </c>
      <c r="I5409" s="38" t="n">
        <f aca="false">Sens!$I$5342+Sens!$I$5408</f>
        <v>1110.44766604932</v>
      </c>
      <c r="J5409" s="38" t="n">
        <f aca="false">Sens!$J$5342+Sens!$J$5408</f>
        <v>1241.16113892356</v>
      </c>
      <c r="K5409" s="38" t="n">
        <f aca="false">Sens!$K$5342+Sens!$K$5408</f>
        <v>1357.47672934633</v>
      </c>
      <c r="L5409" s="38" t="n">
        <f aca="false">Sens!$L$5342+Sens!$L$5408</f>
        <v>1479.24006423468</v>
      </c>
      <c r="M5409" s="38" t="n">
        <f aca="false">Sens!$M$5342+Sens!$M$5408</f>
        <v>1606.8537230104</v>
      </c>
      <c r="N5409" s="38" t="n">
        <f aca="false">Q!$N$8</f>
        <v>323.369</v>
      </c>
      <c r="O5409" s="38" t="n">
        <f aca="false">Q!$O$8</f>
        <v>393.555</v>
      </c>
    </row>
    <row r="5410" customFormat="false" ht="17.15" hidden="false" customHeight="false" outlineLevel="0" collapsed="false">
      <c r="A5410" s="24" t="s">
        <v>656</v>
      </c>
      <c r="B5410" s="25" t="s">
        <v>73</v>
      </c>
      <c r="C5410" s="39" t="n">
        <f aca="false">Sens!$C$5342-(Sens!$C$5344+Sens!$C$5345)</f>
        <v>0</v>
      </c>
      <c r="D5410" s="39" t="n">
        <f aca="false">Sens!$D$5342-(Sens!$D$5344+Sens!$D$5345)</f>
        <v>0</v>
      </c>
      <c r="E5410" s="39" t="n">
        <f aca="false">Sens!$E$5342-(Sens!$E$5344+Sens!$E$5345)</f>
        <v>0</v>
      </c>
      <c r="F5410" s="39" t="n">
        <f aca="false">Sens!$F$5342-(Sens!$F$5344+Sens!$F$5345)</f>
        <v>0</v>
      </c>
      <c r="G5410" s="39" t="n">
        <f aca="false">Sens!$G$5342-(Sens!$G$5344+Sens!$G$5345)</f>
        <v>0</v>
      </c>
      <c r="H5410" s="39" t="n">
        <f aca="false">Sens!$H$5342-(Sens!$H$5344+Sens!$H$5345)</f>
        <v>0</v>
      </c>
      <c r="I5410" s="39" t="n">
        <f aca="false">Sens!$I$5342-(Sens!$I$5344+Sens!$I$5345)</f>
        <v>0</v>
      </c>
      <c r="J5410" s="39" t="n">
        <f aca="false">Sens!$J$5342-(Sens!$J$5344+Sens!$J$5345)</f>
        <v>0</v>
      </c>
      <c r="K5410" s="39" t="n">
        <f aca="false">Sens!$K$5342-(Sens!$K$5344+Sens!$K$5345)</f>
        <v>0</v>
      </c>
      <c r="L5410" s="39" t="n">
        <f aca="false">Sens!$L$5342-(Sens!$L$5344+Sens!$L$5345)</f>
        <v>0</v>
      </c>
      <c r="M5410" s="39" t="n">
        <f aca="false">Sens!$M$5342-(Sens!$M$5344+Sens!$M$5345)</f>
        <v>0</v>
      </c>
      <c r="N5410" s="39" t="n">
        <f aca="false">Sens!$N$5342-(Sens!$N$5344+Sens!$N$5345)</f>
        <v>0</v>
      </c>
      <c r="O5410" s="39" t="n">
        <f aca="false">Sens!$O$5342-(Sens!$O$5344+Sens!$O$5345)</f>
        <v>0</v>
      </c>
    </row>
    <row r="5411" customFormat="false" ht="17.15" hidden="false" customHeight="false" outlineLevel="0" collapsed="false">
      <c r="A5411" s="24" t="s">
        <v>657</v>
      </c>
      <c r="B5411" s="25" t="s">
        <v>73</v>
      </c>
      <c r="C5411" s="39" t="n">
        <f aca="false">Sens!$C$5406+Sens!$C$5407-Sens!$C$5408</f>
        <v>0</v>
      </c>
      <c r="D5411" s="39" t="n">
        <f aca="false">Sens!$D$5406+Sens!$D$5407-Sens!$D$5408</f>
        <v>0</v>
      </c>
      <c r="E5411" s="39" t="n">
        <f aca="false">Sens!$E$5406+Sens!$E$5407-Sens!$E$5408</f>
        <v>0</v>
      </c>
      <c r="F5411" s="39" t="n">
        <f aca="false">Sens!$F$5406+Sens!$F$5407-Sens!$F$5408</f>
        <v>0</v>
      </c>
      <c r="G5411" s="39" t="n">
        <f aca="false">Sens!$G$5406+Sens!$G$5407-Sens!$G$5408</f>
        <v>0</v>
      </c>
      <c r="H5411" s="39" t="n">
        <f aca="false">Sens!$H$5406+Sens!$H$5407-Sens!$H$5408</f>
        <v>0</v>
      </c>
      <c r="I5411" s="39" t="n">
        <f aca="false">Sens!$I$5406+Sens!$I$5407-Sens!$I$5408</f>
        <v>0</v>
      </c>
      <c r="J5411" s="39" t="n">
        <f aca="false">Sens!$J$5406+Sens!$J$5407-Sens!$J$5408</f>
        <v>0</v>
      </c>
      <c r="K5411" s="39" t="n">
        <f aca="false">Sens!$K$5406+Sens!$K$5407-Sens!$K$5408</f>
        <v>0</v>
      </c>
      <c r="L5411" s="39" t="n">
        <f aca="false">Sens!$L$5406+Sens!$L$5407-Sens!$L$5408</f>
        <v>0</v>
      </c>
      <c r="M5411" s="39" t="n">
        <f aca="false">Sens!$M$5406+Sens!$M$5407-Sens!$M$5408</f>
        <v>0</v>
      </c>
      <c r="N5411" s="39" t="n">
        <f aca="false">Sens!$N$5406+Sens!$N$5407-Sens!$N$5408</f>
        <v>0</v>
      </c>
      <c r="O5411" s="39" t="n">
        <f aca="false">Sens!$O$5406+Sens!$O$5407-Sens!$O$5408</f>
        <v>0</v>
      </c>
    </row>
    <row r="5412" customFormat="false" ht="17.15" hidden="false" customHeight="false" outlineLevel="0" collapsed="false">
      <c r="A5412" s="24" t="s">
        <v>658</v>
      </c>
      <c r="B5412" s="25" t="s">
        <v>73</v>
      </c>
      <c r="C5412" s="39" t="n">
        <f aca="false">Sens!$C$5344+Sens!$C$5345+Sens!$C$5408-Sens!$C$5409</f>
        <v>0</v>
      </c>
      <c r="D5412" s="39" t="n">
        <f aca="false">Sens!$D$5344+Sens!$D$5345+Sens!$D$5408-Sens!$D$5409</f>
        <v>0</v>
      </c>
      <c r="E5412" s="39" t="n">
        <f aca="false">Sens!$E$5344+Sens!$E$5345+Sens!$E$5408-Sens!$E$5409</f>
        <v>0</v>
      </c>
      <c r="F5412" s="39" t="n">
        <f aca="false">Sens!$F$5344+Sens!$F$5345+Sens!$F$5408-Sens!$F$5409</f>
        <v>0</v>
      </c>
      <c r="G5412" s="39" t="n">
        <f aca="false">Sens!$G$5344+Sens!$G$5345+Sens!$G$5408-Sens!$G$5409</f>
        <v>0</v>
      </c>
      <c r="H5412" s="39" t="n">
        <f aca="false">Sens!$H$5344+Sens!$H$5345+Sens!$H$5408-Sens!$H$5409</f>
        <v>0</v>
      </c>
      <c r="I5412" s="39" t="n">
        <f aca="false">Sens!$I$5344+Sens!$I$5345+Sens!$I$5408-Sens!$I$5409</f>
        <v>0</v>
      </c>
      <c r="J5412" s="39" t="n">
        <f aca="false">Sens!$J$5344+Sens!$J$5345+Sens!$J$5408-Sens!$J$5409</f>
        <v>0</v>
      </c>
      <c r="K5412" s="39" t="n">
        <f aca="false">Sens!$K$5344+Sens!$K$5345+Sens!$K$5408-Sens!$K$5409</f>
        <v>0</v>
      </c>
      <c r="L5412" s="39" t="n">
        <f aca="false">Sens!$L$5344+Sens!$L$5345+Sens!$L$5408-Sens!$L$5409</f>
        <v>0</v>
      </c>
      <c r="M5412" s="39" t="n">
        <f aca="false">Sens!$M$5344+Sens!$M$5345+Sens!$M$5408-Sens!$M$5409</f>
        <v>0</v>
      </c>
      <c r="N5412" s="39" t="n">
        <f aca="false">Sens!$N$5344+Sens!$N$5345+Sens!$N$5408-Sens!$N$5409</f>
        <v>0</v>
      </c>
      <c r="O5412" s="39" t="n">
        <f aca="false">Sens!$O$5344+Sens!$O$5345+Sens!$O$5408-Sens!$O$5409</f>
        <v>0</v>
      </c>
    </row>
    <row r="5413" customFormat="false" ht="15" hidden="false" customHeight="false" outlineLevel="0" collapsed="false">
      <c r="A5413" s="5" t="s">
        <v>652</v>
      </c>
      <c r="B5413" s="0" t="s">
        <v>52</v>
      </c>
      <c r="G5413" s="12" t="n">
        <f aca="false">Sens!$G$5409/Sens!$D$5409-1</f>
        <v>0.161378156222718</v>
      </c>
      <c r="H5413" s="12" t="n">
        <f aca="false">Sens!$H$5409/Sens!$G$5409-1</f>
        <v>0.166192665236357</v>
      </c>
      <c r="I5413" s="12" t="n">
        <f aca="false">Sens!$I$5409/Sens!$H$5409-1</f>
        <v>0.143618092519351</v>
      </c>
      <c r="J5413" s="12" t="n">
        <f aca="false">Sens!$J$5409/Sens!$I$5409-1</f>
        <v>0.117712411733268</v>
      </c>
      <c r="K5413" s="12" t="n">
        <f aca="false">Sens!$K$5409/Sens!$J$5409-1</f>
        <v>0.0937151404237868</v>
      </c>
      <c r="L5413" s="12" t="n">
        <f aca="false">Sens!$L$5409/Sens!$K$5409-1</f>
        <v>0.0896982852494186</v>
      </c>
      <c r="M5413" s="12" t="n">
        <f aca="false">Sens!$M$5409/Sens!$L$5409-1</f>
        <v>0.0862697420528154</v>
      </c>
    </row>
    <row r="5414" customFormat="false" ht="17.15" hidden="false" customHeight="false" outlineLevel="0" collapsed="false">
      <c r="A5414" s="0" t="s">
        <v>653</v>
      </c>
      <c r="B5414" s="0" t="s">
        <v>52</v>
      </c>
      <c r="C5414" s="12" t="n">
        <f aca="false">Sens!$C$5408/Sens!$C$5409</f>
        <v>0.168593906504964</v>
      </c>
      <c r="D5414" s="12" t="n">
        <f aca="false">Sens!$D$5408/Sens!$D$5409</f>
        <v>0.179551807444025</v>
      </c>
      <c r="E5414" s="12" t="n">
        <f aca="false">Sens!$E$5408/Sens!$E$5409</f>
        <v>0.208881910369643</v>
      </c>
      <c r="F5414" s="12" t="n">
        <f aca="false">Sens!$F$5408/Sens!$F$5409</f>
        <v>0.207679264769203</v>
      </c>
      <c r="G5414" s="12" t="n">
        <f aca="false">Sens!$G$5408/Sens!$G$5409</f>
        <v>0.208231210458731</v>
      </c>
      <c r="H5414" s="12" t="n">
        <f aca="false">Sens!$H$5408/Sens!$H$5409</f>
        <v>0.248260191414043</v>
      </c>
      <c r="I5414" s="12" t="n">
        <f aca="false">Sens!$I$5408/Sens!$I$5409</f>
        <v>0.28110473450946</v>
      </c>
      <c r="J5414" s="12" t="n">
        <f aca="false">Sens!$J$5408/Sens!$J$5409</f>
        <v>0.30570109287086</v>
      </c>
      <c r="K5414" s="12" t="n">
        <f aca="false">Sens!$K$5408/Sens!$K$5409</f>
        <v>0.324071291782835</v>
      </c>
      <c r="L5414" s="12" t="n">
        <f aca="false">Sens!$L$5408/Sens!$L$5409</f>
        <v>0.339333003903741</v>
      </c>
      <c r="M5414" s="12" t="n">
        <f aca="false">Sens!$M$5408/Sens!$M$5409</f>
        <v>0.3520169237354</v>
      </c>
      <c r="N5414" s="12" t="n">
        <f aca="false">Sens!$N$5408/Sens!$N$5409</f>
        <v>0.185979484737251</v>
      </c>
      <c r="O5414" s="12" t="n">
        <f aca="false">Sens!$O$5408/Sens!$O$5409</f>
        <v>0.174270432341096</v>
      </c>
    </row>
    <row r="5415" customFormat="false" ht="17.15" hidden="false" customHeight="false" outlineLevel="0" collapsed="false">
      <c r="A5415" s="0" t="s">
        <v>654</v>
      </c>
      <c r="B5415" s="0" t="s">
        <v>52</v>
      </c>
      <c r="C5415" s="12" t="n">
        <f aca="false">Sens!$C$5406/Sens!$C$5408</f>
        <v>0.0215795060896058</v>
      </c>
      <c r="D5415" s="12" t="n">
        <f aca="false">Sens!$D$5406/Sens!$D$5408</f>
        <v>0.0676152269462122</v>
      </c>
      <c r="E5415" s="12" t="n">
        <f aca="false">Sens!$E$5406/Sens!$E$5408</f>
        <v>0.106620641395783</v>
      </c>
      <c r="F5415" s="12" t="n">
        <f aca="false">Sens!$F$5406/Sens!$F$5408</f>
        <v>0.159936751776064</v>
      </c>
      <c r="G5415" s="12" t="n">
        <f aca="false">Sens!$G$5406/Sens!$G$5408</f>
        <v>0.135391237003751</v>
      </c>
      <c r="H5415" s="12" t="n">
        <f aca="false">Sens!$H$5406/Sens!$H$5408</f>
        <v>0.249589428545194</v>
      </c>
      <c r="I5415" s="12" t="n">
        <f aca="false">Sens!$I$5406/Sens!$I$5408</f>
        <v>0.325173850577483</v>
      </c>
      <c r="J5415" s="12" t="n">
        <f aca="false">Sens!$J$5406/Sens!$J$5408</f>
        <v>0.376953718817392</v>
      </c>
      <c r="K5415" s="12" t="n">
        <f aca="false">Sens!$K$5406/Sens!$K$5408</f>
        <v>0.419641605578676</v>
      </c>
      <c r="L5415" s="12" t="n">
        <f aca="false">Sens!$L$5406/Sens!$L$5408</f>
        <v>0.450676451094615</v>
      </c>
      <c r="M5415" s="12" t="n">
        <f aca="false">Sens!$M$5406/Sens!$M$5408</f>
        <v>0.473526096798086</v>
      </c>
      <c r="N5415" s="12" t="n">
        <f aca="false">Sens!$N$5406/Sens!$N$5408</f>
        <v>0.0506537999838362</v>
      </c>
      <c r="O5415" s="12" t="n">
        <f aca="false">Sens!$O$5406/Sens!$O$5408</f>
        <v>0.0824881615167056</v>
      </c>
    </row>
    <row r="5418" customFormat="false" ht="19.4" hidden="false" customHeight="false" outlineLevel="0" collapsed="false">
      <c r="A5418" s="31" t="s">
        <v>1162</v>
      </c>
    </row>
    <row r="5419" customFormat="false" ht="17.15" hidden="false" customHeight="false" outlineLevel="0" collapsed="false">
      <c r="A5419" s="6" t="s">
        <v>16</v>
      </c>
      <c r="B5419" s="6" t="s">
        <v>17</v>
      </c>
      <c r="C5419" s="20" t="s">
        <v>457</v>
      </c>
      <c r="D5419" s="20" t="s">
        <v>458</v>
      </c>
      <c r="E5419" s="20" t="s">
        <v>540</v>
      </c>
      <c r="F5419" s="20" t="s">
        <v>541</v>
      </c>
      <c r="G5419" s="20" t="s">
        <v>542</v>
      </c>
      <c r="H5419" s="20" t="s">
        <v>543</v>
      </c>
      <c r="I5419" s="20" t="s">
        <v>544</v>
      </c>
      <c r="J5419" s="20" t="s">
        <v>545</v>
      </c>
      <c r="K5419" s="20" t="s">
        <v>546</v>
      </c>
      <c r="L5419" s="20" t="s">
        <v>547</v>
      </c>
      <c r="M5419" s="20" t="s">
        <v>548</v>
      </c>
      <c r="N5419" s="20" t="s">
        <v>549</v>
      </c>
      <c r="O5419" s="20" t="s">
        <v>550</v>
      </c>
      <c r="P5419" s="6" t="s">
        <v>23</v>
      </c>
      <c r="R5419" s="20" t="n">
        <v>2023</v>
      </c>
      <c r="S5419" s="20" t="n">
        <v>2024</v>
      </c>
      <c r="T5419" s="20" t="n">
        <v>2025</v>
      </c>
      <c r="U5419" s="20" t="n">
        <v>2026</v>
      </c>
      <c r="V5419" s="20" t="n">
        <v>2027</v>
      </c>
      <c r="W5419" s="20" t="n">
        <v>2028</v>
      </c>
      <c r="X5419" s="20" t="n">
        <v>2029</v>
      </c>
      <c r="Y5419" s="20" t="n">
        <v>2030</v>
      </c>
      <c r="Z5419" s="20" t="n">
        <v>2031</v>
      </c>
      <c r="AA5419" s="20" t="n">
        <v>2032</v>
      </c>
    </row>
    <row r="5420" customFormat="false" ht="17.15" hidden="false" customHeight="false" outlineLevel="0" collapsed="false">
      <c r="A5420" s="1" t="s">
        <v>669</v>
      </c>
    </row>
    <row r="5421" customFormat="false" ht="15" hidden="false" customHeight="false" outlineLevel="0" collapsed="false">
      <c r="A5421" s="0" t="s">
        <v>479</v>
      </c>
      <c r="B5421" s="0" t="s">
        <v>73</v>
      </c>
      <c r="C5421" s="38" t="n">
        <f aca="false">Sens!$C$5330</f>
        <v>247.029</v>
      </c>
      <c r="D5421" s="38" t="n">
        <f aca="false">Sens!$D$5330</f>
        <v>269.287</v>
      </c>
      <c r="E5421" s="38" t="n">
        <f aca="false">Sens!$E$5330</f>
        <v>134.686</v>
      </c>
      <c r="F5421" s="38" t="n">
        <f aca="false">Sens!$F$5330</f>
        <v>160.728085930082</v>
      </c>
      <c r="G5421" s="38" t="n">
        <f aca="false">Sens!$G$5330</f>
        <v>295.414085930082</v>
      </c>
      <c r="H5421" s="38" t="n">
        <f aca="false">Sens!$H$5330</f>
        <v>320.828163943375</v>
      </c>
      <c r="I5421" s="38" t="n">
        <f aca="false">Sens!$I$5330</f>
        <v>344.575578072228</v>
      </c>
      <c r="J5421" s="38" t="n">
        <f aca="false">Sens!$J$5330</f>
        <v>365.942555779681</v>
      </c>
      <c r="K5421" s="38" t="n">
        <f aca="false">Sens!$K$5330</f>
        <v>384.239683568665</v>
      </c>
      <c r="L5421" s="38" t="n">
        <f aca="false">Sens!$L$5330</f>
        <v>403.451667747098</v>
      </c>
      <c r="M5421" s="38" t="n">
        <f aca="false">Sens!$M$5330</f>
        <v>423.624251134453</v>
      </c>
      <c r="N5421" s="38" t="n">
        <f aca="false">Sens!$N$5330</f>
        <v>118.892</v>
      </c>
      <c r="O5421" s="38" t="n">
        <f aca="false">Sens!$O$5330</f>
        <v>150.395</v>
      </c>
    </row>
    <row r="5422" customFormat="false" ht="15" hidden="false" customHeight="false" outlineLevel="0" collapsed="false">
      <c r="A5422" s="0" t="s">
        <v>480</v>
      </c>
      <c r="B5422" s="0" t="s">
        <v>73</v>
      </c>
      <c r="C5422" s="38" t="n">
        <f aca="false">Sens!$C$5332</f>
        <v>21.215</v>
      </c>
      <c r="D5422" s="38" t="n">
        <f aca="false">Sens!$D$5332</f>
        <v>22.561</v>
      </c>
      <c r="E5422" s="38" t="n">
        <f aca="false">Sens!$E$5332</f>
        <v>11.579</v>
      </c>
      <c r="F5422" s="38" t="n">
        <f aca="false">Sens!$F$5332</f>
        <v>12.0952613121125</v>
      </c>
      <c r="G5422" s="38" t="n">
        <f aca="false">Sens!$G$5332</f>
        <v>23.6742613121125</v>
      </c>
      <c r="H5422" s="38" t="n">
        <f aca="false">Sens!$H$5332</f>
        <v>24.8803243963206</v>
      </c>
      <c r="I5422" s="38" t="n">
        <f aca="false">Sens!$I$5332</f>
        <v>25.9741308664154</v>
      </c>
      <c r="J5422" s="38" t="n">
        <f aca="false">Sens!$J$5332</f>
        <v>26.9346894124267</v>
      </c>
      <c r="K5422" s="38" t="n">
        <f aca="false">Sens!$K$5332</f>
        <v>27.7427300947995</v>
      </c>
      <c r="L5422" s="38" t="n">
        <f aca="false">Sens!$L$5332</f>
        <v>28.5750119976435</v>
      </c>
      <c r="M5422" s="38" t="n">
        <f aca="false">Sens!$M$5332</f>
        <v>29.4322623575728</v>
      </c>
      <c r="N5422" s="38" t="n">
        <f aca="false">Sens!$N$5332</f>
        <v>11.128</v>
      </c>
      <c r="O5422" s="38" t="n">
        <f aca="false">Sens!$O$5332</f>
        <v>11.433</v>
      </c>
    </row>
    <row r="5423" customFormat="false" ht="15" hidden="false" customHeight="false" outlineLevel="0" collapsed="false">
      <c r="A5423" s="0" t="s">
        <v>481</v>
      </c>
      <c r="B5423" s="0" t="s">
        <v>73</v>
      </c>
      <c r="C5423" s="38" t="n">
        <f aca="false">Sens!$C$5334</f>
        <v>156.146</v>
      </c>
      <c r="D5423" s="38" t="n">
        <f aca="false">Sens!$D$5334</f>
        <v>172.162</v>
      </c>
      <c r="E5423" s="38" t="n">
        <f aca="false">Sens!$E$5334</f>
        <v>88.358</v>
      </c>
      <c r="F5423" s="38" t="n">
        <f aca="false">Sens!$F$5334</f>
        <v>103.62028337149</v>
      </c>
      <c r="G5423" s="38" t="n">
        <f aca="false">Sens!$G$5334</f>
        <v>191.97828337149</v>
      </c>
      <c r="H5423" s="38" t="n">
        <f aca="false">Sens!$H$5334</f>
        <v>212.128608444755</v>
      </c>
      <c r="I5423" s="38" t="n">
        <f aca="false">Sens!$I$5334</f>
        <v>231.92183134134</v>
      </c>
      <c r="J5423" s="38" t="n">
        <f aca="false">Sens!$J$5334</f>
        <v>250.859136487863</v>
      </c>
      <c r="K5423" s="38" t="n">
        <f aca="false">Sens!$K$5334</f>
        <v>268.419276042014</v>
      </c>
      <c r="L5423" s="38" t="n">
        <f aca="false">Sens!$L$5334</f>
        <v>287.208625364954</v>
      </c>
      <c r="M5423" s="38" t="n">
        <f aca="false">Sens!$M$5334</f>
        <v>307.313229140501</v>
      </c>
      <c r="N5423" s="38" t="n">
        <f aca="false">Sens!$N$5334</f>
        <v>76.86</v>
      </c>
      <c r="O5423" s="38" t="n">
        <f aca="false">Sens!$O$5334</f>
        <v>95.302</v>
      </c>
    </row>
    <row r="5424" customFormat="false" ht="15" hidden="false" customHeight="false" outlineLevel="0" collapsed="false">
      <c r="A5424" s="0" t="s">
        <v>482</v>
      </c>
      <c r="B5424" s="0" t="s">
        <v>73</v>
      </c>
      <c r="C5424" s="38" t="n">
        <f aca="false">Sens!$C$5336</f>
        <v>56.214</v>
      </c>
      <c r="D5424" s="38" t="n">
        <f aca="false">Sens!$D$5336</f>
        <v>68.635</v>
      </c>
      <c r="E5424" s="38" t="n">
        <f aca="false">Sens!$E$5336</f>
        <v>37.052</v>
      </c>
      <c r="F5424" s="38" t="n">
        <f aca="false">Sens!$F$5336</f>
        <v>48.1533381827382</v>
      </c>
      <c r="G5424" s="38" t="n">
        <f aca="false">Sens!$G$5336</f>
        <v>85.2053381827382</v>
      </c>
      <c r="H5424" s="38" t="n">
        <f aca="false">Sens!$H$5336</f>
        <v>102.29336185894</v>
      </c>
      <c r="I5424" s="38" t="n">
        <f aca="false">Sens!$I$5336</f>
        <v>119.379837585241</v>
      </c>
      <c r="J5424" s="38" t="n">
        <f aca="false">Sens!$J$5336</f>
        <v>135.319079048844</v>
      </c>
      <c r="K5424" s="38" t="n">
        <f aca="false">Sens!$K$5336</f>
        <v>148.850986953729</v>
      </c>
      <c r="L5424" s="38" t="n">
        <f aca="false">Sens!$L$5336</f>
        <v>163.736085649102</v>
      </c>
      <c r="M5424" s="38" t="n">
        <f aca="false">Sens!$M$5336</f>
        <v>180.109694214012</v>
      </c>
      <c r="N5424" s="38" t="n">
        <f aca="false">Sens!$N$5336</f>
        <v>29.615</v>
      </c>
      <c r="O5424" s="38" t="n">
        <f aca="false">Sens!$O$5336</f>
        <v>39.02</v>
      </c>
    </row>
    <row r="5425" customFormat="false" ht="15" hidden="false" customHeight="false" outlineLevel="0" collapsed="false">
      <c r="A5425" s="0" t="s">
        <v>483</v>
      </c>
      <c r="B5425" s="0" t="s">
        <v>73</v>
      </c>
      <c r="C5425" s="38" t="n">
        <f aca="false">Sens!$C$5338</f>
        <v>44.374</v>
      </c>
      <c r="D5425" s="38" t="n">
        <f aca="false">Sens!$D$5338</f>
        <v>49.619</v>
      </c>
      <c r="E5425" s="38" t="n">
        <f aca="false">Sens!$E$5338</f>
        <v>27.157</v>
      </c>
      <c r="F5425" s="38" t="n">
        <f aca="false">Sens!$F$5338</f>
        <v>28.9776360923374</v>
      </c>
      <c r="G5425" s="38" t="n">
        <f aca="false">Sens!$G$5338</f>
        <v>56.1346360923374</v>
      </c>
      <c r="H5425" s="38" t="n">
        <f aca="false">Sens!$H$5338</f>
        <v>62.4937078946075</v>
      </c>
      <c r="I5425" s="38" t="n">
        <f aca="false">Sens!$I$5338</f>
        <v>68.6715233062498</v>
      </c>
      <c r="J5425" s="38" t="n">
        <f aca="false">Sens!$J$5338</f>
        <v>74.4692882949818</v>
      </c>
      <c r="K5425" s="38" t="n">
        <f aca="false">Sens!$K$5338</f>
        <v>79.6821384756306</v>
      </c>
      <c r="L5425" s="38" t="n">
        <f aca="false">Sens!$L$5338</f>
        <v>85.2598881689247</v>
      </c>
      <c r="M5425" s="38" t="n">
        <f aca="false">Sens!$M$5338</f>
        <v>91.2280803407494</v>
      </c>
      <c r="N5425" s="38" t="n">
        <f aca="false">Sens!$N$5338</f>
        <v>23.923</v>
      </c>
      <c r="O5425" s="38" t="n">
        <f aca="false">Sens!$O$5338</f>
        <v>25.696</v>
      </c>
    </row>
    <row r="5426" customFormat="false" ht="15" hidden="false" customHeight="false" outlineLevel="0" collapsed="false">
      <c r="A5426" s="0" t="s">
        <v>484</v>
      </c>
      <c r="B5426" s="0" t="s">
        <v>73</v>
      </c>
      <c r="C5426" s="38" t="n">
        <f aca="false">Sens!$C$5340</f>
        <v>5.425</v>
      </c>
      <c r="D5426" s="38" t="n">
        <f aca="false">Sens!$D$5340</f>
        <v>5.935</v>
      </c>
      <c r="E5426" s="38" t="n">
        <f aca="false">Sens!$E$5340</f>
        <v>3.474</v>
      </c>
      <c r="F5426" s="38" t="n">
        <f aca="false">Sens!$F$5340</f>
        <v>3.36182431966931</v>
      </c>
      <c r="G5426" s="38" t="n">
        <f aca="false">Sens!$G$5340</f>
        <v>6.83582431966931</v>
      </c>
      <c r="H5426" s="38" t="n">
        <f aca="false">Sens!$H$5340</f>
        <v>7.31157108370141</v>
      </c>
      <c r="I5426" s="38" t="n">
        <f aca="false">Sens!$I$5340</f>
        <v>7.77266852639815</v>
      </c>
      <c r="J5426" s="38" t="n">
        <f aca="false">Sens!$J$5340</f>
        <v>8.2120733019884</v>
      </c>
      <c r="K5426" s="38" t="n">
        <f aca="false">Sens!$K$5340</f>
        <v>8.62267696708783</v>
      </c>
      <c r="L5426" s="38" t="n">
        <f aca="false">Sens!$L$5340</f>
        <v>9.05381081544222</v>
      </c>
      <c r="M5426" s="38" t="n">
        <f aca="false">Sens!$M$5340</f>
        <v>9.50650135621433</v>
      </c>
      <c r="N5426" s="38" t="n">
        <f aca="false">Sens!$N$5340</f>
        <v>2.811</v>
      </c>
      <c r="O5426" s="38" t="n">
        <f aca="false">Sens!$O$5340</f>
        <v>3.124</v>
      </c>
    </row>
    <row r="5427" customFormat="false" ht="17.15" hidden="false" customHeight="false" outlineLevel="0" collapsed="false">
      <c r="A5427" s="0" t="s">
        <v>670</v>
      </c>
      <c r="B5427" s="0" t="s">
        <v>73</v>
      </c>
      <c r="C5427" s="38" t="n">
        <f aca="false">Sens!$C$5408</f>
        <v>107.556</v>
      </c>
      <c r="D5427" s="38" t="n">
        <f aca="false">Sens!$D$5408</f>
        <v>128.725</v>
      </c>
      <c r="E5427" s="38" t="n">
        <f aca="false">Sens!$E$5408</f>
        <v>79.819</v>
      </c>
      <c r="F5427" s="38" t="n">
        <f aca="false">Sens!$F$5408</f>
        <v>93.5584440633857</v>
      </c>
      <c r="G5427" s="38" t="n">
        <f aca="false">Sens!$G$5408</f>
        <v>173.377444063386</v>
      </c>
      <c r="H5427" s="38" t="n">
        <f aca="false">Sens!$H$5408</f>
        <v>241.059451517916</v>
      </c>
      <c r="I5427" s="38" t="n">
        <f aca="false">Sens!$I$5408</f>
        <v>312.152096351442</v>
      </c>
      <c r="J5427" s="38" t="n">
        <f aca="false">Sens!$J$5408</f>
        <v>379.424316597773</v>
      </c>
      <c r="K5427" s="38" t="n">
        <f aca="false">Sens!$K$5408</f>
        <v>439.919237244402</v>
      </c>
      <c r="L5427" s="38" t="n">
        <f aca="false">Sens!$L$5408</f>
        <v>501.954974491517</v>
      </c>
      <c r="M5427" s="38" t="n">
        <f aca="false">Sens!$M$5408</f>
        <v>565.639704466895</v>
      </c>
      <c r="N5427" s="38" t="n">
        <f aca="false">Sens!$N$5408</f>
        <v>60.14</v>
      </c>
      <c r="O5427" s="38" t="n">
        <f aca="false">Sens!$O$5408</f>
        <v>68.585</v>
      </c>
    </row>
    <row r="5428" customFormat="false" ht="15" hidden="false" customHeight="false" outlineLevel="0" collapsed="false">
      <c r="A5428" s="1" t="s">
        <v>472</v>
      </c>
      <c r="B5428" s="8" t="s">
        <v>73</v>
      </c>
      <c r="C5428" s="38" t="n">
        <f aca="false">Sens!$C$5344</f>
        <v>387.497</v>
      </c>
      <c r="D5428" s="38" t="n">
        <f aca="false">Sens!$D$5344</f>
        <v>426.305</v>
      </c>
      <c r="E5428" s="38" t="n">
        <f aca="false">Sens!$E$5344</f>
        <v>220.32</v>
      </c>
      <c r="F5428" s="38" t="n">
        <f aca="false">Sens!$F$5344</f>
        <v>256.304015003807</v>
      </c>
      <c r="G5428" s="38" t="n">
        <f aca="false">Sens!$G$5344</f>
        <v>476.624015003807</v>
      </c>
      <c r="H5428" s="38" t="n">
        <f aca="false">Sens!$H$5344</f>
        <v>527.734391091543</v>
      </c>
      <c r="I5428" s="38" t="n">
        <f aca="false">Sens!$I$5344</f>
        <v>577.157693029577</v>
      </c>
      <c r="J5428" s="38" t="n">
        <f aca="false">Sens!$J$5344</f>
        <v>623.024923663827</v>
      </c>
      <c r="K5428" s="38" t="n">
        <f aca="false">Sens!$K$5344</f>
        <v>663.382568393781</v>
      </c>
      <c r="L5428" s="38" t="n">
        <f aca="false">Sens!$L$5344</f>
        <v>706.564873010432</v>
      </c>
      <c r="M5428" s="38" t="n">
        <f aca="false">Sens!$M$5344</f>
        <v>752.784687406019</v>
      </c>
      <c r="N5428" s="38" t="n">
        <f aca="false">Sens!$N$5344</f>
        <v>192.955</v>
      </c>
      <c r="O5428" s="38" t="n">
        <f aca="false">Sens!$O$5344</f>
        <v>233.35</v>
      </c>
    </row>
    <row r="5429" customFormat="false" ht="15" hidden="false" customHeight="false" outlineLevel="0" collapsed="false">
      <c r="A5429" s="1" t="s">
        <v>475</v>
      </c>
      <c r="B5429" s="8" t="s">
        <v>73</v>
      </c>
      <c r="C5429" s="38" t="n">
        <f aca="false">Sens!$C$5345</f>
        <v>142.906</v>
      </c>
      <c r="D5429" s="38" t="n">
        <f aca="false">Sens!$D$5345</f>
        <v>161.894</v>
      </c>
      <c r="E5429" s="38" t="n">
        <f aca="false">Sens!$E$5345</f>
        <v>81.986</v>
      </c>
      <c r="F5429" s="38" t="n">
        <f aca="false">Sens!$F$5345</f>
        <v>100.632414204623</v>
      </c>
      <c r="G5429" s="38" t="n">
        <f aca="false">Sens!$G$5345</f>
        <v>182.618414204623</v>
      </c>
      <c r="H5429" s="38" t="n">
        <f aca="false">Sens!$H$5345</f>
        <v>202.201346530158</v>
      </c>
      <c r="I5429" s="38" t="n">
        <f aca="false">Sens!$I$5345</f>
        <v>221.137876668296</v>
      </c>
      <c r="J5429" s="38" t="n">
        <f aca="false">Sens!$J$5345</f>
        <v>238.711898661958</v>
      </c>
      <c r="K5429" s="38" t="n">
        <f aca="false">Sens!$K$5345</f>
        <v>254.174923708144</v>
      </c>
      <c r="L5429" s="38" t="n">
        <f aca="false">Sens!$L$5345</f>
        <v>270.720216732733</v>
      </c>
      <c r="M5429" s="38" t="n">
        <f aca="false">Sens!$M$5345</f>
        <v>288.429331137484</v>
      </c>
      <c r="N5429" s="38" t="n">
        <f aca="false">Sens!$N$5345</f>
        <v>70.274</v>
      </c>
      <c r="O5429" s="38" t="n">
        <f aca="false">Sens!$O$5345</f>
        <v>91.62</v>
      </c>
    </row>
    <row r="5430" customFormat="false" ht="15" hidden="false" customHeight="false" outlineLevel="0" collapsed="false">
      <c r="A5430" s="1" t="s">
        <v>476</v>
      </c>
      <c r="B5430" s="8" t="s">
        <v>73</v>
      </c>
      <c r="C5430" s="38" t="n">
        <f aca="false">Sens!$C$5408</f>
        <v>107.556</v>
      </c>
      <c r="D5430" s="38" t="n">
        <f aca="false">Sens!$D$5408</f>
        <v>128.725</v>
      </c>
      <c r="E5430" s="38" t="n">
        <f aca="false">Sens!$E$5408</f>
        <v>79.819</v>
      </c>
      <c r="F5430" s="38" t="n">
        <f aca="false">Sens!$F$5408</f>
        <v>93.5584440633857</v>
      </c>
      <c r="G5430" s="38" t="n">
        <f aca="false">Sens!$G$5408</f>
        <v>173.377444063386</v>
      </c>
      <c r="H5430" s="38" t="n">
        <f aca="false">Sens!$H$5408</f>
        <v>241.059451517916</v>
      </c>
      <c r="I5430" s="38" t="n">
        <f aca="false">Sens!$I$5408</f>
        <v>312.152096351442</v>
      </c>
      <c r="J5430" s="38" t="n">
        <f aca="false">Sens!$J$5408</f>
        <v>379.424316597773</v>
      </c>
      <c r="K5430" s="38" t="n">
        <f aca="false">Sens!$K$5408</f>
        <v>439.919237244402</v>
      </c>
      <c r="L5430" s="38" t="n">
        <f aca="false">Sens!$L$5408</f>
        <v>501.954974491517</v>
      </c>
      <c r="M5430" s="38" t="n">
        <f aca="false">Sens!$M$5408</f>
        <v>565.639704466895</v>
      </c>
      <c r="N5430" s="38" t="n">
        <f aca="false">Sens!$N$5408</f>
        <v>60.14</v>
      </c>
      <c r="O5430" s="38" t="n">
        <f aca="false">Sens!$O$5408</f>
        <v>68.585</v>
      </c>
    </row>
    <row r="5431" customFormat="false" ht="17.15" hidden="false" customHeight="false" outlineLevel="0" collapsed="false">
      <c r="A5431" s="0" t="s">
        <v>644</v>
      </c>
      <c r="B5431" s="0" t="s">
        <v>73</v>
      </c>
      <c r="C5431" s="38" t="n">
        <f aca="false">Sens!$C$5406</f>
        <v>2.32100535697364</v>
      </c>
      <c r="D5431" s="38" t="n">
        <f aca="false">Sens!$D$5406</f>
        <v>8.70377008865116</v>
      </c>
      <c r="E5431" s="38" t="n">
        <f aca="false">Sens!$E$5406</f>
        <v>8.51035297557002</v>
      </c>
      <c r="F5431" s="38" t="n">
        <f aca="false">Sens!$F$5406</f>
        <v>14.9634336447205</v>
      </c>
      <c r="G5431" s="38" t="n">
        <f aca="false">Sens!$G$5406</f>
        <v>23.4737866202905</v>
      </c>
      <c r="H5431" s="38" t="n">
        <f aca="false">Sens!$H$5406</f>
        <v>60.1658907497746</v>
      </c>
      <c r="I5431" s="38" t="n">
        <f aca="false">Sens!$I$5406</f>
        <v>101.503699136432</v>
      </c>
      <c r="J5431" s="38" t="n">
        <f aca="false">Sens!$J$5406</f>
        <v>143.025407151278</v>
      </c>
      <c r="K5431" s="38" t="n">
        <f aca="false">Sens!$K$5406</f>
        <v>184.608415042187</v>
      </c>
      <c r="L5431" s="38" t="n">
        <f aca="false">Sens!$L$5406</f>
        <v>226.219286513125</v>
      </c>
      <c r="M5431" s="38" t="n">
        <f aca="false">Sens!$M$5406</f>
        <v>267.845161450232</v>
      </c>
      <c r="N5431" s="38" t="n">
        <f aca="false">Sens!$N$5406</f>
        <v>3.04631953102791</v>
      </c>
      <c r="O5431" s="38" t="n">
        <f aca="false">Sens!$O$5406</f>
        <v>5.65745055762326</v>
      </c>
    </row>
    <row r="5432" customFormat="false" ht="17.15" hidden="false" customHeight="false" outlineLevel="0" collapsed="false">
      <c r="A5432" s="0" t="s">
        <v>646</v>
      </c>
      <c r="B5432" s="0" t="s">
        <v>73</v>
      </c>
      <c r="C5432" s="38" t="n">
        <f aca="false">Sens!$C$5407</f>
        <v>105.234994643026</v>
      </c>
      <c r="D5432" s="38" t="n">
        <f aca="false">Sens!$D$5407</f>
        <v>120.021229911349</v>
      </c>
      <c r="E5432" s="38" t="n">
        <f aca="false">Sens!$E$5407</f>
        <v>71.30864702443</v>
      </c>
      <c r="F5432" s="38" t="n">
        <f aca="false">Sens!$F$5407</f>
        <v>78.5950104186653</v>
      </c>
      <c r="G5432" s="38" t="n">
        <f aca="false">Sens!$G$5407</f>
        <v>149.903657443095</v>
      </c>
      <c r="H5432" s="38" t="n">
        <f aca="false">Sens!$H$5407</f>
        <v>180.893560768142</v>
      </c>
      <c r="I5432" s="38" t="n">
        <f aca="false">Sens!$I$5407</f>
        <v>210.64839721501</v>
      </c>
      <c r="J5432" s="38" t="n">
        <f aca="false">Sens!$J$5407</f>
        <v>236.398909446495</v>
      </c>
      <c r="K5432" s="38" t="n">
        <f aca="false">Sens!$K$5407</f>
        <v>255.310822202215</v>
      </c>
      <c r="L5432" s="38" t="n">
        <f aca="false">Sens!$L$5407</f>
        <v>275.735687978392</v>
      </c>
      <c r="M5432" s="38" t="n">
        <f aca="false">Sens!$M$5407</f>
        <v>297.794543016663</v>
      </c>
      <c r="N5432" s="38" t="n">
        <f aca="false">Sens!$N$5407</f>
        <v>57.0936804689721</v>
      </c>
      <c r="O5432" s="38" t="n">
        <f aca="false">Sens!$O$5407</f>
        <v>62.9275494423768</v>
      </c>
    </row>
    <row r="5433" customFormat="false" ht="15" hidden="false" customHeight="false" outlineLevel="0" collapsed="false">
      <c r="A5433" s="3" t="s">
        <v>477</v>
      </c>
      <c r="B5433" s="8" t="s">
        <v>73</v>
      </c>
      <c r="C5433" s="38" t="n">
        <f aca="false">Sens!$C$5409</f>
        <v>637.959</v>
      </c>
      <c r="D5433" s="38" t="n">
        <f aca="false">Sens!$D$5409</f>
        <v>716.924</v>
      </c>
      <c r="E5433" s="38" t="n">
        <f aca="false">Sens!$E$5409</f>
        <v>382.125</v>
      </c>
      <c r="F5433" s="38" t="n">
        <f aca="false">Sens!$F$5409</f>
        <v>450.494873271816</v>
      </c>
      <c r="G5433" s="38" t="n">
        <f aca="false">Sens!$G$5409</f>
        <v>832.619873271816</v>
      </c>
      <c r="H5433" s="38" t="n">
        <f aca="false">Sens!$H$5409</f>
        <v>970.995189139617</v>
      </c>
      <c r="I5433" s="38" t="n">
        <f aca="false">Sens!$I$5409</f>
        <v>1110.44766604932</v>
      </c>
      <c r="J5433" s="38" t="n">
        <f aca="false">Sens!$J$5409</f>
        <v>1241.16113892356</v>
      </c>
      <c r="K5433" s="38" t="n">
        <f aca="false">Sens!$K$5409</f>
        <v>1357.47672934633</v>
      </c>
      <c r="L5433" s="38" t="n">
        <f aca="false">Sens!$L$5409</f>
        <v>1479.24006423468</v>
      </c>
      <c r="M5433" s="38" t="n">
        <f aca="false">Sens!$M$5409</f>
        <v>1606.8537230104</v>
      </c>
      <c r="N5433" s="38" t="n">
        <f aca="false">Sens!$N$5409</f>
        <v>323.369</v>
      </c>
      <c r="O5433" s="38" t="n">
        <f aca="false">Sens!$O$5409</f>
        <v>393.555</v>
      </c>
    </row>
    <row r="5434" customFormat="false" ht="17.15" hidden="false" customHeight="false" outlineLevel="0" collapsed="false">
      <c r="A5434" s="24" t="s">
        <v>656</v>
      </c>
      <c r="B5434" s="25" t="s">
        <v>73</v>
      </c>
      <c r="C5434" s="39" t="n">
        <f aca="false">Sens!$C$5421+Sens!$C$5422+Sens!$C$5423+Sens!$C$5424+Sens!$C$5425+Sens!$C$5426-(Sens!$C$5428+Sens!$C$5429)</f>
        <v>0</v>
      </c>
      <c r="D5434" s="39" t="n">
        <f aca="false">Sens!$D$5421+Sens!$D$5422+Sens!$D$5423+Sens!$D$5424+Sens!$D$5425+Sens!$D$5426-(Sens!$D$5428+Sens!$D$5429)</f>
        <v>0</v>
      </c>
      <c r="E5434" s="39" t="n">
        <f aca="false">Sens!$E$5421+Sens!$E$5422+Sens!$E$5423+Sens!$E$5424+Sens!$E$5425+Sens!$E$5426-(Sens!$E$5428+Sens!$E$5429)</f>
        <v>0</v>
      </c>
      <c r="F5434" s="39" t="n">
        <f aca="false">Sens!$F$5421+Sens!$F$5422+Sens!$F$5423+Sens!$F$5424+Sens!$F$5425+Sens!$F$5426-(Sens!$F$5428+Sens!$F$5429)</f>
        <v>0</v>
      </c>
      <c r="G5434" s="39" t="n">
        <f aca="false">Sens!$G$5421+Sens!$G$5422+Sens!$G$5423+Sens!$G$5424+Sens!$G$5425+Sens!$G$5426-(Sens!$G$5428+Sens!$G$5429)</f>
        <v>0</v>
      </c>
      <c r="H5434" s="39" t="n">
        <f aca="false">Sens!$H$5421+Sens!$H$5422+Sens!$H$5423+Sens!$H$5424+Sens!$H$5425+Sens!$H$5426-(Sens!$H$5428+Sens!$H$5429)</f>
        <v>0</v>
      </c>
      <c r="I5434" s="39" t="n">
        <f aca="false">Sens!$I$5421+Sens!$I$5422+Sens!$I$5423+Sens!$I$5424+Sens!$I$5425+Sens!$I$5426-(Sens!$I$5428+Sens!$I$5429)</f>
        <v>0</v>
      </c>
      <c r="J5434" s="39" t="n">
        <f aca="false">Sens!$J$5421+Sens!$J$5422+Sens!$J$5423+Sens!$J$5424+Sens!$J$5425+Sens!$J$5426-(Sens!$J$5428+Sens!$J$5429)</f>
        <v>0</v>
      </c>
      <c r="K5434" s="39" t="n">
        <f aca="false">Sens!$K$5421+Sens!$K$5422+Sens!$K$5423+Sens!$K$5424+Sens!$K$5425+Sens!$K$5426-(Sens!$K$5428+Sens!$K$5429)</f>
        <v>0</v>
      </c>
      <c r="L5434" s="39" t="n">
        <f aca="false">Sens!$L$5421+Sens!$L$5422+Sens!$L$5423+Sens!$L$5424+Sens!$L$5425+Sens!$L$5426-(Sens!$L$5428+Sens!$L$5429)</f>
        <v>0</v>
      </c>
      <c r="M5434" s="39" t="n">
        <f aca="false">Sens!$M$5421+Sens!$M$5422+Sens!$M$5423+Sens!$M$5424+Sens!$M$5425+Sens!$M$5426-(Sens!$M$5428+Sens!$M$5429)</f>
        <v>0</v>
      </c>
      <c r="N5434" s="39" t="n">
        <f aca="false">Sens!$N$5421+Sens!$N$5422+Sens!$N$5423+Sens!$N$5424+Sens!$N$5425+Sens!$N$5426-(Sens!$N$5428+Sens!$N$5429)</f>
        <v>0</v>
      </c>
      <c r="O5434" s="39" t="n">
        <f aca="false">Sens!$O$5421+Sens!$O$5422+Sens!$O$5423+Sens!$O$5424+Sens!$O$5425+Sens!$O$5426-(Sens!$O$5428+Sens!$O$5429)</f>
        <v>0</v>
      </c>
    </row>
    <row r="5435" customFormat="false" ht="17.15" hidden="false" customHeight="false" outlineLevel="0" collapsed="false">
      <c r="A5435" s="24" t="s">
        <v>657</v>
      </c>
      <c r="B5435" s="25" t="s">
        <v>73</v>
      </c>
      <c r="C5435" s="39" t="n">
        <f aca="false">Sens!$C$5431+Sens!$C$5432-Sens!$C$5430</f>
        <v>0</v>
      </c>
      <c r="D5435" s="39" t="n">
        <f aca="false">Sens!$D$5431+Sens!$D$5432-Sens!$D$5430</f>
        <v>0</v>
      </c>
      <c r="E5435" s="39" t="n">
        <f aca="false">Sens!$E$5431+Sens!$E$5432-Sens!$E$5430</f>
        <v>0</v>
      </c>
      <c r="F5435" s="39" t="n">
        <f aca="false">Sens!$F$5431+Sens!$F$5432-Sens!$F$5430</f>
        <v>0</v>
      </c>
      <c r="G5435" s="39" t="n">
        <f aca="false">Sens!$G$5431+Sens!$G$5432-Sens!$G$5430</f>
        <v>0</v>
      </c>
      <c r="H5435" s="39" t="n">
        <f aca="false">Sens!$H$5431+Sens!$H$5432-Sens!$H$5430</f>
        <v>0</v>
      </c>
      <c r="I5435" s="39" t="n">
        <f aca="false">Sens!$I$5431+Sens!$I$5432-Sens!$I$5430</f>
        <v>0</v>
      </c>
      <c r="J5435" s="39" t="n">
        <f aca="false">Sens!$J$5431+Sens!$J$5432-Sens!$J$5430</f>
        <v>0</v>
      </c>
      <c r="K5435" s="39" t="n">
        <f aca="false">Sens!$K$5431+Sens!$K$5432-Sens!$K$5430</f>
        <v>0</v>
      </c>
      <c r="L5435" s="39" t="n">
        <f aca="false">Sens!$L$5431+Sens!$L$5432-Sens!$L$5430</f>
        <v>0</v>
      </c>
      <c r="M5435" s="39" t="n">
        <f aca="false">Sens!$M$5431+Sens!$M$5432-Sens!$M$5430</f>
        <v>0</v>
      </c>
      <c r="N5435" s="39" t="n">
        <f aca="false">Sens!$N$5431+Sens!$N$5432-Sens!$N$5430</f>
        <v>0</v>
      </c>
      <c r="O5435" s="39" t="n">
        <f aca="false">Sens!$O$5431+Sens!$O$5432-Sens!$O$5430</f>
        <v>0</v>
      </c>
    </row>
    <row r="5436" customFormat="false" ht="17.15" hidden="false" customHeight="false" outlineLevel="0" collapsed="false">
      <c r="A5436" s="24" t="s">
        <v>711</v>
      </c>
      <c r="B5436" s="25" t="s">
        <v>73</v>
      </c>
      <c r="C5436" s="39" t="n">
        <f aca="false">Sens!$C$5421+Sens!$C$5422+Sens!$C$5423+Sens!$C$5424+Sens!$C$5425+Sens!$C$5426+Sens!$C$5427-Sens!$C$5433</f>
        <v>0</v>
      </c>
      <c r="D5436" s="39" t="n">
        <f aca="false">Sens!$D$5421+Sens!$D$5422+Sens!$D$5423+Sens!$D$5424+Sens!$D$5425+Sens!$D$5426+Sens!$D$5427-Sens!$D$5433</f>
        <v>0</v>
      </c>
      <c r="E5436" s="39" t="n">
        <f aca="false">Sens!$E$5421+Sens!$E$5422+Sens!$E$5423+Sens!$E$5424+Sens!$E$5425+Sens!$E$5426+Sens!$E$5427-Sens!$E$5433</f>
        <v>0</v>
      </c>
      <c r="F5436" s="39" t="n">
        <f aca="false">Sens!$F$5421+Sens!$F$5422+Sens!$F$5423+Sens!$F$5424+Sens!$F$5425+Sens!$F$5426+Sens!$F$5427-Sens!$F$5433</f>
        <v>0</v>
      </c>
      <c r="G5436" s="39" t="n">
        <f aca="false">Sens!$G$5421+Sens!$G$5422+Sens!$G$5423+Sens!$G$5424+Sens!$G$5425+Sens!$G$5426+Sens!$G$5427-Sens!$G$5433</f>
        <v>0</v>
      </c>
      <c r="H5436" s="39" t="n">
        <f aca="false">Sens!$H$5421+Sens!$H$5422+Sens!$H$5423+Sens!$H$5424+Sens!$H$5425+Sens!$H$5426+Sens!$H$5427-Sens!$H$5433</f>
        <v>0</v>
      </c>
      <c r="I5436" s="39" t="n">
        <f aca="false">Sens!$I$5421+Sens!$I$5422+Sens!$I$5423+Sens!$I$5424+Sens!$I$5425+Sens!$I$5426+Sens!$I$5427-Sens!$I$5433</f>
        <v>0</v>
      </c>
      <c r="J5436" s="39" t="n">
        <f aca="false">Sens!$J$5421+Sens!$J$5422+Sens!$J$5423+Sens!$J$5424+Sens!$J$5425+Sens!$J$5426+Sens!$J$5427-Sens!$J$5433</f>
        <v>0</v>
      </c>
      <c r="K5436" s="39" t="n">
        <f aca="false">Sens!$K$5421+Sens!$K$5422+Sens!$K$5423+Sens!$K$5424+Sens!$K$5425+Sens!$K$5426+Sens!$K$5427-Sens!$K$5433</f>
        <v>0</v>
      </c>
      <c r="L5436" s="39" t="n">
        <f aca="false">Sens!$L$5421+Sens!$L$5422+Sens!$L$5423+Sens!$L$5424+Sens!$L$5425+Sens!$L$5426+Sens!$L$5427-Sens!$L$5433</f>
        <v>0</v>
      </c>
      <c r="M5436" s="39" t="n">
        <f aca="false">Sens!$M$5421+Sens!$M$5422+Sens!$M$5423+Sens!$M$5424+Sens!$M$5425+Sens!$M$5426+Sens!$M$5427-Sens!$M$5433</f>
        <v>0</v>
      </c>
      <c r="N5436" s="39" t="n">
        <f aca="false">Sens!$N$5421+Sens!$N$5422+Sens!$N$5423+Sens!$N$5424+Sens!$N$5425+Sens!$N$5426+Sens!$N$5427-Sens!$N$5433</f>
        <v>0</v>
      </c>
      <c r="O5436" s="39" t="n">
        <f aca="false">Sens!$O$5421+Sens!$O$5422+Sens!$O$5423+Sens!$O$5424+Sens!$O$5425+Sens!$O$5426+Sens!$O$5427-Sens!$O$5433</f>
        <v>0</v>
      </c>
    </row>
    <row r="5437" customFormat="false" ht="17.15" hidden="false" customHeight="false" outlineLevel="0" collapsed="false">
      <c r="A5437" s="24" t="s">
        <v>658</v>
      </c>
      <c r="B5437" s="25" t="s">
        <v>73</v>
      </c>
      <c r="C5437" s="39" t="n">
        <f aca="false">Sens!$C$5428+Sens!$C$5429+Sens!$C$5430-Sens!$C$5433</f>
        <v>0</v>
      </c>
      <c r="D5437" s="39" t="n">
        <f aca="false">Sens!$D$5428+Sens!$D$5429+Sens!$D$5430-Sens!$D$5433</f>
        <v>0</v>
      </c>
      <c r="E5437" s="39" t="n">
        <f aca="false">Sens!$E$5428+Sens!$E$5429+Sens!$E$5430-Sens!$E$5433</f>
        <v>0</v>
      </c>
      <c r="F5437" s="39" t="n">
        <f aca="false">Sens!$F$5428+Sens!$F$5429+Sens!$F$5430-Sens!$F$5433</f>
        <v>0</v>
      </c>
      <c r="G5437" s="39" t="n">
        <f aca="false">Sens!$G$5428+Sens!$G$5429+Sens!$G$5430-Sens!$G$5433</f>
        <v>0</v>
      </c>
      <c r="H5437" s="39" t="n">
        <f aca="false">Sens!$H$5428+Sens!$H$5429+Sens!$H$5430-Sens!$H$5433</f>
        <v>0</v>
      </c>
      <c r="I5437" s="39" t="n">
        <f aca="false">Sens!$I$5428+Sens!$I$5429+Sens!$I$5430-Sens!$I$5433</f>
        <v>0</v>
      </c>
      <c r="J5437" s="39" t="n">
        <f aca="false">Sens!$J$5428+Sens!$J$5429+Sens!$J$5430-Sens!$J$5433</f>
        <v>0</v>
      </c>
      <c r="K5437" s="39" t="n">
        <f aca="false">Sens!$K$5428+Sens!$K$5429+Sens!$K$5430-Sens!$K$5433</f>
        <v>0</v>
      </c>
      <c r="L5437" s="39" t="n">
        <f aca="false">Sens!$L$5428+Sens!$L$5429+Sens!$L$5430-Sens!$L$5433</f>
        <v>0</v>
      </c>
      <c r="M5437" s="39" t="n">
        <f aca="false">Sens!$M$5428+Sens!$M$5429+Sens!$M$5430-Sens!$M$5433</f>
        <v>0</v>
      </c>
      <c r="N5437" s="39" t="n">
        <f aca="false">Sens!$N$5428+Sens!$N$5429+Sens!$N$5430-Sens!$N$5433</f>
        <v>0</v>
      </c>
      <c r="O5437" s="39" t="n">
        <f aca="false">Sens!$O$5428+Sens!$O$5429+Sens!$O$5430-Sens!$O$5433</f>
        <v>0</v>
      </c>
    </row>
    <row r="5438" customFormat="false" ht="17.15" hidden="false" customHeight="false" outlineLevel="0" collapsed="false">
      <c r="A5438" s="1" t="s">
        <v>672</v>
      </c>
    </row>
    <row r="5439" customFormat="false" ht="17.15" hidden="false" customHeight="false" outlineLevel="0" collapsed="false">
      <c r="A5439" s="0" t="s">
        <v>673</v>
      </c>
      <c r="B5439" s="0" t="s">
        <v>73</v>
      </c>
      <c r="C5439" s="38" t="n">
        <f aca="false">Sens!$C$5346*m_ad</f>
        <v>20.5341564414228</v>
      </c>
      <c r="D5439" s="38" t="n">
        <f aca="false">Sens!$D$5346*m_ad</f>
        <v>24.8720617299587</v>
      </c>
      <c r="E5439" s="38" t="n">
        <f aca="false">Sens!$E$5346*m_ad</f>
        <v>13.5017112462207</v>
      </c>
      <c r="F5439" s="38" t="n">
        <f aca="false">Sens!$F$5346*m_ad</f>
        <v>17.2886442824599</v>
      </c>
      <c r="G5439" s="38" t="n">
        <f aca="false">Sens!$G$5346*m_ad</f>
        <v>30.8011958765886</v>
      </c>
      <c r="H5439" s="38" t="n">
        <f aca="false">Sens!$H$5346*m_ad</f>
        <v>36.978409366026</v>
      </c>
      <c r="I5439" s="38" t="n">
        <f aca="false">Sens!$I$5346*m_ad</f>
        <v>43.155063281273</v>
      </c>
      <c r="J5439" s="38" t="n">
        <f aca="false">Sens!$J$5346*m_ad</f>
        <v>48.9169991988532</v>
      </c>
      <c r="K5439" s="38" t="n">
        <f aca="false">Sens!$K$5346*m_ad</f>
        <v>53.8086991187386</v>
      </c>
      <c r="L5439" s="38" t="n">
        <f aca="false">Sens!$L$5346*m_ad</f>
        <v>59.1895690306124</v>
      </c>
      <c r="M5439" s="38" t="n">
        <f aca="false">Sens!$M$5346*m_ad</f>
        <v>65.1085259336737</v>
      </c>
      <c r="N5439" s="38" t="n">
        <f aca="false">Sens!$N$5346*m_ad</f>
        <v>10.8543555706248</v>
      </c>
      <c r="O5439" s="38" t="n">
        <f aca="false">Sens!$O$5346*m_ad</f>
        <v>14.0094731821399</v>
      </c>
    </row>
    <row r="5440" customFormat="false" ht="17.15" hidden="false" customHeight="false" outlineLevel="0" collapsed="false">
      <c r="A5440" s="0" t="s">
        <v>674</v>
      </c>
      <c r="B5440" s="0" t="s">
        <v>73</v>
      </c>
      <c r="C5440" s="38" t="n">
        <f aca="false">Sens!$C$5344-Sens!$C$5346</f>
        <v>346.428687117154</v>
      </c>
      <c r="D5440" s="38" t="n">
        <f aca="false">Sens!$D$5344-Sens!$D$5346</f>
        <v>376.560876540083</v>
      </c>
      <c r="E5440" s="38" t="n">
        <f aca="false">Sens!$E$5344-Sens!$E$5346</f>
        <v>193.316577507559</v>
      </c>
      <c r="F5440" s="38" t="n">
        <f aca="false">Sens!$F$5344-Sens!$F$5346</f>
        <v>221.726726438887</v>
      </c>
      <c r="G5440" s="38" t="n">
        <f aca="false">Sens!$G$5344-Sens!$G$5346</f>
        <v>415.02162325063</v>
      </c>
      <c r="H5440" s="38" t="n">
        <f aca="false">Sens!$H$5344-Sens!$H$5346</f>
        <v>453.777572359491</v>
      </c>
      <c r="I5440" s="38" t="n">
        <f aca="false">Sens!$I$5344-Sens!$I$5346</f>
        <v>490.847566467031</v>
      </c>
      <c r="J5440" s="38" t="n">
        <f aca="false">Sens!$J$5344-Sens!$J$5346</f>
        <v>525.190925266121</v>
      </c>
      <c r="K5440" s="38" t="n">
        <f aca="false">Sens!$K$5344-Sens!$K$5346</f>
        <v>555.765170156304</v>
      </c>
      <c r="L5440" s="38" t="n">
        <f aca="false">Sens!$L$5344-Sens!$L$5346</f>
        <v>588.185734949207</v>
      </c>
      <c r="M5440" s="38" t="n">
        <f aca="false">Sens!$M$5344-Sens!$M$5346</f>
        <v>622.567635538672</v>
      </c>
      <c r="N5440" s="38" t="n">
        <f aca="false">Sens!$N$5344-Sens!$N$5346</f>
        <v>171.24628885875</v>
      </c>
      <c r="O5440" s="38" t="n">
        <f aca="false">Sens!$O$5344-Sens!$O$5346</f>
        <v>205.33105363572</v>
      </c>
    </row>
    <row r="5441" customFormat="false" ht="17.15" hidden="false" customHeight="false" outlineLevel="0" collapsed="false">
      <c r="A5441" s="0" t="s">
        <v>675</v>
      </c>
      <c r="B5441" s="0" t="s">
        <v>73</v>
      </c>
      <c r="C5441" s="38" t="n">
        <f aca="false">Sens!$C$5392*Sens!$C$5343</f>
        <v>0.123617442257179</v>
      </c>
      <c r="D5441" s="38" t="n">
        <f aca="false">Sens!$D$5392*Sens!$D$5343</f>
        <v>0.874366899302609</v>
      </c>
      <c r="E5441" s="38" t="n">
        <f aca="false">Sens!$E$5392*Sens!$E$5343</f>
        <v>1.29318830502574</v>
      </c>
      <c r="F5441" s="38" t="n">
        <f aca="false">Sens!$F$5392*Sens!$F$5343</f>
        <v>1.51802024162534</v>
      </c>
      <c r="G5441" s="38" t="n">
        <f aca="false">Sens!$G$5392*Sens!$G$5343</f>
        <v>2.81130189308167</v>
      </c>
      <c r="H5441" s="38" t="n">
        <f aca="false">Sens!$H$5392*Sens!$H$5343</f>
        <v>7.38966789318209</v>
      </c>
      <c r="I5441" s="38" t="n">
        <f aca="false">Sens!$I$5392*Sens!$I$5343</f>
        <v>12.8987443661473</v>
      </c>
      <c r="J5441" s="38" t="n">
        <f aca="false">Sens!$J$5392*Sens!$J$5343</f>
        <v>18.5570025453645</v>
      </c>
      <c r="K5441" s="38" t="n">
        <f aca="false">Sens!$K$5392*Sens!$K$5343</f>
        <v>24.3158972773405</v>
      </c>
      <c r="L5441" s="38" t="n">
        <f aca="false">Sens!$L$5392*Sens!$L$5343</f>
        <v>29.7827375558674</v>
      </c>
      <c r="M5441" s="38" t="n">
        <f aca="false">Sens!$M$5392*Sens!$M$5343</f>
        <v>35.3532344973194</v>
      </c>
      <c r="N5441" s="38" t="n">
        <f aca="false">Sens!$N$5392*Sens!$N$5343</f>
        <v>0.389180508437431</v>
      </c>
      <c r="O5441" s="38" t="n">
        <f aca="false">Sens!$O$5392*Sens!$O$5343</f>
        <v>0.485052120082802</v>
      </c>
    </row>
    <row r="5442" customFormat="false" ht="17.15" hidden="false" customHeight="false" outlineLevel="0" collapsed="false">
      <c r="A5442" s="0" t="s">
        <v>676</v>
      </c>
      <c r="B5442" s="0" t="s">
        <v>52</v>
      </c>
      <c r="C5442" s="28" t="n">
        <f aca="false">(Sens!$C$5443-Sens!$C$5439+Sens!$C$5441)/Sens!$C$5440</f>
        <v>0.0131526665379575</v>
      </c>
      <c r="D5442" s="28" t="n">
        <f aca="false">(Sens!$D$5443-Sens!$D$5439+Sens!$D$5441)/Sens!$D$5440</f>
        <v>0.0149280116962589</v>
      </c>
      <c r="E5442" s="28" t="n">
        <f aca="false">(Sens!$E$5443-Sens!$E$5439+Sens!$E$5441)/Sens!$E$5440</f>
        <v>0.0268030663774938</v>
      </c>
      <c r="F5442" s="28" t="n">
        <f aca="false">Sens!$O$5442+(Sens!$E$5442-Sens!$N$5442)</f>
        <v>0.0232379346966962</v>
      </c>
      <c r="G5442" s="28" t="n">
        <f aca="false">(Sens!$G$5443-Sens!$G$5439+Sens!$G$5441)/Sens!$G$5440</f>
        <v>0.0248738876928168</v>
      </c>
      <c r="H5442" s="28" t="n">
        <f aca="false">Sens!$G$5442+step_na</f>
        <v>0.0278738876928168</v>
      </c>
      <c r="I5442" s="28" t="n">
        <f aca="false">Sens!$H$5442+step_na</f>
        <v>0.0308738876928168</v>
      </c>
      <c r="J5442" s="28" t="n">
        <f aca="false">Sens!$I$5442+step_na</f>
        <v>0.0338738876928168</v>
      </c>
      <c r="K5442" s="28" t="n">
        <f aca="false">Sens!$J$5442+step_na</f>
        <v>0.0368738876928168</v>
      </c>
      <c r="L5442" s="28" t="n">
        <f aca="false">Sens!$K$5442</f>
        <v>0.0368738876928168</v>
      </c>
      <c r="M5442" s="28" t="n">
        <f aca="false">Sens!$L$5442</f>
        <v>0.0368738876928168</v>
      </c>
      <c r="N5442" s="28" t="n">
        <f aca="false">(Sens!$N$5443-Sens!$N$5439+Sens!$N$5441)/Sens!$N$5440</f>
        <v>0.0168927744775755</v>
      </c>
      <c r="O5442" s="28" t="n">
        <f aca="false">(Sens!$O$5443-Sens!$O$5439+Sens!$O$5441)/Sens!$O$5440</f>
        <v>0.0133276427967779</v>
      </c>
      <c r="P5442" s="8" t="s">
        <v>677</v>
      </c>
    </row>
    <row r="5443" customFormat="false" ht="17.15" hidden="false" customHeight="false" outlineLevel="0" collapsed="false">
      <c r="A5443" s="1" t="s">
        <v>678</v>
      </c>
      <c r="B5443" s="8" t="s">
        <v>73</v>
      </c>
      <c r="C5443" s="38" t="n">
        <f aca="false">Q!$D$22</f>
        <v>24.967</v>
      </c>
      <c r="D5443" s="38" t="n">
        <f aca="false">Q!$E$22</f>
        <v>29.619</v>
      </c>
      <c r="E5443" s="38" t="n">
        <f aca="false">Q!$P$22</f>
        <v>17.39</v>
      </c>
      <c r="F5443" s="38" t="n">
        <f aca="false">Sens!$F$5439+Sens!$F$5440*Sens!$F$5442-Sens!$F$5441</f>
        <v>20.9230952303336</v>
      </c>
      <c r="G5443" s="38" t="n">
        <f aca="false">Sens!$E$5443+Sens!$F$5443</f>
        <v>38.3130952303336</v>
      </c>
      <c r="H5443" s="38" t="n">
        <f aca="false">Sens!$H$5439+Sens!$H$5440*Sens!$H$5442-Sens!$H$5441</f>
        <v>42.2372865623114</v>
      </c>
      <c r="I5443" s="38" t="n">
        <f aca="false">Sens!$I$5439+Sens!$I$5440*Sens!$I$5442-Sens!$I$5441</f>
        <v>45.4106915565213</v>
      </c>
      <c r="J5443" s="38" t="n">
        <f aca="false">Sens!$J$5439+Sens!$J$5440*Sens!$J$5442-Sens!$J$5441</f>
        <v>48.1502550732398</v>
      </c>
      <c r="K5443" s="38" t="n">
        <f aca="false">Sens!$K$5439+Sens!$K$5440*Sens!$K$5442-Sens!$K$5441</f>
        <v>49.9860243093208</v>
      </c>
      <c r="L5443" s="38" t="n">
        <f aca="false">Sens!$L$5439+Sens!$L$5440*Sens!$L$5442-Sens!$L$5441</f>
        <v>51.095526207779</v>
      </c>
      <c r="M5443" s="38" t="n">
        <f aca="false">Sens!$M$5439+Sens!$M$5440*Sens!$M$5442-Sens!$M$5441</f>
        <v>52.7117805103898</v>
      </c>
      <c r="N5443" s="38" t="n">
        <f aca="false">Q!$N$22</f>
        <v>13.358</v>
      </c>
      <c r="O5443" s="38" t="n">
        <f aca="false">Q!$O$22</f>
        <v>16.261</v>
      </c>
    </row>
    <row r="5444" customFormat="false" ht="17.15" hidden="false" customHeight="false" outlineLevel="0" collapsed="false">
      <c r="A5444" s="0" t="s">
        <v>679</v>
      </c>
      <c r="B5444" s="0" t="s">
        <v>73</v>
      </c>
      <c r="C5444" s="38" t="n">
        <f aca="false">Sens!$C$5347*m_ad</f>
        <v>7.57284355857716</v>
      </c>
      <c r="D5444" s="38" t="n">
        <f aca="false">Sens!$D$5347*m_ad</f>
        <v>9.44543827004127</v>
      </c>
      <c r="E5444" s="38" t="n">
        <f aca="false">Sens!$E$5347*m_ad</f>
        <v>5.02428875377928</v>
      </c>
      <c r="F5444" s="38" t="n">
        <f aca="false">Sens!$F$5347*m_ad</f>
        <v>6.78802480890925</v>
      </c>
      <c r="G5444" s="38" t="n">
        <f aca="false">Sens!$G$5347*m_ad</f>
        <v>11.8014732147805</v>
      </c>
      <c r="H5444" s="38" t="n">
        <f aca="false">Sens!$H$5347*m_ad</f>
        <v>14.1682715634442</v>
      </c>
      <c r="I5444" s="38" t="n">
        <f aca="false">Sens!$I$5347*m_ad</f>
        <v>16.5348555113474</v>
      </c>
      <c r="J5444" s="38" t="n">
        <f aca="false">Sens!$J$5347*m_ad</f>
        <v>18.7425403255689</v>
      </c>
      <c r="K5444" s="38" t="n">
        <f aca="false">Sens!$K$5347*m_ad</f>
        <v>20.6167943581258</v>
      </c>
      <c r="L5444" s="38" t="n">
        <f aca="false">Sens!$L$5347*m_ad</f>
        <v>22.6784737939383</v>
      </c>
      <c r="M5444" s="38" t="n">
        <f aca="false">Sens!$M$5347*m_ad</f>
        <v>24.9463211733322</v>
      </c>
      <c r="N5444" s="38" t="n">
        <f aca="false">Sens!$N$5347*m_ad</f>
        <v>3.95314442937518</v>
      </c>
      <c r="O5444" s="38" t="n">
        <f aca="false">Sens!$O$5347*m_ad</f>
        <v>5.50052681786011</v>
      </c>
    </row>
    <row r="5445" customFormat="false" ht="17.15" hidden="false" customHeight="false" outlineLevel="0" collapsed="false">
      <c r="A5445" s="0" t="s">
        <v>680</v>
      </c>
      <c r="B5445" s="0" t="s">
        <v>73</v>
      </c>
      <c r="C5445" s="38" t="n">
        <f aca="false">Sens!$C$5345-Sens!$C$5347</f>
        <v>127.760312882846</v>
      </c>
      <c r="D5445" s="38" t="n">
        <f aca="false">Sens!$D$5345-Sens!$D$5347</f>
        <v>143.003123459917</v>
      </c>
      <c r="E5445" s="38" t="n">
        <f aca="false">Sens!$E$5345-Sens!$E$5347</f>
        <v>71.9374224924414</v>
      </c>
      <c r="F5445" s="38" t="n">
        <f aca="false">Sens!$F$5345-Sens!$F$5347</f>
        <v>87.0563645868046</v>
      </c>
      <c r="G5445" s="38" t="n">
        <f aca="false">Sens!$G$5345-Sens!$G$5347</f>
        <v>159.015467775062</v>
      </c>
      <c r="H5445" s="38" t="n">
        <f aca="false">Sens!$H$5345-Sens!$H$5347</f>
        <v>173.864803403269</v>
      </c>
      <c r="I5445" s="38" t="n">
        <f aca="false">Sens!$I$5345-Sens!$I$5347</f>
        <v>188.068165645601</v>
      </c>
      <c r="J5445" s="38" t="n">
        <f aca="false">Sens!$J$5345-Sens!$J$5347</f>
        <v>201.22681801082</v>
      </c>
      <c r="K5445" s="38" t="n">
        <f aca="false">Sens!$K$5345-Sens!$K$5347</f>
        <v>212.941334991893</v>
      </c>
      <c r="L5445" s="38" t="n">
        <f aca="false">Sens!$L$5345-Sens!$L$5347</f>
        <v>225.363269144856</v>
      </c>
      <c r="M5445" s="38" t="n">
        <f aca="false">Sens!$M$5345-Sens!$M$5347</f>
        <v>238.536688790819</v>
      </c>
      <c r="N5445" s="38" t="n">
        <f aca="false">Sens!$N$5345-Sens!$N$5347</f>
        <v>62.3677111412496</v>
      </c>
      <c r="O5445" s="38" t="n">
        <f aca="false">Sens!$O$5345-Sens!$O$5347</f>
        <v>80.6189463642798</v>
      </c>
    </row>
    <row r="5446" customFormat="false" ht="17.15" hidden="false" customHeight="false" outlineLevel="0" collapsed="false">
      <c r="A5446" s="0" t="s">
        <v>681</v>
      </c>
      <c r="B5446" s="0" t="s">
        <v>73</v>
      </c>
      <c r="C5446" s="38" t="n">
        <f aca="false">Sens!$C$5392*(1-Sens!$C$5343)</f>
        <v>0.0455891896019953</v>
      </c>
      <c r="D5446" s="38" t="n">
        <f aca="false">Sens!$D$5392*(1-Sens!$D$5343)</f>
        <v>0.332050421167231</v>
      </c>
      <c r="E5446" s="38" t="n">
        <f aca="false">Sens!$E$5392*(1-Sens!$E$5343)</f>
        <v>0.481224293644882</v>
      </c>
      <c r="F5446" s="38" t="n">
        <f aca="false">Sens!$F$5392*(1-Sens!$F$5343)</f>
        <v>0.596018918096053</v>
      </c>
      <c r="G5446" s="38" t="n">
        <f aca="false">Sens!$G$5392*(1-Sens!$G$5343)</f>
        <v>1.07714986531035</v>
      </c>
      <c r="H5446" s="38" t="n">
        <f aca="false">Sens!$H$5392*(1-Sens!$H$5343)</f>
        <v>2.83135005721638</v>
      </c>
      <c r="I5446" s="38" t="n">
        <f aca="false">Sens!$I$5392*(1-Sens!$I$5343)</f>
        <v>4.9421518161602</v>
      </c>
      <c r="J5446" s="38" t="n">
        <f aca="false">Sens!$J$5392*(1-Sens!$J$5343)</f>
        <v>7.11011252170866</v>
      </c>
      <c r="K5446" s="38" t="n">
        <f aca="false">Sens!$K$5392*(1-Sens!$K$5343)</f>
        <v>9.31663210615807</v>
      </c>
      <c r="L5446" s="38" t="n">
        <f aca="false">Sens!$L$5392*(1-Sens!$L$5343)</f>
        <v>11.411251074039</v>
      </c>
      <c r="M5446" s="38" t="n">
        <f aca="false">Sens!$M$5392*(1-Sens!$M$5343)</f>
        <v>13.5455860755423</v>
      </c>
      <c r="N5446" s="38" t="n">
        <f aca="false">Sens!$N$5392*(1-Sens!$N$5343)</f>
        <v>0.141739115596548</v>
      </c>
      <c r="O5446" s="38" t="n">
        <f aca="false">Sens!$O$5392*(1-Sens!$O$5343)</f>
        <v>0.190445576353059</v>
      </c>
    </row>
    <row r="5447" customFormat="false" ht="17.15" hidden="false" customHeight="false" outlineLevel="0" collapsed="false">
      <c r="A5447" s="0" t="s">
        <v>682</v>
      </c>
      <c r="B5447" s="0" t="s">
        <v>52</v>
      </c>
      <c r="C5447" s="28" t="n">
        <f aca="false">(Sens!$C$5448-Sens!$C$5444+Sens!$C$5446)/Sens!$C$5445</f>
        <v>-0.0292364215826579</v>
      </c>
      <c r="D5447" s="28" t="n">
        <f aca="false">(Sens!$D$5448-Sens!$D$5444+Sens!$D$5446)/Sens!$D$5445</f>
        <v>-0.0305125352740778</v>
      </c>
      <c r="E5447" s="28" t="n">
        <f aca="false">(Sens!$E$5448-Sens!$E$5444+Sens!$E$5446)/Sens!$E$5445</f>
        <v>-0.019490056934994</v>
      </c>
      <c r="F5447" s="28" t="n">
        <f aca="false">Sens!$O$5447+(Sens!$E$5447-Sens!$N$5447)</f>
        <v>-0.0367332293992226</v>
      </c>
      <c r="G5447" s="28" t="n">
        <f aca="false">(Sens!$G$5448-Sens!$G$5444+Sens!$G$5446)/Sens!$G$5445</f>
        <v>-0.0288599526442178</v>
      </c>
      <c r="H5447" s="28" t="n">
        <f aca="false">Sens!$G$5447+step_in</f>
        <v>-0.0288599526442178</v>
      </c>
      <c r="I5447" s="28" t="n">
        <f aca="false">Sens!$H$5447+step_in</f>
        <v>-0.0288599526442178</v>
      </c>
      <c r="J5447" s="28" t="n">
        <f aca="false">Sens!$I$5447+step_in</f>
        <v>-0.0288599526442178</v>
      </c>
      <c r="K5447" s="28" t="n">
        <f aca="false">Sens!$J$5447+step_in</f>
        <v>-0.0288599526442178</v>
      </c>
      <c r="L5447" s="28" t="n">
        <f aca="false">Sens!$K$5447</f>
        <v>-0.0288599526442178</v>
      </c>
      <c r="M5447" s="28" t="n">
        <f aca="false">Sens!$L$5447</f>
        <v>-0.0288599526442178</v>
      </c>
      <c r="N5447" s="28" t="n">
        <f aca="false">(Sens!$N$5448-Sens!$N$5444+Sens!$N$5446)/Sens!$N$5445</f>
        <v>-0.02085061789158</v>
      </c>
      <c r="O5447" s="28" t="n">
        <f aca="false">(Sens!$O$5448-Sens!$O$5444+Sens!$O$5446)/Sens!$O$5445</f>
        <v>-0.0380937903558086</v>
      </c>
      <c r="P5447" s="8" t="s">
        <v>677</v>
      </c>
    </row>
    <row r="5448" customFormat="false" ht="17.15" hidden="false" customHeight="false" outlineLevel="0" collapsed="false">
      <c r="A5448" s="1" t="s">
        <v>683</v>
      </c>
      <c r="B5448" s="8" t="s">
        <v>73</v>
      </c>
      <c r="C5448" s="38" t="n">
        <f aca="false">Q!$D$23</f>
        <v>3.792</v>
      </c>
      <c r="D5448" s="38" t="n">
        <f aca="false">Q!$E$23</f>
        <v>4.75</v>
      </c>
      <c r="E5448" s="38" t="n">
        <f aca="false">Q!$P$23</f>
        <v>3.141</v>
      </c>
      <c r="F5448" s="38" t="n">
        <f aca="false">Sens!$F$5444+Sens!$F$5445*Sens!$F$5447-Sens!$F$5446</f>
        <v>2.99414447978375</v>
      </c>
      <c r="G5448" s="38" t="n">
        <f aca="false">Sens!$E$5448+Sens!$F$5448</f>
        <v>6.13514447978375</v>
      </c>
      <c r="H5448" s="38" t="n">
        <f aca="false">Sens!$H$5444+Sens!$H$5445*Sens!$H$5447-Sens!$H$5446</f>
        <v>6.31919151351322</v>
      </c>
      <c r="I5448" s="38" t="n">
        <f aca="false">Sens!$I$5444+Sens!$I$5445*Sens!$I$5447-Sens!$I$5446</f>
        <v>6.16506534077027</v>
      </c>
      <c r="J5448" s="38" t="n">
        <f aca="false">Sens!$J$5444+Sens!$J$5445*Sens!$J$5447-Sens!$J$5446</f>
        <v>5.8250313653213</v>
      </c>
      <c r="K5448" s="38" t="n">
        <f aca="false">Sens!$K$5444+Sens!$K$5445*Sens!$K$5447-Sens!$K$5446</f>
        <v>5.15468540810514</v>
      </c>
      <c r="L5448" s="38" t="n">
        <f aca="false">Sens!$L$5444+Sens!$L$5445*Sens!$L$5447-Sens!$L$5446</f>
        <v>4.76324944463266</v>
      </c>
      <c r="M5448" s="38" t="n">
        <f aca="false">Sens!$M$5444+Sens!$M$5445*Sens!$M$5447-Sens!$M$5446</f>
        <v>4.51657755537829</v>
      </c>
      <c r="N5448" s="38" t="n">
        <f aca="false">Q!$N$23</f>
        <v>2.511</v>
      </c>
      <c r="O5448" s="38" t="n">
        <f aca="false">Q!$O$23</f>
        <v>2.239</v>
      </c>
    </row>
    <row r="5449" customFormat="false" ht="17.15" hidden="false" customHeight="false" outlineLevel="0" collapsed="false">
      <c r="A5449" s="0" t="s">
        <v>684</v>
      </c>
      <c r="B5449" s="0" t="s">
        <v>73</v>
      </c>
      <c r="C5449" s="38" t="n">
        <f aca="false">Sens!$C$5389</f>
        <v>1.64417882953695</v>
      </c>
      <c r="D5449" s="38" t="n">
        <f aca="false">Sens!$D$5389</f>
        <v>3.8781008067718</v>
      </c>
      <c r="E5449" s="38" t="n">
        <f aca="false">Sens!$E$5389</f>
        <v>1.41270258088753</v>
      </c>
      <c r="F5449" s="38" t="n">
        <f aca="false">Sens!$F$5389</f>
        <v>6.50727700583486</v>
      </c>
      <c r="G5449" s="38" t="n">
        <f aca="false">Sens!$G$5389</f>
        <v>7.9199795867224</v>
      </c>
      <c r="H5449" s="38" t="n">
        <f aca="false">Sens!$H$5389</f>
        <v>19.2818189481807</v>
      </c>
      <c r="I5449" s="38" t="n">
        <f aca="false">Sens!$I$5389</f>
        <v>30.140114407202</v>
      </c>
      <c r="J5449" s="38" t="n">
        <f aca="false">Sens!$J$5389</f>
        <v>40.3569468829854</v>
      </c>
      <c r="K5449" s="38" t="n">
        <f aca="false">Sens!$K$5389</f>
        <v>50.0782975081929</v>
      </c>
      <c r="L5449" s="38" t="n">
        <f aca="false">Sens!$L$5389</f>
        <v>61.443331993499</v>
      </c>
      <c r="M5449" s="38" t="n">
        <f aca="false">Sens!$M$5389</f>
        <v>72.2498791587849</v>
      </c>
      <c r="N5449" s="38" t="n">
        <f aca="false">Sens!$N$5389</f>
        <v>0.92264103489199</v>
      </c>
      <c r="O5449" s="38" t="n">
        <f aca="false">Sens!$O$5389</f>
        <v>2.95545977187981</v>
      </c>
    </row>
    <row r="5450" customFormat="false" ht="17.15" hidden="false" customHeight="false" outlineLevel="0" collapsed="false">
      <c r="A5450" s="0" t="s">
        <v>604</v>
      </c>
      <c r="B5450" s="0" t="s">
        <v>73</v>
      </c>
      <c r="C5450" s="38" t="n">
        <f aca="false">Sens!$C$5394</f>
        <v>38.1898211704631</v>
      </c>
      <c r="D5450" s="38" t="n">
        <f aca="false">Sens!$D$5394</f>
        <v>41.7278991932282</v>
      </c>
      <c r="E5450" s="38" t="n">
        <f aca="false">Sens!$E$5394</f>
        <v>29.3692974191125</v>
      </c>
      <c r="F5450" s="38" t="n">
        <f aca="false">Sens!$F$5394</f>
        <v>29.458060516894</v>
      </c>
      <c r="G5450" s="38" t="n">
        <f aca="false">Sens!$G$5394</f>
        <v>58.8273579360065</v>
      </c>
      <c r="H5450" s="38" t="n">
        <f aca="false">Sens!$H$5394</f>
        <v>67.8004040185081</v>
      </c>
      <c r="I5450" s="38" t="n">
        <f aca="false">Sens!$I$5394</f>
        <v>78.9527630302702</v>
      </c>
      <c r="J5450" s="38" t="n">
        <f aca="false">Sens!$J$5394</f>
        <v>88.6042681781841</v>
      </c>
      <c r="K5450" s="38" t="n">
        <f aca="false">Sens!$K$5394</f>
        <v>95.6926096324389</v>
      </c>
      <c r="L5450" s="38" t="n">
        <f aca="false">Sens!$L$5394</f>
        <v>103.348018403034</v>
      </c>
      <c r="M5450" s="38" t="n">
        <f aca="false">Sens!$M$5394</f>
        <v>111.615859875277</v>
      </c>
      <c r="N5450" s="38" t="n">
        <f aca="false">Sens!$N$5394</f>
        <v>20.784358965108</v>
      </c>
      <c r="O5450" s="38" t="n">
        <f aca="false">Sens!$O$5394</f>
        <v>20.9435402281202</v>
      </c>
    </row>
    <row r="5451" customFormat="false" ht="17.15" hidden="false" customHeight="false" outlineLevel="0" collapsed="false">
      <c r="A5451" s="1" t="s">
        <v>685</v>
      </c>
      <c r="B5451" s="8" t="s">
        <v>73</v>
      </c>
      <c r="C5451" s="38" t="n">
        <f aca="false">Q!$D$24</f>
        <v>39.834</v>
      </c>
      <c r="D5451" s="38" t="n">
        <f aca="false">Q!$E$24</f>
        <v>45.606</v>
      </c>
      <c r="E5451" s="38" t="n">
        <f aca="false">Q!$P$24</f>
        <v>30.782</v>
      </c>
      <c r="F5451" s="38" t="n">
        <f aca="false">Sens!$F$5449+Sens!$F$5450</f>
        <v>35.9653375227289</v>
      </c>
      <c r="G5451" s="38" t="n">
        <f aca="false">Sens!$G$5449+Sens!$G$5450</f>
        <v>66.7473375227289</v>
      </c>
      <c r="H5451" s="38" t="n">
        <f aca="false">Sens!$H$5449+Sens!$H$5450</f>
        <v>87.0822229666888</v>
      </c>
      <c r="I5451" s="38" t="n">
        <f aca="false">Sens!$I$5449+Sens!$I$5450</f>
        <v>109.092877437472</v>
      </c>
      <c r="J5451" s="38" t="n">
        <f aca="false">Sens!$J$5449+Sens!$J$5450</f>
        <v>128.96121506117</v>
      </c>
      <c r="K5451" s="38" t="n">
        <f aca="false">Sens!$K$5449+Sens!$K$5450</f>
        <v>145.770907140632</v>
      </c>
      <c r="L5451" s="38" t="n">
        <f aca="false">Sens!$L$5449+Sens!$L$5450</f>
        <v>164.791350396533</v>
      </c>
      <c r="M5451" s="38" t="n">
        <f aca="false">Sens!$M$5449+Sens!$M$5450</f>
        <v>183.865739034062</v>
      </c>
      <c r="N5451" s="38" t="n">
        <f aca="false">Q!$N$24</f>
        <v>21.707</v>
      </c>
      <c r="O5451" s="38" t="n">
        <f aca="false">Q!$O$24</f>
        <v>23.899</v>
      </c>
    </row>
    <row r="5452" customFormat="false" ht="17.15" hidden="false" customHeight="false" outlineLevel="0" collapsed="false">
      <c r="A5452" s="5" t="s">
        <v>686</v>
      </c>
      <c r="B5452" s="0" t="s">
        <v>73</v>
      </c>
      <c r="C5452" s="38" t="n">
        <f aca="false">Q!$D$26</f>
        <v>0</v>
      </c>
      <c r="D5452" s="38" t="n">
        <f aca="false">Q!$E$26</f>
        <v>0</v>
      </c>
      <c r="E5452" s="38" t="n">
        <f aca="false">Q!$P$26</f>
        <v>0</v>
      </c>
      <c r="F5452" s="41" t="n">
        <v>0</v>
      </c>
      <c r="G5452" s="38" t="n">
        <f aca="false">Sens!$E$5452+Sens!$F$5452</f>
        <v>0</v>
      </c>
      <c r="H5452" s="41" t="n">
        <v>0</v>
      </c>
      <c r="I5452" s="41" t="n">
        <v>0</v>
      </c>
      <c r="J5452" s="41" t="n">
        <v>0</v>
      </c>
      <c r="K5452" s="41" t="n">
        <v>0</v>
      </c>
      <c r="L5452" s="41" t="n">
        <v>0</v>
      </c>
      <c r="M5452" s="41" t="n">
        <v>0</v>
      </c>
      <c r="N5452" s="38" t="n">
        <f aca="false">Q!$N$26</f>
        <v>0</v>
      </c>
      <c r="O5452" s="38" t="n">
        <f aca="false">Q!$O$26</f>
        <v>0</v>
      </c>
    </row>
    <row r="5453" customFormat="false" ht="15" hidden="false" customHeight="false" outlineLevel="0" collapsed="false">
      <c r="A5453" s="3" t="s">
        <v>494</v>
      </c>
      <c r="B5453" s="8" t="s">
        <v>73</v>
      </c>
      <c r="C5453" s="38" t="n">
        <f aca="false">Q!$D$25</f>
        <v>68.593</v>
      </c>
      <c r="D5453" s="38" t="n">
        <f aca="false">Q!$E$25</f>
        <v>79.975</v>
      </c>
      <c r="E5453" s="38" t="n">
        <f aca="false">Q!$P$25</f>
        <v>51.313</v>
      </c>
      <c r="F5453" s="38" t="n">
        <f aca="false">Sens!$F$5443+Sens!$F$5448+Sens!$F$5451+Sens!$F$5452</f>
        <v>59.8825772328462</v>
      </c>
      <c r="G5453" s="38" t="n">
        <f aca="false">Sens!$G$5443+Sens!$G$5448+Sens!$G$5451+Sens!$G$5452</f>
        <v>111.195577232846</v>
      </c>
      <c r="H5453" s="38" t="n">
        <f aca="false">Sens!$H$5443+Sens!$H$5448+Sens!$H$5451+Sens!$H$5452</f>
        <v>135.638701042513</v>
      </c>
      <c r="I5453" s="38" t="n">
        <f aca="false">Sens!$I$5443+Sens!$I$5448+Sens!$I$5451+Sens!$I$5452</f>
        <v>160.668634334764</v>
      </c>
      <c r="J5453" s="38" t="n">
        <f aca="false">Sens!$J$5443+Sens!$J$5448+Sens!$J$5451+Sens!$J$5452</f>
        <v>182.936501499731</v>
      </c>
      <c r="K5453" s="38" t="n">
        <f aca="false">Sens!$K$5443+Sens!$K$5448+Sens!$K$5451+Sens!$K$5452</f>
        <v>200.911616858058</v>
      </c>
      <c r="L5453" s="38" t="n">
        <f aca="false">Sens!$L$5443+Sens!$L$5448+Sens!$L$5451+Sens!$L$5452</f>
        <v>220.650126048945</v>
      </c>
      <c r="M5453" s="38" t="n">
        <f aca="false">Sens!$M$5443+Sens!$M$5448+Sens!$M$5451+Sens!$M$5452</f>
        <v>241.09409709983</v>
      </c>
      <c r="N5453" s="38" t="n">
        <f aca="false">Q!$N$25</f>
        <v>37.576</v>
      </c>
      <c r="O5453" s="38" t="n">
        <f aca="false">Q!$O$25</f>
        <v>42.399</v>
      </c>
    </row>
    <row r="5454" customFormat="false" ht="17.15" hidden="false" customHeight="false" outlineLevel="0" collapsed="false">
      <c r="A5454" s="24" t="s">
        <v>712</v>
      </c>
      <c r="B5454" s="25" t="s">
        <v>73</v>
      </c>
      <c r="C5454" s="39" t="n">
        <f aca="false">Sens!$C$5443+Sens!$C$5448+Sens!$C$5451+Sens!$C$5452-Sens!$C$5453</f>
        <v>0</v>
      </c>
      <c r="D5454" s="39" t="n">
        <f aca="false">Sens!$D$5443+Sens!$D$5448+Sens!$D$5451+Sens!$D$5452-Sens!$D$5453</f>
        <v>0</v>
      </c>
      <c r="E5454" s="39" t="n">
        <f aca="false">Sens!$E$5443+Sens!$E$5448+Sens!$E$5451+Sens!$E$5452-Sens!$E$5453</f>
        <v>0</v>
      </c>
      <c r="F5454" s="39" t="n">
        <f aca="false">Sens!$F$5443+Sens!$F$5448+Sens!$F$5451+Sens!$F$5452-Sens!$F$5453</f>
        <v>0</v>
      </c>
      <c r="G5454" s="39" t="n">
        <f aca="false">Sens!$G$5443+Sens!$G$5448+Sens!$G$5451+Sens!$G$5452-Sens!$G$5453</f>
        <v>0</v>
      </c>
      <c r="H5454" s="39" t="n">
        <f aca="false">Sens!$H$5443+Sens!$H$5448+Sens!$H$5451+Sens!$H$5452-Sens!$H$5453</f>
        <v>0</v>
      </c>
      <c r="I5454" s="39" t="n">
        <f aca="false">Sens!$I$5443+Sens!$I$5448+Sens!$I$5451+Sens!$I$5452-Sens!$I$5453</f>
        <v>0</v>
      </c>
      <c r="J5454" s="39" t="n">
        <f aca="false">Sens!$J$5443+Sens!$J$5448+Sens!$J$5451+Sens!$J$5452-Sens!$J$5453</f>
        <v>0</v>
      </c>
      <c r="K5454" s="39" t="n">
        <f aca="false">Sens!$K$5443+Sens!$K$5448+Sens!$K$5451+Sens!$K$5452-Sens!$K$5453</f>
        <v>0</v>
      </c>
      <c r="L5454" s="39" t="n">
        <f aca="false">Sens!$L$5443+Sens!$L$5448+Sens!$L$5451+Sens!$L$5452-Sens!$L$5453</f>
        <v>0</v>
      </c>
      <c r="M5454" s="39" t="n">
        <f aca="false">Sens!$M$5443+Sens!$M$5448+Sens!$M$5451+Sens!$M$5452-Sens!$M$5453</f>
        <v>0</v>
      </c>
      <c r="N5454" s="39" t="n">
        <f aca="false">Sens!$N$5443+Sens!$N$5448+Sens!$N$5451+Sens!$N$5452-Sens!$N$5453</f>
        <v>0</v>
      </c>
      <c r="O5454" s="39" t="n">
        <f aca="false">Sens!$O$5443+Sens!$O$5448+Sens!$O$5451+Sens!$O$5452-Sens!$O$5453</f>
        <v>0</v>
      </c>
    </row>
    <row r="5455" customFormat="false" ht="17.15" hidden="false" customHeight="false" outlineLevel="0" collapsed="false">
      <c r="A5455" s="0" t="s">
        <v>688</v>
      </c>
      <c r="B5455" s="0" t="s">
        <v>52</v>
      </c>
      <c r="C5455" s="12" t="n">
        <f aca="false">Sens!$C$5443/Sens!$C$5428</f>
        <v>0.0644314665661928</v>
      </c>
      <c r="D5455" s="12" t="n">
        <f aca="false">Sens!$D$5443/Sens!$D$5428</f>
        <v>0.0694784250712518</v>
      </c>
      <c r="E5455" s="12" t="n">
        <f aca="false">Sens!$E$5443/Sens!$E$5428</f>
        <v>0.0789306463326071</v>
      </c>
      <c r="F5455" s="12" t="n">
        <f aca="false">Sens!$F$5443/Sens!$F$5428</f>
        <v>0.0816338957078875</v>
      </c>
      <c r="G5455" s="12" t="n">
        <f aca="false">Sens!$G$5443/Sens!$G$5428</f>
        <v>0.080384315570057</v>
      </c>
      <c r="H5455" s="12" t="n">
        <f aca="false">Sens!$H$5443/Sens!$H$5428</f>
        <v>0.080035122355679</v>
      </c>
      <c r="I5455" s="12" t="n">
        <f aca="false">Sens!$I$5443/Sens!$I$5428</f>
        <v>0.0786798687862144</v>
      </c>
      <c r="J5455" s="12" t="n">
        <f aca="false">Sens!$J$5443/Sens!$J$5428</f>
        <v>0.0772846370095153</v>
      </c>
      <c r="K5455" s="12" t="n">
        <f aca="false">Sens!$K$5443/Sens!$K$5428</f>
        <v>0.0753502227686655</v>
      </c>
      <c r="L5455" s="12" t="n">
        <f aca="false">Sens!$L$5443/Sens!$L$5428</f>
        <v>0.0723154067793922</v>
      </c>
      <c r="M5455" s="12" t="n">
        <f aca="false">Sens!$M$5443/Sens!$M$5428</f>
        <v>0.070022386735876</v>
      </c>
      <c r="N5455" s="12" t="n">
        <f aca="false">Sens!$N$5443/Sens!$N$5428</f>
        <v>0.069228576611127</v>
      </c>
      <c r="O5455" s="12" t="n">
        <f aca="false">Sens!$O$5443/Sens!$O$5428</f>
        <v>0.069685022498393</v>
      </c>
    </row>
    <row r="5456" customFormat="false" ht="17.15" hidden="false" customHeight="false" outlineLevel="0" collapsed="false">
      <c r="A5456" s="0" t="s">
        <v>689</v>
      </c>
      <c r="B5456" s="0" t="s">
        <v>52</v>
      </c>
      <c r="C5456" s="12" t="n">
        <f aca="false">Sens!$C$5448/Sens!$C$5429</f>
        <v>0.026534925055631</v>
      </c>
      <c r="D5456" s="12" t="n">
        <f aca="false">Sens!$D$5448/Sens!$D$5429</f>
        <v>0.0293401855535103</v>
      </c>
      <c r="E5456" s="12" t="n">
        <f aca="false">Sens!$E$5448/Sens!$E$5429</f>
        <v>0.03831141902276</v>
      </c>
      <c r="F5456" s="12" t="n">
        <f aca="false">Sens!$F$5448/Sens!$F$5429</f>
        <v>0.0297532808235678</v>
      </c>
      <c r="G5456" s="12" t="n">
        <f aca="false">Sens!$G$5448/Sens!$G$5429</f>
        <v>0.0335954317997163</v>
      </c>
      <c r="H5456" s="12" t="n">
        <f aca="false">Sens!$H$5448/Sens!$H$5429</f>
        <v>0.0312519754292078</v>
      </c>
      <c r="I5456" s="12" t="n">
        <f aca="false">Sens!$I$5448/Sens!$I$5429</f>
        <v>0.0278788303191397</v>
      </c>
      <c r="J5456" s="12" t="n">
        <f aca="false">Sens!$J$5448/Sens!$J$5429</f>
        <v>0.0244019313573061</v>
      </c>
      <c r="K5456" s="12" t="n">
        <f aca="false">Sens!$K$5448/Sens!$K$5429</f>
        <v>0.020280070641524</v>
      </c>
      <c r="L5456" s="12" t="n">
        <f aca="false">Sens!$L$5448/Sens!$L$5429</f>
        <v>0.0175947312030086</v>
      </c>
      <c r="M5456" s="12" t="n">
        <f aca="false">Sens!$M$5448/Sens!$M$5429</f>
        <v>0.0156592172424565</v>
      </c>
      <c r="N5456" s="12" t="n">
        <f aca="false">Sens!$N$5448/Sens!$N$5429</f>
        <v>0.0357315650169337</v>
      </c>
      <c r="O5456" s="12" t="n">
        <f aca="false">Sens!$O$5448/Sens!$O$5429</f>
        <v>0.0244378956559703</v>
      </c>
    </row>
    <row r="5457" customFormat="false" ht="17.15" hidden="false" customHeight="false" outlineLevel="0" collapsed="false">
      <c r="A5457" s="13" t="s">
        <v>690</v>
      </c>
      <c r="B5457" s="13" t="s">
        <v>52</v>
      </c>
      <c r="C5457" s="16" t="n">
        <f aca="false">Sens!$C$5451/Sens!$C$5430</f>
        <v>0.370355907620217</v>
      </c>
      <c r="D5457" s="16" t="n">
        <f aca="false">Sens!$D$5451/Sens!$D$5430</f>
        <v>0.35429015342785</v>
      </c>
      <c r="E5457" s="16" t="n">
        <f aca="false">Sens!$E$5451/Sens!$E$5430</f>
        <v>0.385647527531039</v>
      </c>
      <c r="F5457" s="16" t="n">
        <f aca="false">Sens!$F$5451/Sens!$F$5430</f>
        <v>0.384415729470259</v>
      </c>
      <c r="G5457" s="16" t="n">
        <f aca="false">Sens!$G$5451/Sens!$G$5430</f>
        <v>0.38498282105443</v>
      </c>
      <c r="H5457" s="16" t="n">
        <f aca="false">Sens!$H$5451/Sens!$H$5430</f>
        <v>0.361247909668527</v>
      </c>
      <c r="I5457" s="16" t="n">
        <f aca="false">Sens!$I$5451/Sens!$I$5430</f>
        <v>0.349486287974975</v>
      </c>
      <c r="J5457" s="16" t="n">
        <f aca="false">Sens!$J$5451/Sens!$J$5430</f>
        <v>0.339886531832068</v>
      </c>
      <c r="K5457" s="16" t="n">
        <f aca="false">Sens!$K$5451/Sens!$K$5430</f>
        <v>0.33135833762061</v>
      </c>
      <c r="L5457" s="16" t="n">
        <f aca="false">Sens!$L$5451/Sens!$L$5430</f>
        <v>0.328299068185284</v>
      </c>
      <c r="M5457" s="16" t="n">
        <f aca="false">Sens!$M$5451/Sens!$M$5430</f>
        <v>0.325058049465166</v>
      </c>
      <c r="N5457" s="16" t="n">
        <f aca="false">Sens!$N$5451/Sens!$N$5430</f>
        <v>0.360941137346192</v>
      </c>
      <c r="O5457" s="16" t="n">
        <f aca="false">Sens!$O$5451/Sens!$O$5430</f>
        <v>0.348458117664212</v>
      </c>
    </row>
    <row r="5458" customFormat="false" ht="17.15" hidden="false" customHeight="false" outlineLevel="0" collapsed="false">
      <c r="A5458" s="0" t="s">
        <v>691</v>
      </c>
      <c r="B5458" s="0" t="s">
        <v>52</v>
      </c>
      <c r="C5458" s="12" t="n">
        <f aca="false">Sens!$C$5449/Sens!$C$5431</f>
        <v>0.708390794789371</v>
      </c>
      <c r="D5458" s="12" t="n">
        <f aca="false">Sens!$D$5449/Sens!$D$5431</f>
        <v>0.445565630441968</v>
      </c>
      <c r="E5458" s="12" t="n">
        <f aca="false">Sens!$E$5449/Sens!$E$5431</f>
        <v>0.165998118402711</v>
      </c>
      <c r="F5458" s="12" t="n">
        <f aca="false">Sens!$F$5449/Sens!$F$5431</f>
        <v>0.434878595403858</v>
      </c>
      <c r="G5458" s="12" t="n">
        <f aca="false">Sens!$G$5449/Sens!$G$5431</f>
        <v>0.3373967615381</v>
      </c>
      <c r="H5458" s="12" t="n">
        <f aca="false">Sens!$H$5449/Sens!$H$5431</f>
        <v>0.320477578041224</v>
      </c>
      <c r="I5458" s="12" t="n">
        <f aca="false">Sens!$I$5449/Sens!$I$5431</f>
        <v>0.296936118226494</v>
      </c>
      <c r="J5458" s="12" t="n">
        <f aca="false">Sens!$J$5449/Sens!$J$5431</f>
        <v>0.282166278613001</v>
      </c>
      <c r="K5458" s="12" t="n">
        <f aca="false">Sens!$K$5449/Sens!$K$5431</f>
        <v>0.271267685694333</v>
      </c>
      <c r="L5458" s="12" t="n">
        <f aca="false">Sens!$L$5449/Sens!$L$5431</f>
        <v>0.27160960915653</v>
      </c>
      <c r="M5458" s="12" t="n">
        <f aca="false">Sens!$M$5449/Sens!$M$5431</f>
        <v>0.26974494804234</v>
      </c>
      <c r="N5458" s="12" t="n">
        <f aca="false">Sens!$N$5449/Sens!$N$5431</f>
        <v>0.302870734830849</v>
      </c>
      <c r="O5458" s="12" t="n">
        <f aca="false">Sens!$O$5449/Sens!$O$5431</f>
        <v>0.52240134346334</v>
      </c>
    </row>
    <row r="5459" customFormat="false" ht="15" hidden="false" customHeight="false" outlineLevel="0" collapsed="false">
      <c r="A5459" s="5" t="s">
        <v>692</v>
      </c>
      <c r="B5459" s="0" t="s">
        <v>52</v>
      </c>
      <c r="C5459" s="12" t="n">
        <f aca="false">Sens!$C$5453/Sens!$C$5433</f>
        <v>0.107519448742004</v>
      </c>
      <c r="D5459" s="12" t="n">
        <f aca="false">Sens!$D$5453/Sens!$D$5433</f>
        <v>0.111552967957552</v>
      </c>
      <c r="E5459" s="12" t="n">
        <f aca="false">Sens!$E$5453/Sens!$E$5433</f>
        <v>0.13428328426562</v>
      </c>
      <c r="F5459" s="12" t="n">
        <f aca="false">Sens!$F$5453/Sens!$F$5433</f>
        <v>0.132926212451512</v>
      </c>
      <c r="G5459" s="12" t="n">
        <f aca="false">Sens!$G$5453/Sens!$G$5433</f>
        <v>0.133549030959228</v>
      </c>
      <c r="H5459" s="12" t="n">
        <f aca="false">Sens!$H$5453/Sens!$H$5433</f>
        <v>0.139690394514416</v>
      </c>
      <c r="I5459" s="12" t="n">
        <f aca="false">Sens!$I$5453/Sens!$I$5433</f>
        <v>0.144688164284573</v>
      </c>
      <c r="J5459" s="12" t="n">
        <f aca="false">Sens!$J$5453/Sens!$J$5433</f>
        <v>0.147391419021054</v>
      </c>
      <c r="K5459" s="12" t="n">
        <f aca="false">Sens!$K$5453/Sens!$K$5433</f>
        <v>0.148003728177944</v>
      </c>
      <c r="L5459" s="12" t="n">
        <f aca="false">Sens!$L$5453/Sens!$L$5433</f>
        <v>0.149164514525979</v>
      </c>
      <c r="M5459" s="12" t="n">
        <f aca="false">Sens!$M$5453/Sens!$M$5433</f>
        <v>0.150041098108262</v>
      </c>
      <c r="N5459" s="12" t="n">
        <f aca="false">Sens!$N$5453/Sens!$N$5433</f>
        <v>0.116201614873411</v>
      </c>
      <c r="O5459" s="12" t="n">
        <f aca="false">Sens!$O$5453/Sens!$O$5433</f>
        <v>0.107733353660861</v>
      </c>
    </row>
    <row r="5460" customFormat="false" ht="17.15" hidden="false" customHeight="false" outlineLevel="0" collapsed="false">
      <c r="A5460" s="1" t="s">
        <v>693</v>
      </c>
    </row>
    <row r="5461" customFormat="false" ht="17.15" hidden="false" customHeight="false" outlineLevel="0" collapsed="false">
      <c r="A5461" s="5" t="s">
        <v>694</v>
      </c>
      <c r="B5461" s="0" t="s">
        <v>52</v>
      </c>
      <c r="D5461" s="28" t="n">
        <f aca="false">(Q!$E$29+Q!$E$30-(1-ext_sh)*Sens!$D$5385)/Sens!$D$5342</f>
        <v>0.0334674312393194</v>
      </c>
    </row>
    <row r="5462" customFormat="false" ht="17.15" hidden="false" customHeight="false" outlineLevel="0" collapsed="false">
      <c r="A5462" s="0" t="s">
        <v>498</v>
      </c>
      <c r="B5462" s="0" t="s">
        <v>73</v>
      </c>
      <c r="C5462" s="38" t="n">
        <f aca="false">Q!$D$29</f>
        <v>14.285</v>
      </c>
      <c r="D5462" s="38" t="n">
        <f aca="false">Q!$E$29</f>
        <v>15.503</v>
      </c>
      <c r="E5462" s="38" t="n">
        <f aca="false">Q!$P$29</f>
        <v>8.78</v>
      </c>
      <c r="F5462" s="38" t="n">
        <f aca="false">(Sens!$D$5461*Sens!$F$5342+(1-ext_sh)*Sens!$F$5385)*Sens!$F$5343</f>
        <v>9.51361751569285</v>
      </c>
      <c r="G5462" s="38" t="n">
        <f aca="false">Sens!$E$5462+Sens!$F$5462</f>
        <v>18.2936175156929</v>
      </c>
      <c r="H5462" s="38" t="n">
        <f aca="false">(Sens!$D$5461*Sens!$H$5342+(1-ext_sh)*Sens!$H$5385)*Sens!$H$5343</f>
        <v>22.7653661801943</v>
      </c>
      <c r="I5462" s="38" t="n">
        <f aca="false">(Sens!$D$5461*Sens!$I$5342+(1-ext_sh)*Sens!$I$5385)*Sens!$I$5343</f>
        <v>28.4281317305062</v>
      </c>
      <c r="J5462" s="38" t="n">
        <f aca="false">(Sens!$D$5461*Sens!$J$5342+(1-ext_sh)*Sens!$J$5385)*Sens!$J$5343</f>
        <v>34.1182922009732</v>
      </c>
      <c r="K5462" s="38" t="n">
        <f aca="false">(Sens!$D$5461*Sens!$K$5342+(1-ext_sh)*Sens!$K$5385)*Sens!$K$5343</f>
        <v>39.7237727987046</v>
      </c>
      <c r="L5462" s="38" t="n">
        <f aca="false">(Sens!$D$5461*Sens!$L$5342+(1-ext_sh)*Sens!$L$5385)*Sens!$L$5343</f>
        <v>45.1313127180263</v>
      </c>
      <c r="M5462" s="38" t="n">
        <f aca="false">(Sens!$D$5461*Sens!$M$5342+(1-ext_sh)*Sens!$M$5385)*Sens!$M$5343</f>
        <v>50.743940615442</v>
      </c>
      <c r="N5462" s="38" t="n">
        <f aca="false">Q!$N$29</f>
        <v>7.272</v>
      </c>
      <c r="O5462" s="38" t="n">
        <f aca="false">Q!$O$29</f>
        <v>8.231</v>
      </c>
    </row>
    <row r="5463" customFormat="false" ht="17.15" hidden="false" customHeight="false" outlineLevel="0" collapsed="false">
      <c r="A5463" s="0" t="s">
        <v>500</v>
      </c>
      <c r="B5463" s="0" t="s">
        <v>73</v>
      </c>
      <c r="C5463" s="38" t="n">
        <f aca="false">Q!$D$30</f>
        <v>4.462</v>
      </c>
      <c r="D5463" s="38" t="n">
        <f aca="false">Q!$E$30</f>
        <v>4.907</v>
      </c>
      <c r="E5463" s="38" t="n">
        <f aca="false">Q!$P$30</f>
        <v>2.57</v>
      </c>
      <c r="F5463" s="38" t="n">
        <f aca="false">(Sens!$D$5461*Sens!$F$5342+(1-ext_sh)*Sens!$F$5385)*(1-Sens!$F$5343)</f>
        <v>3.7353230631574</v>
      </c>
      <c r="G5463" s="38" t="n">
        <f aca="false">Sens!$E$5463+Sens!$F$5463</f>
        <v>6.3053230631574</v>
      </c>
      <c r="H5463" s="38" t="n">
        <f aca="false">(Sens!$D$5461*Sens!$H$5342+(1-ext_sh)*Sens!$H$5385)*(1-Sens!$H$5343)</f>
        <v>8.72254636724805</v>
      </c>
      <c r="I5463" s="38" t="n">
        <f aca="false">(Sens!$D$5461*Sens!$I$5342+(1-ext_sh)*Sens!$I$5385)*(1-Sens!$I$5343)</f>
        <v>10.8922340713019</v>
      </c>
      <c r="J5463" s="38" t="n">
        <f aca="false">(Sens!$D$5461*Sens!$J$5342+(1-ext_sh)*Sens!$J$5385)*(1-Sens!$J$5343)</f>
        <v>13.0724181345791</v>
      </c>
      <c r="K5463" s="38" t="n">
        <f aca="false">(Sens!$D$5461*Sens!$K$5342+(1-ext_sh)*Sens!$K$5385)*(1-Sens!$K$5343)</f>
        <v>15.2201571183236</v>
      </c>
      <c r="L5463" s="38" t="n">
        <f aca="false">(Sens!$D$5461*Sens!$L$5342+(1-ext_sh)*Sens!$L$5385)*(1-Sens!$L$5343)</f>
        <v>17.2920551631732</v>
      </c>
      <c r="M5463" s="38" t="n">
        <f aca="false">(Sens!$D$5461*Sens!$M$5342+(1-ext_sh)*Sens!$M$5385)*(1-Sens!$M$5343)</f>
        <v>19.4425326336348</v>
      </c>
      <c r="N5463" s="38" t="n">
        <f aca="false">Q!$N$30</f>
        <v>2.316</v>
      </c>
      <c r="O5463" s="38" t="n">
        <f aca="false">Q!$O$30</f>
        <v>2.591</v>
      </c>
    </row>
    <row r="5464" customFormat="false" ht="17.15" hidden="false" customHeight="false" outlineLevel="0" collapsed="false">
      <c r="A5464" s="0" t="s">
        <v>501</v>
      </c>
      <c r="B5464" s="0" t="s">
        <v>73</v>
      </c>
      <c r="C5464" s="38" t="n">
        <f aca="false">Sens!$C$5397</f>
        <v>13.32</v>
      </c>
      <c r="D5464" s="38" t="n">
        <f aca="false">Sens!$D$5397</f>
        <v>21.45</v>
      </c>
      <c r="E5464" s="38" t="n">
        <f aca="false">Sens!$E$5397</f>
        <v>15.353</v>
      </c>
      <c r="F5464" s="38" t="n">
        <f aca="false">Sens!$F$5397</f>
        <v>17.3614451462707</v>
      </c>
      <c r="G5464" s="38" t="n">
        <f aca="false">Sens!$G$5397</f>
        <v>32.7144451462707</v>
      </c>
      <c r="H5464" s="38" t="n">
        <f aca="false">Sens!$H$5397</f>
        <v>56.1966092719415</v>
      </c>
      <c r="I5464" s="38" t="n">
        <f aca="false">Sens!$I$5397</f>
        <v>82.9744039068297</v>
      </c>
      <c r="J5464" s="38" t="n">
        <f aca="false">Sens!$J$5397</f>
        <v>109.943252237669</v>
      </c>
      <c r="K5464" s="38" t="n">
        <f aca="false">Sens!$K$5397</f>
        <v>136.406703436571</v>
      </c>
      <c r="L5464" s="38" t="n">
        <f aca="false">Sens!$L$5397</f>
        <v>161.485870454155</v>
      </c>
      <c r="M5464" s="38" t="n">
        <f aca="false">Sens!$M$5397</f>
        <v>187.389846618199</v>
      </c>
      <c r="N5464" s="38" t="n">
        <f aca="false">Sens!$N$5397</f>
        <v>9.234</v>
      </c>
      <c r="O5464" s="38" t="n">
        <f aca="false">Sens!$O$5397</f>
        <v>12.216</v>
      </c>
    </row>
    <row r="5465" customFormat="false" ht="17.15" hidden="false" customHeight="false" outlineLevel="0" collapsed="false">
      <c r="A5465" s="5" t="s">
        <v>695</v>
      </c>
      <c r="B5465" s="0" t="s">
        <v>73</v>
      </c>
      <c r="C5465" s="38" t="n">
        <f aca="false">Sens!$C$5462+Sens!$C$5463+Sens!$C$5464</f>
        <v>32.067</v>
      </c>
      <c r="D5465" s="38" t="n">
        <f aca="false">Sens!$D$5462+Sens!$D$5463+Sens!$D$5464</f>
        <v>41.86</v>
      </c>
      <c r="E5465" s="38" t="n">
        <f aca="false">Sens!$E$5462+Sens!$E$5463+Sens!$E$5464</f>
        <v>26.703</v>
      </c>
      <c r="F5465" s="38" t="n">
        <f aca="false">Sens!$F$5462+Sens!$F$5463+Sens!$F$5464</f>
        <v>30.6103857251209</v>
      </c>
      <c r="G5465" s="38" t="n">
        <f aca="false">Sens!$G$5462+Sens!$G$5463+Sens!$G$5464</f>
        <v>57.3133857251209</v>
      </c>
      <c r="H5465" s="38" t="n">
        <f aca="false">Sens!$H$5462+Sens!$H$5463+Sens!$H$5464</f>
        <v>87.6845218193838</v>
      </c>
      <c r="I5465" s="38" t="n">
        <f aca="false">Sens!$I$5462+Sens!$I$5463+Sens!$I$5464</f>
        <v>122.294769708638</v>
      </c>
      <c r="J5465" s="38" t="n">
        <f aca="false">Sens!$J$5462+Sens!$J$5463+Sens!$J$5464</f>
        <v>157.133962573221</v>
      </c>
      <c r="K5465" s="38" t="n">
        <f aca="false">Sens!$K$5462+Sens!$K$5463+Sens!$K$5464</f>
        <v>191.350633353599</v>
      </c>
      <c r="L5465" s="38" t="n">
        <f aca="false">Sens!$L$5462+Sens!$L$5463+Sens!$L$5464</f>
        <v>223.909238335354</v>
      </c>
      <c r="M5465" s="38" t="n">
        <f aca="false">Sens!$M$5462+Sens!$M$5463+Sens!$M$5464</f>
        <v>257.576319867276</v>
      </c>
      <c r="N5465" s="38" t="n">
        <f aca="false">Sens!$N$5462+Sens!$N$5463+Sens!$N$5464</f>
        <v>18.822</v>
      </c>
      <c r="O5465" s="38" t="n">
        <f aca="false">Sens!$O$5462+Sens!$O$5463+Sens!$O$5464</f>
        <v>23.038</v>
      </c>
    </row>
    <row r="5466" customFormat="false" ht="17.15" hidden="false" customHeight="false" outlineLevel="0" collapsed="false">
      <c r="A5466" s="0" t="s">
        <v>696</v>
      </c>
      <c r="B5466" s="0" t="s">
        <v>73</v>
      </c>
      <c r="C5466" s="38" t="n">
        <f aca="false">Sens!$C$5439+Sens!$C$5444</f>
        <v>28.107</v>
      </c>
      <c r="D5466" s="38" t="n">
        <f aca="false">Sens!$D$5439+Sens!$D$5444</f>
        <v>34.3175</v>
      </c>
      <c r="E5466" s="38" t="n">
        <f aca="false">Sens!$E$5439+Sens!$E$5444</f>
        <v>18.526</v>
      </c>
      <c r="F5466" s="38" t="n">
        <f aca="false">Sens!$F$5439+Sens!$F$5444</f>
        <v>24.0766690913691</v>
      </c>
      <c r="G5466" s="38" t="n">
        <f aca="false">Sens!$G$5439+Sens!$G$5444</f>
        <v>42.6026690913691</v>
      </c>
      <c r="H5466" s="38" t="n">
        <f aca="false">Sens!$H$5439+Sens!$H$5444</f>
        <v>51.1466809294702</v>
      </c>
      <c r="I5466" s="38" t="n">
        <f aca="false">Sens!$I$5439+Sens!$I$5444</f>
        <v>59.6899187926205</v>
      </c>
      <c r="J5466" s="38" t="n">
        <f aca="false">Sens!$J$5439+Sens!$J$5444</f>
        <v>67.6595395244221</v>
      </c>
      <c r="K5466" s="38" t="n">
        <f aca="false">Sens!$K$5439+Sens!$K$5444</f>
        <v>74.4254934768643</v>
      </c>
      <c r="L5466" s="38" t="n">
        <f aca="false">Sens!$L$5439+Sens!$L$5444</f>
        <v>81.8680428245508</v>
      </c>
      <c r="M5466" s="38" t="n">
        <f aca="false">Sens!$M$5439+Sens!$M$5444</f>
        <v>90.0548471070059</v>
      </c>
      <c r="N5466" s="38" t="n">
        <f aca="false">Sens!$N$5439+Sens!$N$5444</f>
        <v>14.8075</v>
      </c>
      <c r="O5466" s="38" t="n">
        <f aca="false">Sens!$O$5439+Sens!$O$5444</f>
        <v>19.51</v>
      </c>
    </row>
    <row r="5467" customFormat="false" ht="17.15" hidden="false" customHeight="false" outlineLevel="0" collapsed="false">
      <c r="A5467" s="0" t="s">
        <v>697</v>
      </c>
      <c r="B5467" s="0" t="s">
        <v>73</v>
      </c>
      <c r="C5467" s="38" t="n">
        <f aca="false">Sens!$C$5443+Sens!$C$5448+Sens!$C$5462+Sens!$C$5463-Sens!$C$5466</f>
        <v>19.399</v>
      </c>
      <c r="D5467" s="38" t="n">
        <f aca="false">Sens!$D$5443+Sens!$D$5448+Sens!$D$5462+Sens!$D$5463-Sens!$D$5466</f>
        <v>20.4615</v>
      </c>
      <c r="E5467" s="38" t="n">
        <f aca="false">Sens!$E$5443+Sens!$E$5448+Sens!$E$5462+Sens!$E$5463-Sens!$E$5466</f>
        <v>13.355</v>
      </c>
      <c r="F5467" s="38" t="n">
        <f aca="false">Sens!$F$5443+Sens!$F$5448+Sens!$F$5462+Sens!$F$5463-Sens!$F$5466</f>
        <v>13.0895111975985</v>
      </c>
      <c r="G5467" s="38" t="n">
        <f aca="false">Sens!$G$5443+Sens!$G$5448+Sens!$G$5462+Sens!$G$5463-Sens!$G$5466</f>
        <v>26.4445111975985</v>
      </c>
      <c r="H5467" s="38" t="n">
        <f aca="false">Sens!$H$5443+Sens!$H$5448+Sens!$H$5462+Sens!$H$5463-Sens!$H$5466</f>
        <v>28.8977096937968</v>
      </c>
      <c r="I5467" s="38" t="n">
        <f aca="false">Sens!$I$5443+Sens!$I$5448+Sens!$I$5462+Sens!$I$5463-Sens!$I$5466</f>
        <v>31.2062039064791</v>
      </c>
      <c r="J5467" s="38" t="n">
        <f aca="false">Sens!$J$5443+Sens!$J$5448+Sens!$J$5462+Sens!$J$5463-Sens!$J$5466</f>
        <v>33.5064572496913</v>
      </c>
      <c r="K5467" s="38" t="n">
        <f aca="false">Sens!$K$5443+Sens!$K$5448+Sens!$K$5462+Sens!$K$5463-Sens!$K$5466</f>
        <v>35.6591461575899</v>
      </c>
      <c r="L5467" s="38" t="n">
        <f aca="false">Sens!$L$5443+Sens!$L$5448+Sens!$L$5462+Sens!$L$5463-Sens!$L$5466</f>
        <v>36.4141007090604</v>
      </c>
      <c r="M5467" s="38" t="n">
        <f aca="false">Sens!$M$5443+Sens!$M$5448+Sens!$M$5462+Sens!$M$5463-Sens!$M$5466</f>
        <v>37.359984207839</v>
      </c>
      <c r="N5467" s="38" t="n">
        <f aca="false">Sens!$N$5443+Sens!$N$5448+Sens!$N$5462+Sens!$N$5463-Sens!$N$5466</f>
        <v>10.6495</v>
      </c>
      <c r="O5467" s="38" t="n">
        <f aca="false">Sens!$O$5443+Sens!$O$5448+Sens!$O$5462+Sens!$O$5463-Sens!$O$5466</f>
        <v>9.81200000000001</v>
      </c>
    </row>
    <row r="5468" customFormat="false" ht="17.15" hidden="false" customHeight="false" outlineLevel="0" collapsed="false">
      <c r="A5468" s="0" t="s">
        <v>698</v>
      </c>
      <c r="B5468" s="0" t="s">
        <v>73</v>
      </c>
      <c r="C5468" s="38" t="n">
        <f aca="false">Sens!$C$5450+Sens!$C$5464-ext_sh*Sens!$C$5385</f>
        <v>51.3470500115664</v>
      </c>
      <c r="D5468" s="38" t="n">
        <f aca="false">Sens!$D$5450+Sens!$D$5464-ext_sh*Sens!$D$5385</f>
        <v>60.2799375433739</v>
      </c>
      <c r="E5468" s="38" t="n">
        <f aca="false">Sens!$E$5450+Sens!$E$5464-ext_sh*Sens!$E$5385</f>
        <v>39.5095167090767</v>
      </c>
      <c r="F5468" s="38" t="n">
        <f aca="false">Sens!$F$5450+Sens!$F$5464-ext_sh*Sens!$F$5385</f>
        <v>41.606724953129</v>
      </c>
      <c r="G5468" s="38" t="n">
        <f aca="false">Sens!$G$5450+Sens!$G$5464-ext_sh*Sens!$G$5385</f>
        <v>81.1162416622057</v>
      </c>
      <c r="H5468" s="38" t="n">
        <f aca="false">Sens!$H$5450+Sens!$H$5464-ext_sh*Sens!$H$5385</f>
        <v>95.7616595325849</v>
      </c>
      <c r="I5468" s="38" t="n">
        <f aca="false">Sens!$I$5450+Sens!$I$5464-ext_sh*Sens!$I$5385</f>
        <v>111.513312079935</v>
      </c>
      <c r="J5468" s="38" t="n">
        <f aca="false">Sens!$J$5450+Sens!$J$5464-ext_sh*Sens!$J$5385</f>
        <v>125.145150463955</v>
      </c>
      <c r="K5468" s="38" t="n">
        <f aca="false">Sens!$K$5450+Sens!$K$5464-ext_sh*Sens!$K$5385</f>
        <v>135.156762501071</v>
      </c>
      <c r="L5468" s="38" t="n">
        <f aca="false">Sens!$L$5450+Sens!$L$5464-ext_sh*Sens!$L$5385</f>
        <v>145.969303501157</v>
      </c>
      <c r="M5468" s="38" t="n">
        <f aca="false">Sens!$M$5450+Sens!$M$5464-ext_sh*Sens!$M$5385</f>
        <v>157.646847781249</v>
      </c>
      <c r="N5468" s="38" t="n">
        <f aca="false">Sens!$N$5450+Sens!$N$5464-ext_sh*Sens!$N$5385</f>
        <v>28.5693781401809</v>
      </c>
      <c r="O5468" s="38" t="n">
        <f aca="false">Sens!$O$5450+Sens!$O$5464-ext_sh*Sens!$O$5385</f>
        <v>31.7105594031931</v>
      </c>
    </row>
    <row r="5469" customFormat="false" ht="17.15" hidden="false" customHeight="false" outlineLevel="0" collapsed="false">
      <c r="A5469" s="0" t="s">
        <v>699</v>
      </c>
      <c r="B5469" s="0" t="s">
        <v>73</v>
      </c>
      <c r="C5469" s="38" t="n">
        <f aca="false">Sens!$C$5388</f>
        <v>1.80694998843362</v>
      </c>
      <c r="D5469" s="38" t="n">
        <f aca="false">Sens!$D$5388</f>
        <v>6.77606245662607</v>
      </c>
      <c r="E5469" s="38" t="n">
        <f aca="false">Sens!$E$5388</f>
        <v>6.62548329092326</v>
      </c>
      <c r="F5469" s="38" t="n">
        <f aca="false">Sens!$F$5388</f>
        <v>11.7200577158706</v>
      </c>
      <c r="G5469" s="38" t="n">
        <f aca="false">Sens!$G$5388</f>
        <v>18.3455410067939</v>
      </c>
      <c r="H5469" s="38" t="n">
        <f aca="false">Sens!$H$5388</f>
        <v>47.5171727060453</v>
      </c>
      <c r="I5469" s="38" t="n">
        <f aca="false">Sens!$I$5388</f>
        <v>80.5539692643667</v>
      </c>
      <c r="J5469" s="38" t="n">
        <f aca="false">Sens!$J$5388</f>
        <v>113.759316834883</v>
      </c>
      <c r="K5469" s="38" t="n">
        <f aca="false">Sens!$K$5388</f>
        <v>147.020848076132</v>
      </c>
      <c r="L5469" s="38" t="n">
        <f aca="false">Sens!$L$5388</f>
        <v>180.307917349531</v>
      </c>
      <c r="M5469" s="38" t="n">
        <f aca="false">Sens!$M$5388</f>
        <v>213.608737871012</v>
      </c>
      <c r="N5469" s="38" t="n">
        <f aca="false">Sens!$N$5388</f>
        <v>2.37162185981912</v>
      </c>
      <c r="O5469" s="38" t="n">
        <f aca="false">Sens!$O$5388</f>
        <v>4.40444059680694</v>
      </c>
    </row>
    <row r="5470" customFormat="false" ht="17.15" hidden="false" customHeight="false" outlineLevel="0" collapsed="false">
      <c r="A5470" s="0" t="s">
        <v>700</v>
      </c>
      <c r="B5470" s="0" t="s">
        <v>73</v>
      </c>
      <c r="C5470" s="38" t="n">
        <f aca="false">Sens!$C$5453+Sens!$C$5465</f>
        <v>100.66</v>
      </c>
      <c r="D5470" s="38" t="n">
        <f aca="false">Sens!$D$5453+Sens!$D$5465</f>
        <v>121.835</v>
      </c>
      <c r="E5470" s="38" t="n">
        <f aca="false">Sens!$E$5453+Sens!$E$5465</f>
        <v>78.016</v>
      </c>
      <c r="F5470" s="38" t="n">
        <f aca="false">Sens!$F$5453+Sens!$F$5465</f>
        <v>90.4929629579672</v>
      </c>
      <c r="G5470" s="38" t="n">
        <f aca="false">Sens!$G$5453+Sens!$G$5465</f>
        <v>168.508962957967</v>
      </c>
      <c r="H5470" s="38" t="n">
        <f aca="false">Sens!$H$5453+Sens!$H$5465</f>
        <v>223.323222861897</v>
      </c>
      <c r="I5470" s="38" t="n">
        <f aca="false">Sens!$I$5453+Sens!$I$5465</f>
        <v>282.963404043402</v>
      </c>
      <c r="J5470" s="38" t="n">
        <f aca="false">Sens!$J$5453+Sens!$J$5465</f>
        <v>340.070464072952</v>
      </c>
      <c r="K5470" s="38" t="n">
        <f aca="false">Sens!$K$5453+Sens!$K$5465</f>
        <v>392.262250211657</v>
      </c>
      <c r="L5470" s="38" t="n">
        <f aca="false">Sens!$L$5453+Sens!$L$5465</f>
        <v>444.559364384299</v>
      </c>
      <c r="M5470" s="38" t="n">
        <f aca="false">Sens!$M$5453+Sens!$M$5465</f>
        <v>498.670416967106</v>
      </c>
      <c r="N5470" s="38" t="n">
        <f aca="false">Sens!$N$5453+Sens!$N$5465</f>
        <v>56.398</v>
      </c>
      <c r="O5470" s="38" t="n">
        <f aca="false">Sens!$O$5453+Sens!$O$5465</f>
        <v>65.437</v>
      </c>
    </row>
    <row r="5471" customFormat="false" ht="17.15" hidden="false" customHeight="false" outlineLevel="0" collapsed="false">
      <c r="A5471" s="1" t="s">
        <v>701</v>
      </c>
    </row>
    <row r="5472" customFormat="false" ht="15" hidden="false" customHeight="false" outlineLevel="0" collapsed="false">
      <c r="A5472" s="5" t="s">
        <v>504</v>
      </c>
      <c r="B5472" s="0" t="s">
        <v>73</v>
      </c>
      <c r="C5472" s="38" t="n">
        <f aca="false">Q!$D$34</f>
        <v>2.406</v>
      </c>
      <c r="D5472" s="38" t="n">
        <f aca="false">Q!$E$34</f>
        <v>2.274</v>
      </c>
      <c r="E5472" s="38" t="n">
        <f aca="false">Q!$P$34</f>
        <v>2.114</v>
      </c>
      <c r="F5472" s="38" t="n">
        <f aca="false">Sens!$F$5508</f>
        <v>3.24888964316061</v>
      </c>
      <c r="G5472" s="38" t="n">
        <f aca="false">Sens!$E$5472+Sens!$F$5472</f>
        <v>5.36288964316061</v>
      </c>
      <c r="H5472" s="38" t="n">
        <f aca="false">Sens!$H$5508</f>
        <v>7.42354178632123</v>
      </c>
      <c r="I5472" s="38" t="n">
        <f aca="false">Sens!$I$5508</f>
        <v>7.51827597635917</v>
      </c>
      <c r="J5472" s="38" t="n">
        <f aca="false">Sens!$J$5508</f>
        <v>7.76994062068418</v>
      </c>
      <c r="K5472" s="38" t="n">
        <f aca="false">Sens!$K$5508</f>
        <v>7.76994062068418</v>
      </c>
      <c r="L5472" s="38" t="n">
        <f aca="false">Sens!$L$5508</f>
        <v>7.76994062068418</v>
      </c>
      <c r="M5472" s="38" t="n">
        <f aca="false">Sens!$M$5508</f>
        <v>7.76994062068418</v>
      </c>
      <c r="N5472" s="38" t="n">
        <f aca="false">Q!$N$34</f>
        <v>1.057</v>
      </c>
      <c r="O5472" s="38" t="n">
        <f aca="false">Q!$O$34</f>
        <v>1.217</v>
      </c>
    </row>
    <row r="5473" customFormat="false" ht="15" hidden="false" customHeight="false" outlineLevel="0" collapsed="false">
      <c r="A5473" s="5" t="s">
        <v>702</v>
      </c>
      <c r="B5473" s="0" t="s">
        <v>73</v>
      </c>
      <c r="F5473" s="38" t="n">
        <f aca="false">Sens!$F$5509</f>
        <v>2.59</v>
      </c>
      <c r="H5473" s="38" t="n">
        <f aca="false">Sens!$H$5509</f>
        <v>4.00971603121774</v>
      </c>
      <c r="I5473" s="38" t="n">
        <f aca="false">Sens!$I$5509</f>
        <v>2.10589651022864</v>
      </c>
      <c r="J5473" s="38" t="n">
        <f aca="false">Sens!$J$5509</f>
        <v>2.10589651022864</v>
      </c>
      <c r="K5473" s="38" t="n">
        <f aca="false">Sens!$K$5509</f>
        <v>3.77985822695893</v>
      </c>
      <c r="L5473" s="38" t="n">
        <f aca="false">Sens!$L$5509</f>
        <v>7.24081936505971</v>
      </c>
      <c r="M5473" s="38" t="n">
        <f aca="false">Sens!$M$5509</f>
        <v>11.205150593419</v>
      </c>
    </row>
    <row r="5474" customFormat="false" ht="17.15" hidden="false" customHeight="false" outlineLevel="0" collapsed="false">
      <c r="A5474" s="5" t="s">
        <v>703</v>
      </c>
      <c r="B5474" s="0" t="s">
        <v>73</v>
      </c>
      <c r="C5474" s="38" t="n">
        <f aca="false">Q!$D$39</f>
        <v>2.427</v>
      </c>
      <c r="D5474" s="38" t="n">
        <f aca="false">Q!$E$39</f>
        <v>19.61</v>
      </c>
      <c r="E5474" s="38" t="n">
        <f aca="false">Q!$P$39</f>
        <v>71.492</v>
      </c>
      <c r="F5474" s="41" t="n">
        <v>0</v>
      </c>
      <c r="G5474" s="38" t="n">
        <f aca="false">Sens!$E$5474+Sens!$F$5474</f>
        <v>71.492</v>
      </c>
      <c r="H5474" s="41" t="n">
        <v>0</v>
      </c>
      <c r="I5474" s="41" t="n">
        <v>0</v>
      </c>
      <c r="J5474" s="41" t="n">
        <v>0</v>
      </c>
      <c r="K5474" s="41" t="n">
        <v>0</v>
      </c>
      <c r="L5474" s="41" t="n">
        <v>0</v>
      </c>
      <c r="M5474" s="41" t="n">
        <v>0</v>
      </c>
      <c r="N5474" s="38" t="n">
        <f aca="false">Q!$N$39</f>
        <v>6.017</v>
      </c>
      <c r="O5474" s="38" t="n">
        <f aca="false">Q!$O$39</f>
        <v>13.593</v>
      </c>
      <c r="P5474" s="5" t="s">
        <v>704</v>
      </c>
    </row>
    <row r="5475" customFormat="false" ht="15" hidden="false" customHeight="false" outlineLevel="0" collapsed="false">
      <c r="A5475" s="5" t="s">
        <v>507</v>
      </c>
      <c r="B5475" s="0" t="s">
        <v>73</v>
      </c>
      <c r="C5475" s="38" t="n">
        <f aca="false">Q!$D$36</f>
        <v>68.614</v>
      </c>
      <c r="D5475" s="38" t="n">
        <f aca="false">Q!$E$36</f>
        <v>97.311</v>
      </c>
      <c r="E5475" s="38" t="n">
        <f aca="false">Q!$P$36</f>
        <v>120.691</v>
      </c>
      <c r="F5475" s="38" t="n">
        <f aca="false">Sens!$F$5453-Sens!$F$5472+Sens!$F$5473+Sens!$F$5474</f>
        <v>59.2236875896856</v>
      </c>
      <c r="G5475" s="38" t="n">
        <f aca="false">Sens!$E$5475+Sens!$F$5475</f>
        <v>179.914687589686</v>
      </c>
      <c r="H5475" s="38" t="n">
        <f aca="false">Sens!$H$5453-Sens!$H$5472+Sens!$H$5473+Sens!$H$5474</f>
        <v>132.22487528741</v>
      </c>
      <c r="I5475" s="38" t="n">
        <f aca="false">Sens!$I$5453-Sens!$I$5472+Sens!$I$5473+Sens!$I$5474</f>
        <v>155.256254868633</v>
      </c>
      <c r="J5475" s="38" t="n">
        <f aca="false">Sens!$J$5453-Sens!$J$5472+Sens!$J$5473+Sens!$J$5474</f>
        <v>177.272457389275</v>
      </c>
      <c r="K5475" s="38" t="n">
        <f aca="false">Sens!$K$5453-Sens!$K$5472+Sens!$K$5473+Sens!$K$5474</f>
        <v>196.921534464333</v>
      </c>
      <c r="L5475" s="38" t="n">
        <f aca="false">Sens!$L$5453-Sens!$L$5472+Sens!$L$5473+Sens!$L$5474</f>
        <v>220.12100479332</v>
      </c>
      <c r="M5475" s="38" t="n">
        <f aca="false">Sens!$M$5453-Sens!$M$5472+Sens!$M$5473+Sens!$M$5474</f>
        <v>244.529307072564</v>
      </c>
      <c r="N5475" s="38" t="n">
        <f aca="false">Q!$N$36</f>
        <v>42.536</v>
      </c>
      <c r="O5475" s="38" t="n">
        <f aca="false">Q!$O$36</f>
        <v>54.775</v>
      </c>
    </row>
    <row r="5476" customFormat="false" ht="15" hidden="false" customHeight="false" outlineLevel="0" collapsed="false">
      <c r="A5476" s="5" t="s">
        <v>508</v>
      </c>
      <c r="B5476" s="0" t="s">
        <v>73</v>
      </c>
      <c r="C5476" s="38" t="n">
        <f aca="false">Q!$D$37</f>
        <v>9.265</v>
      </c>
      <c r="D5476" s="38" t="n">
        <f aca="false">Q!$E$37</f>
        <v>19.087</v>
      </c>
      <c r="E5476" s="38" t="n">
        <f aca="false">Q!$P$37</f>
        <v>27.759</v>
      </c>
      <c r="F5476" s="38" t="n">
        <f aca="false">Sens!$F$5475*tax</f>
        <v>10.2803157750071</v>
      </c>
      <c r="G5476" s="38" t="n">
        <f aca="false">Sens!$E$5476+Sens!$F$5476</f>
        <v>38.0393157750071</v>
      </c>
      <c r="H5476" s="38" t="n">
        <f aca="false">Sens!$H$5475*tax</f>
        <v>22.9521923842892</v>
      </c>
      <c r="I5476" s="38" t="n">
        <f aca="false">Sens!$I$5475*tax</f>
        <v>26.9500835063251</v>
      </c>
      <c r="J5476" s="38" t="n">
        <f aca="false">Sens!$J$5475*tax</f>
        <v>30.7717555988633</v>
      </c>
      <c r="K5476" s="38" t="n">
        <f aca="false">Sens!$K$5475*tax</f>
        <v>34.1825313414772</v>
      </c>
      <c r="L5476" s="38" t="n">
        <f aca="false">Sens!$L$5475*tax</f>
        <v>38.209600416393</v>
      </c>
      <c r="M5476" s="38" t="n">
        <f aca="false">Sens!$M$5475*tax</f>
        <v>42.4465040131586</v>
      </c>
      <c r="N5476" s="38" t="n">
        <f aca="false">Q!$N$37</f>
        <v>7.231</v>
      </c>
      <c r="O5476" s="38" t="n">
        <f aca="false">Q!$O$37</f>
        <v>11.856</v>
      </c>
    </row>
    <row r="5477" customFormat="false" ht="15" hidden="false" customHeight="false" outlineLevel="0" collapsed="false">
      <c r="A5477" s="3" t="s">
        <v>509</v>
      </c>
      <c r="B5477" s="8" t="s">
        <v>73</v>
      </c>
      <c r="C5477" s="38" t="n">
        <f aca="false">Q!$D$38</f>
        <v>59.248</v>
      </c>
      <c r="D5477" s="38" t="n">
        <f aca="false">Q!$E$38</f>
        <v>77.67</v>
      </c>
      <c r="E5477" s="38" t="n">
        <f aca="false">Q!$P$38</f>
        <v>92.902</v>
      </c>
      <c r="F5477" s="38" t="n">
        <f aca="false">Sens!$F$5475-Sens!$F$5476</f>
        <v>48.9433718146785</v>
      </c>
      <c r="G5477" s="38" t="n">
        <f aca="false">Sens!$E$5477+Sens!$F$5477</f>
        <v>141.845371814679</v>
      </c>
      <c r="H5477" s="38" t="n">
        <f aca="false">Sens!$H$5475-Sens!$H$5476</f>
        <v>109.272682903121</v>
      </c>
      <c r="I5477" s="38" t="n">
        <f aca="false">Sens!$I$5475-Sens!$I$5476</f>
        <v>128.306171362308</v>
      </c>
      <c r="J5477" s="38" t="n">
        <f aca="false">Sens!$J$5475-Sens!$J$5476</f>
        <v>146.500701790412</v>
      </c>
      <c r="K5477" s="38" t="n">
        <f aca="false">Sens!$K$5475-Sens!$K$5476</f>
        <v>162.739003122855</v>
      </c>
      <c r="L5477" s="38" t="n">
        <f aca="false">Sens!$L$5475-Sens!$L$5476</f>
        <v>181.911404376927</v>
      </c>
      <c r="M5477" s="38" t="n">
        <f aca="false">Sens!$M$5475-Sens!$M$5476</f>
        <v>202.082803059406</v>
      </c>
      <c r="N5477" s="38" t="n">
        <f aca="false">Q!$N$38</f>
        <v>35.291</v>
      </c>
      <c r="O5477" s="38" t="n">
        <f aca="false">Q!$O$38</f>
        <v>42.379</v>
      </c>
    </row>
    <row r="5478" customFormat="false" ht="17.15" hidden="false" customHeight="false" outlineLevel="0" collapsed="false">
      <c r="A5478" s="5" t="s">
        <v>512</v>
      </c>
      <c r="B5478" s="5" t="s">
        <v>33</v>
      </c>
      <c r="C5478" s="22" t="n">
        <f aca="false">Q!$D$41</f>
        <v>10.721</v>
      </c>
      <c r="D5478" s="22" t="n">
        <f aca="false">Q!$E$41</f>
        <v>10.827</v>
      </c>
      <c r="E5478" s="22" t="n">
        <f aca="false">(Q!$L$41+Q!$M$41)/2</f>
        <v>10.8885</v>
      </c>
      <c r="F5478" s="22" t="n">
        <f aca="false">Sens!$G$5478</f>
        <v>10.924806</v>
      </c>
      <c r="G5478" s="22" t="n">
        <f aca="false">Q!$M$41*(1+sh_g*0.25)</f>
        <v>10.924806</v>
      </c>
      <c r="H5478" s="22" t="n">
        <f aca="false">Sens!$G$5478*(1+sh_g)</f>
        <v>11.012204448</v>
      </c>
      <c r="I5478" s="22" t="n">
        <f aca="false">Sens!$H$5478*(1+sh_g)</f>
        <v>11.100302083584</v>
      </c>
      <c r="J5478" s="22" t="n">
        <f aca="false">Sens!$I$5478*(1+sh_g)</f>
        <v>11.1891045002527</v>
      </c>
      <c r="K5478" s="22" t="n">
        <f aca="false">Sens!$J$5478*(1+sh_g)</f>
        <v>11.2786173362547</v>
      </c>
      <c r="L5478" s="22" t="n">
        <f aca="false">Sens!$K$5478*(1+sh_g)</f>
        <v>11.3688462749447</v>
      </c>
      <c r="M5478" s="22" t="n">
        <f aca="false">Sens!$L$5478*(1+sh_g)</f>
        <v>11.4597970451443</v>
      </c>
      <c r="P5478" s="5" t="s">
        <v>705</v>
      </c>
    </row>
    <row r="5479" customFormat="false" ht="17.15" hidden="false" customHeight="false" outlineLevel="0" collapsed="false">
      <c r="A5479" s="42" t="s">
        <v>706</v>
      </c>
      <c r="B5479" s="13" t="s">
        <v>27</v>
      </c>
      <c r="C5479" s="43" t="n">
        <f aca="false">Sens!$C$5477/Sens!$C$5478</f>
        <v>5.52635015390355</v>
      </c>
      <c r="D5479" s="43" t="n">
        <f aca="false">Sens!$D$5477/Sens!$D$5478</f>
        <v>7.1737323358271</v>
      </c>
      <c r="E5479" s="43" t="n">
        <f aca="false">Sens!$E$5477/Sens!$E$5478</f>
        <v>8.53212104513937</v>
      </c>
      <c r="F5479" s="13"/>
      <c r="G5479" s="43" t="n">
        <f aca="false">Sens!$G$5477/Sens!$G$5478</f>
        <v>12.9837886196495</v>
      </c>
      <c r="H5479" s="43" t="n">
        <f aca="false">Sens!$H$5477/Sens!$H$5478</f>
        <v>9.92287088558062</v>
      </c>
      <c r="I5479" s="43" t="n">
        <f aca="false">Sens!$I$5477/Sens!$I$5478</f>
        <v>11.5587999674403</v>
      </c>
      <c r="J5479" s="43" t="n">
        <f aca="false">Sens!$J$5477/Sens!$J$5478</f>
        <v>13.0931569892035</v>
      </c>
      <c r="K5479" s="43" t="n">
        <f aca="false">Sens!$K$5477/Sens!$K$5478</f>
        <v>14.4289852444711</v>
      </c>
      <c r="L5479" s="43" t="n">
        <f aca="false">Sens!$L$5477/Sens!$L$5478</f>
        <v>16.0008676322621</v>
      </c>
      <c r="M5479" s="43" t="n">
        <f aca="false">Sens!$M$5477/Sens!$M$5478</f>
        <v>17.6340647450673</v>
      </c>
      <c r="N5479" s="13"/>
      <c r="O5479" s="13"/>
    </row>
    <row r="5480" customFormat="false" ht="17.15" hidden="false" customHeight="false" outlineLevel="0" collapsed="false">
      <c r="A5480" s="0" t="s">
        <v>707</v>
      </c>
      <c r="B5480" s="0" t="s">
        <v>27</v>
      </c>
      <c r="C5480" s="30" t="n">
        <f aca="false">(Sens!$C$5477-Sens!$C$5474*(1-tax))/Sens!$C$5478</f>
        <v>5.33926775917445</v>
      </c>
      <c r="D5480" s="30" t="n">
        <f aca="false">(Sens!$D$5477-Sens!$D$5474*(1-tax))/Sens!$D$5478</f>
        <v>5.67691812755503</v>
      </c>
      <c r="E5480" s="30" t="n">
        <f aca="false">(Sens!$E$5477-Sens!$E$5474*(1-tax))/Sens!$E$5478</f>
        <v>3.10602057006846</v>
      </c>
      <c r="G5480" s="30" t="n">
        <f aca="false">(Sens!$G$5477-Sens!$G$5474*(1-tax))/Sens!$G$5478</f>
        <v>7.57572050175252</v>
      </c>
      <c r="H5480" s="30" t="n">
        <f aca="false">(Sens!$H$5477-Sens!$H$5474*(1-tax))/Sens!$H$5478</f>
        <v>9.92287088558062</v>
      </c>
      <c r="I5480" s="30" t="n">
        <f aca="false">(Sens!$I$5477-Sens!$I$5474*(1-tax))/Sens!$I$5478</f>
        <v>11.5587999674403</v>
      </c>
      <c r="J5480" s="30" t="n">
        <f aca="false">(Sens!$J$5477-Sens!$J$5474*(1-tax))/Sens!$J$5478</f>
        <v>13.0931569892035</v>
      </c>
      <c r="K5480" s="30" t="n">
        <f aca="false">(Sens!$K$5477-Sens!$K$5474*(1-tax))/Sens!$K$5478</f>
        <v>14.4289852444711</v>
      </c>
      <c r="L5480" s="30" t="n">
        <f aca="false">(Sens!$L$5477-Sens!$L$5474*(1-tax))/Sens!$L$5478</f>
        <v>16.0008676322621</v>
      </c>
      <c r="M5480" s="30" t="n">
        <f aca="false">(Sens!$M$5477-Sens!$M$5474*(1-tax))/Sens!$M$5478</f>
        <v>17.6340647450673</v>
      </c>
      <c r="P5480" s="5" t="s">
        <v>708</v>
      </c>
    </row>
    <row r="5481" customFormat="false" ht="17.15" hidden="false" customHeight="false" outlineLevel="0" collapsed="false">
      <c r="A5481" s="0" t="s">
        <v>709</v>
      </c>
      <c r="B5481" s="0" t="s">
        <v>52</v>
      </c>
      <c r="H5481" s="12" t="n">
        <f aca="false">Sens!$H$5479/Sens!$G$5479-1</f>
        <v>-0.23574919645846</v>
      </c>
      <c r="I5481" s="12" t="n">
        <f aca="false">Sens!$I$5479/Sens!$H$5479-1</f>
        <v>0.164864493423664</v>
      </c>
      <c r="J5481" s="12" t="n">
        <f aca="false">Sens!$J$5479/Sens!$I$5479-1</f>
        <v>0.132743626162345</v>
      </c>
      <c r="K5481" s="12" t="n">
        <f aca="false">Sens!$K$5479/Sens!$J$5479-1</f>
        <v>0.102024917013454</v>
      </c>
      <c r="L5481" s="12" t="n">
        <f aca="false">Sens!$L$5479/Sens!$K$5479-1</f>
        <v>0.108939219297719</v>
      </c>
      <c r="M5481" s="12" t="n">
        <f aca="false">Sens!$M$5479/Sens!$L$5479-1</f>
        <v>0.102069284637555</v>
      </c>
    </row>
    <row r="5484" customFormat="false" ht="19.4" hidden="false" customHeight="false" outlineLevel="0" collapsed="false">
      <c r="A5484" s="31" t="s">
        <v>1163</v>
      </c>
    </row>
    <row r="5485" customFormat="false" ht="17.15" hidden="false" customHeight="false" outlineLevel="0" collapsed="false">
      <c r="A5485" s="6" t="s">
        <v>16</v>
      </c>
      <c r="B5485" s="6" t="s">
        <v>17</v>
      </c>
      <c r="C5485" s="20" t="s">
        <v>457</v>
      </c>
      <c r="D5485" s="20" t="s">
        <v>458</v>
      </c>
      <c r="E5485" s="20" t="s">
        <v>540</v>
      </c>
      <c r="F5485" s="20" t="s">
        <v>541</v>
      </c>
      <c r="G5485" s="20" t="s">
        <v>542</v>
      </c>
      <c r="H5485" s="20" t="s">
        <v>543</v>
      </c>
      <c r="I5485" s="20" t="s">
        <v>544</v>
      </c>
      <c r="J5485" s="20" t="s">
        <v>545</v>
      </c>
      <c r="K5485" s="20" t="s">
        <v>546</v>
      </c>
      <c r="L5485" s="20" t="s">
        <v>547</v>
      </c>
      <c r="M5485" s="20" t="s">
        <v>548</v>
      </c>
      <c r="N5485" s="20" t="s">
        <v>549</v>
      </c>
      <c r="O5485" s="20" t="s">
        <v>550</v>
      </c>
      <c r="P5485" s="6" t="s">
        <v>23</v>
      </c>
      <c r="R5485" s="20" t="n">
        <v>2023</v>
      </c>
      <c r="S5485" s="20" t="n">
        <v>2024</v>
      </c>
      <c r="T5485" s="20" t="n">
        <v>2025</v>
      </c>
      <c r="U5485" s="20" t="n">
        <v>2026</v>
      </c>
      <c r="V5485" s="20" t="n">
        <v>2027</v>
      </c>
      <c r="W5485" s="20" t="n">
        <v>2028</v>
      </c>
      <c r="X5485" s="20" t="n">
        <v>2029</v>
      </c>
      <c r="Y5485" s="20" t="n">
        <v>2030</v>
      </c>
      <c r="Z5485" s="20" t="n">
        <v>2031</v>
      </c>
      <c r="AA5485" s="20" t="n">
        <v>2032</v>
      </c>
    </row>
    <row r="5486" customFormat="false" ht="15" hidden="false" customHeight="false" outlineLevel="0" collapsed="false">
      <c r="A5486" s="5" t="s">
        <v>509</v>
      </c>
      <c r="B5486" s="0" t="s">
        <v>73</v>
      </c>
      <c r="C5486" s="38" t="n">
        <f aca="false">Sens!$C$5477</f>
        <v>59.248</v>
      </c>
      <c r="D5486" s="38" t="n">
        <f aca="false">Sens!$D$5477</f>
        <v>77.67</v>
      </c>
      <c r="E5486" s="38" t="n">
        <f aca="false">Sens!$E$5477</f>
        <v>92.902</v>
      </c>
      <c r="F5486" s="38" t="n">
        <f aca="false">Sens!$F$5477</f>
        <v>48.9433718146785</v>
      </c>
      <c r="G5486" s="38" t="n">
        <f aca="false">Sens!$G$5477</f>
        <v>141.845371814679</v>
      </c>
      <c r="H5486" s="38" t="n">
        <f aca="false">Sens!$H$5477</f>
        <v>109.272682903121</v>
      </c>
      <c r="I5486" s="38" t="n">
        <f aca="false">Sens!$I$5477</f>
        <v>128.306171362308</v>
      </c>
      <c r="J5486" s="38" t="n">
        <f aca="false">Sens!$J$5477</f>
        <v>146.500701790412</v>
      </c>
      <c r="K5486" s="38" t="n">
        <f aca="false">Sens!$K$5477</f>
        <v>162.739003122855</v>
      </c>
      <c r="L5486" s="38" t="n">
        <f aca="false">Sens!$L$5477</f>
        <v>181.911404376927</v>
      </c>
      <c r="M5486" s="38" t="n">
        <f aca="false">Sens!$M$5477</f>
        <v>202.082803059406</v>
      </c>
    </row>
    <row r="5487" customFormat="false" ht="17.15" hidden="false" customHeight="false" outlineLevel="0" collapsed="false">
      <c r="A5487" s="5" t="s">
        <v>731</v>
      </c>
      <c r="B5487" s="0" t="s">
        <v>73</v>
      </c>
      <c r="C5487" s="38" t="n">
        <f aca="false">Sens!$C$5465</f>
        <v>32.067</v>
      </c>
      <c r="D5487" s="38" t="n">
        <f aca="false">Sens!$D$5465</f>
        <v>41.86</v>
      </c>
      <c r="E5487" s="38" t="n">
        <f aca="false">Sens!$E$5465</f>
        <v>26.703</v>
      </c>
      <c r="F5487" s="38" t="n">
        <f aca="false">Sens!$F$5465</f>
        <v>30.6103857251209</v>
      </c>
      <c r="G5487" s="38" t="n">
        <f aca="false">Sens!$G$5465</f>
        <v>57.3133857251209</v>
      </c>
      <c r="H5487" s="38" t="n">
        <f aca="false">Sens!$H$5465</f>
        <v>87.6845218193838</v>
      </c>
      <c r="I5487" s="38" t="n">
        <f aca="false">Sens!$I$5465</f>
        <v>122.294769708638</v>
      </c>
      <c r="J5487" s="38" t="n">
        <f aca="false">Sens!$J$5465</f>
        <v>157.133962573221</v>
      </c>
      <c r="K5487" s="38" t="n">
        <f aca="false">Sens!$K$5465</f>
        <v>191.350633353599</v>
      </c>
      <c r="L5487" s="38" t="n">
        <f aca="false">Sens!$L$5465</f>
        <v>223.909238335354</v>
      </c>
      <c r="M5487" s="38" t="n">
        <f aca="false">Sens!$M$5465</f>
        <v>257.576319867276</v>
      </c>
    </row>
    <row r="5488" customFormat="false" ht="15" hidden="false" customHeight="false" outlineLevel="0" collapsed="false">
      <c r="A5488" s="5" t="s">
        <v>732</v>
      </c>
      <c r="B5488" s="0" t="s">
        <v>73</v>
      </c>
      <c r="C5488" s="38" t="n">
        <f aca="false">Q!$D$48</f>
        <v>22.011</v>
      </c>
      <c r="D5488" s="38" t="n">
        <f aca="false">Q!$E$48</f>
        <v>19.467</v>
      </c>
      <c r="E5488" s="38" t="n">
        <f aca="false">Q!$P$48</f>
        <v>10.07</v>
      </c>
      <c r="F5488" s="38" t="n">
        <f aca="false">sbc_r*Sens!$F$5409</f>
        <v>11.2170714500462</v>
      </c>
      <c r="G5488" s="38" t="n">
        <f aca="false">Sens!$E$5488+Sens!$F$5488</f>
        <v>21.2870714500462</v>
      </c>
      <c r="H5488" s="38" t="n">
        <f aca="false">sbc_r*Sens!$H$5409</f>
        <v>24.1772394325528</v>
      </c>
      <c r="I5488" s="38" t="n">
        <f aca="false">sbc_r*Sens!$I$5409</f>
        <v>27.6495284422397</v>
      </c>
      <c r="J5488" s="38" t="n">
        <f aca="false">sbc_r*Sens!$J$5409</f>
        <v>30.9042211184633</v>
      </c>
      <c r="K5488" s="38" t="n">
        <f aca="false">sbc_r*Sens!$K$5409</f>
        <v>33.8004145402678</v>
      </c>
      <c r="L5488" s="38" t="n">
        <f aca="false">sbc_r*Sens!$L$5409</f>
        <v>36.8322537652494</v>
      </c>
      <c r="M5488" s="38" t="n">
        <f aca="false">sbc_r*Sens!$M$5409</f>
        <v>40.0097627968013</v>
      </c>
    </row>
    <row r="5489" customFormat="false" ht="17.15" hidden="false" customHeight="false" outlineLevel="0" collapsed="false">
      <c r="A5489" s="5" t="s">
        <v>733</v>
      </c>
      <c r="B5489" s="0" t="s">
        <v>73</v>
      </c>
      <c r="C5489" s="38" t="n">
        <f aca="false">Q!$D$44-Sens!$C$5486-Sens!$C$5487-Sens!$C$5488</f>
        <v>2.551</v>
      </c>
      <c r="D5489" s="38" t="n">
        <f aca="false">Q!$E$44-Sens!$D$5486-Sens!$D$5487-Sens!$D$5488</f>
        <v>0.51700000000001</v>
      </c>
      <c r="E5489" s="38" t="n">
        <f aca="false">Q!$P$44-Sens!$E$5486-Sens!$E$5487-Sens!$E$5488</f>
        <v>-58.256</v>
      </c>
      <c r="F5489" s="38" t="n">
        <f aca="false">wc_2h26+oth_r*Sens!$F$5409</f>
        <v>7.34599241893378</v>
      </c>
      <c r="G5489" s="38" t="n">
        <f aca="false">Sens!$E$5489+Sens!$F$5489</f>
        <v>-50.9100075810662</v>
      </c>
      <c r="H5489" s="38" t="n">
        <f aca="false">oth_r*Sens!$H$5409</f>
        <v>11.6369707537667</v>
      </c>
      <c r="I5489" s="38" t="n">
        <f aca="false">oth_r*Sens!$I$5409</f>
        <v>13.3082502961262</v>
      </c>
      <c r="J5489" s="38" t="n">
        <f aca="false">oth_r*Sens!$J$5409</f>
        <v>14.8747965344332</v>
      </c>
      <c r="K5489" s="38" t="n">
        <f aca="false">oth_r*Sens!$K$5409</f>
        <v>16.2687901804328</v>
      </c>
      <c r="L5489" s="38" t="n">
        <f aca="false">oth_r*Sens!$L$5409</f>
        <v>17.7280727627002</v>
      </c>
      <c r="M5489" s="38" t="n">
        <f aca="false">oth_r*Sens!$M$5409</f>
        <v>19.2574690270319</v>
      </c>
      <c r="P5489" s="8" t="s">
        <v>734</v>
      </c>
    </row>
    <row r="5490" customFormat="false" ht="15" hidden="false" customHeight="false" outlineLevel="0" collapsed="false">
      <c r="A5490" s="3" t="s">
        <v>515</v>
      </c>
      <c r="B5490" s="8" t="s">
        <v>73</v>
      </c>
      <c r="C5490" s="38" t="n">
        <f aca="false">Q!$D$44</f>
        <v>115.877</v>
      </c>
      <c r="D5490" s="38" t="n">
        <f aca="false">Q!$E$44</f>
        <v>139.514</v>
      </c>
      <c r="E5490" s="38" t="n">
        <f aca="false">Q!$P$44</f>
        <v>71.419</v>
      </c>
      <c r="F5490" s="38" t="n">
        <f aca="false">Sens!$F$5486+Sens!$F$5487+Sens!$F$5488+Sens!$F$5489</f>
        <v>98.1168214087795</v>
      </c>
      <c r="G5490" s="38" t="n">
        <f aca="false">Sens!$E$5490+Sens!$F$5490</f>
        <v>169.535821408779</v>
      </c>
      <c r="H5490" s="38" t="n">
        <f aca="false">Sens!$H$5486+Sens!$H$5487+Sens!$H$5488+Sens!$H$5489</f>
        <v>232.771414908824</v>
      </c>
      <c r="I5490" s="38" t="n">
        <f aca="false">Sens!$I$5486+Sens!$I$5487+Sens!$I$5488+Sens!$I$5489</f>
        <v>291.558719809312</v>
      </c>
      <c r="J5490" s="38" t="n">
        <f aca="false">Sens!$J$5486+Sens!$J$5487+Sens!$J$5488+Sens!$J$5489</f>
        <v>349.413682016529</v>
      </c>
      <c r="K5490" s="38" t="n">
        <f aca="false">Sens!$K$5486+Sens!$K$5487+Sens!$K$5488+Sens!$K$5489</f>
        <v>404.158841197156</v>
      </c>
      <c r="L5490" s="38" t="n">
        <f aca="false">Sens!$L$5486+Sens!$L$5487+Sens!$L$5488+Sens!$L$5489</f>
        <v>460.380969240231</v>
      </c>
      <c r="M5490" s="38" t="n">
        <f aca="false">Sens!$M$5486+Sens!$M$5487+Sens!$M$5488+Sens!$M$5489</f>
        <v>518.926354750515</v>
      </c>
    </row>
    <row r="5491" customFormat="false" ht="17.15" hidden="false" customHeight="false" outlineLevel="0" collapsed="false">
      <c r="A5491" s="5" t="s">
        <v>735</v>
      </c>
      <c r="B5491" s="0" t="s">
        <v>73</v>
      </c>
      <c r="C5491" s="38" t="n">
        <f aca="false">Sens!$C$5378</f>
        <v>25.2781053077374</v>
      </c>
      <c r="D5491" s="38" t="n">
        <f aca="false">Sens!$D$5378</f>
        <v>69.5686316310026</v>
      </c>
      <c r="E5491" s="38" t="n">
        <f aca="false">Sens!$E$5378</f>
        <v>64.1899206485108</v>
      </c>
      <c r="F5491" s="38" t="n">
        <f aca="false">Sens!$F$5378</f>
        <v>96.2481299895</v>
      </c>
      <c r="G5491" s="38" t="n">
        <f aca="false">Sens!$G$5378</f>
        <v>160.438050638011</v>
      </c>
      <c r="H5491" s="38" t="n">
        <f aca="false">Sens!$H$5378</f>
        <v>198.57136494475</v>
      </c>
      <c r="I5491" s="38" t="n">
        <f aca="false">Sens!$I$5378</f>
        <v>204.6464699105</v>
      </c>
      <c r="J5491" s="38" t="n">
        <f aca="false">Sens!$J$5378</f>
        <v>209.8832381105</v>
      </c>
      <c r="K5491" s="38" t="n">
        <f aca="false">Sens!$K$5378</f>
        <v>215.1200063105</v>
      </c>
      <c r="L5491" s="38" t="n">
        <f aca="false">Sens!$L$5378</f>
        <v>251.7773837105</v>
      </c>
      <c r="M5491" s="38" t="n">
        <f aca="false">Sens!$M$5378</f>
        <v>311.87584476575</v>
      </c>
    </row>
    <row r="5492" customFormat="false" ht="17.15" hidden="false" customHeight="false" outlineLevel="0" collapsed="false">
      <c r="A5492" s="5" t="s">
        <v>736</v>
      </c>
      <c r="B5492" s="0" t="s">
        <v>73</v>
      </c>
      <c r="C5492" s="38" t="n">
        <f aca="false">cx_awso*Sens!$C$5407</f>
        <v>21.0469989286053</v>
      </c>
      <c r="D5492" s="38" t="n">
        <f aca="false">cx_awso*Sens!$D$5407</f>
        <v>24.0042459822698</v>
      </c>
      <c r="E5492" s="38" t="n">
        <f aca="false">cx_awso*Sens!$E$5407</f>
        <v>14.261729404886</v>
      </c>
      <c r="F5492" s="38" t="n">
        <f aca="false">cx_awso*Sens!$F$5407</f>
        <v>15.7190020837331</v>
      </c>
      <c r="G5492" s="38" t="n">
        <f aca="false">Sens!$E$5492+Sens!$F$5492</f>
        <v>29.9807314886191</v>
      </c>
      <c r="H5492" s="38" t="n">
        <f aca="false">cx_awso*Sens!$H$5407</f>
        <v>36.1787121536283</v>
      </c>
      <c r="I5492" s="38" t="n">
        <f aca="false">cx_awso*Sens!$I$5407</f>
        <v>42.1296794430021</v>
      </c>
      <c r="J5492" s="38" t="n">
        <f aca="false">cx_awso*Sens!$J$5407</f>
        <v>47.279781889299</v>
      </c>
      <c r="K5492" s="38" t="n">
        <f aca="false">cx_awso*Sens!$K$5407</f>
        <v>51.0621644404429</v>
      </c>
      <c r="L5492" s="38" t="n">
        <f aca="false">cx_awso*Sens!$L$5407</f>
        <v>55.1471375956783</v>
      </c>
      <c r="M5492" s="38" t="n">
        <f aca="false">cx_awso*Sens!$M$5407</f>
        <v>59.5589086033326</v>
      </c>
    </row>
    <row r="5493" customFormat="false" ht="17.15" hidden="false" customHeight="false" outlineLevel="0" collapsed="false">
      <c r="A5493" s="5" t="s">
        <v>737</v>
      </c>
      <c r="B5493" s="0" t="s">
        <v>73</v>
      </c>
      <c r="C5493" s="38" t="n">
        <f aca="false">Q!$D$46-Sens!$C$5491-Sens!$C$5492</f>
        <v>31.3328957636573</v>
      </c>
      <c r="D5493" s="38" t="n">
        <f aca="false">Q!$E$46-Sens!$D$5491-Sens!$D$5492</f>
        <v>34.7471223867276</v>
      </c>
      <c r="E5493" s="38" t="n">
        <f aca="false">Q!$P$46-Sens!$E$5491-Sens!$E$5492</f>
        <v>17.8583499466032</v>
      </c>
      <c r="F5493" s="38" t="n">
        <f aca="false">cx_rt*Sens!$F$5342</f>
        <v>21.0855744229195</v>
      </c>
      <c r="G5493" s="38" t="n">
        <f aca="false">Sens!$E$5493+Sens!$F$5493</f>
        <v>38.9439243695228</v>
      </c>
      <c r="H5493" s="38" t="n">
        <f aca="false">cx_rt*Sens!$H$5342</f>
        <v>43.1200434029767</v>
      </c>
      <c r="I5493" s="38" t="n">
        <f aca="false">cx_rt*Sens!$I$5342</f>
        <v>47.1583152318763</v>
      </c>
      <c r="J5493" s="38" t="n">
        <f aca="false">cx_rt*Sens!$J$5342</f>
        <v>50.9060281137911</v>
      </c>
      <c r="K5493" s="38" t="n">
        <f aca="false">cx_rt*Sens!$K$5342</f>
        <v>54.2035645673053</v>
      </c>
      <c r="L5493" s="38" t="n">
        <f aca="false">cx_rt*Sens!$L$5342</f>
        <v>57.7318979121519</v>
      </c>
      <c r="M5493" s="38" t="n">
        <f aca="false">cx_rt*Sens!$M$5342</f>
        <v>61.5084196557756</v>
      </c>
    </row>
    <row r="5494" customFormat="false" ht="15" hidden="false" customHeight="false" outlineLevel="0" collapsed="false">
      <c r="A5494" s="3" t="s">
        <v>738</v>
      </c>
      <c r="B5494" s="8" t="s">
        <v>73</v>
      </c>
      <c r="C5494" s="38" t="n">
        <f aca="false">Q!$D$46</f>
        <v>77.658</v>
      </c>
      <c r="D5494" s="38" t="n">
        <f aca="false">Q!$E$46</f>
        <v>128.32</v>
      </c>
      <c r="E5494" s="38" t="n">
        <f aca="false">Q!$P$46</f>
        <v>96.31</v>
      </c>
      <c r="F5494" s="38" t="n">
        <f aca="false">Sens!$F$5491+Sens!$F$5492+Sens!$F$5493</f>
        <v>133.052706496153</v>
      </c>
      <c r="G5494" s="38" t="n">
        <f aca="false">Sens!$E$5494+Sens!$F$5494</f>
        <v>229.362706496153</v>
      </c>
      <c r="H5494" s="38" t="n">
        <f aca="false">Sens!$H$5491+Sens!$H$5492+Sens!$H$5493</f>
        <v>277.870120501355</v>
      </c>
      <c r="I5494" s="38" t="n">
        <f aca="false">Sens!$I$5491+Sens!$I$5492+Sens!$I$5493</f>
        <v>293.934464585378</v>
      </c>
      <c r="J5494" s="38" t="n">
        <f aca="false">Sens!$J$5491+Sens!$J$5492+Sens!$J$5493</f>
        <v>308.06904811359</v>
      </c>
      <c r="K5494" s="38" t="n">
        <f aca="false">Sens!$K$5491+Sens!$K$5492+Sens!$K$5493</f>
        <v>320.385735318248</v>
      </c>
      <c r="L5494" s="38" t="n">
        <f aca="false">Sens!$L$5491+Sens!$L$5492+Sens!$L$5493</f>
        <v>364.65641921833</v>
      </c>
      <c r="M5494" s="38" t="n">
        <f aca="false">Sens!$M$5491+Sens!$M$5492+Sens!$M$5493</f>
        <v>432.943173024858</v>
      </c>
    </row>
    <row r="5495" customFormat="false" ht="17.15" hidden="false" customHeight="false" outlineLevel="0" collapsed="false">
      <c r="A5495" s="5" t="s">
        <v>523</v>
      </c>
      <c r="B5495" s="0" t="s">
        <v>73</v>
      </c>
      <c r="C5495" s="38" t="n">
        <f aca="false">Q!$D$50</f>
        <v>2.043</v>
      </c>
      <c r="D5495" s="38" t="n">
        <f aca="false">Q!$E$50</f>
        <v>1.557</v>
      </c>
      <c r="E5495" s="38" t="n">
        <f aca="false">lease_pr/2</f>
        <v>0.8</v>
      </c>
      <c r="F5495" s="38" t="n">
        <f aca="false">lease_pr/2</f>
        <v>0.8</v>
      </c>
      <c r="G5495" s="38" t="n">
        <f aca="false">Sens!$E$5495+Sens!$F$5495</f>
        <v>1.6</v>
      </c>
      <c r="H5495" s="38" t="n">
        <f aca="false">lease_pr</f>
        <v>1.6</v>
      </c>
      <c r="I5495" s="38" t="n">
        <f aca="false">lease_pr</f>
        <v>1.6</v>
      </c>
      <c r="J5495" s="38" t="n">
        <f aca="false">lease_pr</f>
        <v>1.6</v>
      </c>
      <c r="K5495" s="38" t="n">
        <f aca="false">lease_pr</f>
        <v>1.6</v>
      </c>
      <c r="L5495" s="38" t="n">
        <f aca="false">lease_pr</f>
        <v>1.6</v>
      </c>
      <c r="M5495" s="38" t="n">
        <f aca="false">lease_pr</f>
        <v>1.6</v>
      </c>
      <c r="P5495" s="8" t="s">
        <v>739</v>
      </c>
    </row>
    <row r="5496" customFormat="false" ht="15" hidden="false" customHeight="false" outlineLevel="0" collapsed="false">
      <c r="A5496" s="46" t="s">
        <v>740</v>
      </c>
      <c r="B5496" s="13" t="s">
        <v>73</v>
      </c>
      <c r="C5496" s="47" t="n">
        <f aca="false">Sens!$C$5490-Sens!$C$5494-Sens!$C$5495</f>
        <v>36.176</v>
      </c>
      <c r="D5496" s="47" t="n">
        <f aca="false">Sens!$D$5490-Sens!$D$5494-Sens!$D$5495</f>
        <v>9.63700000000002</v>
      </c>
      <c r="E5496" s="47" t="n">
        <f aca="false">Sens!$E$5490-Sens!$E$5494-Sens!$E$5495</f>
        <v>-25.691</v>
      </c>
      <c r="F5496" s="47" t="n">
        <f aca="false">Sens!$F$5490-Sens!$F$5494-Sens!$F$5495</f>
        <v>-35.7358850873731</v>
      </c>
      <c r="G5496" s="47" t="n">
        <f aca="false">Sens!$G$5490-Sens!$G$5494-Sens!$G$5495</f>
        <v>-61.4268850873731</v>
      </c>
      <c r="H5496" s="47" t="n">
        <f aca="false">Sens!$H$5490-Sens!$H$5494-Sens!$H$5495</f>
        <v>-46.6987055925312</v>
      </c>
      <c r="I5496" s="47" t="n">
        <f aca="false">Sens!$I$5490-Sens!$I$5494-Sens!$I$5495</f>
        <v>-3.97574477606648</v>
      </c>
      <c r="J5496" s="47" t="n">
        <f aca="false">Sens!$J$5490-Sens!$J$5494-Sens!$J$5495</f>
        <v>39.7446339029391</v>
      </c>
      <c r="K5496" s="47" t="n">
        <f aca="false">Sens!$K$5490-Sens!$K$5494-Sens!$K$5495</f>
        <v>82.1731058789073</v>
      </c>
      <c r="L5496" s="47" t="n">
        <f aca="false">Sens!$L$5490-Sens!$L$5494-Sens!$L$5495</f>
        <v>94.1245500219009</v>
      </c>
      <c r="M5496" s="47" t="n">
        <f aca="false">Sens!$M$5490-Sens!$M$5494-Sens!$M$5495</f>
        <v>84.3831817256571</v>
      </c>
      <c r="N5496" s="13"/>
      <c r="O5496" s="13"/>
    </row>
    <row r="5497" customFormat="false" ht="17.15" hidden="false" customHeight="false" outlineLevel="0" collapsed="false">
      <c r="A5497" s="5" t="s">
        <v>741</v>
      </c>
      <c r="B5497" s="0" t="s">
        <v>73</v>
      </c>
      <c r="C5497" s="38" t="n">
        <f aca="false">dps*Sens!$C$5478</f>
        <v>0</v>
      </c>
      <c r="D5497" s="38" t="n">
        <f aca="false">dps*Sens!$D$5478</f>
        <v>0</v>
      </c>
      <c r="E5497" s="38" t="n">
        <f aca="false">dps*Sens!$E$5478</f>
        <v>0</v>
      </c>
      <c r="F5497" s="38" t="n">
        <f aca="false">0</f>
        <v>0</v>
      </c>
      <c r="G5497" s="38" t="n">
        <f aca="false">dps*Sens!$G$5478</f>
        <v>0</v>
      </c>
      <c r="H5497" s="38" t="n">
        <f aca="false">dps*Sens!$H$5478</f>
        <v>0</v>
      </c>
      <c r="I5497" s="38" t="n">
        <f aca="false">dps*Sens!$I$5478</f>
        <v>0</v>
      </c>
      <c r="J5497" s="38" t="n">
        <f aca="false">dps*Sens!$J$5478</f>
        <v>0</v>
      </c>
      <c r="K5497" s="38" t="n">
        <f aca="false">dps*Sens!$K$5478</f>
        <v>0</v>
      </c>
      <c r="L5497" s="38" t="n">
        <f aca="false">dps*Sens!$L$5478</f>
        <v>0</v>
      </c>
      <c r="M5497" s="38" t="n">
        <f aca="false">dps*Sens!$M$5478</f>
        <v>0</v>
      </c>
      <c r="P5497" s="8" t="s">
        <v>742</v>
      </c>
    </row>
    <row r="5498" customFormat="false" ht="17.15" hidden="false" customHeight="false" outlineLevel="0" collapsed="false">
      <c r="A5498" s="5" t="s">
        <v>743</v>
      </c>
      <c r="B5498" s="0" t="s">
        <v>73</v>
      </c>
      <c r="C5498" s="38" t="n">
        <f aca="false">0</f>
        <v>0</v>
      </c>
      <c r="D5498" s="38" t="n">
        <f aca="false">0</f>
        <v>0</v>
      </c>
      <c r="E5498" s="38" t="n">
        <f aca="false">0</f>
        <v>0</v>
      </c>
      <c r="F5498" s="38" t="n">
        <f aca="false">0</f>
        <v>0</v>
      </c>
      <c r="G5498" s="38" t="n">
        <f aca="false">0</f>
        <v>0</v>
      </c>
      <c r="H5498" s="38" t="n">
        <f aca="false">0</f>
        <v>0</v>
      </c>
      <c r="I5498" s="38" t="n">
        <f aca="false">0</f>
        <v>0</v>
      </c>
      <c r="J5498" s="38" t="n">
        <f aca="false">0</f>
        <v>0</v>
      </c>
      <c r="K5498" s="38" t="n">
        <f aca="false">0</f>
        <v>0</v>
      </c>
      <c r="L5498" s="38" t="n">
        <f aca="false">0</f>
        <v>0</v>
      </c>
      <c r="M5498" s="38" t="n">
        <f aca="false">0</f>
        <v>0</v>
      </c>
      <c r="P5498" s="8" t="s">
        <v>744</v>
      </c>
    </row>
    <row r="5499" customFormat="false" ht="15" hidden="false" customHeight="false" outlineLevel="0" collapsed="false">
      <c r="A5499" s="3" t="s">
        <v>745</v>
      </c>
      <c r="B5499" s="8" t="s">
        <v>73</v>
      </c>
      <c r="C5499" s="38" t="n">
        <f aca="false">Sens!$C$5496-Sens!$C$5497</f>
        <v>36.176</v>
      </c>
      <c r="D5499" s="38" t="n">
        <f aca="false">Sens!$D$5496-Sens!$D$5497</f>
        <v>9.63700000000002</v>
      </c>
      <c r="E5499" s="38" t="n">
        <f aca="false">Sens!$E$5496-Sens!$E$5497</f>
        <v>-25.691</v>
      </c>
      <c r="F5499" s="38" t="n">
        <f aca="false">Sens!$F$5496-Sens!$F$5497</f>
        <v>-35.7358850873731</v>
      </c>
      <c r="G5499" s="38" t="n">
        <f aca="false">Sens!$G$5496-Sens!$G$5497</f>
        <v>-61.4268850873731</v>
      </c>
      <c r="H5499" s="38" t="n">
        <f aca="false">Sens!$H$5496-Sens!$H$5497</f>
        <v>-46.6987055925312</v>
      </c>
      <c r="I5499" s="38" t="n">
        <f aca="false">Sens!$I$5496-Sens!$I$5497</f>
        <v>-3.97574477606648</v>
      </c>
      <c r="J5499" s="38" t="n">
        <f aca="false">Sens!$J$5496-Sens!$J$5497</f>
        <v>39.7446339029391</v>
      </c>
      <c r="K5499" s="38" t="n">
        <f aca="false">Sens!$K$5496-Sens!$K$5497</f>
        <v>82.1731058789073</v>
      </c>
      <c r="L5499" s="38" t="n">
        <f aca="false">Sens!$L$5496-Sens!$L$5497</f>
        <v>94.1245500219009</v>
      </c>
      <c r="M5499" s="38" t="n">
        <f aca="false">Sens!$M$5496-Sens!$M$5497</f>
        <v>84.3831817256571</v>
      </c>
    </row>
    <row r="5500" customFormat="false" ht="17.15" hidden="false" customHeight="false" outlineLevel="0" collapsed="false">
      <c r="A5500" s="5" t="s">
        <v>746</v>
      </c>
      <c r="B5500" s="0" t="s">
        <v>73</v>
      </c>
      <c r="E5500" s="38" t="n">
        <f aca="false">Q!$P$53</f>
        <v>39.767</v>
      </c>
      <c r="F5500" s="38" t="n">
        <f aca="false">inv_2h26</f>
        <v>21.3</v>
      </c>
      <c r="G5500" s="38" t="n">
        <f aca="false">Sens!$E$5500+Sens!$F$5500</f>
        <v>61.067</v>
      </c>
      <c r="H5500" s="41" t="n">
        <v>0</v>
      </c>
      <c r="I5500" s="41" t="n">
        <v>0</v>
      </c>
      <c r="J5500" s="41" t="n">
        <v>0</v>
      </c>
      <c r="K5500" s="41" t="n">
        <v>0</v>
      </c>
      <c r="L5500" s="41" t="n">
        <v>0</v>
      </c>
      <c r="M5500" s="41" t="n">
        <v>0</v>
      </c>
    </row>
    <row r="5501" customFormat="false" ht="17.15" hidden="false" customHeight="false" outlineLevel="0" collapsed="false">
      <c r="A5501" s="5" t="s">
        <v>747</v>
      </c>
      <c r="B5501" s="0" t="s">
        <v>73</v>
      </c>
      <c r="F5501" s="38" t="n">
        <f aca="false">iss_2h26</f>
        <v>29.25</v>
      </c>
      <c r="G5501" s="38" t="n">
        <f aca="false">Sens!$F$5501</f>
        <v>29.25</v>
      </c>
      <c r="H5501" s="41" t="n">
        <v>0</v>
      </c>
      <c r="I5501" s="41" t="n">
        <v>0</v>
      </c>
      <c r="J5501" s="41" t="n">
        <v>0</v>
      </c>
      <c r="K5501" s="41" t="n">
        <v>0</v>
      </c>
      <c r="L5501" s="41" t="n">
        <v>0</v>
      </c>
      <c r="M5501" s="41" t="n">
        <v>0</v>
      </c>
    </row>
    <row r="5502" customFormat="false" ht="17.15" hidden="false" customHeight="false" outlineLevel="0" collapsed="false">
      <c r="A5502" s="5" t="s">
        <v>748</v>
      </c>
      <c r="B5502" s="0" t="s">
        <v>73</v>
      </c>
      <c r="F5502" s="38" t="n">
        <f aca="false">cash_q2</f>
        <v>122.988</v>
      </c>
      <c r="G5502" s="38" t="n">
        <f aca="false">cash_q2</f>
        <v>122.988</v>
      </c>
      <c r="H5502" s="38" t="n">
        <f aca="false">Sens!$G$5505</f>
        <v>95.2021149126269</v>
      </c>
      <c r="I5502" s="38" t="n">
        <f aca="false">Sens!$H$5505</f>
        <v>50</v>
      </c>
      <c r="J5502" s="38" t="n">
        <f aca="false">Sens!$I$5505</f>
        <v>50</v>
      </c>
      <c r="K5502" s="38" t="n">
        <f aca="false">Sens!$J$5505</f>
        <v>89.7446339029391</v>
      </c>
      <c r="L5502" s="38" t="n">
        <f aca="false">Sens!$K$5505</f>
        <v>171.917739781846</v>
      </c>
      <c r="M5502" s="38" t="n">
        <f aca="false">Sens!$L$5505</f>
        <v>266.042289803747</v>
      </c>
    </row>
    <row r="5503" customFormat="false" ht="15" hidden="false" customHeight="false" outlineLevel="0" collapsed="false">
      <c r="A5503" s="5" t="s">
        <v>749</v>
      </c>
      <c r="B5503" s="0" t="s">
        <v>73</v>
      </c>
      <c r="F5503" s="38" t="n">
        <f aca="false">Sens!$F$5502+Sens!$F$5499-Sens!$F$5498-Sens!$F$5500+Sens!$F$5501</f>
        <v>95.2021149126269</v>
      </c>
      <c r="H5503" s="38" t="n">
        <f aca="false">Sens!$H$5502+Sens!$H$5499-Sens!$H$5498-Sens!$H$5500+Sens!$H$5501</f>
        <v>48.5034093200957</v>
      </c>
      <c r="I5503" s="38" t="n">
        <f aca="false">Sens!$I$5502+Sens!$I$5499-Sens!$I$5498-Sens!$I$5500+Sens!$I$5501</f>
        <v>46.0242552239335</v>
      </c>
      <c r="J5503" s="38" t="n">
        <f aca="false">Sens!$J$5502+Sens!$J$5499-Sens!$J$5498-Sens!$J$5500+Sens!$J$5501</f>
        <v>89.7446339029391</v>
      </c>
      <c r="K5503" s="38" t="n">
        <f aca="false">Sens!$K$5502+Sens!$K$5499-Sens!$K$5498-Sens!$K$5500+Sens!$K$5501</f>
        <v>171.917739781846</v>
      </c>
      <c r="L5503" s="38" t="n">
        <f aca="false">Sens!$L$5502+Sens!$L$5499-Sens!$L$5498-Sens!$L$5500+Sens!$L$5501</f>
        <v>266.042289803747</v>
      </c>
      <c r="M5503" s="38" t="n">
        <f aca="false">Sens!$M$5502+Sens!$M$5499-Sens!$M$5498-Sens!$M$5500+Sens!$M$5501</f>
        <v>350.425471529404</v>
      </c>
    </row>
    <row r="5504" customFormat="false" ht="17.15" hidden="false" customHeight="false" outlineLevel="0" collapsed="false">
      <c r="A5504" s="5" t="s">
        <v>750</v>
      </c>
      <c r="B5504" s="0" t="s">
        <v>73</v>
      </c>
      <c r="F5504" s="38" t="n">
        <f aca="false">MAX(0,min_cash-Sens!$F$5503)</f>
        <v>0</v>
      </c>
      <c r="G5504" s="38" t="n">
        <f aca="false">Sens!$F$5504</f>
        <v>0</v>
      </c>
      <c r="H5504" s="38" t="n">
        <f aca="false">MAX(0,min_cash-Sens!$H$5503)</f>
        <v>1.49659067990431</v>
      </c>
      <c r="I5504" s="38" t="n">
        <f aca="false">MAX(0,min_cash-Sens!$I$5503)</f>
        <v>3.97574477606648</v>
      </c>
      <c r="J5504" s="38" t="n">
        <f aca="false">MAX(0,min_cash-Sens!$J$5503)</f>
        <v>0</v>
      </c>
      <c r="K5504" s="38" t="n">
        <f aca="false">MAX(0,min_cash-Sens!$K$5503)</f>
        <v>0</v>
      </c>
      <c r="L5504" s="38" t="n">
        <f aca="false">MAX(0,min_cash-Sens!$L$5503)</f>
        <v>0</v>
      </c>
      <c r="M5504" s="38" t="n">
        <f aca="false">MAX(0,min_cash-Sens!$M$5503)</f>
        <v>0</v>
      </c>
      <c r="P5504" s="5" t="s">
        <v>751</v>
      </c>
    </row>
    <row r="5505" customFormat="false" ht="15" hidden="false" customHeight="false" outlineLevel="0" collapsed="false">
      <c r="A5505" s="5" t="s">
        <v>752</v>
      </c>
      <c r="B5505" s="0" t="s">
        <v>73</v>
      </c>
      <c r="D5505" s="38" t="n">
        <f aca="false">Q!$E$61</f>
        <v>123.029</v>
      </c>
      <c r="E5505" s="38" t="n">
        <f aca="false">Q!$M$61</f>
        <v>122.988</v>
      </c>
      <c r="F5505" s="38" t="n">
        <f aca="false">Sens!$F$5503+Sens!$F$5504</f>
        <v>95.2021149126269</v>
      </c>
      <c r="G5505" s="38" t="n">
        <f aca="false">Sens!$F$5505</f>
        <v>95.2021149126269</v>
      </c>
      <c r="H5505" s="38" t="n">
        <f aca="false">Sens!$H$5503+Sens!$H$5504</f>
        <v>50</v>
      </c>
      <c r="I5505" s="38" t="n">
        <f aca="false">Sens!$I$5503+Sens!$I$5504</f>
        <v>50</v>
      </c>
      <c r="J5505" s="38" t="n">
        <f aca="false">Sens!$J$5503+Sens!$J$5504</f>
        <v>89.7446339029391</v>
      </c>
      <c r="K5505" s="38" t="n">
        <f aca="false">Sens!$K$5503+Sens!$K$5504</f>
        <v>171.917739781846</v>
      </c>
      <c r="L5505" s="38" t="n">
        <f aca="false">Sens!$L$5503+Sens!$L$5504</f>
        <v>266.042289803747</v>
      </c>
      <c r="M5505" s="38" t="n">
        <f aca="false">Sens!$M$5503+Sens!$M$5504</f>
        <v>350.425471529404</v>
      </c>
    </row>
    <row r="5506" customFormat="false" ht="15" hidden="false" customHeight="false" outlineLevel="0" collapsed="false">
      <c r="A5506" s="5" t="s">
        <v>753</v>
      </c>
      <c r="B5506" s="0" t="s">
        <v>73</v>
      </c>
      <c r="D5506" s="38" t="n">
        <f aca="false">Q!$E$62</f>
        <v>68.836</v>
      </c>
      <c r="E5506" s="38" t="n">
        <f aca="false">Q!$M$62</f>
        <v>132.995</v>
      </c>
      <c r="F5506" s="38" t="n">
        <f aca="false">debt_q2+Sens!$F$5501+Sens!$F$5504</f>
        <v>162.245</v>
      </c>
      <c r="G5506" s="38" t="n">
        <f aca="false">Sens!$F$5506</f>
        <v>162.245</v>
      </c>
      <c r="H5506" s="38" t="n">
        <f aca="false">Sens!$G$5506+Sens!$H$5504</f>
        <v>163.741590679904</v>
      </c>
      <c r="I5506" s="38" t="n">
        <f aca="false">Sens!$H$5506+Sens!$I$5504</f>
        <v>167.717335455971</v>
      </c>
      <c r="J5506" s="38" t="n">
        <f aca="false">Sens!$I$5506+Sens!$J$5504</f>
        <v>167.717335455971</v>
      </c>
      <c r="K5506" s="38" t="n">
        <f aca="false">Sens!$J$5506+Sens!$K$5504</f>
        <v>167.717335455971</v>
      </c>
      <c r="L5506" s="38" t="n">
        <f aca="false">Sens!$K$5506+Sens!$L$5504</f>
        <v>167.717335455971</v>
      </c>
      <c r="M5506" s="38" t="n">
        <f aca="false">Sens!$L$5506+Sens!$M$5504</f>
        <v>167.717335455971</v>
      </c>
    </row>
    <row r="5507" customFormat="false" ht="15" hidden="false" customHeight="false" outlineLevel="0" collapsed="false">
      <c r="A5507" s="5" t="s">
        <v>754</v>
      </c>
      <c r="B5507" s="0" t="s">
        <v>73</v>
      </c>
      <c r="D5507" s="38" t="n">
        <f aca="false">Sens!$D$5506-Sens!$D$5505</f>
        <v>-54.193</v>
      </c>
      <c r="E5507" s="38" t="n">
        <f aca="false">Sens!$E$5506-Sens!$E$5505</f>
        <v>10.007</v>
      </c>
      <c r="F5507" s="38" t="n">
        <f aca="false">Sens!$F$5506-Sens!$F$5505</f>
        <v>67.0428850873731</v>
      </c>
      <c r="G5507" s="38" t="n">
        <f aca="false">Sens!$G$5506-Sens!$G$5505</f>
        <v>67.0428850873731</v>
      </c>
      <c r="H5507" s="38" t="n">
        <f aca="false">Sens!$H$5506-Sens!$H$5505</f>
        <v>113.741590679904</v>
      </c>
      <c r="I5507" s="38" t="n">
        <f aca="false">Sens!$I$5506-Sens!$I$5505</f>
        <v>117.717335455971</v>
      </c>
      <c r="J5507" s="38" t="n">
        <f aca="false">Sens!$J$5506-Sens!$J$5505</f>
        <v>77.9727015530317</v>
      </c>
      <c r="K5507" s="38" t="n">
        <f aca="false">Sens!$K$5506-Sens!$K$5505</f>
        <v>-4.20040432587558</v>
      </c>
      <c r="L5507" s="38" t="n">
        <f aca="false">Sens!$L$5506-Sens!$L$5505</f>
        <v>-98.3249543477765</v>
      </c>
      <c r="M5507" s="38" t="n">
        <f aca="false">Sens!$M$5506-Sens!$M$5505</f>
        <v>-182.708136073434</v>
      </c>
    </row>
    <row r="5508" customFormat="false" ht="17.15" hidden="false" customHeight="false" outlineLevel="0" collapsed="false">
      <c r="A5508" s="5" t="s">
        <v>755</v>
      </c>
      <c r="B5508" s="0" t="s">
        <v>73</v>
      </c>
      <c r="F5508" s="38" t="n">
        <f aca="false">debt_q2*kd_book*0.5+iss_2h26*kd_new*0.25</f>
        <v>3.24888964316061</v>
      </c>
      <c r="H5508" s="38" t="n">
        <f aca="false">debt_q2*kd_book+(Sens!$G$5506-debt_q2)*kd_new</f>
        <v>7.42354178632123</v>
      </c>
      <c r="I5508" s="38" t="n">
        <f aca="false">debt_q2*kd_book+(Sens!$H$5506-debt_q2)*kd_new</f>
        <v>7.51827597635917</v>
      </c>
      <c r="J5508" s="38" t="n">
        <f aca="false">debt_q2*kd_book+(Sens!$I$5506-debt_q2)*kd_new</f>
        <v>7.76994062068418</v>
      </c>
      <c r="K5508" s="38" t="n">
        <f aca="false">debt_q2*kd_book+(Sens!$J$5506-debt_q2)*kd_new</f>
        <v>7.76994062068418</v>
      </c>
      <c r="L5508" s="38" t="n">
        <f aca="false">debt_q2*kd_book+(Sens!$K$5506-debt_q2)*kd_new</f>
        <v>7.76994062068418</v>
      </c>
      <c r="M5508" s="38" t="n">
        <f aca="false">debt_q2*kd_book+(Sens!$L$5506-debt_q2)*kd_new</f>
        <v>7.76994062068418</v>
      </c>
    </row>
    <row r="5509" customFormat="false" ht="17.15" hidden="false" customHeight="false" outlineLevel="0" collapsed="false">
      <c r="A5509" s="5" t="s">
        <v>756</v>
      </c>
      <c r="B5509" s="0" t="s">
        <v>73</v>
      </c>
      <c r="F5509" s="38" t="n">
        <f aca="false">cash_q2*y_cash*0.5</f>
        <v>2.59</v>
      </c>
      <c r="H5509" s="38" t="n">
        <f aca="false">Sens!$G$5505*y_cash</f>
        <v>4.00971603121774</v>
      </c>
      <c r="I5509" s="38" t="n">
        <f aca="false">Sens!$H$5505*y_cash</f>
        <v>2.10589651022864</v>
      </c>
      <c r="J5509" s="38" t="n">
        <f aca="false">Sens!$I$5505*y_cash</f>
        <v>2.10589651022864</v>
      </c>
      <c r="K5509" s="38" t="n">
        <f aca="false">Sens!$J$5505*y_cash</f>
        <v>3.77985822695893</v>
      </c>
      <c r="L5509" s="38" t="n">
        <f aca="false">Sens!$K$5505*y_cash</f>
        <v>7.24081936505971</v>
      </c>
      <c r="M5509" s="38" t="n">
        <f aca="false">Sens!$L$5505*y_cash</f>
        <v>11.205150593419</v>
      </c>
    </row>
    <row r="5510" customFormat="false" ht="17.15" hidden="false" customHeight="false" outlineLevel="0" collapsed="false">
      <c r="A5510" s="46" t="s">
        <v>757</v>
      </c>
      <c r="B5510" s="13" t="s">
        <v>73</v>
      </c>
      <c r="C5510" s="13"/>
      <c r="D5510" s="13"/>
      <c r="E5510" s="13"/>
      <c r="F5510" s="13"/>
      <c r="G5510" s="47" t="n">
        <f aca="false">SUM(Sens!$G$5499:$K$5499)</f>
        <v>9.81640432587554</v>
      </c>
      <c r="H5510" s="13"/>
      <c r="I5510" s="13"/>
      <c r="J5510" s="13"/>
      <c r="K5510" s="13"/>
      <c r="L5510" s="13"/>
      <c r="M5510" s="13"/>
      <c r="N5510" s="13"/>
      <c r="O5510" s="13"/>
    </row>
    <row r="5511" customFormat="false" ht="17.15" hidden="false" customHeight="false" outlineLevel="0" collapsed="false">
      <c r="A5511" s="0" t="s">
        <v>724</v>
      </c>
      <c r="B5511" s="0" t="s">
        <v>73</v>
      </c>
      <c r="G5511" s="38" t="n">
        <f aca="false">SUM(Sens!$G$5504:$K$5504)</f>
        <v>5.47233545597079</v>
      </c>
    </row>
    <row r="5514" customFormat="false" ht="19.4" hidden="false" customHeight="false" outlineLevel="0" collapsed="false">
      <c r="A5514" s="31" t="s">
        <v>1164</v>
      </c>
    </row>
    <row r="5515" customFormat="false" ht="17.15" hidden="false" customHeight="false" outlineLevel="0" collapsed="false">
      <c r="A5515" s="6" t="s">
        <v>16</v>
      </c>
      <c r="B5515" s="6" t="s">
        <v>17</v>
      </c>
      <c r="C5515" s="20" t="s">
        <v>457</v>
      </c>
      <c r="D5515" s="20" t="s">
        <v>458</v>
      </c>
      <c r="E5515" s="20" t="s">
        <v>540</v>
      </c>
      <c r="F5515" s="20" t="s">
        <v>541</v>
      </c>
      <c r="G5515" s="20" t="s">
        <v>542</v>
      </c>
      <c r="H5515" s="20" t="s">
        <v>543</v>
      </c>
      <c r="I5515" s="20" t="s">
        <v>544</v>
      </c>
      <c r="J5515" s="20" t="s">
        <v>545</v>
      </c>
      <c r="K5515" s="20" t="s">
        <v>546</v>
      </c>
      <c r="L5515" s="20" t="s">
        <v>547</v>
      </c>
      <c r="M5515" s="20" t="s">
        <v>548</v>
      </c>
      <c r="N5515" s="20" t="s">
        <v>549</v>
      </c>
      <c r="O5515" s="20" t="s">
        <v>550</v>
      </c>
      <c r="P5515" s="6" t="s">
        <v>23</v>
      </c>
      <c r="R5515" s="20" t="n">
        <v>2023</v>
      </c>
      <c r="S5515" s="20" t="n">
        <v>2024</v>
      </c>
      <c r="T5515" s="20" t="n">
        <v>2025</v>
      </c>
      <c r="U5515" s="20" t="n">
        <v>2026</v>
      </c>
      <c r="V5515" s="20" t="n">
        <v>2027</v>
      </c>
      <c r="W5515" s="20" t="n">
        <v>2028</v>
      </c>
      <c r="X5515" s="20" t="n">
        <v>2029</v>
      </c>
      <c r="Y5515" s="20" t="n">
        <v>2030</v>
      </c>
      <c r="Z5515" s="20" t="n">
        <v>2031</v>
      </c>
      <c r="AA5515" s="20" t="n">
        <v>2032</v>
      </c>
    </row>
    <row r="5516" customFormat="false" ht="17.15" hidden="false" customHeight="false" outlineLevel="0" collapsed="false">
      <c r="A5516" s="1" t="s">
        <v>852</v>
      </c>
    </row>
    <row r="5517" customFormat="false" ht="17.15" hidden="false" customHeight="false" outlineLevel="0" collapsed="false">
      <c r="A5517" s="0" t="s">
        <v>853</v>
      </c>
      <c r="B5517" s="0" t="s">
        <v>73</v>
      </c>
      <c r="H5517" s="38" t="n">
        <f aca="false">Sens!$H$5453*(1-tax)</f>
        <v>112.093921330558</v>
      </c>
      <c r="I5517" s="38" t="n">
        <f aca="false">Sens!$I$5453*(1-tax)</f>
        <v>132.779045500917</v>
      </c>
      <c r="J5517" s="38" t="n">
        <f aca="false">Sens!$J$5453*(1-tax)</f>
        <v>151.181555485193</v>
      </c>
      <c r="K5517" s="38" t="n">
        <f aca="false">Sens!$K$5453*(1-tax)</f>
        <v>166.036468953087</v>
      </c>
      <c r="L5517" s="38" t="n">
        <f aca="false">Sens!$L$5453*(1-tax)</f>
        <v>182.348678369869</v>
      </c>
      <c r="M5517" s="38" t="n">
        <f aca="false">Sens!$M$5453*(1-tax)</f>
        <v>199.243892383632</v>
      </c>
    </row>
    <row r="5518" customFormat="false" ht="15" hidden="false" customHeight="false" outlineLevel="0" collapsed="false">
      <c r="A5518" s="5" t="s">
        <v>854</v>
      </c>
      <c r="B5518" s="0" t="s">
        <v>73</v>
      </c>
      <c r="H5518" s="38" t="n">
        <f aca="false">Sens!$H$5465</f>
        <v>87.6845218193838</v>
      </c>
      <c r="I5518" s="38" t="n">
        <f aca="false">Sens!$I$5465</f>
        <v>122.294769708638</v>
      </c>
      <c r="J5518" s="38" t="n">
        <f aca="false">Sens!$J$5465</f>
        <v>157.133962573221</v>
      </c>
      <c r="K5518" s="38" t="n">
        <f aca="false">Sens!$K$5465</f>
        <v>191.350633353599</v>
      </c>
      <c r="L5518" s="38" t="n">
        <f aca="false">Sens!$L$5465</f>
        <v>223.909238335354</v>
      </c>
      <c r="M5518" s="38" t="n">
        <f aca="false">Sens!$M$5465</f>
        <v>257.576319867276</v>
      </c>
    </row>
    <row r="5519" customFormat="false" ht="15" hidden="false" customHeight="false" outlineLevel="0" collapsed="false">
      <c r="A5519" s="5" t="s">
        <v>855</v>
      </c>
      <c r="B5519" s="0" t="s">
        <v>73</v>
      </c>
      <c r="H5519" s="38" t="n">
        <f aca="false">Sens!$H$5494</f>
        <v>277.870120501355</v>
      </c>
      <c r="I5519" s="38" t="n">
        <f aca="false">Sens!$I$5494</f>
        <v>293.934464585378</v>
      </c>
      <c r="J5519" s="38" t="n">
        <f aca="false">Sens!$J$5494</f>
        <v>308.06904811359</v>
      </c>
      <c r="K5519" s="38" t="n">
        <f aca="false">Sens!$K$5494</f>
        <v>320.385735318248</v>
      </c>
      <c r="L5519" s="38" t="n">
        <f aca="false">Sens!$L$5494</f>
        <v>364.65641921833</v>
      </c>
      <c r="M5519" s="38" t="n">
        <f aca="false">Sens!$M$5494</f>
        <v>432.943173024858</v>
      </c>
    </row>
    <row r="5520" customFormat="false" ht="15" hidden="false" customHeight="false" outlineLevel="0" collapsed="false">
      <c r="A5520" s="5" t="s">
        <v>856</v>
      </c>
      <c r="B5520" s="0" t="s">
        <v>73</v>
      </c>
      <c r="H5520" s="38" t="n">
        <f aca="false">Sens!$H$5495</f>
        <v>1.6</v>
      </c>
      <c r="I5520" s="38" t="n">
        <f aca="false">Sens!$I$5495</f>
        <v>1.6</v>
      </c>
      <c r="J5520" s="38" t="n">
        <f aca="false">Sens!$J$5495</f>
        <v>1.6</v>
      </c>
      <c r="K5520" s="38" t="n">
        <f aca="false">Sens!$K$5495</f>
        <v>1.6</v>
      </c>
      <c r="L5520" s="38" t="n">
        <f aca="false">Sens!$L$5495</f>
        <v>1.6</v>
      </c>
      <c r="M5520" s="38" t="n">
        <f aca="false">Sens!$M$5495</f>
        <v>1.6</v>
      </c>
    </row>
    <row r="5521" customFormat="false" ht="15" hidden="false" customHeight="false" outlineLevel="0" collapsed="false">
      <c r="A5521" s="5" t="s">
        <v>857</v>
      </c>
      <c r="B5521" s="0" t="s">
        <v>73</v>
      </c>
      <c r="H5521" s="38" t="n">
        <f aca="false">Sens!$H$5489</f>
        <v>11.6369707537667</v>
      </c>
      <c r="I5521" s="38" t="n">
        <f aca="false">Sens!$I$5489</f>
        <v>13.3082502961262</v>
      </c>
      <c r="J5521" s="38" t="n">
        <f aca="false">Sens!$J$5489</f>
        <v>14.8747965344332</v>
      </c>
      <c r="K5521" s="38" t="n">
        <f aca="false">Sens!$K$5489</f>
        <v>16.2687901804328</v>
      </c>
      <c r="L5521" s="38" t="n">
        <f aca="false">Sens!$L$5489</f>
        <v>17.7280727627002</v>
      </c>
      <c r="M5521" s="38" t="n">
        <f aca="false">Sens!$M$5489</f>
        <v>19.2574690270319</v>
      </c>
    </row>
    <row r="5522" customFormat="false" ht="17.15" hidden="false" customHeight="false" outlineLevel="0" collapsed="false">
      <c r="A5522" s="1" t="s">
        <v>858</v>
      </c>
      <c r="B5522" s="8" t="s">
        <v>73</v>
      </c>
      <c r="H5522" s="38" t="n">
        <f aca="false">Sens!$H$5517+Sens!$H$5518-Sens!$H$5519-Sens!$H$5520+Sens!$H$5521</f>
        <v>-68.0547065976468</v>
      </c>
      <c r="I5522" s="38" t="n">
        <f aca="false">Sens!$I$5517+Sens!$I$5518-Sens!$I$5519-Sens!$I$5520+Sens!$I$5521</f>
        <v>-27.1523990796972</v>
      </c>
      <c r="J5522" s="38" t="n">
        <f aca="false">Sens!$J$5517+Sens!$J$5518-Sens!$J$5519-Sens!$J$5520+Sens!$J$5521</f>
        <v>13.5212664792573</v>
      </c>
      <c r="K5522" s="38" t="n">
        <f aca="false">Sens!$K$5517+Sens!$K$5518-Sens!$K$5519-Sens!$K$5520+Sens!$K$5521</f>
        <v>51.6701571688709</v>
      </c>
      <c r="L5522" s="38" t="n">
        <f aca="false">Sens!$L$5517+Sens!$L$5518-Sens!$L$5519-Sens!$L$5520+Sens!$L$5521</f>
        <v>57.7295702495933</v>
      </c>
      <c r="M5522" s="38" t="n">
        <f aca="false">Sens!$M$5517+Sens!$M$5518-Sens!$M$5519-Sens!$M$5520+Sens!$M$5521</f>
        <v>41.534508253082</v>
      </c>
    </row>
    <row r="5523" customFormat="false" ht="15" hidden="false" customHeight="false" outlineLevel="0" collapsed="false">
      <c r="A5523" s="5" t="s">
        <v>859</v>
      </c>
      <c r="B5523" s="0" t="s">
        <v>57</v>
      </c>
      <c r="H5523" s="51" t="n">
        <f aca="false">1/(1+wacc)^(2027-2026-0.5)</f>
        <v>0.942858177653364</v>
      </c>
      <c r="I5523" s="51" t="n">
        <f aca="false">1/(1+wacc)^(2028-2026-0.5)</f>
        <v>0.838183517758688</v>
      </c>
      <c r="J5523" s="51" t="n">
        <f aca="false">1/(1+wacc)^(2029-2026-0.5)</f>
        <v>0.745129677074952</v>
      </c>
      <c r="K5523" s="51" t="n">
        <f aca="false">1/(1+wacc)^(2030-2026-0.5)</f>
        <v>0.662406530186232</v>
      </c>
      <c r="L5523" s="51" t="n">
        <f aca="false">1/(1+wacc)^(2031-2026-0.5)</f>
        <v>0.588867179409399</v>
      </c>
      <c r="M5523" s="51" t="n">
        <f aca="false">1/(1+wacc)^(2032-2026-0.5)</f>
        <v>0.52349205387225</v>
      </c>
    </row>
    <row r="5524" customFormat="false" ht="15" hidden="false" customHeight="false" outlineLevel="0" collapsed="false">
      <c r="A5524" s="5" t="s">
        <v>860</v>
      </c>
      <c r="B5524" s="0" t="s">
        <v>73</v>
      </c>
      <c r="H5524" s="38" t="n">
        <f aca="false">Sens!$H$5522*Sens!$H$5523</f>
        <v>-64.1659366433916</v>
      </c>
      <c r="I5524" s="38" t="n">
        <f aca="false">Sens!$I$5522*Sens!$I$5523</f>
        <v>-22.7586933762084</v>
      </c>
      <c r="J5524" s="38" t="n">
        <f aca="false">Sens!$J$5522*Sens!$J$5523</f>
        <v>10.0750969253334</v>
      </c>
      <c r="K5524" s="38" t="n">
        <f aca="false">Sens!$K$5522*Sens!$K$5523</f>
        <v>34.226649524409</v>
      </c>
      <c r="L5524" s="38" t="n">
        <f aca="false">Sens!$L$5522*Sens!$L$5523</f>
        <v>33.9950492013948</v>
      </c>
      <c r="M5524" s="38" t="n">
        <f aca="false">Sens!$M$5522*Sens!$M$5523</f>
        <v>21.7429850319798</v>
      </c>
    </row>
    <row r="5525" customFormat="false" ht="15" hidden="false" customHeight="false" outlineLevel="0" collapsed="false">
      <c r="A5525" s="5" t="s">
        <v>861</v>
      </c>
      <c r="B5525" s="0" t="s">
        <v>73</v>
      </c>
      <c r="C5525" s="38" t="n">
        <f aca="false">SUM(Sens!$H$5524:$M$5524)</f>
        <v>13.115150663517</v>
      </c>
    </row>
    <row r="5526" customFormat="false" ht="17.15" hidden="false" customHeight="false" outlineLevel="0" collapsed="false">
      <c r="A5526" s="5" t="s">
        <v>862</v>
      </c>
      <c r="B5526" s="0" t="s">
        <v>73</v>
      </c>
      <c r="C5526" s="38" t="n">
        <f aca="false">Sens!$M$5517*(1+tg)*(1-tg/ronic_hi)/(wacc-tg)</f>
        <v>1838.45887624718</v>
      </c>
    </row>
    <row r="5527" customFormat="false" ht="15" hidden="false" customHeight="false" outlineLevel="0" collapsed="false">
      <c r="A5527" s="5" t="s">
        <v>863</v>
      </c>
      <c r="B5527" s="0" t="s">
        <v>73</v>
      </c>
      <c r="C5527" s="38" t="n">
        <f aca="false">Sens!$C$5526/(1+wacc)^6</f>
        <v>907.424259674235</v>
      </c>
    </row>
    <row r="5528" customFormat="false" ht="17.15" hidden="false" customHeight="false" outlineLevel="0" collapsed="false">
      <c r="A5528" s="5" t="s">
        <v>864</v>
      </c>
      <c r="B5528" s="0" t="s">
        <v>73</v>
      </c>
      <c r="C5528" s="38" t="n">
        <f aca="false">Sens!$C$5525+Sens!$C$5527</f>
        <v>920.539410337752</v>
      </c>
    </row>
    <row r="5529" customFormat="false" ht="17.15" hidden="false" customHeight="false" outlineLevel="0" collapsed="false">
      <c r="A5529" s="5" t="s">
        <v>865</v>
      </c>
      <c r="B5529" s="0" t="s">
        <v>52</v>
      </c>
      <c r="C5529" s="12" t="n">
        <f aca="false">Sens!$C$5527/Sens!$C$5528</f>
        <v>0.985752754834576</v>
      </c>
    </row>
    <row r="5530" customFormat="false" ht="17.15" hidden="false" customHeight="false" outlineLevel="0" collapsed="false">
      <c r="A5530" s="5" t="s">
        <v>866</v>
      </c>
      <c r="B5530" s="0" t="s">
        <v>73</v>
      </c>
      <c r="C5530" s="38" t="n">
        <f aca="false">Sens!$G$5507</f>
        <v>67.0428850873731</v>
      </c>
    </row>
    <row r="5531" customFormat="false" ht="17.15" hidden="false" customHeight="false" outlineLevel="0" collapsed="false">
      <c r="A5531" s="5" t="s">
        <v>867</v>
      </c>
      <c r="B5531" s="0" t="s">
        <v>73</v>
      </c>
      <c r="C5531" s="38" t="n">
        <f aca="false">(ant_val*ant_sh+oai_val*oai_sh)*(1-liq_disc)</f>
        <v>178.944</v>
      </c>
    </row>
    <row r="5532" customFormat="false" ht="15" hidden="false" customHeight="false" outlineLevel="0" collapsed="false">
      <c r="A5532" s="5" t="s">
        <v>868</v>
      </c>
      <c r="B5532" s="0" t="s">
        <v>73</v>
      </c>
      <c r="C5532" s="38" t="n">
        <f aca="false">Sens!$C$5528-Sens!$C$5530+Sens!$C$5531</f>
        <v>1032.44052525038</v>
      </c>
    </row>
    <row r="5533" customFormat="false" ht="17.15" hidden="false" customHeight="false" outlineLevel="0" collapsed="false">
      <c r="A5533" s="5" t="s">
        <v>869</v>
      </c>
      <c r="B5533" s="0" t="s">
        <v>27</v>
      </c>
      <c r="C5533" s="30" t="n">
        <f aca="false">Sens!$C$5532/sh_val</f>
        <v>93.6002842031857</v>
      </c>
    </row>
    <row r="5534" customFormat="false" ht="17.15" hidden="false" customHeight="false" outlineLevel="0" collapsed="false">
      <c r="A5534" s="1" t="s">
        <v>870</v>
      </c>
      <c r="B5534" s="8" t="s">
        <v>27</v>
      </c>
      <c r="C5534" s="30" t="n">
        <f aca="false">Sens!$C$5533*(1+ke)^tp_yf</f>
        <v>103.376358438288</v>
      </c>
    </row>
    <row r="5535" customFormat="false" ht="17.15" hidden="false" customHeight="false" outlineLevel="0" collapsed="false">
      <c r="A5535" s="3" t="s">
        <v>871</v>
      </c>
    </row>
    <row r="5536" customFormat="false" ht="17.15" hidden="false" customHeight="false" outlineLevel="0" collapsed="false">
      <c r="A5536" s="5" t="s">
        <v>872</v>
      </c>
      <c r="B5536" s="0" t="s">
        <v>73</v>
      </c>
      <c r="C5536" s="38" t="n">
        <f aca="false">0.25*Sens!$H$5466+0.75*Sens!$I$5466</f>
        <v>57.5541093268329</v>
      </c>
    </row>
    <row r="5537" customFormat="false" ht="15" hidden="false" customHeight="false" outlineLevel="0" collapsed="false">
      <c r="A5537" s="5" t="s">
        <v>873</v>
      </c>
      <c r="B5537" s="0" t="s">
        <v>57</v>
      </c>
      <c r="C5537" s="30" t="n">
        <f aca="false">m_ads*m_x</f>
        <v>9.11</v>
      </c>
    </row>
    <row r="5538" customFormat="false" ht="17.15" hidden="false" customHeight="false" outlineLevel="0" collapsed="false">
      <c r="A5538" s="5" t="s">
        <v>874</v>
      </c>
      <c r="B5538" s="0" t="s">
        <v>73</v>
      </c>
      <c r="C5538" s="38" t="n">
        <f aca="false">Sens!$C$5536*Sens!$C$5537</f>
        <v>524.317935967448</v>
      </c>
    </row>
    <row r="5539" customFormat="false" ht="17.15" hidden="false" customHeight="false" outlineLevel="0" collapsed="false">
      <c r="A5539" s="5" t="s">
        <v>875</v>
      </c>
      <c r="B5539" s="0" t="s">
        <v>73</v>
      </c>
      <c r="C5539" s="38" t="n">
        <f aca="false">0.25*Sens!$H$5467+0.75*Sens!$I$5467</f>
        <v>30.6290803533085</v>
      </c>
    </row>
    <row r="5540" customFormat="false" ht="15" hidden="false" customHeight="false" outlineLevel="0" collapsed="false">
      <c r="A5540" s="5" t="s">
        <v>876</v>
      </c>
      <c r="B5540" s="0" t="s">
        <v>57</v>
      </c>
      <c r="C5540" s="30" t="n">
        <f aca="false">m_retail*m_x</f>
        <v>17.72</v>
      </c>
    </row>
    <row r="5541" customFormat="false" ht="17.15" hidden="false" customHeight="false" outlineLevel="0" collapsed="false">
      <c r="A5541" s="5" t="s">
        <v>877</v>
      </c>
      <c r="B5541" s="0" t="s">
        <v>73</v>
      </c>
      <c r="C5541" s="38" t="n">
        <f aca="false">Sens!$C$5539*Sens!$C$5540</f>
        <v>542.747303860627</v>
      </c>
    </row>
    <row r="5542" customFormat="false" ht="17.15" hidden="false" customHeight="false" outlineLevel="0" collapsed="false">
      <c r="A5542" s="0" t="s">
        <v>878</v>
      </c>
      <c r="B5542" s="0" t="s">
        <v>73</v>
      </c>
      <c r="C5542" s="38" t="n">
        <f aca="false">0.25*Sens!$H$5468+0.75*Sens!$I$5468</f>
        <v>107.575398943098</v>
      </c>
    </row>
    <row r="5543" customFormat="false" ht="17.15" hidden="false" customHeight="false" outlineLevel="0" collapsed="false">
      <c r="A5543" s="0" t="s">
        <v>879</v>
      </c>
      <c r="B5543" s="0" t="s">
        <v>57</v>
      </c>
      <c r="C5543" s="30" t="n">
        <f aca="false">m_cloud*m_x</f>
        <v>13.82</v>
      </c>
    </row>
    <row r="5544" customFormat="false" ht="17.15" hidden="false" customHeight="false" outlineLevel="0" collapsed="false">
      <c r="A5544" s="0" t="s">
        <v>880</v>
      </c>
      <c r="B5544" s="0" t="s">
        <v>73</v>
      </c>
      <c r="C5544" s="38" t="n">
        <f aca="false">Sens!$C$5542*Sens!$C$5543</f>
        <v>1486.69201339361</v>
      </c>
    </row>
    <row r="5545" customFormat="false" ht="17.15" hidden="false" customHeight="false" outlineLevel="0" collapsed="false">
      <c r="A5545" s="0" t="s">
        <v>881</v>
      </c>
      <c r="B5545" s="0" t="s">
        <v>73</v>
      </c>
      <c r="C5545" s="38" t="n">
        <f aca="false">0.25*Sens!$H$5469+0.75*Sens!$I$5469</f>
        <v>72.2947701247864</v>
      </c>
    </row>
    <row r="5546" customFormat="false" ht="17.15" hidden="false" customHeight="false" outlineLevel="0" collapsed="false">
      <c r="A5546" s="0" t="s">
        <v>882</v>
      </c>
      <c r="B5546" s="0" t="s">
        <v>57</v>
      </c>
      <c r="C5546" s="30" t="n">
        <f aca="false">m_ai</f>
        <v>6</v>
      </c>
    </row>
    <row r="5547" customFormat="false" ht="17.15" hidden="false" customHeight="false" outlineLevel="0" collapsed="false">
      <c r="A5547" s="0" t="s">
        <v>883</v>
      </c>
      <c r="B5547" s="0" t="s">
        <v>73</v>
      </c>
      <c r="C5547" s="38" t="n">
        <f aca="false">Sens!$C$5545*Sens!$C$5546</f>
        <v>433.768620748718</v>
      </c>
    </row>
    <row r="5548" customFormat="false" ht="17.15" hidden="false" customHeight="false" outlineLevel="0" collapsed="false">
      <c r="A5548" s="5" t="s">
        <v>884</v>
      </c>
      <c r="B5548" s="0" t="s">
        <v>73</v>
      </c>
      <c r="C5548" s="38" t="n">
        <f aca="false">Sens!$C$5538+Sens!$C$5541+Sens!$C$5544+Sens!$C$5547</f>
        <v>2987.5258739704</v>
      </c>
    </row>
    <row r="5549" customFormat="false" ht="17.15" hidden="false" customHeight="false" outlineLevel="0" collapsed="false">
      <c r="A5549" s="5" t="s">
        <v>885</v>
      </c>
      <c r="B5549" s="0" t="s">
        <v>73</v>
      </c>
      <c r="C5549" s="38" t="n">
        <f aca="false">Sens!$H$5507</f>
        <v>113.741590679904</v>
      </c>
    </row>
    <row r="5550" customFormat="false" ht="15" hidden="false" customHeight="false" outlineLevel="0" collapsed="false">
      <c r="A5550" s="5" t="s">
        <v>886</v>
      </c>
      <c r="B5550" s="0" t="s">
        <v>73</v>
      </c>
      <c r="C5550" s="38" t="n">
        <f aca="false">Sens!$C$5548-Sens!$C$5549+Sens!$C$5531</f>
        <v>3052.7282832905</v>
      </c>
    </row>
    <row r="5551" customFormat="false" ht="15" hidden="false" customHeight="false" outlineLevel="0" collapsed="false">
      <c r="A5551" s="3" t="s">
        <v>887</v>
      </c>
      <c r="B5551" s="8" t="s">
        <v>27</v>
      </c>
      <c r="C5551" s="30" t="n">
        <f aca="false">Sens!$C$5550/sh_val</f>
        <v>276.758058137828</v>
      </c>
    </row>
    <row r="5552" customFormat="false" ht="17.15" hidden="false" customHeight="false" outlineLevel="0" collapsed="false">
      <c r="A5552" s="46" t="s">
        <v>888</v>
      </c>
      <c r="B5552" s="13" t="s">
        <v>27</v>
      </c>
      <c r="C5552" s="43" t="n">
        <f aca="false">w_dcf*Sens!$C$5534+(1-w_dcf)*Sens!$C$5551</f>
        <v>190.067208288058</v>
      </c>
      <c r="D5552" s="13"/>
      <c r="E5552" s="13"/>
      <c r="F5552" s="13"/>
      <c r="G5552" s="13"/>
      <c r="H5552" s="13"/>
      <c r="I5552" s="13"/>
      <c r="J5552" s="13"/>
      <c r="K5552" s="13"/>
      <c r="L5552" s="13"/>
      <c r="M5552" s="13"/>
      <c r="N5552" s="13"/>
      <c r="O5552" s="13"/>
    </row>
    <row r="5553" customFormat="false" ht="17.15" hidden="false" customHeight="false" outlineLevel="0" collapsed="false">
      <c r="A5553" s="5" t="s">
        <v>889</v>
      </c>
      <c r="B5553" s="0" t="s">
        <v>27</v>
      </c>
      <c r="C5553" s="30" t="n">
        <f aca="false">0.45*Sens!$C$5534+0.55*Sens!$C$5551</f>
        <v>198.736293273035</v>
      </c>
    </row>
    <row r="5556" customFormat="false" ht="19.4" hidden="false" customHeight="false" outlineLevel="0" collapsed="false">
      <c r="A5556" s="31" t="s">
        <v>1165</v>
      </c>
    </row>
    <row r="5557" customFormat="false" ht="17.15" hidden="false" customHeight="false" outlineLevel="0" collapsed="false">
      <c r="A5557" s="6" t="s">
        <v>16</v>
      </c>
      <c r="B5557" s="6" t="s">
        <v>17</v>
      </c>
      <c r="C5557" s="20" t="s">
        <v>457</v>
      </c>
      <c r="D5557" s="20" t="s">
        <v>458</v>
      </c>
      <c r="E5557" s="20" t="s">
        <v>540</v>
      </c>
      <c r="F5557" s="20" t="s">
        <v>541</v>
      </c>
      <c r="G5557" s="20" t="s">
        <v>542</v>
      </c>
      <c r="H5557" s="20" t="s">
        <v>543</v>
      </c>
      <c r="I5557" s="20" t="s">
        <v>544</v>
      </c>
      <c r="J5557" s="20" t="s">
        <v>545</v>
      </c>
      <c r="K5557" s="20" t="s">
        <v>546</v>
      </c>
      <c r="L5557" s="20" t="s">
        <v>547</v>
      </c>
      <c r="M5557" s="20" t="s">
        <v>548</v>
      </c>
      <c r="N5557" s="20" t="s">
        <v>549</v>
      </c>
      <c r="O5557" s="20" t="s">
        <v>550</v>
      </c>
      <c r="P5557" s="6" t="s">
        <v>23</v>
      </c>
      <c r="R5557" s="20" t="n">
        <v>2023</v>
      </c>
      <c r="S5557" s="20" t="n">
        <v>2024</v>
      </c>
      <c r="T5557" s="20" t="n">
        <v>2025</v>
      </c>
      <c r="U5557" s="20" t="n">
        <v>2026</v>
      </c>
      <c r="V5557" s="20" t="n">
        <v>2027</v>
      </c>
      <c r="W5557" s="20" t="n">
        <v>2028</v>
      </c>
      <c r="X5557" s="20" t="n">
        <v>2029</v>
      </c>
      <c r="Y5557" s="20" t="n">
        <v>2030</v>
      </c>
      <c r="Z5557" s="20" t="n">
        <v>2031</v>
      </c>
      <c r="AA5557" s="20" t="n">
        <v>2032</v>
      </c>
    </row>
    <row r="5558" customFormat="false" ht="17.15" hidden="false" customHeight="false" outlineLevel="0" collapsed="false">
      <c r="A5558" s="1" t="s">
        <v>621</v>
      </c>
    </row>
    <row r="5559" customFormat="false" ht="17.15" hidden="false" customHeight="false" outlineLevel="0" collapsed="false">
      <c r="A5559" s="0" t="s">
        <v>479</v>
      </c>
      <c r="B5559" s="0" t="s">
        <v>73</v>
      </c>
      <c r="C5559" s="38" t="n">
        <f aca="false">Q!$D$10</f>
        <v>247.029</v>
      </c>
      <c r="D5559" s="38" t="n">
        <f aca="false">Q!$E$10</f>
        <v>269.287</v>
      </c>
      <c r="E5559" s="38" t="n">
        <f aca="false">Q!$P$10</f>
        <v>134.686</v>
      </c>
      <c r="F5559" s="38" t="n">
        <f aca="false">Sens!$O$5559*(1+Sens!$F$5560)-pd_amt*Q!$O$10/(Q!$O$10+Q!$O$12)</f>
        <v>160.728085930082</v>
      </c>
      <c r="G5559" s="38" t="n">
        <f aca="false">Sens!$E$5559+Sens!$F$5559</f>
        <v>295.414085930082</v>
      </c>
      <c r="H5559" s="38" t="n">
        <f aca="false">Sens!$G$5559*(1+Sens!$H$5560)</f>
        <v>320.828163943375</v>
      </c>
      <c r="I5559" s="38" t="n">
        <f aca="false">Sens!$H$5559*(1+Sens!$I$5560)</f>
        <v>344.575578072228</v>
      </c>
      <c r="J5559" s="38" t="n">
        <f aca="false">Sens!$I$5559*(1+Sens!$J$5560)</f>
        <v>365.942555779681</v>
      </c>
      <c r="K5559" s="38" t="n">
        <f aca="false">Sens!$J$5559*(1+Sens!$K$5560)</f>
        <v>384.239683568665</v>
      </c>
      <c r="L5559" s="38" t="n">
        <f aca="false">Sens!$K$5559*(1+Sens!$L$5560)</f>
        <v>403.451667747098</v>
      </c>
      <c r="M5559" s="38" t="n">
        <f aca="false">Sens!$L$5559*(1+Sens!$M$5560)</f>
        <v>423.624251134453</v>
      </c>
      <c r="N5559" s="38" t="n">
        <f aca="false">Q!$N$10</f>
        <v>118.892</v>
      </c>
      <c r="O5559" s="38" t="n">
        <f aca="false">Q!$O$10</f>
        <v>150.395</v>
      </c>
      <c r="P5559" s="8" t="s">
        <v>622</v>
      </c>
    </row>
    <row r="5560" customFormat="false" ht="17.15" hidden="false" customHeight="false" outlineLevel="0" collapsed="false">
      <c r="A5560" s="0" t="s">
        <v>623</v>
      </c>
      <c r="B5560" s="0" t="s">
        <v>52</v>
      </c>
      <c r="E5560" s="12" t="n">
        <f aca="false">Sens!$E$5559/Sens!$N$5559-1</f>
        <v>0.132843252699929</v>
      </c>
      <c r="F5560" s="12" t="n">
        <f aca="false">Sens!$O$5559/(Q!$F$10+Q!$G$10)-1</f>
        <v>0.0980382135842941</v>
      </c>
      <c r="G5560" s="12" t="n">
        <f aca="false">Sens!$G$5559/Sens!$D$5559-1</f>
        <v>0.0970231980380869</v>
      </c>
      <c r="H5560" s="12" t="n">
        <f aca="false">Sens!$F$5560+(g_os-Sens!$F$5560)*1/4</f>
        <v>0.0860286601882206</v>
      </c>
      <c r="I5560" s="12" t="n">
        <f aca="false">Sens!$F$5560+(g_os-Sens!$F$5560)*2/4</f>
        <v>0.074019106792147</v>
      </c>
      <c r="J5560" s="12" t="n">
        <f aca="false">Sens!$F$5560+(g_os-Sens!$F$5560)*3/4</f>
        <v>0.0620095533960735</v>
      </c>
      <c r="K5560" s="12" t="n">
        <f aca="false">Sens!$F$5560+(g_os-Sens!$F$5560)*4/4</f>
        <v>0.05</v>
      </c>
      <c r="L5560" s="12" t="n">
        <f aca="false">g_os</f>
        <v>0.05</v>
      </c>
      <c r="M5560" s="12" t="n">
        <f aca="false">g_os</f>
        <v>0.05</v>
      </c>
      <c r="P5560" s="8" t="s">
        <v>624</v>
      </c>
    </row>
    <row r="5561" customFormat="false" ht="17.15" hidden="false" customHeight="false" outlineLevel="0" collapsed="false">
      <c r="A5561" s="0" t="s">
        <v>480</v>
      </c>
      <c r="B5561" s="0" t="s">
        <v>73</v>
      </c>
      <c r="C5561" s="38" t="n">
        <f aca="false">Q!$D$11</f>
        <v>21.215</v>
      </c>
      <c r="D5561" s="38" t="n">
        <f aca="false">Q!$E$11</f>
        <v>22.561</v>
      </c>
      <c r="E5561" s="38" t="n">
        <f aca="false">Q!$P$11</f>
        <v>11.579</v>
      </c>
      <c r="F5561" s="38" t="n">
        <f aca="false">Sens!$O$5561*(1+Sens!$F$5562)</f>
        <v>12.0952613121125</v>
      </c>
      <c r="G5561" s="38" t="n">
        <f aca="false">Sens!$E$5561+Sens!$F$5561</f>
        <v>23.6742613121125</v>
      </c>
      <c r="H5561" s="38" t="n">
        <f aca="false">Sens!$G$5561*(1+Sens!$H$5562)</f>
        <v>24.8803243963206</v>
      </c>
      <c r="I5561" s="38" t="n">
        <f aca="false">Sens!$H$5561*(1+Sens!$I$5562)</f>
        <v>25.9741308664154</v>
      </c>
      <c r="J5561" s="38" t="n">
        <f aca="false">Sens!$I$5561*(1+Sens!$J$5562)</f>
        <v>26.9346894124267</v>
      </c>
      <c r="K5561" s="38" t="n">
        <f aca="false">Sens!$J$5561*(1+Sens!$K$5562)</f>
        <v>27.7427300947995</v>
      </c>
      <c r="L5561" s="38" t="n">
        <f aca="false">Sens!$K$5561*(1+Sens!$L$5562)</f>
        <v>28.5750119976435</v>
      </c>
      <c r="M5561" s="38" t="n">
        <f aca="false">Sens!$L$5561*(1+Sens!$M$5562)</f>
        <v>29.4322623575728</v>
      </c>
      <c r="N5561" s="38" t="n">
        <f aca="false">Q!$N$11</f>
        <v>11.128</v>
      </c>
      <c r="O5561" s="38" t="n">
        <f aca="false">Q!$O$11</f>
        <v>11.433</v>
      </c>
      <c r="P5561" s="8" t="s">
        <v>622</v>
      </c>
    </row>
    <row r="5562" customFormat="false" ht="17.15" hidden="false" customHeight="false" outlineLevel="0" collapsed="false">
      <c r="A5562" s="0" t="s">
        <v>625</v>
      </c>
      <c r="B5562" s="0" t="s">
        <v>52</v>
      </c>
      <c r="E5562" s="12" t="n">
        <f aca="false">Sens!$E$5561/Sens!$N$5561-1</f>
        <v>0.0405283968368082</v>
      </c>
      <c r="F5562" s="12" t="n">
        <f aca="false">Sens!$O$5561/(Q!$F$11+Q!$G$11)-1</f>
        <v>0.0579254187100955</v>
      </c>
      <c r="G5562" s="12" t="n">
        <f aca="false">Sens!$G$5561/Sens!$D$5561-1</f>
        <v>0.0493445021103904</v>
      </c>
      <c r="H5562" s="12" t="n">
        <f aca="false">Sens!$F$5562+(g_ps-Sens!$F$5562)*1/4</f>
        <v>0.0509440640325716</v>
      </c>
      <c r="I5562" s="12" t="n">
        <f aca="false">Sens!$F$5562+(g_ps-Sens!$F$5562)*2/4</f>
        <v>0.0439627093550477</v>
      </c>
      <c r="J5562" s="12" t="n">
        <f aca="false">Sens!$F$5562+(g_ps-Sens!$F$5562)*3/4</f>
        <v>0.0369813546775239</v>
      </c>
      <c r="K5562" s="12" t="n">
        <f aca="false">Sens!$F$5562+(g_ps-Sens!$F$5562)*4/4</f>
        <v>0.03</v>
      </c>
      <c r="L5562" s="12" t="n">
        <f aca="false">g_ps</f>
        <v>0.03</v>
      </c>
      <c r="M5562" s="12" t="n">
        <f aca="false">g_ps</f>
        <v>0.03</v>
      </c>
      <c r="P5562" s="8" t="s">
        <v>626</v>
      </c>
    </row>
    <row r="5563" customFormat="false" ht="17.15" hidden="false" customHeight="false" outlineLevel="0" collapsed="false">
      <c r="A5563" s="0" t="s">
        <v>481</v>
      </c>
      <c r="B5563" s="0" t="s">
        <v>73</v>
      </c>
      <c r="C5563" s="38" t="n">
        <f aca="false">Q!$D$12</f>
        <v>156.146</v>
      </c>
      <c r="D5563" s="38" t="n">
        <f aca="false">Q!$E$12</f>
        <v>172.162</v>
      </c>
      <c r="E5563" s="38" t="n">
        <f aca="false">Q!$P$12</f>
        <v>88.358</v>
      </c>
      <c r="F5563" s="38" t="n">
        <f aca="false">Sens!$O$5563*(1+Sens!$F$5564)-pd_amt*Q!$O$12/(Q!$O$10+Q!$O$12)</f>
        <v>103.62028337149</v>
      </c>
      <c r="G5563" s="38" t="n">
        <f aca="false">Sens!$E$5563+Sens!$F$5563</f>
        <v>191.97828337149</v>
      </c>
      <c r="H5563" s="38" t="n">
        <f aca="false">Sens!$G$5563*(1+Sens!$H$5564)</f>
        <v>212.128608444755</v>
      </c>
      <c r="I5563" s="38" t="n">
        <f aca="false">Sens!$H$5563*(1+Sens!$I$5564)</f>
        <v>231.92183134134</v>
      </c>
      <c r="J5563" s="38" t="n">
        <f aca="false">Sens!$I$5563*(1+Sens!$J$5564)</f>
        <v>250.859136487863</v>
      </c>
      <c r="K5563" s="38" t="n">
        <f aca="false">Sens!$J$5563*(1+Sens!$K$5564)</f>
        <v>268.419276042014</v>
      </c>
      <c r="L5563" s="38" t="n">
        <f aca="false">Sens!$K$5563*(1+Sens!$L$5564)</f>
        <v>287.208625364954</v>
      </c>
      <c r="M5563" s="38" t="n">
        <f aca="false">Sens!$L$5563*(1+Sens!$M$5564)</f>
        <v>307.313229140501</v>
      </c>
      <c r="N5563" s="38" t="n">
        <f aca="false">Q!$N$12</f>
        <v>76.86</v>
      </c>
      <c r="O5563" s="38" t="n">
        <f aca="false">Q!$O$12</f>
        <v>95.302</v>
      </c>
      <c r="P5563" s="8" t="s">
        <v>622</v>
      </c>
    </row>
    <row r="5564" customFormat="false" ht="17.15" hidden="false" customHeight="false" outlineLevel="0" collapsed="false">
      <c r="A5564" s="0" t="s">
        <v>627</v>
      </c>
      <c r="B5564" s="0" t="s">
        <v>52</v>
      </c>
      <c r="E5564" s="12" t="n">
        <f aca="false">Sens!$E$5563/Sens!$N$5563-1</f>
        <v>0.1495966692688</v>
      </c>
      <c r="F5564" s="12" t="n">
        <f aca="false">Sens!$O$5563/(Q!$F$12+Q!$G$12)-1</f>
        <v>0.11661530890813</v>
      </c>
      <c r="G5564" s="12" t="n">
        <f aca="false">Sens!$G$5563/Sens!$D$5563-1</f>
        <v>0.115102539303041</v>
      </c>
      <c r="H5564" s="12" t="n">
        <f aca="false">Sens!$F$5564+(g_sp-Sens!$F$5564)*1/4</f>
        <v>0.104961481681098</v>
      </c>
      <c r="I5564" s="12" t="n">
        <f aca="false">Sens!$F$5564+(g_sp-Sens!$F$5564)*2/4</f>
        <v>0.0933076544540651</v>
      </c>
      <c r="J5564" s="12" t="n">
        <f aca="false">Sens!$F$5564+(g_sp-Sens!$F$5564)*3/4</f>
        <v>0.0816538272270325</v>
      </c>
      <c r="K5564" s="12" t="n">
        <f aca="false">Sens!$F$5564+(g_sp-Sens!$F$5564)*4/4</f>
        <v>0.07</v>
      </c>
      <c r="L5564" s="12" t="n">
        <f aca="false">g_sp</f>
        <v>0.07</v>
      </c>
      <c r="M5564" s="12" t="n">
        <f aca="false">g_sp</f>
        <v>0.07</v>
      </c>
      <c r="P5564" s="8" t="s">
        <v>628</v>
      </c>
    </row>
    <row r="5565" customFormat="false" ht="17.15" hidden="false" customHeight="false" outlineLevel="0" collapsed="false">
      <c r="A5565" s="0" t="s">
        <v>482</v>
      </c>
      <c r="B5565" s="0" t="s">
        <v>73</v>
      </c>
      <c r="C5565" s="38" t="n">
        <f aca="false">Q!$D$13</f>
        <v>56.214</v>
      </c>
      <c r="D5565" s="38" t="n">
        <f aca="false">Q!$E$13</f>
        <v>68.635</v>
      </c>
      <c r="E5565" s="38" t="n">
        <f aca="false">Q!$P$13</f>
        <v>37.052</v>
      </c>
      <c r="F5565" s="38" t="n">
        <f aca="false">Sens!$O$5565*(1+Sens!$F$5566)</f>
        <v>48.1533381827382</v>
      </c>
      <c r="G5565" s="38" t="n">
        <f aca="false">Sens!$E$5565+Sens!$F$5565</f>
        <v>85.2053381827382</v>
      </c>
      <c r="H5565" s="38" t="n">
        <f aca="false">Sens!$G$5565*(1+Sens!$H$5566)</f>
        <v>102.29336185894</v>
      </c>
      <c r="I5565" s="38" t="n">
        <f aca="false">Sens!$H$5565*(1+Sens!$I$5566)</f>
        <v>119.379837585241</v>
      </c>
      <c r="J5565" s="38" t="n">
        <f aca="false">Sens!$I$5565*(1+Sens!$J$5566)</f>
        <v>135.319079048844</v>
      </c>
      <c r="K5565" s="38" t="n">
        <f aca="false">Sens!$J$5565*(1+Sens!$K$5566)</f>
        <v>148.850986953729</v>
      </c>
      <c r="L5565" s="38" t="n">
        <f aca="false">Sens!$K$5565*(1+Sens!$L$5566)</f>
        <v>163.736085649102</v>
      </c>
      <c r="M5565" s="38" t="n">
        <f aca="false">Sens!$L$5565*(1+Sens!$M$5566)</f>
        <v>180.109694214012</v>
      </c>
      <c r="N5565" s="38" t="n">
        <f aca="false">Q!$N$13</f>
        <v>29.615</v>
      </c>
      <c r="O5565" s="38" t="n">
        <f aca="false">Q!$O$13</f>
        <v>39.02</v>
      </c>
      <c r="P5565" s="8" t="s">
        <v>622</v>
      </c>
    </row>
    <row r="5566" customFormat="false" ht="17.15" hidden="false" customHeight="false" outlineLevel="0" collapsed="false">
      <c r="A5566" s="0" t="s">
        <v>629</v>
      </c>
      <c r="B5566" s="0" t="s">
        <v>52</v>
      </c>
      <c r="E5566" s="12" t="n">
        <f aca="false">Sens!$E$5565/Sens!$N$5565-1</f>
        <v>0.25112274185379</v>
      </c>
      <c r="F5566" s="12" t="n">
        <f aca="false">Sens!$O$5565/(Q!$F$13+Q!$G$13)-1</f>
        <v>0.234068123596572</v>
      </c>
      <c r="G5566" s="12" t="n">
        <f aca="false">Sens!$G$5565/Sens!$D$5565-1</f>
        <v>0.241426942270536</v>
      </c>
      <c r="H5566" s="12" t="n">
        <f aca="false">Sens!$F$5566+(g_ad-Sens!$F$5566)*1/4</f>
        <v>0.200551092697429</v>
      </c>
      <c r="I5566" s="12" t="n">
        <f aca="false">Sens!$F$5566+(g_ad-Sens!$F$5566)*2/4</f>
        <v>0.167034061798286</v>
      </c>
      <c r="J5566" s="12" t="n">
        <f aca="false">Sens!$F$5566+(g_ad-Sens!$F$5566)*3/4</f>
        <v>0.133517030899143</v>
      </c>
      <c r="K5566" s="12" t="n">
        <f aca="false">Sens!$F$5566+(g_ad-Sens!$F$5566)*4/4</f>
        <v>0.1</v>
      </c>
      <c r="L5566" s="12" t="n">
        <f aca="false">g_ad</f>
        <v>0.1</v>
      </c>
      <c r="M5566" s="12" t="n">
        <f aca="false">g_ad</f>
        <v>0.1</v>
      </c>
      <c r="P5566" s="8" t="s">
        <v>630</v>
      </c>
    </row>
    <row r="5567" customFormat="false" ht="17.15" hidden="false" customHeight="false" outlineLevel="0" collapsed="false">
      <c r="A5567" s="0" t="s">
        <v>483</v>
      </c>
      <c r="B5567" s="0" t="s">
        <v>73</v>
      </c>
      <c r="C5567" s="38" t="n">
        <f aca="false">Q!$D$14</f>
        <v>44.374</v>
      </c>
      <c r="D5567" s="38" t="n">
        <f aca="false">Q!$E$14</f>
        <v>49.619</v>
      </c>
      <c r="E5567" s="38" t="n">
        <f aca="false">Q!$P$14</f>
        <v>27.157</v>
      </c>
      <c r="F5567" s="38" t="n">
        <f aca="false">Sens!$O$5567*(1+Sens!$F$5568)</f>
        <v>28.9776360923374</v>
      </c>
      <c r="G5567" s="38" t="n">
        <f aca="false">Sens!$E$5567+Sens!$F$5567</f>
        <v>56.1346360923374</v>
      </c>
      <c r="H5567" s="38" t="n">
        <f aca="false">Sens!$G$5567*(1+Sens!$H$5568)</f>
        <v>62.4937078946075</v>
      </c>
      <c r="I5567" s="38" t="n">
        <f aca="false">Sens!$H$5567*(1+Sens!$I$5568)</f>
        <v>68.6715233062498</v>
      </c>
      <c r="J5567" s="38" t="n">
        <f aca="false">Sens!$I$5567*(1+Sens!$J$5568)</f>
        <v>74.4692882949818</v>
      </c>
      <c r="K5567" s="38" t="n">
        <f aca="false">Sens!$J$5567*(1+Sens!$K$5568)</f>
        <v>79.6821384756306</v>
      </c>
      <c r="L5567" s="38" t="n">
        <f aca="false">Sens!$K$5567*(1+Sens!$L$5568)</f>
        <v>85.2598881689247</v>
      </c>
      <c r="M5567" s="38" t="n">
        <f aca="false">Sens!$L$5567*(1+Sens!$M$5568)</f>
        <v>91.2280803407494</v>
      </c>
      <c r="N5567" s="38" t="n">
        <f aca="false">Q!$N$14</f>
        <v>23.923</v>
      </c>
      <c r="O5567" s="38" t="n">
        <f aca="false">Q!$O$14</f>
        <v>25.696</v>
      </c>
      <c r="P5567" s="8" t="s">
        <v>622</v>
      </c>
    </row>
    <row r="5568" customFormat="false" ht="17.15" hidden="false" customHeight="false" outlineLevel="0" collapsed="false">
      <c r="A5568" s="0" t="s">
        <v>631</v>
      </c>
      <c r="B5568" s="0" t="s">
        <v>52</v>
      </c>
      <c r="E5568" s="12" t="n">
        <f aca="false">Sens!$E$5567/Sens!$N$5567-1</f>
        <v>0.135183714417088</v>
      </c>
      <c r="F5568" s="12" t="n">
        <f aca="false">Sens!$O$5567/(Q!$F$14+Q!$G$14)-1</f>
        <v>0.127709997366804</v>
      </c>
      <c r="G5568" s="12" t="n">
        <f aca="false">Sens!$G$5567/Sens!$D$5567-1</f>
        <v>0.131313329416905</v>
      </c>
      <c r="H5568" s="12" t="n">
        <f aca="false">Sens!$F$5568+(g_sub-Sens!$F$5568)*1/4</f>
        <v>0.113282498025103</v>
      </c>
      <c r="I5568" s="12" t="n">
        <f aca="false">Sens!$F$5568+(g_sub-Sens!$F$5568)*2/4</f>
        <v>0.0988549986834021</v>
      </c>
      <c r="J5568" s="12" t="n">
        <f aca="false">Sens!$F$5568+(g_sub-Sens!$F$5568)*3/4</f>
        <v>0.084427499341701</v>
      </c>
      <c r="K5568" s="12" t="n">
        <f aca="false">Sens!$F$5568+(g_sub-Sens!$F$5568)*4/4</f>
        <v>0.07</v>
      </c>
      <c r="L5568" s="12" t="n">
        <f aca="false">g_sub</f>
        <v>0.07</v>
      </c>
      <c r="M5568" s="12" t="n">
        <f aca="false">g_sub</f>
        <v>0.07</v>
      </c>
      <c r="P5568" s="8" t="s">
        <v>632</v>
      </c>
    </row>
    <row r="5569" customFormat="false" ht="17.15" hidden="false" customHeight="false" outlineLevel="0" collapsed="false">
      <c r="A5569" s="0" t="s">
        <v>484</v>
      </c>
      <c r="B5569" s="0" t="s">
        <v>73</v>
      </c>
      <c r="C5569" s="38" t="n">
        <f aca="false">Q!$D$15</f>
        <v>5.425</v>
      </c>
      <c r="D5569" s="38" t="n">
        <f aca="false">Q!$E$15</f>
        <v>5.935</v>
      </c>
      <c r="E5569" s="38" t="n">
        <f aca="false">Q!$P$15</f>
        <v>3.474</v>
      </c>
      <c r="F5569" s="38" t="n">
        <f aca="false">Sens!$O$5569*(1+Sens!$F$5570)</f>
        <v>3.36182431966931</v>
      </c>
      <c r="G5569" s="38" t="n">
        <f aca="false">Sens!$E$5569+Sens!$F$5569</f>
        <v>6.83582431966931</v>
      </c>
      <c r="H5569" s="38" t="n">
        <f aca="false">Sens!$G$5569*(1+Sens!$H$5570)</f>
        <v>7.31157108370141</v>
      </c>
      <c r="I5569" s="38" t="n">
        <f aca="false">Sens!$H$5569*(1+Sens!$I$5570)</f>
        <v>7.77266852639815</v>
      </c>
      <c r="J5569" s="38" t="n">
        <f aca="false">Sens!$I$5569*(1+Sens!$J$5570)</f>
        <v>8.2120733019884</v>
      </c>
      <c r="K5569" s="38" t="n">
        <f aca="false">Sens!$J$5569*(1+Sens!$K$5570)</f>
        <v>8.62267696708783</v>
      </c>
      <c r="L5569" s="38" t="n">
        <f aca="false">Sens!$K$5569*(1+Sens!$L$5570)</f>
        <v>9.05381081544222</v>
      </c>
      <c r="M5569" s="38" t="n">
        <f aca="false">Sens!$L$5569*(1+Sens!$M$5570)</f>
        <v>9.50650135621433</v>
      </c>
      <c r="N5569" s="38" t="n">
        <f aca="false">Q!$N$15</f>
        <v>2.811</v>
      </c>
      <c r="O5569" s="38" t="n">
        <f aca="false">Q!$O$15</f>
        <v>3.124</v>
      </c>
      <c r="P5569" s="8" t="s">
        <v>622</v>
      </c>
    </row>
    <row r="5570" customFormat="false" ht="17.15" hidden="false" customHeight="false" outlineLevel="0" collapsed="false">
      <c r="A5570" s="0" t="s">
        <v>633</v>
      </c>
      <c r="B5570" s="0" t="s">
        <v>52</v>
      </c>
      <c r="E5570" s="12" t="n">
        <f aca="false">Sens!$E$5569/Sens!$N$5569-1</f>
        <v>0.235859124866596</v>
      </c>
      <c r="F5570" s="12" t="n">
        <f aca="false">Sens!$O$5569/(Q!$F$15+Q!$G$15)-1</f>
        <v>0.0761281433000345</v>
      </c>
      <c r="G5570" s="12" t="n">
        <f aca="false">Sens!$G$5569/Sens!$D$5569-1</f>
        <v>0.151781688234087</v>
      </c>
      <c r="H5570" s="12" t="n">
        <f aca="false">Sens!$F$5570+(g_ot-Sens!$F$5570)*1/4</f>
        <v>0.0695961074750259</v>
      </c>
      <c r="I5570" s="12" t="n">
        <f aca="false">Sens!$F$5570+(g_ot-Sens!$F$5570)*2/4</f>
        <v>0.0630640716500172</v>
      </c>
      <c r="J5570" s="12" t="n">
        <f aca="false">Sens!$F$5570+(g_ot-Sens!$F$5570)*3/4</f>
        <v>0.0565320358250086</v>
      </c>
      <c r="K5570" s="12" t="n">
        <f aca="false">Sens!$F$5570+(g_ot-Sens!$F$5570)*4/4</f>
        <v>0.05</v>
      </c>
      <c r="L5570" s="12" t="n">
        <f aca="false">g_ot</f>
        <v>0.05</v>
      </c>
      <c r="M5570" s="12" t="n">
        <f aca="false">g_ot</f>
        <v>0.05</v>
      </c>
      <c r="P5570" s="8" t="s">
        <v>634</v>
      </c>
    </row>
    <row r="5571" customFormat="false" ht="17.15" hidden="false" customHeight="false" outlineLevel="0" collapsed="false">
      <c r="A5571" s="3" t="s">
        <v>635</v>
      </c>
      <c r="B5571" s="8" t="s">
        <v>73</v>
      </c>
      <c r="C5571" s="38" t="n">
        <f aca="false">Sens!$C$5559+Sens!$C$5561+Sens!$C$5563+Sens!$C$5565+Sens!$C$5567+Sens!$C$5569</f>
        <v>530.403</v>
      </c>
      <c r="D5571" s="38" t="n">
        <f aca="false">Sens!$D$5559+Sens!$D$5561+Sens!$D$5563+Sens!$D$5565+Sens!$D$5567+Sens!$D$5569</f>
        <v>588.199</v>
      </c>
      <c r="E5571" s="38" t="n">
        <f aca="false">Sens!$E$5559+Sens!$E$5561+Sens!$E$5563+Sens!$E$5565+Sens!$E$5567+Sens!$E$5569</f>
        <v>302.306</v>
      </c>
      <c r="F5571" s="38" t="n">
        <f aca="false">Sens!$F$5559+Sens!$F$5561+Sens!$F$5563+Sens!$F$5565+Sens!$F$5567+Sens!$F$5569</f>
        <v>356.93642920843</v>
      </c>
      <c r="G5571" s="38" t="n">
        <f aca="false">Sens!$G$5559+Sens!$G$5561+Sens!$G$5563+Sens!$G$5565+Sens!$G$5567+Sens!$G$5569</f>
        <v>659.24242920843</v>
      </c>
      <c r="H5571" s="38" t="n">
        <f aca="false">Sens!$H$5559+Sens!$H$5561+Sens!$H$5563+Sens!$H$5565+Sens!$H$5567+Sens!$H$5569</f>
        <v>729.935737621701</v>
      </c>
      <c r="I5571" s="38" t="n">
        <f aca="false">Sens!$I$5559+Sens!$I$5561+Sens!$I$5563+Sens!$I$5565+Sens!$I$5567+Sens!$I$5569</f>
        <v>798.295569697873</v>
      </c>
      <c r="J5571" s="38" t="n">
        <f aca="false">Sens!$J$5559+Sens!$J$5561+Sens!$J$5563+Sens!$J$5565+Sens!$J$5567+Sens!$J$5569</f>
        <v>861.736822325785</v>
      </c>
      <c r="K5571" s="38" t="n">
        <f aca="false">Sens!$K$5559+Sens!$K$5561+Sens!$K$5563+Sens!$K$5565+Sens!$K$5567+Sens!$K$5569</f>
        <v>917.557492101925</v>
      </c>
      <c r="L5571" s="38" t="n">
        <f aca="false">Sens!$L$5559+Sens!$L$5561+Sens!$L$5563+Sens!$L$5565+Sens!$L$5567+Sens!$L$5569</f>
        <v>977.285089743165</v>
      </c>
      <c r="M5571" s="38" t="n">
        <f aca="false">Sens!$M$5559+Sens!$M$5561+Sens!$M$5563+Sens!$M$5565+Sens!$M$5567+Sens!$M$5569</f>
        <v>1041.2140185435</v>
      </c>
      <c r="N5571" s="38" t="n">
        <f aca="false">Sens!$N$5559+Sens!$N$5561+Sens!$N$5563+Sens!$N$5565+Sens!$N$5567+Sens!$N$5569</f>
        <v>263.229</v>
      </c>
      <c r="O5571" s="38" t="n">
        <f aca="false">Sens!$O$5559+Sens!$O$5561+Sens!$O$5563+Sens!$O$5565+Sens!$O$5567+Sens!$O$5569</f>
        <v>324.97</v>
      </c>
    </row>
    <row r="5572" customFormat="false" ht="17.15" hidden="false" customHeight="false" outlineLevel="0" collapsed="false">
      <c r="A5572" s="5" t="s">
        <v>636</v>
      </c>
      <c r="B5572" s="0" t="s">
        <v>52</v>
      </c>
      <c r="C5572" s="12" t="n">
        <f aca="false">Q!$D$5/(Q!$D$5+Q!$D$6)</f>
        <v>0.730570905519011</v>
      </c>
      <c r="D5572" s="12" t="n">
        <f aca="false">Q!$E$5/(Q!$E$5+Q!$E$6)</f>
        <v>0.724763217890544</v>
      </c>
      <c r="E5572" s="12" t="n">
        <f aca="false">Q!$P$5/(Q!$P$5+Q!$P$6)</f>
        <v>0.728797972914861</v>
      </c>
      <c r="F5572" s="12" t="n">
        <f aca="false">Sens!$O$5572</f>
        <v>0.718066283041511</v>
      </c>
      <c r="G5572" s="12" t="n">
        <f aca="false">Sens!$G$5573/Sens!$G$5571</f>
        <v>0.722987468473627</v>
      </c>
      <c r="H5572" s="12" t="n">
        <f aca="false">Sens!$G$5572</f>
        <v>0.722987468473627</v>
      </c>
      <c r="I5572" s="12" t="n">
        <f aca="false">Sens!$G$5572</f>
        <v>0.722987468473627</v>
      </c>
      <c r="J5572" s="12" t="n">
        <f aca="false">Sens!$G$5572</f>
        <v>0.722987468473627</v>
      </c>
      <c r="K5572" s="12" t="n">
        <f aca="false">Sens!$G$5572</f>
        <v>0.722987468473627</v>
      </c>
      <c r="L5572" s="12" t="n">
        <f aca="false">Sens!$G$5572</f>
        <v>0.722987468473627</v>
      </c>
      <c r="M5572" s="12" t="n">
        <f aca="false">Sens!$G$5572</f>
        <v>0.722987468473627</v>
      </c>
      <c r="N5572" s="12" t="n">
        <f aca="false">Q!$N$5/(Q!$N$5+Q!$N$6)</f>
        <v>0.733030935041352</v>
      </c>
      <c r="O5572" s="12" t="n">
        <f aca="false">Q!$O$5/(Q!$O$5+Q!$O$6)</f>
        <v>0.718066283041511</v>
      </c>
      <c r="P5572" s="8" t="s">
        <v>637</v>
      </c>
    </row>
    <row r="5573" customFormat="false" ht="17.15" hidden="false" customHeight="false" outlineLevel="0" collapsed="false">
      <c r="A5573" s="1" t="s">
        <v>472</v>
      </c>
      <c r="B5573" s="8" t="s">
        <v>73</v>
      </c>
      <c r="C5573" s="38" t="n">
        <f aca="false">Q!$D$5</f>
        <v>387.497</v>
      </c>
      <c r="D5573" s="38" t="n">
        <f aca="false">Q!$E$5</f>
        <v>426.305</v>
      </c>
      <c r="E5573" s="38" t="n">
        <f aca="false">Q!$P$5</f>
        <v>220.32</v>
      </c>
      <c r="F5573" s="38" t="n">
        <f aca="false">Sens!$F$5571*Sens!$F$5572</f>
        <v>256.304015003807</v>
      </c>
      <c r="G5573" s="38" t="n">
        <f aca="false">Sens!$E$5573+Sens!$F$5573</f>
        <v>476.624015003807</v>
      </c>
      <c r="H5573" s="38" t="n">
        <f aca="false">Sens!$H$5571*Sens!$H$5572</f>
        <v>527.734391091543</v>
      </c>
      <c r="I5573" s="38" t="n">
        <f aca="false">Sens!$I$5571*Sens!$I$5572</f>
        <v>577.157693029577</v>
      </c>
      <c r="J5573" s="38" t="n">
        <f aca="false">Sens!$J$5571*Sens!$J$5572</f>
        <v>623.024923663827</v>
      </c>
      <c r="K5573" s="38" t="n">
        <f aca="false">Sens!$K$5571*Sens!$K$5572</f>
        <v>663.382568393781</v>
      </c>
      <c r="L5573" s="38" t="n">
        <f aca="false">Sens!$L$5571*Sens!$L$5572</f>
        <v>706.564873010432</v>
      </c>
      <c r="M5573" s="38" t="n">
        <f aca="false">Sens!$M$5571*Sens!$M$5572</f>
        <v>752.784687406019</v>
      </c>
      <c r="N5573" s="38" t="n">
        <f aca="false">Q!$N$5</f>
        <v>192.955</v>
      </c>
      <c r="O5573" s="38" t="n">
        <f aca="false">Q!$O$5</f>
        <v>233.35</v>
      </c>
      <c r="P5573" s="5" t="s">
        <v>638</v>
      </c>
    </row>
    <row r="5574" customFormat="false" ht="17.15" hidden="false" customHeight="false" outlineLevel="0" collapsed="false">
      <c r="A5574" s="1" t="s">
        <v>475</v>
      </c>
      <c r="B5574" s="8" t="s">
        <v>73</v>
      </c>
      <c r="C5574" s="38" t="n">
        <f aca="false">Q!$D$6</f>
        <v>142.906</v>
      </c>
      <c r="D5574" s="38" t="n">
        <f aca="false">Q!$E$6</f>
        <v>161.894</v>
      </c>
      <c r="E5574" s="38" t="n">
        <f aca="false">Q!$P$6</f>
        <v>81.986</v>
      </c>
      <c r="F5574" s="38" t="n">
        <f aca="false">Sens!$F$5571*(1-Sens!$F$5572)</f>
        <v>100.632414204623</v>
      </c>
      <c r="G5574" s="38" t="n">
        <f aca="false">Sens!$E$5574+Sens!$F$5574</f>
        <v>182.618414204623</v>
      </c>
      <c r="H5574" s="38" t="n">
        <f aca="false">Sens!$H$5571*(1-Sens!$H$5572)</f>
        <v>202.201346530158</v>
      </c>
      <c r="I5574" s="38" t="n">
        <f aca="false">Sens!$I$5571*(1-Sens!$I$5572)</f>
        <v>221.137876668296</v>
      </c>
      <c r="J5574" s="38" t="n">
        <f aca="false">Sens!$J$5571*(1-Sens!$J$5572)</f>
        <v>238.711898661958</v>
      </c>
      <c r="K5574" s="38" t="n">
        <f aca="false">Sens!$K$5571*(1-Sens!$K$5572)</f>
        <v>254.174923708144</v>
      </c>
      <c r="L5574" s="38" t="n">
        <f aca="false">Sens!$L$5571*(1-Sens!$L$5572)</f>
        <v>270.720216732733</v>
      </c>
      <c r="M5574" s="38" t="n">
        <f aca="false">Sens!$M$5571*(1-Sens!$M$5572)</f>
        <v>288.429331137484</v>
      </c>
      <c r="N5574" s="38" t="n">
        <f aca="false">Q!$N$6</f>
        <v>70.274</v>
      </c>
      <c r="O5574" s="38" t="n">
        <f aca="false">Q!$O$6</f>
        <v>91.62</v>
      </c>
      <c r="P5574" s="5" t="s">
        <v>639</v>
      </c>
    </row>
    <row r="5575" customFormat="false" ht="17.15" hidden="false" customHeight="false" outlineLevel="0" collapsed="false">
      <c r="A5575" s="5" t="s">
        <v>640</v>
      </c>
      <c r="B5575" s="0" t="s">
        <v>73</v>
      </c>
      <c r="C5575" s="38" t="n">
        <f aca="false">Sens!$C$5565*Sens!$C$5572</f>
        <v>41.0683128828457</v>
      </c>
      <c r="D5575" s="38" t="n">
        <f aca="false">Sens!$D$5565*Sens!$D$5572</f>
        <v>49.7441234599175</v>
      </c>
      <c r="E5575" s="38" t="n">
        <f aca="false">Sens!$E$5565*Sens!$E$5572</f>
        <v>27.0034224924414</v>
      </c>
      <c r="F5575" s="38" t="n">
        <f aca="false">Sens!$F$5565*Sens!$F$5572</f>
        <v>34.5772885649197</v>
      </c>
      <c r="G5575" s="38" t="n">
        <f aca="false">Sens!$G$5565*Sens!$G$5572</f>
        <v>61.6023917531772</v>
      </c>
      <c r="H5575" s="38" t="n">
        <f aca="false">Sens!$H$5565*Sens!$H$5572</f>
        <v>73.9568187320519</v>
      </c>
      <c r="I5575" s="38" t="n">
        <f aca="false">Sens!$I$5565*Sens!$I$5572</f>
        <v>86.3101265625461</v>
      </c>
      <c r="J5575" s="38" t="n">
        <f aca="false">Sens!$J$5565*Sens!$J$5572</f>
        <v>97.8339983977065</v>
      </c>
      <c r="K5575" s="38" t="n">
        <f aca="false">Sens!$K$5565*Sens!$K$5572</f>
        <v>107.617398237477</v>
      </c>
      <c r="L5575" s="38" t="n">
        <f aca="false">Sens!$L$5565*Sens!$L$5572</f>
        <v>118.379138061225</v>
      </c>
      <c r="M5575" s="38" t="n">
        <f aca="false">Sens!$M$5565*Sens!$M$5572</f>
        <v>130.217051867347</v>
      </c>
      <c r="N5575" s="38" t="n">
        <f aca="false">Sens!$N$5565*Sens!$N$5572</f>
        <v>21.7087111412496</v>
      </c>
      <c r="O5575" s="38" t="n">
        <f aca="false">Sens!$O$5565*Sens!$O$5572</f>
        <v>28.0189463642798</v>
      </c>
      <c r="P5575" s="5" t="s">
        <v>641</v>
      </c>
    </row>
    <row r="5576" customFormat="false" ht="15" hidden="false" customHeight="false" outlineLevel="0" collapsed="false">
      <c r="A5576" s="5" t="s">
        <v>642</v>
      </c>
      <c r="B5576" s="0" t="s">
        <v>73</v>
      </c>
      <c r="C5576" s="38" t="n">
        <f aca="false">Sens!$C$5565-Sens!$C$5575</f>
        <v>15.1456871171543</v>
      </c>
      <c r="D5576" s="38" t="n">
        <f aca="false">Sens!$D$5565-Sens!$D$5575</f>
        <v>18.8908765400825</v>
      </c>
      <c r="E5576" s="38" t="n">
        <f aca="false">Sens!$E$5565-Sens!$E$5575</f>
        <v>10.0485775075586</v>
      </c>
      <c r="F5576" s="38" t="n">
        <f aca="false">Sens!$F$5565-Sens!$F$5575</f>
        <v>13.5760496178185</v>
      </c>
      <c r="G5576" s="38" t="n">
        <f aca="false">Sens!$G$5565-Sens!$G$5575</f>
        <v>23.6029464295611</v>
      </c>
      <c r="H5576" s="38" t="n">
        <f aca="false">Sens!$H$5565-Sens!$H$5575</f>
        <v>28.3365431268884</v>
      </c>
      <c r="I5576" s="38" t="n">
        <f aca="false">Sens!$I$5565-Sens!$I$5575</f>
        <v>33.0697110226949</v>
      </c>
      <c r="J5576" s="38" t="n">
        <f aca="false">Sens!$J$5565-Sens!$J$5575</f>
        <v>37.4850806511378</v>
      </c>
      <c r="K5576" s="38" t="n">
        <f aca="false">Sens!$K$5565-Sens!$K$5575</f>
        <v>41.2335887162515</v>
      </c>
      <c r="L5576" s="38" t="n">
        <f aca="false">Sens!$L$5565-Sens!$L$5575</f>
        <v>45.3569475878767</v>
      </c>
      <c r="M5576" s="38" t="n">
        <f aca="false">Sens!$M$5565-Sens!$M$5575</f>
        <v>49.8926423466644</v>
      </c>
      <c r="N5576" s="38" t="n">
        <f aca="false">Sens!$N$5565-Sens!$N$5575</f>
        <v>7.90628885875037</v>
      </c>
      <c r="O5576" s="38" t="n">
        <f aca="false">Sens!$O$5565-Sens!$O$5575</f>
        <v>11.0010536357202</v>
      </c>
    </row>
    <row r="5577" customFormat="false" ht="19.4" hidden="false" customHeight="false" outlineLevel="0" collapsed="false">
      <c r="A5577" s="31" t="s">
        <v>1166</v>
      </c>
    </row>
    <row r="5578" customFormat="false" ht="17.15" hidden="false" customHeight="false" outlineLevel="0" collapsed="false">
      <c r="A5578" s="6" t="s">
        <v>16</v>
      </c>
      <c r="B5578" s="6" t="s">
        <v>17</v>
      </c>
      <c r="C5578" s="20" t="s">
        <v>457</v>
      </c>
      <c r="D5578" s="20" t="s">
        <v>458</v>
      </c>
      <c r="E5578" s="20" t="s">
        <v>540</v>
      </c>
      <c r="F5578" s="20" t="s">
        <v>541</v>
      </c>
      <c r="G5578" s="20" t="s">
        <v>542</v>
      </c>
      <c r="H5578" s="20" t="s">
        <v>543</v>
      </c>
      <c r="I5578" s="20" t="s">
        <v>544</v>
      </c>
      <c r="J5578" s="20" t="s">
        <v>545</v>
      </c>
      <c r="K5578" s="20" t="s">
        <v>546</v>
      </c>
      <c r="L5578" s="20" t="s">
        <v>547</v>
      </c>
      <c r="M5578" s="20" t="s">
        <v>548</v>
      </c>
      <c r="N5578" s="20" t="s">
        <v>549</v>
      </c>
      <c r="O5578" s="20" t="s">
        <v>550</v>
      </c>
      <c r="P5578" s="6" t="s">
        <v>23</v>
      </c>
      <c r="R5578" s="20" t="n">
        <v>2023</v>
      </c>
      <c r="S5578" s="20" t="n">
        <v>2024</v>
      </c>
      <c r="T5578" s="20" t="n">
        <v>2025</v>
      </c>
      <c r="U5578" s="20" t="n">
        <v>2026</v>
      </c>
      <c r="V5578" s="20" t="n">
        <v>2027</v>
      </c>
      <c r="W5578" s="20" t="n">
        <v>2028</v>
      </c>
      <c r="X5578" s="20" t="n">
        <v>2029</v>
      </c>
      <c r="Y5578" s="20" t="n">
        <v>2030</v>
      </c>
      <c r="Z5578" s="20" t="n">
        <v>2031</v>
      </c>
      <c r="AA5578" s="20" t="n">
        <v>2032</v>
      </c>
    </row>
    <row r="5579" customFormat="false" ht="17.15" hidden="false" customHeight="false" outlineLevel="0" collapsed="false">
      <c r="A5579" s="1" t="s">
        <v>551</v>
      </c>
    </row>
    <row r="5580" customFormat="false" ht="17.15" hidden="false" customHeight="false" outlineLevel="0" collapsed="false">
      <c r="A5580" s="14" t="s">
        <v>552</v>
      </c>
      <c r="B5580" s="13" t="s">
        <v>108</v>
      </c>
      <c r="C5580" s="32" t="n">
        <f aca="false">mw_ye24</f>
        <v>360</v>
      </c>
      <c r="D5580" s="32" t="n">
        <f aca="false">mw_ye25</f>
        <v>1440</v>
      </c>
      <c r="E5580" s="32" t="n">
        <f aca="false">mw_open</f>
        <v>2080</v>
      </c>
      <c r="F5580" s="32" t="n">
        <f aca="false">Sens!$E$5580+pace_B*0.5</f>
        <v>3897.15</v>
      </c>
      <c r="G5580" s="32" t="n">
        <f aca="false">Sens!$F$5580</f>
        <v>3897.15</v>
      </c>
      <c r="H5580" s="32" t="n">
        <f aca="false">Sens!$G$5580+pace_B</f>
        <v>7531.45</v>
      </c>
      <c r="I5580" s="32" t="n">
        <f aca="false">Sens!$H$5580+pace_B</f>
        <v>11165.75</v>
      </c>
      <c r="J5580" s="32" t="n">
        <f aca="false">Sens!$I$5580+pace_B</f>
        <v>14800.05</v>
      </c>
      <c r="K5580" s="32" t="n">
        <f aca="false">Sens!$J$5580+pace_B</f>
        <v>18434.35</v>
      </c>
      <c r="L5580" s="32" t="n">
        <f aca="false">Sens!$K$5580+pace_B</f>
        <v>22068.65</v>
      </c>
      <c r="M5580" s="32" t="n">
        <f aca="false">Sens!$L$5580+pace_B</f>
        <v>25702.95</v>
      </c>
      <c r="N5580" s="32" t="n">
        <f aca="false">(mw_ye24+mw_ye25)/2</f>
        <v>900</v>
      </c>
      <c r="O5580" s="32" t="n">
        <f aca="false">mw_ye25</f>
        <v>1440</v>
      </c>
      <c r="P5580" s="5" t="s">
        <v>553</v>
      </c>
    </row>
    <row r="5581" customFormat="false" ht="17.15" hidden="false" customHeight="false" outlineLevel="0" collapsed="false">
      <c r="A5581" s="5" t="s">
        <v>554</v>
      </c>
      <c r="B5581" s="0" t="s">
        <v>108</v>
      </c>
      <c r="C5581" s="33" t="n">
        <f aca="false">(mw_ye23+mw_ye24)/2</f>
        <v>240</v>
      </c>
      <c r="D5581" s="33" t="n">
        <f aca="false">(Sens!$C$5580+Sens!$D$5580)/2</f>
        <v>900</v>
      </c>
      <c r="E5581" s="33" t="n">
        <f aca="false">(Sens!$D$5580+Sens!$E$5580)/2</f>
        <v>1760</v>
      </c>
      <c r="F5581" s="33" t="n">
        <f aca="false">(Sens!$E$5580+Sens!$F$5580)/2</f>
        <v>2988.575</v>
      </c>
      <c r="G5581" s="33" t="n">
        <f aca="false">(Sens!$E$5581+Sens!$F$5581)/2</f>
        <v>2374.2875</v>
      </c>
      <c r="H5581" s="33" t="n">
        <f aca="false">(Sens!$G$5580+Sens!$H$5580)/2</f>
        <v>5714.3</v>
      </c>
      <c r="I5581" s="33" t="n">
        <f aca="false">(Sens!$H$5580+Sens!$I$5580)/2</f>
        <v>9348.6</v>
      </c>
      <c r="J5581" s="33" t="n">
        <f aca="false">(Sens!$I$5580+Sens!$J$5580)/2</f>
        <v>12982.9</v>
      </c>
      <c r="K5581" s="33" t="n">
        <f aca="false">(Sens!$J$5580+Sens!$K$5580)/2</f>
        <v>16617.2</v>
      </c>
      <c r="L5581" s="33" t="n">
        <f aca="false">(Sens!$K$5580+Sens!$L$5580)/2</f>
        <v>20251.5</v>
      </c>
      <c r="M5581" s="33" t="n">
        <f aca="false">(Sens!$L$5580+Sens!$M$5580)/2</f>
        <v>23885.8</v>
      </c>
      <c r="N5581" s="33" t="n">
        <f aca="false">(Sens!$C$5580+Sens!$N$5580)/2</f>
        <v>630</v>
      </c>
      <c r="O5581" s="33" t="n">
        <f aca="false">(Sens!$N$5580+Sens!$O$5580)/2</f>
        <v>1170</v>
      </c>
    </row>
    <row r="5582" customFormat="false" ht="15" hidden="false" customHeight="false" outlineLevel="0" collapsed="false">
      <c r="A5582" s="5" t="s">
        <v>555</v>
      </c>
      <c r="B5582" s="5" t="s">
        <v>102</v>
      </c>
      <c r="C5582" s="34" t="n">
        <v>1</v>
      </c>
      <c r="D5582" s="34" t="n">
        <v>1</v>
      </c>
      <c r="E5582" s="34" t="n">
        <v>0.5</v>
      </c>
      <c r="F5582" s="34" t="n">
        <v>0.5</v>
      </c>
      <c r="G5582" s="34" t="n">
        <v>1</v>
      </c>
      <c r="H5582" s="34" t="n">
        <v>1</v>
      </c>
      <c r="I5582" s="34" t="n">
        <v>1</v>
      </c>
      <c r="J5582" s="34" t="n">
        <v>1</v>
      </c>
      <c r="K5582" s="34" t="n">
        <v>1</v>
      </c>
      <c r="L5582" s="34" t="n">
        <v>1</v>
      </c>
      <c r="M5582" s="34" t="n">
        <v>1</v>
      </c>
      <c r="N5582" s="34" t="n">
        <v>0.5</v>
      </c>
      <c r="O5582" s="34" t="n">
        <v>0.5</v>
      </c>
    </row>
    <row r="5583" customFormat="false" ht="17.15" hidden="false" customHeight="false" outlineLevel="0" collapsed="false">
      <c r="A5583" s="5" t="s">
        <v>556</v>
      </c>
      <c r="B5583" s="0" t="s">
        <v>108</v>
      </c>
      <c r="C5583" s="33" t="n">
        <f aca="false">Sens!$C$5580-mw_ye23</f>
        <v>240</v>
      </c>
      <c r="D5583" s="33" t="n">
        <f aca="false">Sens!$D$5580-Sens!$C$5580</f>
        <v>1080</v>
      </c>
      <c r="E5583" s="33" t="n">
        <f aca="false">Sens!$E$5580-Sens!$D$5580</f>
        <v>640</v>
      </c>
      <c r="F5583" s="33" t="n">
        <f aca="false">Sens!$F$5580-Sens!$E$5580</f>
        <v>1817.15</v>
      </c>
      <c r="G5583" s="33" t="n">
        <f aca="false">Sens!$E$5583+Sens!$F$5583</f>
        <v>2457.15</v>
      </c>
      <c r="H5583" s="33" t="n">
        <f aca="false">Sens!$H$5580-Sens!$G$5580</f>
        <v>3634.3</v>
      </c>
      <c r="I5583" s="33" t="n">
        <f aca="false">Sens!$I$5580-Sens!$H$5580</f>
        <v>3634.3</v>
      </c>
      <c r="J5583" s="33" t="n">
        <f aca="false">Sens!$J$5580-Sens!$I$5580</f>
        <v>3634.3</v>
      </c>
      <c r="K5583" s="33" t="n">
        <f aca="false">Sens!$K$5580-Sens!$J$5580</f>
        <v>3634.3</v>
      </c>
      <c r="L5583" s="33" t="n">
        <f aca="false">Sens!$L$5580-Sens!$K$5580</f>
        <v>3634.3</v>
      </c>
      <c r="M5583" s="33" t="n">
        <f aca="false">Sens!$M$5580-Sens!$L$5580</f>
        <v>3634.3</v>
      </c>
      <c r="N5583" s="33" t="n">
        <f aca="false">Sens!$N$5580-Sens!$C$5580</f>
        <v>540</v>
      </c>
      <c r="O5583" s="33" t="n">
        <f aca="false">Sens!$O$5580-Sens!$N$5580</f>
        <v>540</v>
      </c>
    </row>
    <row r="5584" customFormat="false" ht="17.15" hidden="false" customHeight="false" outlineLevel="0" collapsed="false">
      <c r="A5584" s="5" t="s">
        <v>557</v>
      </c>
      <c r="B5584" s="0" t="s">
        <v>108</v>
      </c>
      <c r="C5584" s="33" t="n">
        <f aca="false">Sens!$C$5583/ext_sh</f>
        <v>300</v>
      </c>
      <c r="D5584" s="33" t="n">
        <f aca="false">Sens!$D$5583/ext_sh</f>
        <v>1350</v>
      </c>
      <c r="E5584" s="33" t="n">
        <f aca="false">Sens!$E$5583/ext_sh</f>
        <v>800</v>
      </c>
      <c r="F5584" s="33" t="n">
        <f aca="false">Sens!$F$5583/ext_sh</f>
        <v>2271.4375</v>
      </c>
      <c r="G5584" s="33" t="n">
        <f aca="false">Sens!$G$5583/ext_sh</f>
        <v>3071.4375</v>
      </c>
      <c r="H5584" s="33" t="n">
        <f aca="false">Sens!$H$5583/ext_sh</f>
        <v>4542.875</v>
      </c>
      <c r="I5584" s="33" t="n">
        <f aca="false">Sens!$I$5583/ext_sh</f>
        <v>4542.875</v>
      </c>
      <c r="J5584" s="33" t="n">
        <f aca="false">Sens!$J$5583/ext_sh</f>
        <v>4542.875</v>
      </c>
      <c r="K5584" s="33" t="n">
        <f aca="false">Sens!$K$5583/ext_sh</f>
        <v>4542.875</v>
      </c>
      <c r="L5584" s="33" t="n">
        <f aca="false">Sens!$L$5583/ext_sh</f>
        <v>4542.875</v>
      </c>
      <c r="M5584" s="33" t="n">
        <f aca="false">Sens!$M$5583/ext_sh</f>
        <v>4542.875</v>
      </c>
      <c r="N5584" s="33" t="n">
        <f aca="false">Sens!$N$5583/ext_sh</f>
        <v>675</v>
      </c>
      <c r="O5584" s="33" t="n">
        <f aca="false">Sens!$O$5583/ext_sh</f>
        <v>675</v>
      </c>
      <c r="P5584" s="8" t="s">
        <v>558</v>
      </c>
      <c r="R5584" s="33" t="n">
        <f aca="false">mw_ye23/ext_sh</f>
        <v>150</v>
      </c>
      <c r="S5584" s="33" t="n">
        <f aca="false">Sens!$C$5584</f>
        <v>300</v>
      </c>
      <c r="T5584" s="33" t="n">
        <f aca="false">Sens!$D$5584</f>
        <v>1350</v>
      </c>
      <c r="U5584" s="33" t="n">
        <f aca="false">Sens!$G$5584</f>
        <v>3071.4375</v>
      </c>
      <c r="V5584" s="33" t="n">
        <f aca="false">Sens!$H$5584</f>
        <v>4542.875</v>
      </c>
      <c r="W5584" s="33" t="n">
        <f aca="false">Sens!$I$5584</f>
        <v>4542.875</v>
      </c>
      <c r="X5584" s="33" t="n">
        <f aca="false">Sens!$J$5584</f>
        <v>4542.875</v>
      </c>
      <c r="Y5584" s="33" t="n">
        <f aca="false">Sens!$K$5584</f>
        <v>4542.875</v>
      </c>
      <c r="Z5584" s="33" t="n">
        <f aca="false">Sens!$L$5584</f>
        <v>4542.875</v>
      </c>
      <c r="AA5584" s="33" t="n">
        <f aca="false">Sens!$M$5584</f>
        <v>4542.875</v>
      </c>
    </row>
    <row r="5585" customFormat="false" ht="17.15" hidden="false" customHeight="false" outlineLevel="0" collapsed="false">
      <c r="A5585" s="1" t="s">
        <v>559</v>
      </c>
    </row>
    <row r="5586" customFormat="false" ht="17.15" hidden="false" customHeight="false" outlineLevel="0" collapsed="false">
      <c r="A5586" s="0" t="s">
        <v>560</v>
      </c>
      <c r="B5586" s="0" t="s">
        <v>52</v>
      </c>
      <c r="F5586" s="35" t="n">
        <f aca="false">na_vr26</f>
        <v>0</v>
      </c>
      <c r="G5586" s="35" t="n">
        <f aca="false">na_vr26</f>
        <v>0</v>
      </c>
      <c r="H5586" s="35" t="n">
        <f aca="false">na_vr27</f>
        <v>0.5</v>
      </c>
      <c r="I5586" s="35" t="n">
        <f aca="false">na_vr28</f>
        <v>1</v>
      </c>
      <c r="J5586" s="35" t="n">
        <f aca="false">na_vr28</f>
        <v>1</v>
      </c>
      <c r="K5586" s="35" t="n">
        <f aca="false">na_vr28</f>
        <v>1</v>
      </c>
      <c r="L5586" s="35" t="n">
        <f aca="false">na_vr28</f>
        <v>1</v>
      </c>
      <c r="M5586" s="35" t="n">
        <f aca="false">na_vr28</f>
        <v>1</v>
      </c>
    </row>
    <row r="5587" customFormat="false" ht="17.15" hidden="false" customHeight="false" outlineLevel="0" collapsed="false">
      <c r="A5587" s="5" t="s">
        <v>561</v>
      </c>
      <c r="B5587" s="0" t="s">
        <v>151</v>
      </c>
      <c r="F5587" s="36" t="n">
        <f aca="false">cust_sh*tk_he_gb300*cf_chip+(1-cust_sh)*((1-Sens!$F$5586)*tk_he_gb300+Sens!$F$5586*tk_he_vr200)</f>
        <v>10.8864110021101</v>
      </c>
      <c r="G5587" s="36" t="n">
        <f aca="false">cust_sh*tk_he_gb300*cf_chip+(1-cust_sh)*((1-Sens!$G$5586)*tk_he_gb300+Sens!$G$5586*tk_he_vr200)</f>
        <v>10.8864110021101</v>
      </c>
      <c r="H5587" s="36" t="n">
        <f aca="false">cust_sh*tk_he_gb300*cf_chip+(1-cust_sh)*((1-Sens!$H$5586)*tk_he_gb300+Sens!$H$5586*tk_he_vr200)</f>
        <v>11.2211760027286</v>
      </c>
      <c r="I5587" s="36" t="n">
        <f aca="false">cust_sh*tk_he_gb300*cf_chip+(1-cust_sh)*((1-Sens!$I$5586)*tk_he_gb300+Sens!$I$5586*tk_he_vr200)</f>
        <v>11.5559410033471</v>
      </c>
      <c r="J5587" s="36" t="n">
        <f aca="false">cust_sh*tk_he_gb300*cf_chip+(1-cust_sh)*((1-Sens!$J$5586)*tk_he_gb300+Sens!$J$5586*tk_he_vr200)</f>
        <v>11.5559410033471</v>
      </c>
      <c r="K5587" s="36" t="n">
        <f aca="false">cust_sh*tk_he_gb300*cf_chip+(1-cust_sh)*((1-Sens!$K$5586)*tk_he_gb300+Sens!$K$5586*tk_he_vr200)</f>
        <v>11.5559410033471</v>
      </c>
      <c r="L5587" s="36" t="n">
        <f aca="false">cust_sh*tk_he_gb300*cf_chip+(1-cust_sh)*((1-Sens!$L$5586)*tk_he_gb300+Sens!$L$5586*tk_he_vr200)</f>
        <v>11.5559410033471</v>
      </c>
      <c r="M5587" s="36" t="n">
        <f aca="false">cust_sh*tk_he_gb300*cf_chip+(1-cust_sh)*((1-Sens!$M$5586)*tk_he_gb300+Sens!$M$5586*tk_he_vr200)</f>
        <v>11.5559410033471</v>
      </c>
    </row>
    <row r="5588" customFormat="false" ht="17.15" hidden="false" customHeight="false" outlineLevel="0" collapsed="false">
      <c r="A5588" s="5" t="s">
        <v>562</v>
      </c>
      <c r="B5588" s="0" t="s">
        <v>151</v>
      </c>
      <c r="F5588" s="36" t="n">
        <f aca="false">cust_sh*tk_ox_gb300+(1-cust_sh)*((1-Sens!$F$5586)*tk_ox_gb300+Sens!$F$5586*tk_ox_vr200)</f>
        <v>1.98263481314457</v>
      </c>
      <c r="G5588" s="36" t="n">
        <f aca="false">cust_sh*tk_ox_gb300+(1-cust_sh)*((1-Sens!$G$5586)*tk_ox_gb300+Sens!$G$5586*tk_ox_vr200)</f>
        <v>1.98263481314457</v>
      </c>
      <c r="H5588" s="36" t="n">
        <f aca="false">cust_sh*tk_ox_gb300+(1-cust_sh)*((1-Sens!$H$5586)*tk_ox_gb300+Sens!$H$5586*tk_ox_vr200)</f>
        <v>2.01034999693694</v>
      </c>
      <c r="I5588" s="36" t="n">
        <f aca="false">cust_sh*tk_ox_gb300+(1-cust_sh)*((1-Sens!$I$5586)*tk_ox_gb300+Sens!$I$5586*tk_ox_vr200)</f>
        <v>2.0380651807293</v>
      </c>
      <c r="J5588" s="36" t="n">
        <f aca="false">cust_sh*tk_ox_gb300+(1-cust_sh)*((1-Sens!$J$5586)*tk_ox_gb300+Sens!$J$5586*tk_ox_vr200)</f>
        <v>2.0380651807293</v>
      </c>
      <c r="K5588" s="36" t="n">
        <f aca="false">cust_sh*tk_ox_gb300+(1-cust_sh)*((1-Sens!$K$5586)*tk_ox_gb300+Sens!$K$5586*tk_ox_vr200)</f>
        <v>2.0380651807293</v>
      </c>
      <c r="L5588" s="36" t="n">
        <f aca="false">cust_sh*tk_ox_gb300+(1-cust_sh)*((1-Sens!$L$5586)*tk_ox_gb300+Sens!$L$5586*tk_ox_vr200)</f>
        <v>2.0380651807293</v>
      </c>
      <c r="M5588" s="36" t="n">
        <f aca="false">cust_sh*tk_ox_gb300+(1-cust_sh)*((1-Sens!$M$5586)*tk_ox_gb300+Sens!$M$5586*tk_ox_vr200)</f>
        <v>2.0380651807293</v>
      </c>
    </row>
    <row r="5589" customFormat="false" ht="17.15" hidden="false" customHeight="false" outlineLevel="0" collapsed="false">
      <c r="A5589" s="5" t="s">
        <v>563</v>
      </c>
      <c r="B5589" s="0" t="s">
        <v>170</v>
      </c>
      <c r="F5589" s="36" t="n">
        <f aca="false">cust_sh*tk_cx_gb300*cf_cx+(1-cust_sh)*((1-Sens!$F$5586)*tk_cx_gb300+Sens!$F$5586*tk_cx_vr200)</f>
        <v>32.237224</v>
      </c>
      <c r="G5589" s="36" t="n">
        <f aca="false">cust_sh*tk_cx_gb300*cf_cx+(1-cust_sh)*((1-Sens!$G$5586)*tk_cx_gb300+Sens!$G$5586*tk_cx_vr200)</f>
        <v>32.237224</v>
      </c>
      <c r="H5589" s="36" t="n">
        <f aca="false">cust_sh*tk_cx_gb300*cf_cx+(1-cust_sh)*((1-Sens!$H$5586)*tk_cx_gb300+Sens!$H$5586*tk_cx_vr200)</f>
        <v>33.574506</v>
      </c>
      <c r="I5589" s="36" t="n">
        <f aca="false">cust_sh*tk_cx_gb300*cf_cx+(1-cust_sh)*((1-Sens!$I$5586)*tk_cx_gb300+Sens!$I$5586*tk_cx_vr200)</f>
        <v>34.911788</v>
      </c>
      <c r="J5589" s="36" t="n">
        <f aca="false">cust_sh*tk_cx_gb300*cf_cx+(1-cust_sh)*((1-Sens!$J$5586)*tk_cx_gb300+Sens!$J$5586*tk_cx_vr200)</f>
        <v>34.911788</v>
      </c>
      <c r="K5589" s="36" t="n">
        <f aca="false">cust_sh*tk_cx_gb300*cf_cx+(1-cust_sh)*((1-Sens!$K$5586)*tk_cx_gb300+Sens!$K$5586*tk_cx_vr200)</f>
        <v>34.911788</v>
      </c>
      <c r="L5589" s="36" t="n">
        <f aca="false">cust_sh*tk_cx_gb300*cf_cx+(1-cust_sh)*((1-Sens!$L$5586)*tk_cx_gb300+Sens!$L$5586*tk_cx_vr200)</f>
        <v>34.911788</v>
      </c>
      <c r="M5589" s="36" t="n">
        <f aca="false">cust_sh*tk_cx_gb300*cf_cx+(1-cust_sh)*((1-Sens!$M$5586)*tk_cx_gb300+Sens!$M$5586*tk_cx_vr200)</f>
        <v>34.911788</v>
      </c>
    </row>
    <row r="5590" customFormat="false" ht="17.15" hidden="false" customHeight="false" outlineLevel="0" collapsed="false">
      <c r="A5590" s="5" t="s">
        <v>564</v>
      </c>
      <c r="B5590" s="0" t="s">
        <v>108</v>
      </c>
      <c r="F5590" s="33" t="n">
        <f aca="false">Sens!$F$5580-mw_open</f>
        <v>1817.15</v>
      </c>
      <c r="G5590" s="33" t="n">
        <f aca="false">Sens!$F$5590</f>
        <v>1817.15</v>
      </c>
      <c r="H5590" s="33" t="n">
        <f aca="false">Sens!$H$5580-mw_open</f>
        <v>5451.45</v>
      </c>
      <c r="I5590" s="33" t="n">
        <f aca="false">Sens!$I$5580-mw_open</f>
        <v>9085.75</v>
      </c>
      <c r="J5590" s="33" t="n">
        <f aca="false">Sens!$J$5580-mw_open</f>
        <v>12720.05</v>
      </c>
      <c r="K5590" s="33" t="n">
        <f aca="false">Sens!$K$5580-mw_open</f>
        <v>16354.35</v>
      </c>
      <c r="L5590" s="33" t="n">
        <f aca="false">Sens!$L$5580-mw_open</f>
        <v>19988.65</v>
      </c>
      <c r="M5590" s="33" t="n">
        <f aca="false">Sens!$M$5580-mw_open</f>
        <v>23622.95</v>
      </c>
    </row>
    <row r="5591" customFormat="false" ht="17.15" hidden="false" customHeight="false" outlineLevel="0" collapsed="false">
      <c r="A5591" s="0" t="s">
        <v>565</v>
      </c>
      <c r="B5591" s="0" t="s">
        <v>566</v>
      </c>
      <c r="F5591" s="33" t="n">
        <f aca="false">Sens!$F$5583*Sens!$F$5587</f>
        <v>19782.2417524844</v>
      </c>
      <c r="G5591" s="33" t="n">
        <f aca="false">Sens!$F$5591</f>
        <v>19782.2417524844</v>
      </c>
      <c r="H5591" s="33" t="n">
        <f aca="false">Sens!$G$5591+Sens!$H$5583*Sens!$H$5587</f>
        <v>60563.3616992009</v>
      </c>
      <c r="I5591" s="33" t="n">
        <f aca="false">Sens!$H$5591+Sens!$I$5583*Sens!$I$5587</f>
        <v>102561.118087665</v>
      </c>
      <c r="J5591" s="33" t="n">
        <f aca="false">Sens!$I$5591+Sens!$J$5583*Sens!$J$5587</f>
        <v>144558.87447613</v>
      </c>
      <c r="K5591" s="33" t="n">
        <f aca="false">Sens!$J$5591+Sens!$K$5583*Sens!$K$5587</f>
        <v>186556.630864594</v>
      </c>
      <c r="L5591" s="33" t="n">
        <f aca="false">Sens!$K$5591+Sens!$L$5583*Sens!$L$5587</f>
        <v>228554.387253058</v>
      </c>
      <c r="M5591" s="33" t="n">
        <f aca="false">Sens!$L$5591+Sens!$M$5583*Sens!$M$5587</f>
        <v>270552.143641523</v>
      </c>
    </row>
    <row r="5592" customFormat="false" ht="17.15" hidden="false" customHeight="false" outlineLevel="0" collapsed="false">
      <c r="A5592" s="0" t="s">
        <v>567</v>
      </c>
      <c r="B5592" s="0" t="s">
        <v>566</v>
      </c>
      <c r="F5592" s="33" t="n">
        <f aca="false">Sens!$F$5583*Sens!$F$5588</f>
        <v>3602.74485070566</v>
      </c>
      <c r="G5592" s="33" t="n">
        <f aca="false">Sens!$F$5592</f>
        <v>3602.74485070566</v>
      </c>
      <c r="H5592" s="33" t="n">
        <f aca="false">Sens!$G$5592+Sens!$H$5583*Sens!$H$5588</f>
        <v>10908.9598445736</v>
      </c>
      <c r="I5592" s="33" t="n">
        <f aca="false">Sens!$H$5592+Sens!$I$5583*Sens!$I$5588</f>
        <v>18315.9001308981</v>
      </c>
      <c r="J5592" s="33" t="n">
        <f aca="false">Sens!$I$5592+Sens!$J$5583*Sens!$J$5588</f>
        <v>25722.8404172225</v>
      </c>
      <c r="K5592" s="33" t="n">
        <f aca="false">Sens!$J$5592+Sens!$K$5583*Sens!$K$5588</f>
        <v>33129.780703547</v>
      </c>
      <c r="L5592" s="33" t="n">
        <f aca="false">Sens!$K$5592+Sens!$L$5583*Sens!$L$5588</f>
        <v>40536.7209898715</v>
      </c>
      <c r="M5592" s="33" t="n">
        <f aca="false">Sens!$L$5592+Sens!$M$5583*Sens!$M$5588</f>
        <v>47943.661276196</v>
      </c>
    </row>
    <row r="5593" customFormat="false" ht="17.15" hidden="false" customHeight="false" outlineLevel="0" collapsed="false">
      <c r="A5593" s="5" t="s">
        <v>568</v>
      </c>
      <c r="B5593" s="0" t="s">
        <v>151</v>
      </c>
      <c r="F5593" s="36" t="n">
        <f aca="false">IF(Sens!$F$5590&gt;0,Sens!$F$5591/Sens!$F$5590,Sens!$F$5587)</f>
        <v>10.8864110021101</v>
      </c>
      <c r="G5593" s="36" t="n">
        <f aca="false">IF(Sens!$G$5590&gt;0,Sens!$G$5591/Sens!$G$5590,Sens!$G$5587)</f>
        <v>10.8864110021101</v>
      </c>
      <c r="H5593" s="36" t="n">
        <f aca="false">IF(Sens!$H$5590&gt;0,Sens!$H$5591/Sens!$H$5590,Sens!$H$5587)</f>
        <v>11.1095876691891</v>
      </c>
      <c r="I5593" s="36" t="n">
        <f aca="false">IF(Sens!$I$5590&gt;0,Sens!$I$5591/Sens!$I$5590,Sens!$I$5587)</f>
        <v>11.2881290028523</v>
      </c>
      <c r="J5593" s="36" t="n">
        <f aca="false">IF(Sens!$J$5590&gt;0,Sens!$J$5591/Sens!$J$5590,Sens!$J$5587)</f>
        <v>11.3646467172794</v>
      </c>
      <c r="K5593" s="36" t="n">
        <f aca="false">IF(Sens!$K$5590&gt;0,Sens!$K$5591/Sens!$K$5590,Sens!$K$5587)</f>
        <v>11.4071565586278</v>
      </c>
      <c r="L5593" s="36" t="n">
        <f aca="false">IF(Sens!$L$5590&gt;0,Sens!$L$5591/Sens!$L$5590,Sens!$L$5587)</f>
        <v>11.4342082758495</v>
      </c>
      <c r="M5593" s="36" t="n">
        <f aca="false">IF(Sens!$M$5590&gt;0,Sens!$M$5591/Sens!$M$5590,Sens!$M$5587)</f>
        <v>11.4529363877722</v>
      </c>
    </row>
    <row r="5594" customFormat="false" ht="17.15" hidden="false" customHeight="false" outlineLevel="0" collapsed="false">
      <c r="A5594" s="5" t="s">
        <v>569</v>
      </c>
      <c r="B5594" s="0" t="s">
        <v>151</v>
      </c>
      <c r="F5594" s="36" t="n">
        <f aca="false">IF(Sens!$F$5590&gt;0,Sens!$F$5592/Sens!$F$5590,Sens!$F$5588)</f>
        <v>1.98263481314457</v>
      </c>
      <c r="G5594" s="36" t="n">
        <f aca="false">IF(Sens!$G$5590&gt;0,Sens!$G$5592/Sens!$G$5590,Sens!$G$5588)</f>
        <v>1.98263481314457</v>
      </c>
      <c r="H5594" s="36" t="n">
        <f aca="false">IF(Sens!$H$5590&gt;0,Sens!$H$5592/Sens!$H$5590,Sens!$H$5588)</f>
        <v>2.00111160233948</v>
      </c>
      <c r="I5594" s="36" t="n">
        <f aca="false">IF(Sens!$I$5590&gt;0,Sens!$I$5592/Sens!$I$5590,Sens!$I$5588)</f>
        <v>2.01589303369541</v>
      </c>
      <c r="J5594" s="36" t="n">
        <f aca="false">IF(Sens!$J$5590&gt;0,Sens!$J$5592/Sens!$J$5590,Sens!$J$5588)</f>
        <v>2.02222793284795</v>
      </c>
      <c r="K5594" s="36" t="n">
        <f aca="false">IF(Sens!$K$5590&gt;0,Sens!$K$5592/Sens!$K$5590,Sens!$K$5588)</f>
        <v>2.02574732126603</v>
      </c>
      <c r="L5594" s="36" t="n">
        <f aca="false">IF(Sens!$L$5590&gt;0,Sens!$L$5592/Sens!$L$5590,Sens!$L$5588)</f>
        <v>2.02798693207753</v>
      </c>
      <c r="M5594" s="36" t="n">
        <f aca="false">IF(Sens!$M$5590&gt;0,Sens!$M$5592/Sens!$M$5590,Sens!$M$5588)</f>
        <v>2.02953743187011</v>
      </c>
    </row>
    <row r="5595" customFormat="false" ht="17.15" hidden="false" customHeight="false" outlineLevel="0" collapsed="false">
      <c r="A5595" s="14" t="s">
        <v>570</v>
      </c>
      <c r="B5595" s="13" t="s">
        <v>151</v>
      </c>
      <c r="C5595" s="13"/>
      <c r="D5595" s="13"/>
      <c r="E5595" s="13"/>
      <c r="F5595" s="37" t="n">
        <f aca="false">Sens!$F$5593*k_B</f>
        <v>10.7987645808025</v>
      </c>
      <c r="G5595" s="37" t="n">
        <f aca="false">Sens!$G$5593*k_B</f>
        <v>10.7987645808025</v>
      </c>
      <c r="H5595" s="37" t="n">
        <f aca="false">Sens!$H$5593*k_B</f>
        <v>11.0201444540452</v>
      </c>
      <c r="I5595" s="37" t="n">
        <f aca="false">Sens!$I$5593*k_B</f>
        <v>11.1972483526393</v>
      </c>
      <c r="J5595" s="37" t="n">
        <f aca="false">Sens!$J$5593*k_B</f>
        <v>11.2731500234653</v>
      </c>
      <c r="K5595" s="37" t="n">
        <f aca="false">Sens!$K$5593*k_B</f>
        <v>11.3153176183687</v>
      </c>
      <c r="L5595" s="37" t="n">
        <f aca="false">Sens!$L$5593*k_B</f>
        <v>11.3421515423981</v>
      </c>
      <c r="M5595" s="37" t="n">
        <f aca="false">Sens!$M$5593*k_B</f>
        <v>11.3607288744184</v>
      </c>
      <c r="N5595" s="13"/>
      <c r="O5595" s="13"/>
      <c r="P5595" s="5" t="s">
        <v>571</v>
      </c>
    </row>
    <row r="5596" customFormat="false" ht="17.15" hidden="false" customHeight="false" outlineLevel="0" collapsed="false">
      <c r="A5596" s="5" t="s">
        <v>572</v>
      </c>
      <c r="B5596" s="0" t="s">
        <v>108</v>
      </c>
      <c r="F5596" s="33" t="n">
        <f aca="false">Sens!$F$5590/2</f>
        <v>908.575</v>
      </c>
      <c r="H5596" s="33" t="n">
        <f aca="false">(Sens!$G$5590+Sens!$H$5590)/2</f>
        <v>3634.3</v>
      </c>
      <c r="I5596" s="33" t="n">
        <f aca="false">(Sens!$H$5590+Sens!$I$5590)/2</f>
        <v>7268.6</v>
      </c>
      <c r="J5596" s="33" t="n">
        <f aca="false">(Sens!$I$5590+Sens!$J$5590)/2</f>
        <v>10902.9</v>
      </c>
      <c r="K5596" s="33" t="n">
        <f aca="false">(Sens!$J$5590+Sens!$K$5590)/2</f>
        <v>14537.2</v>
      </c>
      <c r="L5596" s="33" t="n">
        <f aca="false">(Sens!$K$5590+Sens!$L$5590)/2</f>
        <v>18171.5</v>
      </c>
      <c r="M5596" s="33" t="n">
        <f aca="false">(Sens!$L$5590+Sens!$M$5590)/2</f>
        <v>21805.8</v>
      </c>
    </row>
    <row r="5597" customFormat="false" ht="17.15" hidden="false" customHeight="false" outlineLevel="0" collapsed="false">
      <c r="A5597" s="1" t="s">
        <v>573</v>
      </c>
    </row>
    <row r="5598" customFormat="false" ht="17.15" hidden="false" customHeight="false" outlineLevel="0" collapsed="false">
      <c r="A5598" s="1" t="s">
        <v>574</v>
      </c>
      <c r="B5598" s="8" t="s">
        <v>73</v>
      </c>
      <c r="C5598" s="38" t="n">
        <f aca="false">Sens!$C$5581*rpm_open*Sens!$C$5582/1000</f>
        <v>2.32100535697364</v>
      </c>
      <c r="D5598" s="38" t="n">
        <f aca="false">Sens!$D$5581*rpm_open*Sens!$D$5582/1000</f>
        <v>8.70377008865116</v>
      </c>
      <c r="E5598" s="38" t="n">
        <f aca="false">Sens!$E$5581*rpm_open*Sens!$E$5582/1000</f>
        <v>8.51035297557002</v>
      </c>
      <c r="F5598" s="38" t="n">
        <f aca="false">(mw_open*rpm_open+Sens!$F$5596*Sens!$F$5595)*Sens!$F$5582/1000</f>
        <v>14.9634336447205</v>
      </c>
      <c r="G5598" s="38" t="n">
        <f aca="false">Sens!$E$5598+Sens!$F$5598</f>
        <v>23.4737866202905</v>
      </c>
      <c r="H5598" s="38" t="n">
        <f aca="false">(mw_open*rpm_open+Sens!$H$5596*Sens!$H$5595)/1000</f>
        <v>60.1658907497746</v>
      </c>
      <c r="I5598" s="38" t="n">
        <f aca="false">(mw_open*rpm_open+Sens!$I$5596*Sens!$I$5595)/1000</f>
        <v>101.503699136432</v>
      </c>
      <c r="J5598" s="38" t="n">
        <f aca="false">(mw_open*rpm_open+Sens!$J$5596*Sens!$J$5595)/1000</f>
        <v>143.025407151278</v>
      </c>
      <c r="K5598" s="38" t="n">
        <f aca="false">(mw_open*rpm_open+Sens!$K$5596*Sens!$K$5595)/1000</f>
        <v>184.608415042187</v>
      </c>
      <c r="L5598" s="38" t="n">
        <f aca="false">(mw_open*rpm_open+Sens!$L$5596*Sens!$L$5595)/1000</f>
        <v>226.219286513125</v>
      </c>
      <c r="M5598" s="38" t="n">
        <f aca="false">(mw_open*rpm_open+Sens!$M$5596*Sens!$M$5595)/1000</f>
        <v>267.845161450232</v>
      </c>
      <c r="N5598" s="38" t="n">
        <f aca="false">Sens!$N$5581*rpm_open*Sens!$N$5582/1000</f>
        <v>3.04631953102791</v>
      </c>
      <c r="O5598" s="38" t="n">
        <f aca="false">Sens!$O$5581*rpm_open*Sens!$O$5582/1000</f>
        <v>5.65745055762326</v>
      </c>
      <c r="P5598" s="5" t="s">
        <v>575</v>
      </c>
    </row>
    <row r="5599" customFormat="false" ht="17.15" hidden="false" customHeight="false" outlineLevel="0" collapsed="false">
      <c r="A5599" s="5" t="s">
        <v>576</v>
      </c>
      <c r="B5599" s="0" t="s">
        <v>151</v>
      </c>
      <c r="C5599" s="36" t="n">
        <f aca="false">Sens!$C$5598*1000/(Sens!$C$5581*Sens!$C$5582)</f>
        <v>9.67085565405685</v>
      </c>
      <c r="D5599" s="36" t="n">
        <f aca="false">Sens!$D$5598*1000/(Sens!$D$5581*Sens!$D$5582)</f>
        <v>9.67085565405685</v>
      </c>
      <c r="E5599" s="36" t="n">
        <f aca="false">Sens!$E$5598*1000/(Sens!$E$5581*Sens!$E$5582)</f>
        <v>9.67085565405685</v>
      </c>
      <c r="F5599" s="36" t="n">
        <f aca="false">Sens!$F$5598*1000/(Sens!$F$5581*Sens!$F$5582)</f>
        <v>10.0137581588017</v>
      </c>
      <c r="G5599" s="36" t="n">
        <f aca="false">Sens!$G$5598*1000/(Sens!$G$5581*Sens!$G$5582)</f>
        <v>9.88666562928478</v>
      </c>
      <c r="H5599" s="36" t="n">
        <f aca="false">Sens!$H$5598*1000/(Sens!$H$5581*Sens!$H$5582)</f>
        <v>10.5290045586992</v>
      </c>
      <c r="I5599" s="36" t="n">
        <f aca="false">Sens!$I$5598*1000/(Sens!$I$5581*Sens!$I$5582)</f>
        <v>10.8576363451674</v>
      </c>
      <c r="J5599" s="36" t="n">
        <f aca="false">Sens!$J$5598*1000/(Sens!$J$5581*Sens!$J$5582)</f>
        <v>11.0164452588619</v>
      </c>
      <c r="K5599" s="36" t="n">
        <f aca="false">Sens!$K$5598*1000/(Sens!$K$5581*Sens!$K$5582)</f>
        <v>11.1094778327388</v>
      </c>
      <c r="L5599" s="36" t="n">
        <f aca="false">Sens!$L$5598*1000/(Sens!$L$5581*Sens!$L$5582)</f>
        <v>11.1704953466718</v>
      </c>
      <c r="M5599" s="36" t="n">
        <f aca="false">Sens!$M$5598*1000/(Sens!$M$5581*Sens!$M$5582)</f>
        <v>11.2135729785158</v>
      </c>
      <c r="N5599" s="36" t="n">
        <f aca="false">Sens!$N$5598*1000/(Sens!$N$5581*Sens!$N$5582)</f>
        <v>9.67085565405685</v>
      </c>
      <c r="O5599" s="36" t="n">
        <f aca="false">Sens!$O$5598*1000/(Sens!$O$5581*Sens!$O$5582)</f>
        <v>9.67085565405685</v>
      </c>
    </row>
    <row r="5600" customFormat="false" ht="17.15" hidden="false" customHeight="false" outlineLevel="0" collapsed="false">
      <c r="A5600" s="0" t="s">
        <v>577</v>
      </c>
      <c r="B5600" s="0" t="s">
        <v>73</v>
      </c>
      <c r="C5600" s="38" t="n">
        <f aca="false">Sens!$C$5581/ext_sh*(ox_open+rent_mw)*Sens!$C$5582/1000</f>
        <v>0.642569210675032</v>
      </c>
      <c r="D5600" s="38" t="n">
        <f aca="false">Sens!$D$5581/ext_sh*(ox_open+rent_mw)*Sens!$D$5582/1000</f>
        <v>2.40963454003137</v>
      </c>
      <c r="E5600" s="38" t="n">
        <f aca="false">Sens!$E$5581/ext_sh*(ox_open+rent_mw)*Sens!$E$5582/1000</f>
        <v>2.35608710580845</v>
      </c>
      <c r="F5600" s="38" t="n">
        <f aca="false">((mw_open*ox_open+Sens!$F$5596*Sens!$F$5594)/ext_sh+Sens!$F$5581/ext_sh*rent_mw)*Sens!$F$5582/1000</f>
        <v>4.05421991106232</v>
      </c>
      <c r="G5600" s="38" t="n">
        <f aca="false">Sens!$E$5600+Sens!$F$5600</f>
        <v>6.41030701687077</v>
      </c>
      <c r="H5600" s="38" t="n">
        <f aca="false">((mw_open*ox_open+Sens!$H$5596*Sens!$H$5594)/ext_sh+Sens!$H$5581/ext_sh*rent_mw)*Sens!$H$5582/1000</f>
        <v>15.8108975546616</v>
      </c>
      <c r="I5600" s="38" t="n">
        <f aca="false">((mw_open*ox_open+Sens!$I$5596*Sens!$I$5594)/ext_sh+Sens!$I$5581/ext_sh*rent_mw)*Sens!$I$5582/1000</f>
        <v>26.1871623400817</v>
      </c>
      <c r="J5600" s="38" t="n">
        <f aca="false">((mw_open*ox_open+Sens!$J$5596*Sens!$J$5594)/ext_sh+Sens!$J$5581/ext_sh*rent_mw)*Sens!$J$5582/1000</f>
        <v>36.5826128954935</v>
      </c>
      <c r="K5600" s="38" t="n">
        <f aca="false">((mw_open*ox_open+Sens!$K$5596*Sens!$K$5594)/ext_sh+Sens!$K$5581/ext_sh*rent_mw)*Sens!$K$5582/1000</f>
        <v>46.9844587075692</v>
      </c>
      <c r="L5600" s="38" t="n">
        <f aca="false">((mw_open*ox_open+Sens!$L$5596*Sens!$L$5594)/ext_sh+Sens!$L$5581/ext_sh*rent_mw)*Sens!$L$5582/1000</f>
        <v>57.3892114544922</v>
      </c>
      <c r="M5600" s="38" t="n">
        <f aca="false">((mw_open*ox_open+Sens!$M$5596*Sens!$M$5594)/ext_sh+Sens!$M$5581/ext_sh*rent_mw)*Sens!$M$5582/1000</f>
        <v>67.7955294740252</v>
      </c>
      <c r="N5600" s="38" t="n">
        <f aca="false">Sens!$N$5581/ext_sh*(ox_open+rent_mw)*Sens!$N$5582/1000</f>
        <v>0.84337208901098</v>
      </c>
      <c r="O5600" s="38" t="n">
        <f aca="false">Sens!$O$5581/ext_sh*(ox_open+rent_mw)*Sens!$O$5582/1000</f>
        <v>1.56626245102039</v>
      </c>
    </row>
    <row r="5601" customFormat="false" ht="17.15" hidden="false" customHeight="false" outlineLevel="0" collapsed="false">
      <c r="A5601" s="0" t="s">
        <v>578</v>
      </c>
      <c r="B5601" s="0" t="s">
        <v>73</v>
      </c>
      <c r="C5601" s="38" t="n">
        <f aca="false">Q!$D$7</f>
        <v>107.556</v>
      </c>
      <c r="D5601" s="38" t="n">
        <f aca="false">Q!$E$7</f>
        <v>128.725</v>
      </c>
      <c r="E5601" s="38" t="n">
        <f aca="false">Q!$P$7</f>
        <v>79.819</v>
      </c>
      <c r="N5601" s="38" t="n">
        <f aca="false">Q!$N$7</f>
        <v>60.14</v>
      </c>
      <c r="O5601" s="38" t="n">
        <f aca="false">Q!$O$7</f>
        <v>68.585</v>
      </c>
    </row>
    <row r="5602" customFormat="false" ht="17.15" hidden="false" customHeight="false" outlineLevel="0" collapsed="false">
      <c r="A5602" s="1" t="s">
        <v>579</v>
      </c>
      <c r="B5602" s="8" t="s">
        <v>73</v>
      </c>
      <c r="C5602" s="38" t="n">
        <f aca="false">Sens!$C$5601-Sens!$C$5598</f>
        <v>105.234994643026</v>
      </c>
      <c r="D5602" s="38" t="n">
        <f aca="false">Sens!$D$5601-Sens!$D$5598</f>
        <v>120.021229911349</v>
      </c>
      <c r="E5602" s="38" t="n">
        <f aca="false">Sens!$E$5601-Sens!$E$5598</f>
        <v>71.30864702443</v>
      </c>
      <c r="F5602" s="38" t="n">
        <f aca="false">Sens!$O$5602*(1+Sens!$F$5603)</f>
        <v>78.5950104186653</v>
      </c>
      <c r="G5602" s="38" t="n">
        <f aca="false">Sens!$E$5602+Sens!$F$5602</f>
        <v>149.903657443095</v>
      </c>
      <c r="H5602" s="38" t="n">
        <f aca="false">Sens!$G$5602*(1+Sens!$H$5603)</f>
        <v>180.893560768142</v>
      </c>
      <c r="I5602" s="38" t="n">
        <f aca="false">Sens!$H$5602*(1+Sens!$I$5603)</f>
        <v>210.64839721501</v>
      </c>
      <c r="J5602" s="38" t="n">
        <f aca="false">Sens!$I$5602*(1+Sens!$J$5603)</f>
        <v>236.398909446495</v>
      </c>
      <c r="K5602" s="38" t="n">
        <f aca="false">Sens!$J$5602*(1+Sens!$K$5603)</f>
        <v>255.310822202215</v>
      </c>
      <c r="L5602" s="38" t="n">
        <f aca="false">Sens!$K$5602*(1+Sens!$L$5603)</f>
        <v>275.735687978392</v>
      </c>
      <c r="M5602" s="38" t="n">
        <f aca="false">Sens!$L$5602*(1+Sens!$M$5603)</f>
        <v>297.794543016663</v>
      </c>
      <c r="N5602" s="38" t="n">
        <f aca="false">Sens!$N$5601-Sens!$N$5598</f>
        <v>57.0936804689721</v>
      </c>
      <c r="O5602" s="38" t="n">
        <f aca="false">Sens!$O$5601-Sens!$O$5598</f>
        <v>62.9275494423768</v>
      </c>
      <c r="P5602" s="5" t="s">
        <v>580</v>
      </c>
    </row>
    <row r="5603" customFormat="false" ht="17.15" hidden="false" customHeight="false" outlineLevel="0" collapsed="false">
      <c r="A5603" s="0" t="s">
        <v>581</v>
      </c>
      <c r="B5603" s="0" t="s">
        <v>52</v>
      </c>
      <c r="E5603" s="12" t="n">
        <f aca="false">Sens!$E$5602/Sens!$N$5602-1</f>
        <v>0.248976181579029</v>
      </c>
      <c r="F5603" s="12" t="n">
        <f aca="false">Sens!$E$5603</f>
        <v>0.248976181579029</v>
      </c>
      <c r="G5603" s="12" t="n">
        <f aca="false">Sens!$G$5602/Sens!$D$5602-1</f>
        <v>0.248976181579029</v>
      </c>
      <c r="H5603" s="12" t="n">
        <f aca="false">Sens!$E$5603+(g_awso_lt-Sens!$E$5603)*1/4</f>
        <v>0.206732136184272</v>
      </c>
      <c r="I5603" s="12" t="n">
        <f aca="false">Sens!$E$5603+(g_awso_lt-Sens!$E$5603)*2/4</f>
        <v>0.164488090789515</v>
      </c>
      <c r="J5603" s="12" t="n">
        <f aca="false">Sens!$E$5603+(g_awso_lt-Sens!$E$5603)*3/4</f>
        <v>0.122244045394757</v>
      </c>
      <c r="K5603" s="12" t="n">
        <f aca="false">Sens!$E$5603+(g_awso_lt-Sens!$E$5603)*4/4</f>
        <v>0.08</v>
      </c>
      <c r="L5603" s="12" t="n">
        <f aca="false">g_awso_lt</f>
        <v>0.08</v>
      </c>
      <c r="M5603" s="12" t="n">
        <f aca="false">g_awso_lt</f>
        <v>0.08</v>
      </c>
      <c r="P5603" s="8" t="s">
        <v>582</v>
      </c>
    </row>
    <row r="5604" customFormat="false" ht="17.15" hidden="false" customHeight="false" outlineLevel="0" collapsed="false">
      <c r="A5604" s="1" t="s">
        <v>583</v>
      </c>
    </row>
    <row r="5605" customFormat="false" ht="17.15" hidden="false" customHeight="false" outlineLevel="0" collapsed="false">
      <c r="A5605" s="0" t="s">
        <v>584</v>
      </c>
      <c r="B5605" s="0" t="s">
        <v>73</v>
      </c>
      <c r="F5605" s="38" t="n">
        <f aca="false">cx_rt*Sens!$F$5571+cx_awso*Sens!$F$5602</f>
        <v>36.8045765066526</v>
      </c>
    </row>
    <row r="5606" customFormat="false" ht="17.15" hidden="false" customHeight="false" outlineLevel="0" collapsed="false">
      <c r="A5606" s="0" t="s">
        <v>585</v>
      </c>
      <c r="B5606" s="0" t="s">
        <v>52</v>
      </c>
      <c r="C5606" s="12" t="n">
        <f aca="false">tk_cx_h100/(tk_cx_h100+tk_fac*(1-colo_sh))</f>
        <v>0.730756458006641</v>
      </c>
      <c r="D5606" s="12" t="n">
        <f aca="false">tk_cx_h100/(tk_cx_h100+tk_fac*(1-colo_sh))</f>
        <v>0.730756458006641</v>
      </c>
      <c r="E5606" s="12" t="n">
        <f aca="false">Sens!$F$5606</f>
        <v>0.760792334328868</v>
      </c>
      <c r="F5606" s="12" t="n">
        <f aca="false">Sens!$F$5589/(Sens!$F$5589+tk_fac*(1-colo_sh))</f>
        <v>0.760792334328868</v>
      </c>
      <c r="G5606" s="12" t="n">
        <f aca="false">Sens!$G$5589/(Sens!$G$5589+tk_fac*(1-colo_sh))</f>
        <v>0.760792334328868</v>
      </c>
      <c r="H5606" s="12" t="n">
        <f aca="false">Sens!$H$5589/(Sens!$H$5589+tk_fac*(1-colo_sh))</f>
        <v>0.768110668862996</v>
      </c>
      <c r="I5606" s="12" t="n">
        <f aca="false">Sens!$I$5589/(Sens!$I$5589+tk_fac*(1-colo_sh))</f>
        <v>0.77499450139483</v>
      </c>
      <c r="J5606" s="12" t="n">
        <f aca="false">Sens!$J$5589/(Sens!$J$5589+tk_fac*(1-colo_sh))</f>
        <v>0.77499450139483</v>
      </c>
      <c r="K5606" s="12" t="n">
        <f aca="false">Sens!$K$5589/(Sens!$K$5589+tk_fac*(1-colo_sh))</f>
        <v>0.77499450139483</v>
      </c>
      <c r="L5606" s="12" t="n">
        <f aca="false">Sens!$L$5589/(Sens!$L$5589+tk_fac*(1-colo_sh))</f>
        <v>0.77499450139483</v>
      </c>
      <c r="M5606" s="12" t="n">
        <f aca="false">Sens!$M$5589/(Sens!$M$5589+tk_fac*(1-colo_sh))</f>
        <v>0.77499450139483</v>
      </c>
    </row>
    <row r="5607" customFormat="false" ht="17.15" hidden="false" customHeight="false" outlineLevel="0" collapsed="false">
      <c r="A5607" s="1" t="s">
        <v>586</v>
      </c>
      <c r="B5607" s="8" t="s">
        <v>73</v>
      </c>
      <c r="C5607" s="38" t="n">
        <f aca="false">Q!$D$46-cx_rt*Q!$D$16-cx_awso*Sens!$C$5602</f>
        <v>25.2781053077374</v>
      </c>
      <c r="D5607" s="38" t="n">
        <f aca="false">Q!$E$46-cx_rt*Q!$E$16-cx_awso*Sens!$D$5602</f>
        <v>69.5686316310026</v>
      </c>
      <c r="E5607" s="38" t="n">
        <f aca="false">Q!$P$46-cx_rt*Q!$P$16-cx_awso*Sens!$E$5602</f>
        <v>64.1899206485108</v>
      </c>
      <c r="F5607" s="38" t="n">
        <f aca="false">MAX(Sens!$F$5584*(Sens!$F$5589+tk_fac*(1-colo_sh))/1000,capex_g26-Q!$P$46-Sens!$F$5605)</f>
        <v>96.2481299895</v>
      </c>
      <c r="G5607" s="38" t="n">
        <f aca="false">Sens!$E$5607+Sens!$F$5607</f>
        <v>160.438050638011</v>
      </c>
      <c r="H5607" s="38" t="n">
        <f aca="false">Sens!$H$5584*(Sens!$H$5589+tk_fac*(1-colo_sh))/1000+Sens!$H$5608</f>
        <v>198.57136494475</v>
      </c>
      <c r="I5607" s="38" t="n">
        <f aca="false">Sens!$I$5584*(Sens!$I$5589+tk_fac*(1-colo_sh))/1000+Sens!$I$5608</f>
        <v>204.6464699105</v>
      </c>
      <c r="J5607" s="38" t="n">
        <f aca="false">Sens!$J$5584*(Sens!$J$5589+tk_fac*(1-colo_sh))/1000+Sens!$J$5608</f>
        <v>209.8832381105</v>
      </c>
      <c r="K5607" s="38" t="n">
        <f aca="false">Sens!$K$5584*(Sens!$K$5589+tk_fac*(1-colo_sh))/1000+Sens!$K$5608</f>
        <v>215.1200063105</v>
      </c>
      <c r="L5607" s="38" t="n">
        <f aca="false">Sens!$L$5584*(Sens!$L$5589+tk_fac*(1-colo_sh))/1000+Sens!$L$5608</f>
        <v>251.7773837105</v>
      </c>
      <c r="M5607" s="38" t="n">
        <f aca="false">Sens!$M$5584*(Sens!$M$5589+tk_fac*(1-colo_sh))/1000+Sens!$M$5608</f>
        <v>311.87584476575</v>
      </c>
      <c r="P5607" s="5" t="s">
        <v>587</v>
      </c>
      <c r="R5607" s="38" t="n">
        <f aca="false">Q!$C$46-cx_rt*Q!$C$16-cx_awso*(Q!$C$7-mw_ye23/2*rpm_open/1000)</f>
        <v>1.50429979529945</v>
      </c>
      <c r="S5607" s="38" t="n">
        <f aca="false">Sens!$C$5607</f>
        <v>25.2781053077374</v>
      </c>
      <c r="T5607" s="38" t="n">
        <f aca="false">Sens!$D$5607</f>
        <v>69.5686316310026</v>
      </c>
      <c r="U5607" s="38" t="n">
        <f aca="false">Sens!$G$5607</f>
        <v>160.438050638011</v>
      </c>
      <c r="V5607" s="38" t="n">
        <f aca="false">Sens!$H$5607</f>
        <v>198.57136494475</v>
      </c>
      <c r="W5607" s="38" t="n">
        <f aca="false">Sens!$I$5607</f>
        <v>204.6464699105</v>
      </c>
      <c r="X5607" s="38" t="n">
        <f aca="false">Sens!$J$5607</f>
        <v>209.8832381105</v>
      </c>
      <c r="Y5607" s="38" t="n">
        <f aca="false">Sens!$K$5607</f>
        <v>215.1200063105</v>
      </c>
      <c r="Z5607" s="38" t="n">
        <f aca="false">Sens!$L$5607</f>
        <v>251.7773837105</v>
      </c>
      <c r="AA5607" s="38" t="n">
        <f aca="false">Sens!$M$5607</f>
        <v>311.87584476575</v>
      </c>
    </row>
    <row r="5608" customFormat="false" ht="17.15" hidden="false" customHeight="false" outlineLevel="0" collapsed="false">
      <c r="A5608" s="0" t="s">
        <v>588</v>
      </c>
      <c r="B5608" s="0" t="s">
        <v>73</v>
      </c>
      <c r="H5608" s="38" t="n">
        <f aca="false">SUMPRODUCT(--(Sens!$R$5578:$AA$5578=2027-tk_life),Sens!$R$5584:$AA$5584)*Sens!$H$5589/1000</f>
        <v>0</v>
      </c>
      <c r="I5608" s="38" t="n">
        <f aca="false">SUMPRODUCT(--(Sens!$R$5578:$AA$5578=2028-tk_life),Sens!$R$5584:$AA$5584)*Sens!$I$5589/1000</f>
        <v>0</v>
      </c>
      <c r="J5608" s="38" t="n">
        <f aca="false">SUMPRODUCT(--(Sens!$R$5578:$AA$5578=2029-tk_life),Sens!$R$5584:$AA$5584)*Sens!$J$5589/1000</f>
        <v>5.2367682</v>
      </c>
      <c r="K5608" s="38" t="n">
        <f aca="false">SUMPRODUCT(--(Sens!$R$5578:$AA$5578=2030-tk_life),Sens!$R$5584:$AA$5584)*Sens!$K$5589/1000</f>
        <v>10.4735364</v>
      </c>
      <c r="L5608" s="38" t="n">
        <f aca="false">SUMPRODUCT(--(Sens!$R$5578:$AA$5578=2031-tk_life),Sens!$R$5584:$AA$5584)*Sens!$L$5589/1000</f>
        <v>47.1309138</v>
      </c>
      <c r="M5608" s="38" t="n">
        <f aca="false">SUMPRODUCT(--(Sens!$R$5578:$AA$5578=2032-tk_life),Sens!$R$5584:$AA$5584)*Sens!$M$5589/1000</f>
        <v>107.22937485525</v>
      </c>
    </row>
    <row r="5609" customFormat="false" ht="17.15" hidden="false" customHeight="false" outlineLevel="0" collapsed="false">
      <c r="A5609" s="5" t="s">
        <v>589</v>
      </c>
      <c r="B5609" s="0" t="s">
        <v>73</v>
      </c>
      <c r="C5609" s="38" t="n">
        <f aca="false">Sens!$C$5607*Sens!$C$5606</f>
        <v>18.472138699801</v>
      </c>
      <c r="D5609" s="38" t="n">
        <f aca="false">Sens!$D$5607*Sens!$D$5606</f>
        <v>50.8377268390402</v>
      </c>
      <c r="E5609" s="38" t="n">
        <f aca="false">Sens!$E$5607*Sens!$E$5606</f>
        <v>48.8351995705653</v>
      </c>
      <c r="F5609" s="38" t="n">
        <f aca="false">Sens!$F$5607*Sens!$F$5606</f>
        <v>73.2248394895</v>
      </c>
      <c r="G5609" s="38" t="n">
        <f aca="false">Sens!$E$5609+Sens!$F$5609</f>
        <v>122.060039060065</v>
      </c>
      <c r="H5609" s="38" t="n">
        <f aca="false">(Sens!$H$5607-Sens!$H$5608)*Sens!$H$5606+Sens!$H$5608</f>
        <v>152.52478394475</v>
      </c>
      <c r="I5609" s="38" t="n">
        <f aca="false">(Sens!$I$5607-Sens!$I$5608)*Sens!$I$5606+Sens!$I$5608</f>
        <v>158.5998889105</v>
      </c>
      <c r="J5609" s="38" t="n">
        <f aca="false">(Sens!$J$5607-Sens!$J$5608)*Sens!$J$5606+Sens!$J$5608</f>
        <v>163.8366571105</v>
      </c>
      <c r="K5609" s="38" t="n">
        <f aca="false">(Sens!$K$5607-Sens!$K$5608)*Sens!$K$5606+Sens!$K$5608</f>
        <v>169.0734253105</v>
      </c>
      <c r="L5609" s="38" t="n">
        <f aca="false">(Sens!$L$5607-Sens!$L$5608)*Sens!$L$5606+Sens!$L$5608</f>
        <v>205.7308027105</v>
      </c>
      <c r="M5609" s="38" t="n">
        <f aca="false">(Sens!$M$5607-Sens!$M$5608)*Sens!$M$5606+Sens!$M$5608</f>
        <v>265.82926376575</v>
      </c>
      <c r="R5609" s="38" t="n">
        <f aca="false">Sens!$R$5607*Sens!$C$5606</f>
        <v>1.09927679019314</v>
      </c>
      <c r="S5609" s="38" t="n">
        <f aca="false">Sens!$C$5609</f>
        <v>18.472138699801</v>
      </c>
      <c r="T5609" s="38" t="n">
        <f aca="false">Sens!$D$5609</f>
        <v>50.8377268390402</v>
      </c>
      <c r="U5609" s="38" t="n">
        <f aca="false">Sens!$G$5609</f>
        <v>122.060039060065</v>
      </c>
      <c r="V5609" s="38" t="n">
        <f aca="false">Sens!$H$5609</f>
        <v>152.52478394475</v>
      </c>
      <c r="W5609" s="38" t="n">
        <f aca="false">Sens!$I$5609</f>
        <v>158.5998889105</v>
      </c>
      <c r="X5609" s="38" t="n">
        <f aca="false">Sens!$J$5609</f>
        <v>163.8366571105</v>
      </c>
      <c r="Y5609" s="38" t="n">
        <f aca="false">Sens!$K$5609</f>
        <v>169.0734253105</v>
      </c>
      <c r="Z5609" s="38" t="n">
        <f aca="false">Sens!$L$5609</f>
        <v>205.7308027105</v>
      </c>
      <c r="AA5609" s="38" t="n">
        <f aca="false">Sens!$M$5609</f>
        <v>265.82926376575</v>
      </c>
    </row>
    <row r="5610" customFormat="false" ht="15" hidden="false" customHeight="false" outlineLevel="0" collapsed="false">
      <c r="A5610" s="5" t="s">
        <v>590</v>
      </c>
      <c r="B5610" s="0" t="s">
        <v>73</v>
      </c>
      <c r="C5610" s="38" t="n">
        <f aca="false">Sens!$C$5607-Sens!$C$5609</f>
        <v>6.80596660793636</v>
      </c>
      <c r="D5610" s="38" t="n">
        <f aca="false">Sens!$D$5607-Sens!$D$5609</f>
        <v>18.7309047919624</v>
      </c>
      <c r="E5610" s="38" t="n">
        <f aca="false">Sens!$E$5607-Sens!$E$5609</f>
        <v>15.3547210779455</v>
      </c>
      <c r="F5610" s="38" t="n">
        <f aca="false">Sens!$F$5607-Sens!$F$5609</f>
        <v>23.0232905</v>
      </c>
      <c r="G5610" s="38" t="n">
        <f aca="false">Sens!$G$5607-Sens!$G$5609</f>
        <v>38.3780115779455</v>
      </c>
      <c r="H5610" s="38" t="n">
        <f aca="false">Sens!$H$5607-Sens!$H$5609</f>
        <v>46.046581</v>
      </c>
      <c r="I5610" s="38" t="n">
        <f aca="false">Sens!$I$5607-Sens!$I$5609</f>
        <v>46.046581</v>
      </c>
      <c r="J5610" s="38" t="n">
        <f aca="false">Sens!$J$5607-Sens!$J$5609</f>
        <v>46.046581</v>
      </c>
      <c r="K5610" s="38" t="n">
        <f aca="false">Sens!$K$5607-Sens!$K$5609</f>
        <v>46.046581</v>
      </c>
      <c r="L5610" s="38" t="n">
        <f aca="false">Sens!$L$5607-Sens!$L$5609</f>
        <v>46.046581</v>
      </c>
      <c r="M5610" s="38" t="n">
        <f aca="false">Sens!$M$5607-Sens!$M$5609</f>
        <v>46.046581</v>
      </c>
      <c r="R5610" s="38" t="n">
        <f aca="false">Sens!$R$5607-Sens!$R$5609</f>
        <v>0.405023005106309</v>
      </c>
      <c r="S5610" s="38" t="n">
        <f aca="false">Sens!$S$5607-Sens!$S$5609</f>
        <v>6.80596660793636</v>
      </c>
      <c r="T5610" s="38" t="n">
        <f aca="false">Sens!$T$5607-Sens!$T$5609</f>
        <v>18.7309047919624</v>
      </c>
      <c r="U5610" s="38" t="n">
        <f aca="false">Sens!$U$5607-Sens!$U$5609</f>
        <v>38.3780115779455</v>
      </c>
      <c r="V5610" s="38" t="n">
        <f aca="false">Sens!$V$5607-Sens!$V$5609</f>
        <v>46.046581</v>
      </c>
      <c r="W5610" s="38" t="n">
        <f aca="false">Sens!$W$5607-Sens!$W$5609</f>
        <v>46.046581</v>
      </c>
      <c r="X5610" s="38" t="n">
        <f aca="false">Sens!$X$5607-Sens!$X$5609</f>
        <v>46.046581</v>
      </c>
      <c r="Y5610" s="38" t="n">
        <f aca="false">Sens!$Y$5607-Sens!$Y$5609</f>
        <v>46.046581</v>
      </c>
      <c r="Z5610" s="38" t="n">
        <f aca="false">Sens!$Z$5607-Sens!$Z$5609</f>
        <v>46.046581</v>
      </c>
      <c r="AA5610" s="38" t="n">
        <f aca="false">Sens!$AA$5607-Sens!$AA$5609</f>
        <v>46.046581</v>
      </c>
    </row>
    <row r="5611" customFormat="false" ht="17.15" hidden="false" customHeight="false" outlineLevel="0" collapsed="false">
      <c r="A5611" s="0" t="s">
        <v>591</v>
      </c>
      <c r="B5611" s="0" t="s">
        <v>52</v>
      </c>
      <c r="C5611" s="12" t="n">
        <f aca="false">Sens!$C$5607/Sens!$C$5723</f>
        <v>0.325505489553393</v>
      </c>
      <c r="D5611" s="12" t="n">
        <f aca="false">Sens!$D$5607/Sens!$D$5723</f>
        <v>0.54214956071542</v>
      </c>
      <c r="E5611" s="12" t="n">
        <f aca="false">Sens!$E$5607/Sens!$E$5723</f>
        <v>0.666492790452817</v>
      </c>
      <c r="F5611" s="12" t="n">
        <f aca="false">Sens!$F$5607/Sens!$F$5723</f>
        <v>0.723383481058938</v>
      </c>
      <c r="G5611" s="12" t="n">
        <f aca="false">Sens!$G$5607/Sens!$G$5723</f>
        <v>0.699494931364102</v>
      </c>
      <c r="H5611" s="12" t="n">
        <f aca="false">Sens!$H$5607/Sens!$H$5723</f>
        <v>0.714619350171483</v>
      </c>
      <c r="I5611" s="12" t="n">
        <f aca="false">Sens!$I$5607/Sens!$I$5723</f>
        <v>0.696231624961614</v>
      </c>
      <c r="J5611" s="12" t="n">
        <f aca="false">Sens!$J$5607/Sens!$J$5723</f>
        <v>0.681286352509885</v>
      </c>
      <c r="K5611" s="12" t="n">
        <f aca="false">Sens!$K$5607/Sens!$K$5723</f>
        <v>0.671440649805508</v>
      </c>
      <c r="L5611" s="12" t="n">
        <f aca="false">Sens!$L$5607/Sens!$L$5723</f>
        <v>0.6904509846562</v>
      </c>
      <c r="M5611" s="12" t="n">
        <f aca="false">Sens!$M$5607/Sens!$M$5723</f>
        <v>0.720362080285865</v>
      </c>
    </row>
    <row r="5612" customFormat="false" ht="17.15" hidden="false" customHeight="false" outlineLevel="0" collapsed="false">
      <c r="A5612" s="0" t="s">
        <v>592</v>
      </c>
      <c r="B5612" s="0" t="s">
        <v>73</v>
      </c>
      <c r="C5612" s="38" t="n">
        <f aca="false">Sens!$S$5612</f>
        <v>0.183212798365523</v>
      </c>
      <c r="D5612" s="38" t="n">
        <f aca="false">Sens!$T$5612</f>
        <v>3.2619025816657</v>
      </c>
      <c r="E5612" s="38" t="n">
        <f aca="false">Sens!$G$5612/2</f>
        <v>5.86742852741953</v>
      </c>
      <c r="F5612" s="38" t="n">
        <f aca="false">Sens!$G$5612/2</f>
        <v>5.86742852741953</v>
      </c>
      <c r="G5612" s="38" t="n">
        <f aca="false">Sens!$U$5612</f>
        <v>11.7348570548391</v>
      </c>
      <c r="H5612" s="38" t="n">
        <f aca="false">Sens!$V$5612</f>
        <v>32.0781968981833</v>
      </c>
      <c r="I5612" s="38" t="n">
        <f aca="false">Sens!$W$5612</f>
        <v>57.4989942223083</v>
      </c>
      <c r="J5612" s="38" t="n">
        <f aca="false">Sens!$X$5612</f>
        <v>83.932309040725</v>
      </c>
      <c r="K5612" s="38" t="n">
        <f aca="false">Sens!$Y$5612</f>
        <v>111.055205760776</v>
      </c>
      <c r="L5612" s="38" t="n">
        <f aca="false">Sens!$Z$5612</f>
        <v>136.155420195893</v>
      </c>
      <c r="M5612" s="38" t="n">
        <f aca="false">Sens!$AA$5612</f>
        <v>161.970932841136</v>
      </c>
      <c r="N5612" s="38" t="n">
        <f aca="false">Sens!$D$5612/2</f>
        <v>1.63095129083285</v>
      </c>
      <c r="O5612" s="38" t="n">
        <f aca="false">Sens!$D$5612/2</f>
        <v>1.63095129083285</v>
      </c>
      <c r="R5612" s="38" t="n">
        <f aca="false">SUMPRODUCT(--(Sens!$R$5578:$AA$5578&lt;Sens!R$5578),--(Sens!$R$5578:$AA$5578&gt;=Sens!R$5578-tk_life),Sens!$R$5609:$AA$5609)/tk_life</f>
        <v>0</v>
      </c>
      <c r="S5612" s="38" t="n">
        <f aca="false">SUMPRODUCT(--(Sens!$R$5578:$AA$5578&lt;Sens!S$5578),--(Sens!$R$5578:$AA$5578&gt;=Sens!S$5578-tk_life),Sens!$R$5609:$AA$5609)/tk_life</f>
        <v>0.183212798365523</v>
      </c>
      <c r="T5612" s="38" t="n">
        <f aca="false">SUMPRODUCT(--(Sens!$R$5578:$AA$5578&lt;Sens!T$5578),--(Sens!$R$5578:$AA$5578&gt;=Sens!T$5578-tk_life),Sens!$R$5609:$AA$5609)/tk_life</f>
        <v>3.2619025816657</v>
      </c>
      <c r="U5612" s="38" t="n">
        <f aca="false">SUMPRODUCT(--(Sens!$R$5578:$AA$5578&lt;Sens!U$5578),--(Sens!$R$5578:$AA$5578&gt;=Sens!U$5578-tk_life),Sens!$R$5609:$AA$5609)/tk_life</f>
        <v>11.7348570548391</v>
      </c>
      <c r="V5612" s="38" t="n">
        <f aca="false">SUMPRODUCT(--(Sens!$R$5578:$AA$5578&lt;Sens!V$5578),--(Sens!$R$5578:$AA$5578&gt;=Sens!V$5578-tk_life),Sens!$R$5609:$AA$5609)/tk_life</f>
        <v>32.0781968981833</v>
      </c>
      <c r="W5612" s="38" t="n">
        <f aca="false">SUMPRODUCT(--(Sens!$R$5578:$AA$5578&lt;Sens!W$5578),--(Sens!$R$5578:$AA$5578&gt;=Sens!W$5578-tk_life),Sens!$R$5609:$AA$5609)/tk_life</f>
        <v>57.4989942223083</v>
      </c>
      <c r="X5612" s="38" t="n">
        <f aca="false">SUMPRODUCT(--(Sens!$R$5578:$AA$5578&lt;Sens!X$5578),--(Sens!$R$5578:$AA$5578&gt;=Sens!X$5578-tk_life),Sens!$R$5609:$AA$5609)/tk_life</f>
        <v>83.932309040725</v>
      </c>
      <c r="Y5612" s="38" t="n">
        <f aca="false">SUMPRODUCT(--(Sens!$R$5578:$AA$5578&lt;Sens!Y$5578),--(Sens!$R$5578:$AA$5578&gt;=Sens!Y$5578-tk_life),Sens!$R$5609:$AA$5609)/tk_life</f>
        <v>111.055205760776</v>
      </c>
      <c r="Z5612" s="38" t="n">
        <f aca="false">SUMPRODUCT(--(Sens!$R$5578:$AA$5578&lt;Sens!Z$5578),--(Sens!$R$5578:$AA$5578&gt;=Sens!Z$5578-tk_life),Sens!$R$5609:$AA$5609)/tk_life</f>
        <v>136.155420195893</v>
      </c>
      <c r="AA5612" s="38" t="n">
        <f aca="false">SUMPRODUCT(--(Sens!$R$5578:$AA$5578&lt;Sens!AA$5578),--(Sens!$R$5578:$AA$5578&gt;=Sens!AA$5578-tk_life),Sens!$R$5609:$AA$5609)/tk_life</f>
        <v>161.970932841136</v>
      </c>
    </row>
    <row r="5613" customFormat="false" ht="17.15" hidden="false" customHeight="false" outlineLevel="0" collapsed="false">
      <c r="A5613" s="0" t="s">
        <v>593</v>
      </c>
      <c r="B5613" s="0" t="s">
        <v>73</v>
      </c>
      <c r="C5613" s="38" t="n">
        <f aca="false">Sens!$S$5613</f>
        <v>0.0202511502553155</v>
      </c>
      <c r="D5613" s="38" t="n">
        <f aca="false">Sens!$T$5613</f>
        <v>0.360549480652134</v>
      </c>
      <c r="E5613" s="38" t="n">
        <f aca="false">Sens!$G$5613/2</f>
        <v>0.648547360125127</v>
      </c>
      <c r="F5613" s="38" t="n">
        <f aca="false">Sens!$G$5613/2</f>
        <v>0.648547360125127</v>
      </c>
      <c r="G5613" s="38" t="n">
        <f aca="false">Sens!$U$5613</f>
        <v>1.29709472025025</v>
      </c>
      <c r="H5613" s="38" t="n">
        <f aca="false">Sens!$V$5613</f>
        <v>3.21599529914753</v>
      </c>
      <c r="I5613" s="38" t="n">
        <f aca="false">Sens!$W$5613</f>
        <v>5.51832434914753</v>
      </c>
      <c r="J5613" s="38" t="n">
        <f aca="false">Sens!$X$5613</f>
        <v>7.82065339914753</v>
      </c>
      <c r="K5613" s="38" t="n">
        <f aca="false">Sens!$Y$5613</f>
        <v>10.1229824491475</v>
      </c>
      <c r="L5613" s="38" t="n">
        <f aca="false">Sens!$Z$5613</f>
        <v>12.4253114991475</v>
      </c>
      <c r="M5613" s="38" t="n">
        <f aca="false">Sens!$AA$5613</f>
        <v>14.7276405491475</v>
      </c>
      <c r="N5613" s="38" t="n">
        <f aca="false">Sens!$D$5613/2</f>
        <v>0.180274740326067</v>
      </c>
      <c r="O5613" s="38" t="n">
        <f aca="false">Sens!$D$5613/2</f>
        <v>0.180274740326067</v>
      </c>
      <c r="R5613" s="38" t="n">
        <f aca="false">SUMPRODUCT(--(Sens!$R$5578:$AA$5578&lt;Sens!R$5578),Sens!$R$5610:$AA$5610)/fac_life</f>
        <v>0</v>
      </c>
      <c r="S5613" s="38" t="n">
        <f aca="false">SUMPRODUCT(--(Sens!$R$5578:$AA$5578&lt;Sens!S$5578),Sens!$R$5610:$AA$5610)/fac_life</f>
        <v>0.0202511502553155</v>
      </c>
      <c r="T5613" s="38" t="n">
        <f aca="false">SUMPRODUCT(--(Sens!$R$5578:$AA$5578&lt;Sens!T$5578),Sens!$R$5610:$AA$5610)/fac_life</f>
        <v>0.360549480652134</v>
      </c>
      <c r="U5613" s="38" t="n">
        <f aca="false">SUMPRODUCT(--(Sens!$R$5578:$AA$5578&lt;Sens!U$5578),Sens!$R$5610:$AA$5610)/fac_life</f>
        <v>1.29709472025025</v>
      </c>
      <c r="V5613" s="38" t="n">
        <f aca="false">SUMPRODUCT(--(Sens!$R$5578:$AA$5578&lt;Sens!V$5578),Sens!$R$5610:$AA$5610)/fac_life</f>
        <v>3.21599529914753</v>
      </c>
      <c r="W5613" s="38" t="n">
        <f aca="false">SUMPRODUCT(--(Sens!$R$5578:$AA$5578&lt;Sens!W$5578),Sens!$R$5610:$AA$5610)/fac_life</f>
        <v>5.51832434914753</v>
      </c>
      <c r="X5613" s="38" t="n">
        <f aca="false">SUMPRODUCT(--(Sens!$R$5578:$AA$5578&lt;Sens!X$5578),Sens!$R$5610:$AA$5610)/fac_life</f>
        <v>7.82065339914753</v>
      </c>
      <c r="Y5613" s="38" t="n">
        <f aca="false">SUMPRODUCT(--(Sens!$R$5578:$AA$5578&lt;Sens!Y$5578),Sens!$R$5610:$AA$5610)/fac_life</f>
        <v>10.1229824491475</v>
      </c>
      <c r="Z5613" s="38" t="n">
        <f aca="false">SUMPRODUCT(--(Sens!$R$5578:$AA$5578&lt;Sens!Z$5578),Sens!$R$5610:$AA$5610)/fac_life</f>
        <v>12.4253114991475</v>
      </c>
      <c r="AA5613" s="38" t="n">
        <f aca="false">SUMPRODUCT(--(Sens!$R$5578:$AA$5578&lt;Sens!AA$5578),Sens!$R$5610:$AA$5610)/fac_life</f>
        <v>14.7276405491475</v>
      </c>
    </row>
    <row r="5614" customFormat="false" ht="17.15" hidden="false" customHeight="false" outlineLevel="0" collapsed="false">
      <c r="A5614" s="1" t="s">
        <v>594</v>
      </c>
      <c r="B5614" s="8" t="s">
        <v>73</v>
      </c>
      <c r="C5614" s="38" t="n">
        <f aca="false">Sens!$C$5612+Sens!$C$5613</f>
        <v>0.203463948620839</v>
      </c>
      <c r="D5614" s="38" t="n">
        <f aca="false">Sens!$D$5612+Sens!$D$5613</f>
        <v>3.62245206231783</v>
      </c>
      <c r="E5614" s="38" t="n">
        <f aca="false">Sens!$E$5612+Sens!$E$5613</f>
        <v>6.51597588754466</v>
      </c>
      <c r="F5614" s="38" t="n">
        <f aca="false">Sens!$F$5612+Sens!$F$5613</f>
        <v>6.51597588754466</v>
      </c>
      <c r="G5614" s="38" t="n">
        <f aca="false">Sens!$G$5612+Sens!$G$5613</f>
        <v>13.0319517750893</v>
      </c>
      <c r="H5614" s="38" t="n">
        <f aca="false">Sens!$H$5612+Sens!$H$5613</f>
        <v>35.2941921973308</v>
      </c>
      <c r="I5614" s="38" t="n">
        <f aca="false">Sens!$I$5612+Sens!$I$5613</f>
        <v>63.0173185714558</v>
      </c>
      <c r="J5614" s="38" t="n">
        <f aca="false">Sens!$J$5612+Sens!$J$5613</f>
        <v>91.7529624398725</v>
      </c>
      <c r="K5614" s="38" t="n">
        <f aca="false">Sens!$K$5612+Sens!$K$5613</f>
        <v>121.178188209924</v>
      </c>
      <c r="L5614" s="38" t="n">
        <f aca="false">Sens!$L$5612+Sens!$L$5613</f>
        <v>148.58073169504</v>
      </c>
      <c r="M5614" s="38" t="n">
        <f aca="false">Sens!$M$5612+Sens!$M$5613</f>
        <v>176.698573390283</v>
      </c>
      <c r="N5614" s="38" t="n">
        <f aca="false">Sens!$N$5612+Sens!$N$5613</f>
        <v>1.81122603115892</v>
      </c>
      <c r="O5614" s="38" t="n">
        <f aca="false">Sens!$O$5612+Sens!$O$5613</f>
        <v>1.81122603115892</v>
      </c>
      <c r="R5614" s="38" t="n">
        <f aca="false">Sens!$R$5612+Sens!$R$5613</f>
        <v>0</v>
      </c>
      <c r="S5614" s="38" t="n">
        <f aca="false">Sens!$S$5612+Sens!$S$5613</f>
        <v>0.203463948620839</v>
      </c>
      <c r="T5614" s="38" t="n">
        <f aca="false">Sens!$T$5612+Sens!$T$5613</f>
        <v>3.62245206231783</v>
      </c>
      <c r="U5614" s="38" t="n">
        <f aca="false">Sens!$U$5612+Sens!$U$5613</f>
        <v>13.0319517750893</v>
      </c>
      <c r="V5614" s="38" t="n">
        <f aca="false">Sens!$V$5612+Sens!$V$5613</f>
        <v>35.2941921973308</v>
      </c>
      <c r="W5614" s="38" t="n">
        <f aca="false">Sens!$W$5612+Sens!$W$5613</f>
        <v>63.0173185714558</v>
      </c>
      <c r="X5614" s="38" t="n">
        <f aca="false">Sens!$X$5612+Sens!$X$5613</f>
        <v>91.7529624398725</v>
      </c>
      <c r="Y5614" s="38" t="n">
        <f aca="false">Sens!$Y$5612+Sens!$Y$5613</f>
        <v>121.178188209924</v>
      </c>
      <c r="Z5614" s="38" t="n">
        <f aca="false">Sens!$Z$5612+Sens!$Z$5613</f>
        <v>148.58073169504</v>
      </c>
      <c r="AA5614" s="38" t="n">
        <f aca="false">Sens!$AA$5612+Sens!$AA$5613</f>
        <v>176.698573390283</v>
      </c>
    </row>
    <row r="5615" customFormat="false" ht="17.15" hidden="false" customHeight="false" outlineLevel="0" collapsed="false">
      <c r="A5615" s="0" t="s">
        <v>595</v>
      </c>
      <c r="B5615" s="0" t="s">
        <v>73</v>
      </c>
      <c r="C5615" s="38" t="n">
        <f aca="false">Sens!$S$5615</f>
        <v>26.578941154416</v>
      </c>
      <c r="D5615" s="38" t="n">
        <f aca="false">Sens!$T$5615</f>
        <v>92.5251207231008</v>
      </c>
      <c r="G5615" s="38" t="n">
        <f aca="false">Sens!$U$5615</f>
        <v>239.931219586022</v>
      </c>
      <c r="H5615" s="38" t="n">
        <f aca="false">Sens!$V$5615</f>
        <v>403.208392333442</v>
      </c>
      <c r="I5615" s="38" t="n">
        <f aca="false">Sens!$W$5615</f>
        <v>544.837543672486</v>
      </c>
      <c r="J5615" s="38" t="n">
        <f aca="false">Sens!$X$5615</f>
        <v>662.967819343113</v>
      </c>
      <c r="K5615" s="38" t="n">
        <f aca="false">Sens!$Y$5615</f>
        <v>756.90963744369</v>
      </c>
      <c r="L5615" s="38" t="n">
        <f aca="false">Sens!$Z$5615</f>
        <v>860.10628945915</v>
      </c>
      <c r="M5615" s="38" t="n">
        <f aca="false">Sens!$AA$5615</f>
        <v>995.283560834616</v>
      </c>
      <c r="R5615" s="38" t="n">
        <f aca="false">SUM(Sens!$R$5607:$R$5607)-SUM(Sens!$R$5614:$R$5614)</f>
        <v>1.50429979529945</v>
      </c>
      <c r="S5615" s="38" t="n">
        <f aca="false">SUM(Sens!$R$5607:$S$5607)-SUM(Sens!$R$5614:$S$5614)</f>
        <v>26.578941154416</v>
      </c>
      <c r="T5615" s="38" t="n">
        <f aca="false">SUM(Sens!$R$5607:$T$5607)-SUM(Sens!$R$5614:$T$5614)</f>
        <v>92.5251207231008</v>
      </c>
      <c r="U5615" s="38" t="n">
        <f aca="false">SUM(Sens!$R$5607:$U$5607)-SUM(Sens!$R$5614:$U$5614)</f>
        <v>239.931219586022</v>
      </c>
      <c r="V5615" s="38" t="n">
        <f aca="false">SUM(Sens!$R$5607:$V$5607)-SUM(Sens!$R$5614:$V$5614)</f>
        <v>403.208392333442</v>
      </c>
      <c r="W5615" s="38" t="n">
        <f aca="false">SUM(Sens!$R$5607:$W$5607)-SUM(Sens!$R$5614:$W$5614)</f>
        <v>544.837543672486</v>
      </c>
      <c r="X5615" s="38" t="n">
        <f aca="false">SUM(Sens!$R$5607:$X$5607)-SUM(Sens!$R$5614:$X$5614)</f>
        <v>662.967819343113</v>
      </c>
      <c r="Y5615" s="38" t="n">
        <f aca="false">SUM(Sens!$R$5607:$Y$5607)-SUM(Sens!$R$5614:$Y$5614)</f>
        <v>756.90963744369</v>
      </c>
      <c r="Z5615" s="38" t="n">
        <f aca="false">SUM(Sens!$R$5607:$Z$5607)-SUM(Sens!$R$5614:$Z$5614)</f>
        <v>860.10628945915</v>
      </c>
      <c r="AA5615" s="38" t="n">
        <f aca="false">SUM(Sens!$R$5607:$AA$5607)-SUM(Sens!$R$5614:$AA$5614)</f>
        <v>995.283560834616</v>
      </c>
    </row>
    <row r="5616" customFormat="false" ht="17.15" hidden="false" customHeight="false" outlineLevel="0" collapsed="false">
      <c r="A5616" s="1" t="s">
        <v>596</v>
      </c>
    </row>
    <row r="5617" customFormat="false" ht="17.15" hidden="false" customHeight="false" outlineLevel="0" collapsed="false">
      <c r="A5617" s="0" t="s">
        <v>597</v>
      </c>
      <c r="B5617" s="0" t="s">
        <v>73</v>
      </c>
      <c r="C5617" s="38" t="n">
        <f aca="false">Sens!$C$5598-ext_sh*Sens!$C$5600</f>
        <v>1.80694998843362</v>
      </c>
      <c r="D5617" s="38" t="n">
        <f aca="false">Sens!$D$5598-ext_sh*Sens!$D$5600</f>
        <v>6.77606245662607</v>
      </c>
      <c r="E5617" s="38" t="n">
        <f aca="false">Sens!$E$5598-ext_sh*Sens!$E$5600</f>
        <v>6.62548329092326</v>
      </c>
      <c r="F5617" s="38" t="n">
        <f aca="false">Sens!$F$5598-ext_sh*Sens!$F$5600</f>
        <v>11.7200577158706</v>
      </c>
      <c r="G5617" s="38" t="n">
        <f aca="false">Sens!$G$5598-ext_sh*Sens!$G$5600</f>
        <v>18.3455410067939</v>
      </c>
      <c r="H5617" s="38" t="n">
        <f aca="false">Sens!$H$5598-ext_sh*Sens!$H$5600</f>
        <v>47.5171727060453</v>
      </c>
      <c r="I5617" s="38" t="n">
        <f aca="false">Sens!$I$5598-ext_sh*Sens!$I$5600</f>
        <v>80.5539692643667</v>
      </c>
      <c r="J5617" s="38" t="n">
        <f aca="false">Sens!$J$5598-ext_sh*Sens!$J$5600</f>
        <v>113.759316834883</v>
      </c>
      <c r="K5617" s="38" t="n">
        <f aca="false">Sens!$K$5598-ext_sh*Sens!$K$5600</f>
        <v>147.020848076132</v>
      </c>
      <c r="L5617" s="38" t="n">
        <f aca="false">Sens!$L$5598-ext_sh*Sens!$L$5600</f>
        <v>180.307917349531</v>
      </c>
      <c r="M5617" s="38" t="n">
        <f aca="false">Sens!$M$5598-ext_sh*Sens!$M$5600</f>
        <v>213.608737871012</v>
      </c>
      <c r="N5617" s="38" t="n">
        <f aca="false">Sens!$N$5598-ext_sh*Sens!$N$5600</f>
        <v>2.37162185981912</v>
      </c>
      <c r="O5617" s="38" t="n">
        <f aca="false">Sens!$O$5598-ext_sh*Sens!$O$5600</f>
        <v>4.40444059680694</v>
      </c>
    </row>
    <row r="5618" customFormat="false" ht="17.15" hidden="false" customHeight="false" outlineLevel="0" collapsed="false">
      <c r="A5618" s="1" t="s">
        <v>598</v>
      </c>
      <c r="B5618" s="8" t="s">
        <v>73</v>
      </c>
      <c r="C5618" s="38" t="n">
        <f aca="false">Sens!$C$5617-ext_sh*Sens!$C$5614</f>
        <v>1.64417882953695</v>
      </c>
      <c r="D5618" s="38" t="n">
        <f aca="false">Sens!$D$5617-ext_sh*Sens!$D$5614</f>
        <v>3.8781008067718</v>
      </c>
      <c r="E5618" s="38" t="n">
        <f aca="false">Sens!$E$5617-ext_sh*Sens!$E$5614</f>
        <v>1.41270258088753</v>
      </c>
      <c r="F5618" s="38" t="n">
        <f aca="false">Sens!$F$5617-ext_sh*Sens!$F$5614</f>
        <v>6.50727700583486</v>
      </c>
      <c r="G5618" s="38" t="n">
        <f aca="false">Sens!$G$5617-ext_sh*Sens!$G$5614</f>
        <v>7.9199795867224</v>
      </c>
      <c r="H5618" s="38" t="n">
        <f aca="false">Sens!$H$5617-ext_sh*Sens!$H$5614</f>
        <v>19.2818189481807</v>
      </c>
      <c r="I5618" s="38" t="n">
        <f aca="false">Sens!$I$5617-ext_sh*Sens!$I$5614</f>
        <v>30.140114407202</v>
      </c>
      <c r="J5618" s="38" t="n">
        <f aca="false">Sens!$J$5617-ext_sh*Sens!$J$5614</f>
        <v>40.3569468829854</v>
      </c>
      <c r="K5618" s="38" t="n">
        <f aca="false">Sens!$K$5617-ext_sh*Sens!$K$5614</f>
        <v>50.0782975081929</v>
      </c>
      <c r="L5618" s="38" t="n">
        <f aca="false">Sens!$L$5617-ext_sh*Sens!$L$5614</f>
        <v>61.443331993499</v>
      </c>
      <c r="M5618" s="38" t="n">
        <f aca="false">Sens!$M$5617-ext_sh*Sens!$M$5614</f>
        <v>72.2498791587849</v>
      </c>
      <c r="N5618" s="38" t="n">
        <f aca="false">Sens!$N$5617-ext_sh*Sens!$N$5614</f>
        <v>0.92264103489199</v>
      </c>
      <c r="O5618" s="38" t="n">
        <f aca="false">Sens!$O$5617-ext_sh*Sens!$O$5614</f>
        <v>2.95545977187981</v>
      </c>
    </row>
    <row r="5619" customFormat="false" ht="17.15" hidden="false" customHeight="false" outlineLevel="0" collapsed="false">
      <c r="A5619" s="0" t="s">
        <v>599</v>
      </c>
      <c r="B5619" s="0" t="s">
        <v>52</v>
      </c>
      <c r="C5619" s="12" t="n">
        <f aca="false">Sens!$C$5618/Sens!$C$5598</f>
        <v>0.708390794789371</v>
      </c>
      <c r="D5619" s="12" t="n">
        <f aca="false">Sens!$D$5618/Sens!$D$5598</f>
        <v>0.445565630441968</v>
      </c>
      <c r="E5619" s="12" t="n">
        <f aca="false">Sens!$E$5618/Sens!$E$5598</f>
        <v>0.165998118402711</v>
      </c>
      <c r="F5619" s="12" t="n">
        <f aca="false">Sens!$F$5618/Sens!$F$5598</f>
        <v>0.434878595403858</v>
      </c>
      <c r="G5619" s="12" t="n">
        <f aca="false">Sens!$G$5618/Sens!$G$5598</f>
        <v>0.3373967615381</v>
      </c>
      <c r="H5619" s="12" t="n">
        <f aca="false">Sens!$H$5618/Sens!$H$5598</f>
        <v>0.320477578041224</v>
      </c>
      <c r="I5619" s="12" t="n">
        <f aca="false">Sens!$I$5618/Sens!$I$5598</f>
        <v>0.296936118226494</v>
      </c>
      <c r="J5619" s="12" t="n">
        <f aca="false">Sens!$J$5618/Sens!$J$5598</f>
        <v>0.282166278613001</v>
      </c>
      <c r="K5619" s="12" t="n">
        <f aca="false">Sens!$K$5618/Sens!$K$5598</f>
        <v>0.271267685694333</v>
      </c>
      <c r="L5619" s="12" t="n">
        <f aca="false">Sens!$L$5618/Sens!$L$5598</f>
        <v>0.27160960915653</v>
      </c>
      <c r="M5619" s="12" t="n">
        <f aca="false">Sens!$M$5618/Sens!$M$5598</f>
        <v>0.26974494804234</v>
      </c>
      <c r="N5619" s="12" t="n">
        <f aca="false">Sens!$N$5618/Sens!$N$5598</f>
        <v>0.302870734830849</v>
      </c>
      <c r="O5619" s="12" t="n">
        <f aca="false">Sens!$O$5618/Sens!$O$5598</f>
        <v>0.52240134346334</v>
      </c>
    </row>
    <row r="5620" customFormat="false" ht="17.15" hidden="false" customHeight="false" outlineLevel="0" collapsed="false">
      <c r="A5620" s="5" t="s">
        <v>600</v>
      </c>
      <c r="B5620" s="0" t="s">
        <v>73</v>
      </c>
      <c r="C5620" s="38" t="n">
        <f aca="false">rd2*(1-ext_sh)/ext_sh*Sens!$C$5581*he_open*Sens!$C$5582/1000</f>
        <v>0</v>
      </c>
      <c r="D5620" s="38" t="n">
        <f aca="false">rd2*(1-ext_sh)/ext_sh*Sens!$D$5581*he_open*Sens!$D$5582/1000</f>
        <v>0</v>
      </c>
      <c r="E5620" s="38" t="n">
        <f aca="false">rd2*(1-ext_sh)/ext_sh*Sens!$E$5581*he_open*Sens!$E$5582/1000</f>
        <v>0</v>
      </c>
      <c r="F5620" s="38" t="n">
        <f aca="false">rd2*(1-ext_sh)/ext_sh*(mw_open*he_open+Sens!$F$5596*Sens!$F$5593)*Sens!$F$5582/1000</f>
        <v>0</v>
      </c>
      <c r="G5620" s="38" t="n">
        <f aca="false">Sens!$E$5620+Sens!$F$5620</f>
        <v>0</v>
      </c>
      <c r="H5620" s="38" t="n">
        <f aca="false">rd2*(1-ext_sh)/ext_sh*(mw_open*he_open+Sens!$H$5596*Sens!$H$5593)*Sens!$H$5582/1000</f>
        <v>0</v>
      </c>
      <c r="I5620" s="38" t="n">
        <f aca="false">rd2*(1-ext_sh)/ext_sh*(mw_open*he_open+Sens!$I$5596*Sens!$I$5593)*Sens!$I$5582/1000</f>
        <v>0</v>
      </c>
      <c r="J5620" s="38" t="n">
        <f aca="false">rd2*(1-ext_sh)/ext_sh*(mw_open*he_open+Sens!$J$5596*Sens!$J$5593)*Sens!$J$5582/1000</f>
        <v>0</v>
      </c>
      <c r="K5620" s="38" t="n">
        <f aca="false">rd2*(1-ext_sh)/ext_sh*(mw_open*he_open+Sens!$K$5596*Sens!$K$5593)*Sens!$K$5582/1000</f>
        <v>0</v>
      </c>
      <c r="L5620" s="38" t="n">
        <f aca="false">rd2*(1-ext_sh)/ext_sh*(mw_open*he_open+Sens!$L$5596*Sens!$L$5593)*Sens!$L$5582/1000</f>
        <v>0</v>
      </c>
      <c r="M5620" s="38" t="n">
        <f aca="false">rd2*(1-ext_sh)/ext_sh*(mw_open*he_open+Sens!$M$5596*Sens!$M$5593)*Sens!$M$5582/1000</f>
        <v>0</v>
      </c>
      <c r="N5620" s="38" t="n">
        <f aca="false">rd2*(1-ext_sh)/ext_sh*Sens!$N$5581*he_open*Sens!$N$5582/1000</f>
        <v>0</v>
      </c>
      <c r="O5620" s="38" t="n">
        <f aca="false">rd2*(1-ext_sh)/ext_sh*Sens!$O$5581*he_open*Sens!$O$5582/1000</f>
        <v>0</v>
      </c>
      <c r="P5620" s="8" t="s">
        <v>601</v>
      </c>
    </row>
    <row r="5621" customFormat="false" ht="17.15" hidden="false" customHeight="false" outlineLevel="0" collapsed="false">
      <c r="A5621" s="5" t="s">
        <v>602</v>
      </c>
      <c r="B5621" s="0" t="s">
        <v>73</v>
      </c>
      <c r="C5621" s="38" t="n">
        <f aca="false">(1-ext_sh)*(Sens!$C$5600+Sens!$C$5614)-Sens!$C$5620</f>
        <v>0.169206631859174</v>
      </c>
      <c r="D5621" s="38" t="n">
        <f aca="false">(1-ext_sh)*(Sens!$D$5600+Sens!$D$5614)-Sens!$D$5620</f>
        <v>1.20641732046984</v>
      </c>
      <c r="E5621" s="38" t="n">
        <f aca="false">(1-ext_sh)*(Sens!$E$5600+Sens!$E$5614)-Sens!$E$5620</f>
        <v>1.77441259867062</v>
      </c>
      <c r="F5621" s="38" t="n">
        <f aca="false">(1-ext_sh)*(Sens!$F$5600+Sens!$F$5614)-Sens!$F$5620</f>
        <v>2.1140391597214</v>
      </c>
      <c r="G5621" s="38" t="n">
        <f aca="false">(1-ext_sh)*(Sens!$G$5600+Sens!$G$5614)-Sens!$G$5620</f>
        <v>3.88845175839202</v>
      </c>
      <c r="H5621" s="38" t="n">
        <f aca="false">(1-ext_sh)*(Sens!$H$5600+Sens!$H$5614)-Sens!$H$5620</f>
        <v>10.2210179503985</v>
      </c>
      <c r="I5621" s="38" t="n">
        <f aca="false">(1-ext_sh)*(Sens!$I$5600+Sens!$I$5614)-Sens!$I$5620</f>
        <v>17.8408961823075</v>
      </c>
      <c r="J5621" s="38" t="n">
        <f aca="false">(1-ext_sh)*(Sens!$J$5600+Sens!$J$5614)-Sens!$J$5620</f>
        <v>25.6671150670732</v>
      </c>
      <c r="K5621" s="38" t="n">
        <f aca="false">(1-ext_sh)*(Sens!$K$5600+Sens!$K$5614)-Sens!$K$5620</f>
        <v>33.6325293834986</v>
      </c>
      <c r="L5621" s="38" t="n">
        <f aca="false">(1-ext_sh)*(Sens!$L$5600+Sens!$L$5614)-Sens!$L$5620</f>
        <v>41.1939886299065</v>
      </c>
      <c r="M5621" s="38" t="n">
        <f aca="false">(1-ext_sh)*(Sens!$M$5600+Sens!$M$5614)-Sens!$M$5620</f>
        <v>48.8988205728617</v>
      </c>
      <c r="N5621" s="38" t="n">
        <f aca="false">(1-ext_sh)*(Sens!$N$5600+Sens!$N$5614)-Sens!$N$5620</f>
        <v>0.530919624033979</v>
      </c>
      <c r="O5621" s="38" t="n">
        <f aca="false">(1-ext_sh)*(Sens!$O$5600+Sens!$O$5614)-Sens!$O$5620</f>
        <v>0.675497696435861</v>
      </c>
    </row>
    <row r="5622" customFormat="false" ht="17.15" hidden="false" customHeight="false" outlineLevel="0" collapsed="false">
      <c r="A5622" s="0" t="s">
        <v>603</v>
      </c>
      <c r="B5622" s="0" t="s">
        <v>73</v>
      </c>
      <c r="C5622" s="38" t="n">
        <f aca="false">Q!$D$24</f>
        <v>39.834</v>
      </c>
      <c r="D5622" s="38" t="n">
        <f aca="false">Q!$E$24</f>
        <v>45.606</v>
      </c>
      <c r="E5622" s="38" t="n">
        <f aca="false">Q!$P$24</f>
        <v>30.782</v>
      </c>
      <c r="N5622" s="38" t="n">
        <f aca="false">Q!$N$24</f>
        <v>21.707</v>
      </c>
      <c r="O5622" s="38" t="n">
        <f aca="false">Q!$O$24</f>
        <v>23.899</v>
      </c>
    </row>
    <row r="5623" customFormat="false" ht="17.15" hidden="false" customHeight="false" outlineLevel="0" collapsed="false">
      <c r="A5623" s="0" t="s">
        <v>604</v>
      </c>
      <c r="B5623" s="0" t="s">
        <v>73</v>
      </c>
      <c r="C5623" s="38" t="n">
        <f aca="false">Sens!$C$5622-Sens!$C$5618</f>
        <v>38.1898211704631</v>
      </c>
      <c r="D5623" s="38" t="n">
        <f aca="false">Sens!$D$5622-Sens!$D$5618</f>
        <v>41.7278991932282</v>
      </c>
      <c r="E5623" s="38" t="n">
        <f aca="false">Sens!$E$5622-Sens!$E$5618</f>
        <v>29.3692974191125</v>
      </c>
      <c r="F5623" s="38" t="n">
        <f aca="false">Sens!$F$5602*Sens!$F$5624</f>
        <v>29.458060516894</v>
      </c>
      <c r="G5623" s="38" t="n">
        <f aca="false">Sens!$E$5623+Sens!$F$5623</f>
        <v>58.8273579360065</v>
      </c>
      <c r="H5623" s="38" t="n">
        <f aca="false">Sens!$H$5602*Sens!$H$5624</f>
        <v>67.8004040185081</v>
      </c>
      <c r="I5623" s="38" t="n">
        <f aca="false">Sens!$I$5602*Sens!$I$5624</f>
        <v>78.9527630302702</v>
      </c>
      <c r="J5623" s="38" t="n">
        <f aca="false">Sens!$J$5602*Sens!$J$5624</f>
        <v>88.6042681781841</v>
      </c>
      <c r="K5623" s="38" t="n">
        <f aca="false">Sens!$K$5602*Sens!$K$5624</f>
        <v>95.6926096324389</v>
      </c>
      <c r="L5623" s="38" t="n">
        <f aca="false">Sens!$L$5602*Sens!$L$5624</f>
        <v>103.348018403034</v>
      </c>
      <c r="M5623" s="38" t="n">
        <f aca="false">Sens!$M$5602*Sens!$M$5624</f>
        <v>111.615859875277</v>
      </c>
      <c r="N5623" s="38" t="n">
        <f aca="false">Sens!$N$5622-Sens!$N$5618</f>
        <v>20.784358965108</v>
      </c>
      <c r="O5623" s="38" t="n">
        <f aca="false">Sens!$O$5622-Sens!$O$5618</f>
        <v>20.9435402281202</v>
      </c>
      <c r="P5623" s="5" t="s">
        <v>605</v>
      </c>
    </row>
    <row r="5624" customFormat="false" ht="17.15" hidden="false" customHeight="false" outlineLevel="0" collapsed="false">
      <c r="A5624" s="0" t="s">
        <v>606</v>
      </c>
      <c r="B5624" s="0" t="s">
        <v>52</v>
      </c>
      <c r="C5624" s="12" t="n">
        <f aca="false">Sens!$C$5623/Sens!$C$5602</f>
        <v>0.362900395443635</v>
      </c>
      <c r="D5624" s="12" t="n">
        <f aca="false">Sens!$D$5623/Sens!$D$5602</f>
        <v>0.34767098474203</v>
      </c>
      <c r="E5624" s="12" t="n">
        <f aca="false">Sens!$E$5623/Sens!$E$5602</f>
        <v>0.411861655558416</v>
      </c>
      <c r="F5624" s="12" t="n">
        <f aca="false">(Sens!$O$5623+Sens!$E$5623)/(Sens!$O$5602+Sens!$E$5602)</f>
        <v>0.37480827803158</v>
      </c>
      <c r="G5624" s="12" t="n">
        <f aca="false">Sens!$G$5623/Sens!$G$5602</f>
        <v>0.392434440489471</v>
      </c>
      <c r="H5624" s="12" t="n">
        <f aca="false">Sens!$F$5624</f>
        <v>0.37480827803158</v>
      </c>
      <c r="I5624" s="12" t="n">
        <f aca="false">Sens!$F$5624</f>
        <v>0.37480827803158</v>
      </c>
      <c r="J5624" s="12" t="n">
        <f aca="false">Sens!$F$5624</f>
        <v>0.37480827803158</v>
      </c>
      <c r="K5624" s="12" t="n">
        <f aca="false">Sens!$F$5624</f>
        <v>0.37480827803158</v>
      </c>
      <c r="L5624" s="12" t="n">
        <f aca="false">Sens!$F$5624</f>
        <v>0.37480827803158</v>
      </c>
      <c r="M5624" s="12" t="n">
        <f aca="false">Sens!$F$5624</f>
        <v>0.37480827803158</v>
      </c>
      <c r="N5624" s="12" t="n">
        <f aca="false">Sens!$N$5623/Sens!$N$5602</f>
        <v>0.364039571356823</v>
      </c>
      <c r="O5624" s="12" t="n">
        <f aca="false">Sens!$O$5623/Sens!$O$5602</f>
        <v>0.332819892300086</v>
      </c>
      <c r="P5624" s="8" t="s">
        <v>607</v>
      </c>
    </row>
    <row r="5625" customFormat="false" ht="17.15" hidden="false" customHeight="false" outlineLevel="0" collapsed="false">
      <c r="A5625" s="0" t="s">
        <v>608</v>
      </c>
      <c r="B5625" s="0" t="s">
        <v>52</v>
      </c>
      <c r="D5625" s="12" t="n">
        <f aca="false">(Q!$E$31-ext_sh*Sens!$D$5614)/Sens!$D$5602</f>
        <v>0.154572973163571</v>
      </c>
    </row>
    <row r="5626" customFormat="false" ht="17.15" hidden="false" customHeight="false" outlineLevel="0" collapsed="false">
      <c r="A5626" s="0" t="s">
        <v>609</v>
      </c>
      <c r="B5626" s="0" t="s">
        <v>73</v>
      </c>
      <c r="C5626" s="38" t="n">
        <f aca="false">Q!$D$31</f>
        <v>13.32</v>
      </c>
      <c r="D5626" s="38" t="n">
        <f aca="false">Q!$E$31</f>
        <v>21.45</v>
      </c>
      <c r="E5626" s="38" t="n">
        <f aca="false">Q!$P$31</f>
        <v>15.353</v>
      </c>
      <c r="F5626" s="38" t="n">
        <f aca="false">ext_sh*Sens!$F$5614+Sens!$D$5625*Sens!$F$5602</f>
        <v>17.3614451462707</v>
      </c>
      <c r="G5626" s="38" t="n">
        <f aca="false">Sens!$E$5626+Sens!$F$5626</f>
        <v>32.7144451462707</v>
      </c>
      <c r="H5626" s="38" t="n">
        <f aca="false">ext_sh*Sens!$H$5614+Sens!$D$5625*Sens!$H$5602</f>
        <v>56.1966092719415</v>
      </c>
      <c r="I5626" s="38" t="n">
        <f aca="false">ext_sh*Sens!$I$5614+Sens!$D$5625*Sens!$I$5602</f>
        <v>82.9744039068297</v>
      </c>
      <c r="J5626" s="38" t="n">
        <f aca="false">ext_sh*Sens!$J$5614+Sens!$D$5625*Sens!$J$5602</f>
        <v>109.943252237669</v>
      </c>
      <c r="K5626" s="38" t="n">
        <f aca="false">ext_sh*Sens!$K$5614+Sens!$D$5625*Sens!$K$5602</f>
        <v>136.406703436571</v>
      </c>
      <c r="L5626" s="38" t="n">
        <f aca="false">ext_sh*Sens!$L$5614+Sens!$D$5625*Sens!$L$5602</f>
        <v>161.485870454155</v>
      </c>
      <c r="M5626" s="38" t="n">
        <f aca="false">ext_sh*Sens!$M$5614+Sens!$D$5625*Sens!$M$5602</f>
        <v>187.389846618199</v>
      </c>
      <c r="N5626" s="38" t="n">
        <f aca="false">Q!$N$31</f>
        <v>9.234</v>
      </c>
      <c r="O5626" s="38" t="n">
        <f aca="false">Q!$O$31</f>
        <v>12.216</v>
      </c>
    </row>
    <row r="5627" customFormat="false" ht="17.15" hidden="false" customHeight="false" outlineLevel="0" collapsed="false">
      <c r="A5627" s="1" t="s">
        <v>610</v>
      </c>
    </row>
    <row r="5628" customFormat="false" ht="17.15" hidden="false" customHeight="false" outlineLevel="0" collapsed="false">
      <c r="A5628" s="14" t="s">
        <v>611</v>
      </c>
      <c r="B5628" s="13" t="s">
        <v>52</v>
      </c>
      <c r="C5628" s="13"/>
      <c r="D5628" s="13"/>
      <c r="E5628" s="13"/>
      <c r="F5628" s="13"/>
      <c r="G5628" s="16" t="n">
        <f aca="false">Sens!$G$5618*(1-tax)/(ext_sh*(Sens!$D$5615+Sens!$G$5615)/2)</f>
        <v>0.0492184452944045</v>
      </c>
      <c r="H5628" s="16" t="n">
        <f aca="false">Sens!$H$5618*(1-tax)/(ext_sh*(Sens!$G$5615+Sens!$H$5615)/2)</f>
        <v>0.0619414246858107</v>
      </c>
      <c r="I5628" s="16" t="n">
        <f aca="false">Sens!$I$5618*(1-tax)/(ext_sh*(Sens!$H$5615+Sens!$I$5615)/2)</f>
        <v>0.0656831488051666</v>
      </c>
      <c r="J5628" s="16" t="n">
        <f aca="false">Sens!$J$5618*(1-tax)/(ext_sh*(Sens!$I$5615+Sens!$J$5615)/2)</f>
        <v>0.0690334849962116</v>
      </c>
      <c r="K5628" s="16" t="n">
        <f aca="false">Sens!$K$5618*(1-tax)/(ext_sh*(Sens!$J$5615+Sens!$K$5615)/2)</f>
        <v>0.0728680488295485</v>
      </c>
      <c r="L5628" s="16" t="n">
        <f aca="false">Sens!$L$5618*(1-tax)/(ext_sh*(Sens!$K$5615+Sens!$L$5615)/2)</f>
        <v>0.0785052878122331</v>
      </c>
      <c r="M5628" s="16" t="n">
        <f aca="false">Sens!$M$5618*(1-tax)/(ext_sh*(Sens!$L$5615+Sens!$M$5615)/2)</f>
        <v>0.0804526580722741</v>
      </c>
      <c r="N5628" s="13"/>
      <c r="O5628" s="13"/>
      <c r="P5628" s="8" t="s">
        <v>612</v>
      </c>
    </row>
    <row r="5629" customFormat="false" ht="17.15" hidden="false" customHeight="false" outlineLevel="0" collapsed="false">
      <c r="A5629" s="5" t="s">
        <v>613</v>
      </c>
      <c r="B5629" s="0" t="s">
        <v>57</v>
      </c>
      <c r="H5629" s="36" t="n">
        <f aca="false">Sens!$H$5598*1000/(mw_open*he_open+Sens!$H$5596*Sens!$H$5593)</f>
        <v>0.991949006767191</v>
      </c>
      <c r="I5629" s="36" t="n">
        <f aca="false">Sens!$I$5598*1000/(mw_open*he_open+Sens!$I$5596*Sens!$I$5593)</f>
        <v>0.991949006767191</v>
      </c>
      <c r="J5629" s="36" t="n">
        <f aca="false">Sens!$J$5598*1000/(mw_open*he_open+Sens!$J$5596*Sens!$J$5593)</f>
        <v>0.991949006767191</v>
      </c>
      <c r="K5629" s="36" t="n">
        <f aca="false">Sens!$K$5598*1000/(mw_open*he_open+Sens!$K$5596*Sens!$K$5593)</f>
        <v>0.991949006767191</v>
      </c>
      <c r="L5629" s="36" t="n">
        <f aca="false">Sens!$L$5598*1000/(mw_open*he_open+Sens!$L$5596*Sens!$L$5593)</f>
        <v>0.991949006767191</v>
      </c>
      <c r="M5629" s="36" t="n">
        <f aca="false">Sens!$M$5598*1000/(mw_open*he_open+Sens!$M$5596*Sens!$M$5593)</f>
        <v>0.991949006767192</v>
      </c>
    </row>
    <row r="5630" customFormat="false" ht="17.15" hidden="false" customHeight="false" outlineLevel="0" collapsed="false">
      <c r="A5630" s="5" t="s">
        <v>614</v>
      </c>
      <c r="B5630" s="0" t="s">
        <v>57</v>
      </c>
      <c r="H5630" s="36" t="n">
        <f aca="false">Sens!$H$5629*(Sens!$H$5598+wacc*ext_sh*(Sens!$G$5615+Sens!$H$5615)/2/(1-tax)-Sens!$H$5618)/Sens!$H$5598</f>
        <v>1.3149781212103</v>
      </c>
      <c r="I5630" s="36" t="n">
        <f aca="false">Sens!$I$5629*(Sens!$I$5598+wacc*ext_sh*(Sens!$H$5615+Sens!$I$5615)/2/(1-tax)-Sens!$I$5618)/Sens!$I$5598</f>
        <v>1.25742005569107</v>
      </c>
      <c r="J5630" s="36" t="n">
        <f aca="false">Sens!$J$5629*(Sens!$J$5598+wacc*ext_sh*(Sens!$I$5615+Sens!$J$5615)/2/(1-tax)-Sens!$J$5618)/Sens!$J$5598</f>
        <v>1.21838845868559</v>
      </c>
      <c r="K5630" s="36" t="n">
        <f aca="false">Sens!$K$5629*(Sens!$K$5598+wacc*ext_sh*(Sens!$J$5615+Sens!$K$5615)/2/(1-tax)-Sens!$K$5618)/Sens!$K$5598</f>
        <v>1.18402644209548</v>
      </c>
      <c r="L5630" s="36" t="n">
        <f aca="false">Sens!$L$5629*(Sens!$L$5598+wacc*ext_sh*(Sens!$K$5615+Sens!$L$5615)/2/(1-tax)-Sens!$L$5618)/Sens!$L$5598</f>
        <v>1.15111215322059</v>
      </c>
      <c r="M5630" s="36" t="n">
        <f aca="false">Sens!$M$5629*(Sens!$M$5598+wacc*ext_sh*(Sens!$L$5615+Sens!$M$5615)/2/(1-tax)-Sens!$M$5618)/Sens!$M$5598</f>
        <v>1.1397166845677</v>
      </c>
    </row>
    <row r="5631" customFormat="false" ht="17.15" hidden="false" customHeight="false" outlineLevel="0" collapsed="false">
      <c r="A5631" s="5" t="s">
        <v>615</v>
      </c>
      <c r="B5631" s="0" t="s">
        <v>52</v>
      </c>
      <c r="C5631" s="12" t="n">
        <f aca="false">Sens!$C$5599/tk_pq</f>
        <v>0.195316432429398</v>
      </c>
      <c r="D5631" s="12" t="n">
        <f aca="false">Sens!$D$5599/tk_pq</f>
        <v>0.195316432429398</v>
      </c>
      <c r="E5631" s="12" t="n">
        <f aca="false">Sens!$E$5599/tk_pq</f>
        <v>0.195316432429398</v>
      </c>
      <c r="F5631" s="12" t="n">
        <f aca="false">Sens!$F$5599/tk_pq</f>
        <v>0.202241827274866</v>
      </c>
      <c r="G5631" s="12" t="n">
        <f aca="false">Sens!$G$5599/tk_pq</f>
        <v>0.199675016194063</v>
      </c>
      <c r="H5631" s="12" t="n">
        <f aca="false">Sens!$H$5599/tk_pq</f>
        <v>0.212647947710325</v>
      </c>
      <c r="I5631" s="12" t="n">
        <f aca="false">Sens!$I$5599/tk_pq</f>
        <v>0.219285125475351</v>
      </c>
      <c r="J5631" s="12" t="n">
        <f aca="false">Sens!$J$5599/tk_pq</f>
        <v>0.222492493217189</v>
      </c>
      <c r="K5631" s="12" t="n">
        <f aca="false">Sens!$K$5599/tk_pq</f>
        <v>0.224371415939166</v>
      </c>
      <c r="L5631" s="12" t="n">
        <f aca="false">Sens!$L$5599/tk_pq</f>
        <v>0.225603749825993</v>
      </c>
      <c r="M5631" s="12" t="n">
        <f aca="false">Sens!$M$5599/tk_pq</f>
        <v>0.22647376274628</v>
      </c>
      <c r="N5631" s="12" t="n">
        <f aca="false">Sens!$N$5599/tk_pq</f>
        <v>0.195316432429398</v>
      </c>
      <c r="O5631" s="12" t="n">
        <f aca="false">Sens!$O$5599/tk_pq</f>
        <v>0.195316432429398</v>
      </c>
      <c r="P5631" s="5" t="s">
        <v>616</v>
      </c>
    </row>
    <row r="5634" customFormat="false" ht="17.15" hidden="false" customHeight="false" outlineLevel="0" collapsed="false">
      <c r="A5634" s="1" t="s">
        <v>643</v>
      </c>
    </row>
    <row r="5635" customFormat="false" ht="17.15" hidden="false" customHeight="false" outlineLevel="0" collapsed="false">
      <c r="A5635" s="0" t="s">
        <v>644</v>
      </c>
      <c r="B5635" s="0" t="s">
        <v>73</v>
      </c>
      <c r="C5635" s="38" t="n">
        <f aca="false">Sens!$C$5598</f>
        <v>2.32100535697364</v>
      </c>
      <c r="D5635" s="38" t="n">
        <f aca="false">Sens!$D$5598</f>
        <v>8.70377008865116</v>
      </c>
      <c r="E5635" s="38" t="n">
        <f aca="false">Sens!$E$5598</f>
        <v>8.51035297557002</v>
      </c>
      <c r="F5635" s="38" t="n">
        <f aca="false">Sens!$F$5598</f>
        <v>14.9634336447205</v>
      </c>
      <c r="G5635" s="38" t="n">
        <f aca="false">Sens!$G$5598</f>
        <v>23.4737866202905</v>
      </c>
      <c r="H5635" s="38" t="n">
        <f aca="false">Sens!$H$5598</f>
        <v>60.1658907497746</v>
      </c>
      <c r="I5635" s="38" t="n">
        <f aca="false">Sens!$I$5598</f>
        <v>101.503699136432</v>
      </c>
      <c r="J5635" s="38" t="n">
        <f aca="false">Sens!$J$5598</f>
        <v>143.025407151278</v>
      </c>
      <c r="K5635" s="38" t="n">
        <f aca="false">Sens!$K$5598</f>
        <v>184.608415042187</v>
      </c>
      <c r="L5635" s="38" t="n">
        <f aca="false">Sens!$L$5598</f>
        <v>226.219286513125</v>
      </c>
      <c r="M5635" s="38" t="n">
        <f aca="false">Sens!$M$5598</f>
        <v>267.845161450232</v>
      </c>
      <c r="N5635" s="38" t="n">
        <f aca="false">Sens!$N$5598</f>
        <v>3.04631953102791</v>
      </c>
      <c r="O5635" s="38" t="n">
        <f aca="false">Sens!$O$5598</f>
        <v>5.65745055762326</v>
      </c>
      <c r="P5635" s="8" t="s">
        <v>645</v>
      </c>
    </row>
    <row r="5636" customFormat="false" ht="17.15" hidden="false" customHeight="false" outlineLevel="0" collapsed="false">
      <c r="A5636" s="0" t="s">
        <v>646</v>
      </c>
      <c r="B5636" s="0" t="s">
        <v>73</v>
      </c>
      <c r="C5636" s="38" t="n">
        <f aca="false">Sens!$C$5602</f>
        <v>105.234994643026</v>
      </c>
      <c r="D5636" s="38" t="n">
        <f aca="false">Sens!$D$5602</f>
        <v>120.021229911349</v>
      </c>
      <c r="E5636" s="38" t="n">
        <f aca="false">Sens!$E$5602</f>
        <v>71.30864702443</v>
      </c>
      <c r="F5636" s="38" t="n">
        <f aca="false">Sens!$F$5602</f>
        <v>78.5950104186653</v>
      </c>
      <c r="G5636" s="38" t="n">
        <f aca="false">Sens!$G$5602</f>
        <v>149.903657443095</v>
      </c>
      <c r="H5636" s="38" t="n">
        <f aca="false">Sens!$H$5602</f>
        <v>180.893560768142</v>
      </c>
      <c r="I5636" s="38" t="n">
        <f aca="false">Sens!$I$5602</f>
        <v>210.64839721501</v>
      </c>
      <c r="J5636" s="38" t="n">
        <f aca="false">Sens!$J$5602</f>
        <v>236.398909446495</v>
      </c>
      <c r="K5636" s="38" t="n">
        <f aca="false">Sens!$K$5602</f>
        <v>255.310822202215</v>
      </c>
      <c r="L5636" s="38" t="n">
        <f aca="false">Sens!$L$5602</f>
        <v>275.735687978392</v>
      </c>
      <c r="M5636" s="38" t="n">
        <f aca="false">Sens!$M$5602</f>
        <v>297.794543016663</v>
      </c>
      <c r="N5636" s="38" t="n">
        <f aca="false">Sens!$N$5602</f>
        <v>57.0936804689721</v>
      </c>
      <c r="O5636" s="38" t="n">
        <f aca="false">Sens!$O$5602</f>
        <v>62.9275494423768</v>
      </c>
      <c r="P5636" s="8" t="s">
        <v>645</v>
      </c>
    </row>
    <row r="5637" customFormat="false" ht="17.15" hidden="false" customHeight="false" outlineLevel="0" collapsed="false">
      <c r="A5637" s="1" t="s">
        <v>476</v>
      </c>
      <c r="B5637" s="8" t="s">
        <v>73</v>
      </c>
      <c r="C5637" s="38" t="n">
        <f aca="false">Q!$D$7</f>
        <v>107.556</v>
      </c>
      <c r="D5637" s="38" t="n">
        <f aca="false">Q!$E$7</f>
        <v>128.725</v>
      </c>
      <c r="E5637" s="38" t="n">
        <f aca="false">Q!$P$7</f>
        <v>79.819</v>
      </c>
      <c r="F5637" s="38" t="n">
        <f aca="false">Sens!$F$5635+Sens!$F$5636</f>
        <v>93.5584440633857</v>
      </c>
      <c r="G5637" s="38" t="n">
        <f aca="false">Sens!$G$5635+Sens!$G$5636</f>
        <v>173.377444063386</v>
      </c>
      <c r="H5637" s="38" t="n">
        <f aca="false">Sens!$H$5635+Sens!$H$5636</f>
        <v>241.059451517916</v>
      </c>
      <c r="I5637" s="38" t="n">
        <f aca="false">Sens!$I$5635+Sens!$I$5636</f>
        <v>312.152096351442</v>
      </c>
      <c r="J5637" s="38" t="n">
        <f aca="false">Sens!$J$5635+Sens!$J$5636</f>
        <v>379.424316597773</v>
      </c>
      <c r="K5637" s="38" t="n">
        <f aca="false">Sens!$K$5635+Sens!$K$5636</f>
        <v>439.919237244402</v>
      </c>
      <c r="L5637" s="38" t="n">
        <f aca="false">Sens!$L$5635+Sens!$L$5636</f>
        <v>501.954974491517</v>
      </c>
      <c r="M5637" s="38" t="n">
        <f aca="false">Sens!$M$5635+Sens!$M$5636</f>
        <v>565.639704466895</v>
      </c>
      <c r="N5637" s="38" t="n">
        <f aca="false">Q!$N$7</f>
        <v>60.14</v>
      </c>
      <c r="O5637" s="38" t="n">
        <f aca="false">Q!$O$7</f>
        <v>68.585</v>
      </c>
      <c r="P5637" s="5" t="s">
        <v>647</v>
      </c>
    </row>
    <row r="5638" customFormat="false" ht="15" hidden="false" customHeight="false" outlineLevel="0" collapsed="false">
      <c r="A5638" s="3" t="s">
        <v>648</v>
      </c>
      <c r="B5638" s="8" t="s">
        <v>73</v>
      </c>
      <c r="C5638" s="38" t="n">
        <f aca="false">Q!$D$8</f>
        <v>637.959</v>
      </c>
      <c r="D5638" s="38" t="n">
        <f aca="false">Q!$E$8</f>
        <v>716.924</v>
      </c>
      <c r="E5638" s="38" t="n">
        <f aca="false">Q!$P$8</f>
        <v>382.125</v>
      </c>
      <c r="F5638" s="38" t="n">
        <f aca="false">Sens!$F$5571+Sens!$F$5637</f>
        <v>450.494873271816</v>
      </c>
      <c r="G5638" s="38" t="n">
        <f aca="false">Sens!$G$5571+Sens!$G$5637</f>
        <v>832.619873271816</v>
      </c>
      <c r="H5638" s="38" t="n">
        <f aca="false">Sens!$H$5571+Sens!$H$5637</f>
        <v>970.995189139617</v>
      </c>
      <c r="I5638" s="38" t="n">
        <f aca="false">Sens!$I$5571+Sens!$I$5637</f>
        <v>1110.44766604932</v>
      </c>
      <c r="J5638" s="38" t="n">
        <f aca="false">Sens!$J$5571+Sens!$J$5637</f>
        <v>1241.16113892356</v>
      </c>
      <c r="K5638" s="38" t="n">
        <f aca="false">Sens!$K$5571+Sens!$K$5637</f>
        <v>1357.47672934633</v>
      </c>
      <c r="L5638" s="38" t="n">
        <f aca="false">Sens!$L$5571+Sens!$L$5637</f>
        <v>1479.24006423468</v>
      </c>
      <c r="M5638" s="38" t="n">
        <f aca="false">Sens!$M$5571+Sens!$M$5637</f>
        <v>1606.8537230104</v>
      </c>
      <c r="N5638" s="38" t="n">
        <f aca="false">Q!$N$8</f>
        <v>323.369</v>
      </c>
      <c r="O5638" s="38" t="n">
        <f aca="false">Q!$O$8</f>
        <v>393.555</v>
      </c>
    </row>
    <row r="5639" customFormat="false" ht="17.15" hidden="false" customHeight="false" outlineLevel="0" collapsed="false">
      <c r="A5639" s="24" t="s">
        <v>656</v>
      </c>
      <c r="B5639" s="25" t="s">
        <v>73</v>
      </c>
      <c r="C5639" s="39" t="n">
        <f aca="false">Sens!$C$5571-(Sens!$C$5573+Sens!$C$5574)</f>
        <v>0</v>
      </c>
      <c r="D5639" s="39" t="n">
        <f aca="false">Sens!$D$5571-(Sens!$D$5573+Sens!$D$5574)</f>
        <v>0</v>
      </c>
      <c r="E5639" s="39" t="n">
        <f aca="false">Sens!$E$5571-(Sens!$E$5573+Sens!$E$5574)</f>
        <v>0</v>
      </c>
      <c r="F5639" s="39" t="n">
        <f aca="false">Sens!$F$5571-(Sens!$F$5573+Sens!$F$5574)</f>
        <v>0</v>
      </c>
      <c r="G5639" s="39" t="n">
        <f aca="false">Sens!$G$5571-(Sens!$G$5573+Sens!$G$5574)</f>
        <v>0</v>
      </c>
      <c r="H5639" s="39" t="n">
        <f aca="false">Sens!$H$5571-(Sens!$H$5573+Sens!$H$5574)</f>
        <v>0</v>
      </c>
      <c r="I5639" s="39" t="n">
        <f aca="false">Sens!$I$5571-(Sens!$I$5573+Sens!$I$5574)</f>
        <v>0</v>
      </c>
      <c r="J5639" s="39" t="n">
        <f aca="false">Sens!$J$5571-(Sens!$J$5573+Sens!$J$5574)</f>
        <v>0</v>
      </c>
      <c r="K5639" s="39" t="n">
        <f aca="false">Sens!$K$5571-(Sens!$K$5573+Sens!$K$5574)</f>
        <v>0</v>
      </c>
      <c r="L5639" s="39" t="n">
        <f aca="false">Sens!$L$5571-(Sens!$L$5573+Sens!$L$5574)</f>
        <v>0</v>
      </c>
      <c r="M5639" s="39" t="n">
        <f aca="false">Sens!$M$5571-(Sens!$M$5573+Sens!$M$5574)</f>
        <v>0</v>
      </c>
      <c r="N5639" s="39" t="n">
        <f aca="false">Sens!$N$5571-(Sens!$N$5573+Sens!$N$5574)</f>
        <v>0</v>
      </c>
      <c r="O5639" s="39" t="n">
        <f aca="false">Sens!$O$5571-(Sens!$O$5573+Sens!$O$5574)</f>
        <v>0</v>
      </c>
    </row>
    <row r="5640" customFormat="false" ht="17.15" hidden="false" customHeight="false" outlineLevel="0" collapsed="false">
      <c r="A5640" s="24" t="s">
        <v>657</v>
      </c>
      <c r="B5640" s="25" t="s">
        <v>73</v>
      </c>
      <c r="C5640" s="39" t="n">
        <f aca="false">Sens!$C$5635+Sens!$C$5636-Sens!$C$5637</f>
        <v>0</v>
      </c>
      <c r="D5640" s="39" t="n">
        <f aca="false">Sens!$D$5635+Sens!$D$5636-Sens!$D$5637</f>
        <v>0</v>
      </c>
      <c r="E5640" s="39" t="n">
        <f aca="false">Sens!$E$5635+Sens!$E$5636-Sens!$E$5637</f>
        <v>0</v>
      </c>
      <c r="F5640" s="39" t="n">
        <f aca="false">Sens!$F$5635+Sens!$F$5636-Sens!$F$5637</f>
        <v>0</v>
      </c>
      <c r="G5640" s="39" t="n">
        <f aca="false">Sens!$G$5635+Sens!$G$5636-Sens!$G$5637</f>
        <v>0</v>
      </c>
      <c r="H5640" s="39" t="n">
        <f aca="false">Sens!$H$5635+Sens!$H$5636-Sens!$H$5637</f>
        <v>0</v>
      </c>
      <c r="I5640" s="39" t="n">
        <f aca="false">Sens!$I$5635+Sens!$I$5636-Sens!$I$5637</f>
        <v>0</v>
      </c>
      <c r="J5640" s="39" t="n">
        <f aca="false">Sens!$J$5635+Sens!$J$5636-Sens!$J$5637</f>
        <v>0</v>
      </c>
      <c r="K5640" s="39" t="n">
        <f aca="false">Sens!$K$5635+Sens!$K$5636-Sens!$K$5637</f>
        <v>0</v>
      </c>
      <c r="L5640" s="39" t="n">
        <f aca="false">Sens!$L$5635+Sens!$L$5636-Sens!$L$5637</f>
        <v>0</v>
      </c>
      <c r="M5640" s="39" t="n">
        <f aca="false">Sens!$M$5635+Sens!$M$5636-Sens!$M$5637</f>
        <v>0</v>
      </c>
      <c r="N5640" s="39" t="n">
        <f aca="false">Sens!$N$5635+Sens!$N$5636-Sens!$N$5637</f>
        <v>0</v>
      </c>
      <c r="O5640" s="39" t="n">
        <f aca="false">Sens!$O$5635+Sens!$O$5636-Sens!$O$5637</f>
        <v>0</v>
      </c>
    </row>
    <row r="5641" customFormat="false" ht="17.15" hidden="false" customHeight="false" outlineLevel="0" collapsed="false">
      <c r="A5641" s="24" t="s">
        <v>658</v>
      </c>
      <c r="B5641" s="25" t="s">
        <v>73</v>
      </c>
      <c r="C5641" s="39" t="n">
        <f aca="false">Sens!$C$5573+Sens!$C$5574+Sens!$C$5637-Sens!$C$5638</f>
        <v>0</v>
      </c>
      <c r="D5641" s="39" t="n">
        <f aca="false">Sens!$D$5573+Sens!$D$5574+Sens!$D$5637-Sens!$D$5638</f>
        <v>0</v>
      </c>
      <c r="E5641" s="39" t="n">
        <f aca="false">Sens!$E$5573+Sens!$E$5574+Sens!$E$5637-Sens!$E$5638</f>
        <v>0</v>
      </c>
      <c r="F5641" s="39" t="n">
        <f aca="false">Sens!$F$5573+Sens!$F$5574+Sens!$F$5637-Sens!$F$5638</f>
        <v>0</v>
      </c>
      <c r="G5641" s="39" t="n">
        <f aca="false">Sens!$G$5573+Sens!$G$5574+Sens!$G$5637-Sens!$G$5638</f>
        <v>0</v>
      </c>
      <c r="H5641" s="39" t="n">
        <f aca="false">Sens!$H$5573+Sens!$H$5574+Sens!$H$5637-Sens!$H$5638</f>
        <v>0</v>
      </c>
      <c r="I5641" s="39" t="n">
        <f aca="false">Sens!$I$5573+Sens!$I$5574+Sens!$I$5637-Sens!$I$5638</f>
        <v>0</v>
      </c>
      <c r="J5641" s="39" t="n">
        <f aca="false">Sens!$J$5573+Sens!$J$5574+Sens!$J$5637-Sens!$J$5638</f>
        <v>0</v>
      </c>
      <c r="K5641" s="39" t="n">
        <f aca="false">Sens!$K$5573+Sens!$K$5574+Sens!$K$5637-Sens!$K$5638</f>
        <v>0</v>
      </c>
      <c r="L5641" s="39" t="n">
        <f aca="false">Sens!$L$5573+Sens!$L$5574+Sens!$L$5637-Sens!$L$5638</f>
        <v>0</v>
      </c>
      <c r="M5641" s="39" t="n">
        <f aca="false">Sens!$M$5573+Sens!$M$5574+Sens!$M$5637-Sens!$M$5638</f>
        <v>0</v>
      </c>
      <c r="N5641" s="39" t="n">
        <f aca="false">Sens!$N$5573+Sens!$N$5574+Sens!$N$5637-Sens!$N$5638</f>
        <v>0</v>
      </c>
      <c r="O5641" s="39" t="n">
        <f aca="false">Sens!$O$5573+Sens!$O$5574+Sens!$O$5637-Sens!$O$5638</f>
        <v>0</v>
      </c>
    </row>
    <row r="5642" customFormat="false" ht="15" hidden="false" customHeight="false" outlineLevel="0" collapsed="false">
      <c r="A5642" s="5" t="s">
        <v>652</v>
      </c>
      <c r="B5642" s="0" t="s">
        <v>52</v>
      </c>
      <c r="G5642" s="12" t="n">
        <f aca="false">Sens!$G$5638/Sens!$D$5638-1</f>
        <v>0.161378156222718</v>
      </c>
      <c r="H5642" s="12" t="n">
        <f aca="false">Sens!$H$5638/Sens!$G$5638-1</f>
        <v>0.166192665236357</v>
      </c>
      <c r="I5642" s="12" t="n">
        <f aca="false">Sens!$I$5638/Sens!$H$5638-1</f>
        <v>0.143618092519351</v>
      </c>
      <c r="J5642" s="12" t="n">
        <f aca="false">Sens!$J$5638/Sens!$I$5638-1</f>
        <v>0.117712411733268</v>
      </c>
      <c r="K5642" s="12" t="n">
        <f aca="false">Sens!$K$5638/Sens!$J$5638-1</f>
        <v>0.0937151404237868</v>
      </c>
      <c r="L5642" s="12" t="n">
        <f aca="false">Sens!$L$5638/Sens!$K$5638-1</f>
        <v>0.0896982852494186</v>
      </c>
      <c r="M5642" s="12" t="n">
        <f aca="false">Sens!$M$5638/Sens!$L$5638-1</f>
        <v>0.0862697420528154</v>
      </c>
    </row>
    <row r="5643" customFormat="false" ht="17.15" hidden="false" customHeight="false" outlineLevel="0" collapsed="false">
      <c r="A5643" s="0" t="s">
        <v>653</v>
      </c>
      <c r="B5643" s="0" t="s">
        <v>52</v>
      </c>
      <c r="C5643" s="12" t="n">
        <f aca="false">Sens!$C$5637/Sens!$C$5638</f>
        <v>0.168593906504964</v>
      </c>
      <c r="D5643" s="12" t="n">
        <f aca="false">Sens!$D$5637/Sens!$D$5638</f>
        <v>0.179551807444025</v>
      </c>
      <c r="E5643" s="12" t="n">
        <f aca="false">Sens!$E$5637/Sens!$E$5638</f>
        <v>0.208881910369643</v>
      </c>
      <c r="F5643" s="12" t="n">
        <f aca="false">Sens!$F$5637/Sens!$F$5638</f>
        <v>0.207679264769203</v>
      </c>
      <c r="G5643" s="12" t="n">
        <f aca="false">Sens!$G$5637/Sens!$G$5638</f>
        <v>0.208231210458731</v>
      </c>
      <c r="H5643" s="12" t="n">
        <f aca="false">Sens!$H$5637/Sens!$H$5638</f>
        <v>0.248260191414043</v>
      </c>
      <c r="I5643" s="12" t="n">
        <f aca="false">Sens!$I$5637/Sens!$I$5638</f>
        <v>0.28110473450946</v>
      </c>
      <c r="J5643" s="12" t="n">
        <f aca="false">Sens!$J$5637/Sens!$J$5638</f>
        <v>0.30570109287086</v>
      </c>
      <c r="K5643" s="12" t="n">
        <f aca="false">Sens!$K$5637/Sens!$K$5638</f>
        <v>0.324071291782835</v>
      </c>
      <c r="L5643" s="12" t="n">
        <f aca="false">Sens!$L$5637/Sens!$L$5638</f>
        <v>0.339333003903741</v>
      </c>
      <c r="M5643" s="12" t="n">
        <f aca="false">Sens!$M$5637/Sens!$M$5638</f>
        <v>0.3520169237354</v>
      </c>
      <c r="N5643" s="12" t="n">
        <f aca="false">Sens!$N$5637/Sens!$N$5638</f>
        <v>0.185979484737251</v>
      </c>
      <c r="O5643" s="12" t="n">
        <f aca="false">Sens!$O$5637/Sens!$O$5638</f>
        <v>0.174270432341096</v>
      </c>
    </row>
    <row r="5644" customFormat="false" ht="17.15" hidden="false" customHeight="false" outlineLevel="0" collapsed="false">
      <c r="A5644" s="0" t="s">
        <v>654</v>
      </c>
      <c r="B5644" s="0" t="s">
        <v>52</v>
      </c>
      <c r="C5644" s="12" t="n">
        <f aca="false">Sens!$C$5635/Sens!$C$5637</f>
        <v>0.0215795060896058</v>
      </c>
      <c r="D5644" s="12" t="n">
        <f aca="false">Sens!$D$5635/Sens!$D$5637</f>
        <v>0.0676152269462122</v>
      </c>
      <c r="E5644" s="12" t="n">
        <f aca="false">Sens!$E$5635/Sens!$E$5637</f>
        <v>0.106620641395783</v>
      </c>
      <c r="F5644" s="12" t="n">
        <f aca="false">Sens!$F$5635/Sens!$F$5637</f>
        <v>0.159936751776064</v>
      </c>
      <c r="G5644" s="12" t="n">
        <f aca="false">Sens!$G$5635/Sens!$G$5637</f>
        <v>0.135391237003751</v>
      </c>
      <c r="H5644" s="12" t="n">
        <f aca="false">Sens!$H$5635/Sens!$H$5637</f>
        <v>0.249589428545194</v>
      </c>
      <c r="I5644" s="12" t="n">
        <f aca="false">Sens!$I$5635/Sens!$I$5637</f>
        <v>0.325173850577483</v>
      </c>
      <c r="J5644" s="12" t="n">
        <f aca="false">Sens!$J$5635/Sens!$J$5637</f>
        <v>0.376953718817392</v>
      </c>
      <c r="K5644" s="12" t="n">
        <f aca="false">Sens!$K$5635/Sens!$K$5637</f>
        <v>0.419641605578676</v>
      </c>
      <c r="L5644" s="12" t="n">
        <f aca="false">Sens!$L$5635/Sens!$L$5637</f>
        <v>0.450676451094615</v>
      </c>
      <c r="M5644" s="12" t="n">
        <f aca="false">Sens!$M$5635/Sens!$M$5637</f>
        <v>0.473526096798086</v>
      </c>
      <c r="N5644" s="12" t="n">
        <f aca="false">Sens!$N$5635/Sens!$N$5637</f>
        <v>0.0506537999838362</v>
      </c>
      <c r="O5644" s="12" t="n">
        <f aca="false">Sens!$O$5635/Sens!$O$5637</f>
        <v>0.0824881615167056</v>
      </c>
    </row>
    <row r="5647" customFormat="false" ht="19.4" hidden="false" customHeight="false" outlineLevel="0" collapsed="false">
      <c r="A5647" s="31" t="s">
        <v>1167</v>
      </c>
    </row>
    <row r="5648" customFormat="false" ht="17.15" hidden="false" customHeight="false" outlineLevel="0" collapsed="false">
      <c r="A5648" s="6" t="s">
        <v>16</v>
      </c>
      <c r="B5648" s="6" t="s">
        <v>17</v>
      </c>
      <c r="C5648" s="20" t="s">
        <v>457</v>
      </c>
      <c r="D5648" s="20" t="s">
        <v>458</v>
      </c>
      <c r="E5648" s="20" t="s">
        <v>540</v>
      </c>
      <c r="F5648" s="20" t="s">
        <v>541</v>
      </c>
      <c r="G5648" s="20" t="s">
        <v>542</v>
      </c>
      <c r="H5648" s="20" t="s">
        <v>543</v>
      </c>
      <c r="I5648" s="20" t="s">
        <v>544</v>
      </c>
      <c r="J5648" s="20" t="s">
        <v>545</v>
      </c>
      <c r="K5648" s="20" t="s">
        <v>546</v>
      </c>
      <c r="L5648" s="20" t="s">
        <v>547</v>
      </c>
      <c r="M5648" s="20" t="s">
        <v>548</v>
      </c>
      <c r="N5648" s="20" t="s">
        <v>549</v>
      </c>
      <c r="O5648" s="20" t="s">
        <v>550</v>
      </c>
      <c r="P5648" s="6" t="s">
        <v>23</v>
      </c>
      <c r="R5648" s="20" t="n">
        <v>2023</v>
      </c>
      <c r="S5648" s="20" t="n">
        <v>2024</v>
      </c>
      <c r="T5648" s="20" t="n">
        <v>2025</v>
      </c>
      <c r="U5648" s="20" t="n">
        <v>2026</v>
      </c>
      <c r="V5648" s="20" t="n">
        <v>2027</v>
      </c>
      <c r="W5648" s="20" t="n">
        <v>2028</v>
      </c>
      <c r="X5648" s="20" t="n">
        <v>2029</v>
      </c>
      <c r="Y5648" s="20" t="n">
        <v>2030</v>
      </c>
      <c r="Z5648" s="20" t="n">
        <v>2031</v>
      </c>
      <c r="AA5648" s="20" t="n">
        <v>2032</v>
      </c>
    </row>
    <row r="5649" customFormat="false" ht="17.15" hidden="false" customHeight="false" outlineLevel="0" collapsed="false">
      <c r="A5649" s="1" t="s">
        <v>669</v>
      </c>
    </row>
    <row r="5650" customFormat="false" ht="15" hidden="false" customHeight="false" outlineLevel="0" collapsed="false">
      <c r="A5650" s="0" t="s">
        <v>479</v>
      </c>
      <c r="B5650" s="0" t="s">
        <v>73</v>
      </c>
      <c r="C5650" s="38" t="n">
        <f aca="false">Sens!$C$5559</f>
        <v>247.029</v>
      </c>
      <c r="D5650" s="38" t="n">
        <f aca="false">Sens!$D$5559</f>
        <v>269.287</v>
      </c>
      <c r="E5650" s="38" t="n">
        <f aca="false">Sens!$E$5559</f>
        <v>134.686</v>
      </c>
      <c r="F5650" s="38" t="n">
        <f aca="false">Sens!$F$5559</f>
        <v>160.728085930082</v>
      </c>
      <c r="G5650" s="38" t="n">
        <f aca="false">Sens!$G$5559</f>
        <v>295.414085930082</v>
      </c>
      <c r="H5650" s="38" t="n">
        <f aca="false">Sens!$H$5559</f>
        <v>320.828163943375</v>
      </c>
      <c r="I5650" s="38" t="n">
        <f aca="false">Sens!$I$5559</f>
        <v>344.575578072228</v>
      </c>
      <c r="J5650" s="38" t="n">
        <f aca="false">Sens!$J$5559</f>
        <v>365.942555779681</v>
      </c>
      <c r="K5650" s="38" t="n">
        <f aca="false">Sens!$K$5559</f>
        <v>384.239683568665</v>
      </c>
      <c r="L5650" s="38" t="n">
        <f aca="false">Sens!$L$5559</f>
        <v>403.451667747098</v>
      </c>
      <c r="M5650" s="38" t="n">
        <f aca="false">Sens!$M$5559</f>
        <v>423.624251134453</v>
      </c>
      <c r="N5650" s="38" t="n">
        <f aca="false">Sens!$N$5559</f>
        <v>118.892</v>
      </c>
      <c r="O5650" s="38" t="n">
        <f aca="false">Sens!$O$5559</f>
        <v>150.395</v>
      </c>
    </row>
    <row r="5651" customFormat="false" ht="15" hidden="false" customHeight="false" outlineLevel="0" collapsed="false">
      <c r="A5651" s="0" t="s">
        <v>480</v>
      </c>
      <c r="B5651" s="0" t="s">
        <v>73</v>
      </c>
      <c r="C5651" s="38" t="n">
        <f aca="false">Sens!$C$5561</f>
        <v>21.215</v>
      </c>
      <c r="D5651" s="38" t="n">
        <f aca="false">Sens!$D$5561</f>
        <v>22.561</v>
      </c>
      <c r="E5651" s="38" t="n">
        <f aca="false">Sens!$E$5561</f>
        <v>11.579</v>
      </c>
      <c r="F5651" s="38" t="n">
        <f aca="false">Sens!$F$5561</f>
        <v>12.0952613121125</v>
      </c>
      <c r="G5651" s="38" t="n">
        <f aca="false">Sens!$G$5561</f>
        <v>23.6742613121125</v>
      </c>
      <c r="H5651" s="38" t="n">
        <f aca="false">Sens!$H$5561</f>
        <v>24.8803243963206</v>
      </c>
      <c r="I5651" s="38" t="n">
        <f aca="false">Sens!$I$5561</f>
        <v>25.9741308664154</v>
      </c>
      <c r="J5651" s="38" t="n">
        <f aca="false">Sens!$J$5561</f>
        <v>26.9346894124267</v>
      </c>
      <c r="K5651" s="38" t="n">
        <f aca="false">Sens!$K$5561</f>
        <v>27.7427300947995</v>
      </c>
      <c r="L5651" s="38" t="n">
        <f aca="false">Sens!$L$5561</f>
        <v>28.5750119976435</v>
      </c>
      <c r="M5651" s="38" t="n">
        <f aca="false">Sens!$M$5561</f>
        <v>29.4322623575728</v>
      </c>
      <c r="N5651" s="38" t="n">
        <f aca="false">Sens!$N$5561</f>
        <v>11.128</v>
      </c>
      <c r="O5651" s="38" t="n">
        <f aca="false">Sens!$O$5561</f>
        <v>11.433</v>
      </c>
    </row>
    <row r="5652" customFormat="false" ht="15" hidden="false" customHeight="false" outlineLevel="0" collapsed="false">
      <c r="A5652" s="0" t="s">
        <v>481</v>
      </c>
      <c r="B5652" s="0" t="s">
        <v>73</v>
      </c>
      <c r="C5652" s="38" t="n">
        <f aca="false">Sens!$C$5563</f>
        <v>156.146</v>
      </c>
      <c r="D5652" s="38" t="n">
        <f aca="false">Sens!$D$5563</f>
        <v>172.162</v>
      </c>
      <c r="E5652" s="38" t="n">
        <f aca="false">Sens!$E$5563</f>
        <v>88.358</v>
      </c>
      <c r="F5652" s="38" t="n">
        <f aca="false">Sens!$F$5563</f>
        <v>103.62028337149</v>
      </c>
      <c r="G5652" s="38" t="n">
        <f aca="false">Sens!$G$5563</f>
        <v>191.97828337149</v>
      </c>
      <c r="H5652" s="38" t="n">
        <f aca="false">Sens!$H$5563</f>
        <v>212.128608444755</v>
      </c>
      <c r="I5652" s="38" t="n">
        <f aca="false">Sens!$I$5563</f>
        <v>231.92183134134</v>
      </c>
      <c r="J5652" s="38" t="n">
        <f aca="false">Sens!$J$5563</f>
        <v>250.859136487863</v>
      </c>
      <c r="K5652" s="38" t="n">
        <f aca="false">Sens!$K$5563</f>
        <v>268.419276042014</v>
      </c>
      <c r="L5652" s="38" t="n">
        <f aca="false">Sens!$L$5563</f>
        <v>287.208625364954</v>
      </c>
      <c r="M5652" s="38" t="n">
        <f aca="false">Sens!$M$5563</f>
        <v>307.313229140501</v>
      </c>
      <c r="N5652" s="38" t="n">
        <f aca="false">Sens!$N$5563</f>
        <v>76.86</v>
      </c>
      <c r="O5652" s="38" t="n">
        <f aca="false">Sens!$O$5563</f>
        <v>95.302</v>
      </c>
    </row>
    <row r="5653" customFormat="false" ht="15" hidden="false" customHeight="false" outlineLevel="0" collapsed="false">
      <c r="A5653" s="0" t="s">
        <v>482</v>
      </c>
      <c r="B5653" s="0" t="s">
        <v>73</v>
      </c>
      <c r="C5653" s="38" t="n">
        <f aca="false">Sens!$C$5565</f>
        <v>56.214</v>
      </c>
      <c r="D5653" s="38" t="n">
        <f aca="false">Sens!$D$5565</f>
        <v>68.635</v>
      </c>
      <c r="E5653" s="38" t="n">
        <f aca="false">Sens!$E$5565</f>
        <v>37.052</v>
      </c>
      <c r="F5653" s="38" t="n">
        <f aca="false">Sens!$F$5565</f>
        <v>48.1533381827382</v>
      </c>
      <c r="G5653" s="38" t="n">
        <f aca="false">Sens!$G$5565</f>
        <v>85.2053381827382</v>
      </c>
      <c r="H5653" s="38" t="n">
        <f aca="false">Sens!$H$5565</f>
        <v>102.29336185894</v>
      </c>
      <c r="I5653" s="38" t="n">
        <f aca="false">Sens!$I$5565</f>
        <v>119.379837585241</v>
      </c>
      <c r="J5653" s="38" t="n">
        <f aca="false">Sens!$J$5565</f>
        <v>135.319079048844</v>
      </c>
      <c r="K5653" s="38" t="n">
        <f aca="false">Sens!$K$5565</f>
        <v>148.850986953729</v>
      </c>
      <c r="L5653" s="38" t="n">
        <f aca="false">Sens!$L$5565</f>
        <v>163.736085649102</v>
      </c>
      <c r="M5653" s="38" t="n">
        <f aca="false">Sens!$M$5565</f>
        <v>180.109694214012</v>
      </c>
      <c r="N5653" s="38" t="n">
        <f aca="false">Sens!$N$5565</f>
        <v>29.615</v>
      </c>
      <c r="O5653" s="38" t="n">
        <f aca="false">Sens!$O$5565</f>
        <v>39.02</v>
      </c>
    </row>
    <row r="5654" customFormat="false" ht="15" hidden="false" customHeight="false" outlineLevel="0" collapsed="false">
      <c r="A5654" s="0" t="s">
        <v>483</v>
      </c>
      <c r="B5654" s="0" t="s">
        <v>73</v>
      </c>
      <c r="C5654" s="38" t="n">
        <f aca="false">Sens!$C$5567</f>
        <v>44.374</v>
      </c>
      <c r="D5654" s="38" t="n">
        <f aca="false">Sens!$D$5567</f>
        <v>49.619</v>
      </c>
      <c r="E5654" s="38" t="n">
        <f aca="false">Sens!$E$5567</f>
        <v>27.157</v>
      </c>
      <c r="F5654" s="38" t="n">
        <f aca="false">Sens!$F$5567</f>
        <v>28.9776360923374</v>
      </c>
      <c r="G5654" s="38" t="n">
        <f aca="false">Sens!$G$5567</f>
        <v>56.1346360923374</v>
      </c>
      <c r="H5654" s="38" t="n">
        <f aca="false">Sens!$H$5567</f>
        <v>62.4937078946075</v>
      </c>
      <c r="I5654" s="38" t="n">
        <f aca="false">Sens!$I$5567</f>
        <v>68.6715233062498</v>
      </c>
      <c r="J5654" s="38" t="n">
        <f aca="false">Sens!$J$5567</f>
        <v>74.4692882949818</v>
      </c>
      <c r="K5654" s="38" t="n">
        <f aca="false">Sens!$K$5567</f>
        <v>79.6821384756306</v>
      </c>
      <c r="L5654" s="38" t="n">
        <f aca="false">Sens!$L$5567</f>
        <v>85.2598881689247</v>
      </c>
      <c r="M5654" s="38" t="n">
        <f aca="false">Sens!$M$5567</f>
        <v>91.2280803407494</v>
      </c>
      <c r="N5654" s="38" t="n">
        <f aca="false">Sens!$N$5567</f>
        <v>23.923</v>
      </c>
      <c r="O5654" s="38" t="n">
        <f aca="false">Sens!$O$5567</f>
        <v>25.696</v>
      </c>
    </row>
    <row r="5655" customFormat="false" ht="15" hidden="false" customHeight="false" outlineLevel="0" collapsed="false">
      <c r="A5655" s="0" t="s">
        <v>484</v>
      </c>
      <c r="B5655" s="0" t="s">
        <v>73</v>
      </c>
      <c r="C5655" s="38" t="n">
        <f aca="false">Sens!$C$5569</f>
        <v>5.425</v>
      </c>
      <c r="D5655" s="38" t="n">
        <f aca="false">Sens!$D$5569</f>
        <v>5.935</v>
      </c>
      <c r="E5655" s="38" t="n">
        <f aca="false">Sens!$E$5569</f>
        <v>3.474</v>
      </c>
      <c r="F5655" s="38" t="n">
        <f aca="false">Sens!$F$5569</f>
        <v>3.36182431966931</v>
      </c>
      <c r="G5655" s="38" t="n">
        <f aca="false">Sens!$G$5569</f>
        <v>6.83582431966931</v>
      </c>
      <c r="H5655" s="38" t="n">
        <f aca="false">Sens!$H$5569</f>
        <v>7.31157108370141</v>
      </c>
      <c r="I5655" s="38" t="n">
        <f aca="false">Sens!$I$5569</f>
        <v>7.77266852639815</v>
      </c>
      <c r="J5655" s="38" t="n">
        <f aca="false">Sens!$J$5569</f>
        <v>8.2120733019884</v>
      </c>
      <c r="K5655" s="38" t="n">
        <f aca="false">Sens!$K$5569</f>
        <v>8.62267696708783</v>
      </c>
      <c r="L5655" s="38" t="n">
        <f aca="false">Sens!$L$5569</f>
        <v>9.05381081544222</v>
      </c>
      <c r="M5655" s="38" t="n">
        <f aca="false">Sens!$M$5569</f>
        <v>9.50650135621433</v>
      </c>
      <c r="N5655" s="38" t="n">
        <f aca="false">Sens!$N$5569</f>
        <v>2.811</v>
      </c>
      <c r="O5655" s="38" t="n">
        <f aca="false">Sens!$O$5569</f>
        <v>3.124</v>
      </c>
    </row>
    <row r="5656" customFormat="false" ht="17.15" hidden="false" customHeight="false" outlineLevel="0" collapsed="false">
      <c r="A5656" s="0" t="s">
        <v>670</v>
      </c>
      <c r="B5656" s="0" t="s">
        <v>73</v>
      </c>
      <c r="C5656" s="38" t="n">
        <f aca="false">Sens!$C$5637</f>
        <v>107.556</v>
      </c>
      <c r="D5656" s="38" t="n">
        <f aca="false">Sens!$D$5637</f>
        <v>128.725</v>
      </c>
      <c r="E5656" s="38" t="n">
        <f aca="false">Sens!$E$5637</f>
        <v>79.819</v>
      </c>
      <c r="F5656" s="38" t="n">
        <f aca="false">Sens!$F$5637</f>
        <v>93.5584440633857</v>
      </c>
      <c r="G5656" s="38" t="n">
        <f aca="false">Sens!$G$5637</f>
        <v>173.377444063386</v>
      </c>
      <c r="H5656" s="38" t="n">
        <f aca="false">Sens!$H$5637</f>
        <v>241.059451517916</v>
      </c>
      <c r="I5656" s="38" t="n">
        <f aca="false">Sens!$I$5637</f>
        <v>312.152096351442</v>
      </c>
      <c r="J5656" s="38" t="n">
        <f aca="false">Sens!$J$5637</f>
        <v>379.424316597773</v>
      </c>
      <c r="K5656" s="38" t="n">
        <f aca="false">Sens!$K$5637</f>
        <v>439.919237244402</v>
      </c>
      <c r="L5656" s="38" t="n">
        <f aca="false">Sens!$L$5637</f>
        <v>501.954974491517</v>
      </c>
      <c r="M5656" s="38" t="n">
        <f aca="false">Sens!$M$5637</f>
        <v>565.639704466895</v>
      </c>
      <c r="N5656" s="38" t="n">
        <f aca="false">Sens!$N$5637</f>
        <v>60.14</v>
      </c>
      <c r="O5656" s="38" t="n">
        <f aca="false">Sens!$O$5637</f>
        <v>68.585</v>
      </c>
    </row>
    <row r="5657" customFormat="false" ht="15" hidden="false" customHeight="false" outlineLevel="0" collapsed="false">
      <c r="A5657" s="1" t="s">
        <v>472</v>
      </c>
      <c r="B5657" s="8" t="s">
        <v>73</v>
      </c>
      <c r="C5657" s="38" t="n">
        <f aca="false">Sens!$C$5573</f>
        <v>387.497</v>
      </c>
      <c r="D5657" s="38" t="n">
        <f aca="false">Sens!$D$5573</f>
        <v>426.305</v>
      </c>
      <c r="E5657" s="38" t="n">
        <f aca="false">Sens!$E$5573</f>
        <v>220.32</v>
      </c>
      <c r="F5657" s="38" t="n">
        <f aca="false">Sens!$F$5573</f>
        <v>256.304015003807</v>
      </c>
      <c r="G5657" s="38" t="n">
        <f aca="false">Sens!$G$5573</f>
        <v>476.624015003807</v>
      </c>
      <c r="H5657" s="38" t="n">
        <f aca="false">Sens!$H$5573</f>
        <v>527.734391091543</v>
      </c>
      <c r="I5657" s="38" t="n">
        <f aca="false">Sens!$I$5573</f>
        <v>577.157693029577</v>
      </c>
      <c r="J5657" s="38" t="n">
        <f aca="false">Sens!$J$5573</f>
        <v>623.024923663827</v>
      </c>
      <c r="K5657" s="38" t="n">
        <f aca="false">Sens!$K$5573</f>
        <v>663.382568393781</v>
      </c>
      <c r="L5657" s="38" t="n">
        <f aca="false">Sens!$L$5573</f>
        <v>706.564873010432</v>
      </c>
      <c r="M5657" s="38" t="n">
        <f aca="false">Sens!$M$5573</f>
        <v>752.784687406019</v>
      </c>
      <c r="N5657" s="38" t="n">
        <f aca="false">Sens!$N$5573</f>
        <v>192.955</v>
      </c>
      <c r="O5657" s="38" t="n">
        <f aca="false">Sens!$O$5573</f>
        <v>233.35</v>
      </c>
    </row>
    <row r="5658" customFormat="false" ht="15" hidden="false" customHeight="false" outlineLevel="0" collapsed="false">
      <c r="A5658" s="1" t="s">
        <v>475</v>
      </c>
      <c r="B5658" s="8" t="s">
        <v>73</v>
      </c>
      <c r="C5658" s="38" t="n">
        <f aca="false">Sens!$C$5574</f>
        <v>142.906</v>
      </c>
      <c r="D5658" s="38" t="n">
        <f aca="false">Sens!$D$5574</f>
        <v>161.894</v>
      </c>
      <c r="E5658" s="38" t="n">
        <f aca="false">Sens!$E$5574</f>
        <v>81.986</v>
      </c>
      <c r="F5658" s="38" t="n">
        <f aca="false">Sens!$F$5574</f>
        <v>100.632414204623</v>
      </c>
      <c r="G5658" s="38" t="n">
        <f aca="false">Sens!$G$5574</f>
        <v>182.618414204623</v>
      </c>
      <c r="H5658" s="38" t="n">
        <f aca="false">Sens!$H$5574</f>
        <v>202.201346530158</v>
      </c>
      <c r="I5658" s="38" t="n">
        <f aca="false">Sens!$I$5574</f>
        <v>221.137876668296</v>
      </c>
      <c r="J5658" s="38" t="n">
        <f aca="false">Sens!$J$5574</f>
        <v>238.711898661958</v>
      </c>
      <c r="K5658" s="38" t="n">
        <f aca="false">Sens!$K$5574</f>
        <v>254.174923708144</v>
      </c>
      <c r="L5658" s="38" t="n">
        <f aca="false">Sens!$L$5574</f>
        <v>270.720216732733</v>
      </c>
      <c r="M5658" s="38" t="n">
        <f aca="false">Sens!$M$5574</f>
        <v>288.429331137484</v>
      </c>
      <c r="N5658" s="38" t="n">
        <f aca="false">Sens!$N$5574</f>
        <v>70.274</v>
      </c>
      <c r="O5658" s="38" t="n">
        <f aca="false">Sens!$O$5574</f>
        <v>91.62</v>
      </c>
    </row>
    <row r="5659" customFormat="false" ht="15" hidden="false" customHeight="false" outlineLevel="0" collapsed="false">
      <c r="A5659" s="1" t="s">
        <v>476</v>
      </c>
      <c r="B5659" s="8" t="s">
        <v>73</v>
      </c>
      <c r="C5659" s="38" t="n">
        <f aca="false">Sens!$C$5637</f>
        <v>107.556</v>
      </c>
      <c r="D5659" s="38" t="n">
        <f aca="false">Sens!$D$5637</f>
        <v>128.725</v>
      </c>
      <c r="E5659" s="38" t="n">
        <f aca="false">Sens!$E$5637</f>
        <v>79.819</v>
      </c>
      <c r="F5659" s="38" t="n">
        <f aca="false">Sens!$F$5637</f>
        <v>93.5584440633857</v>
      </c>
      <c r="G5659" s="38" t="n">
        <f aca="false">Sens!$G$5637</f>
        <v>173.377444063386</v>
      </c>
      <c r="H5659" s="38" t="n">
        <f aca="false">Sens!$H$5637</f>
        <v>241.059451517916</v>
      </c>
      <c r="I5659" s="38" t="n">
        <f aca="false">Sens!$I$5637</f>
        <v>312.152096351442</v>
      </c>
      <c r="J5659" s="38" t="n">
        <f aca="false">Sens!$J$5637</f>
        <v>379.424316597773</v>
      </c>
      <c r="K5659" s="38" t="n">
        <f aca="false">Sens!$K$5637</f>
        <v>439.919237244402</v>
      </c>
      <c r="L5659" s="38" t="n">
        <f aca="false">Sens!$L$5637</f>
        <v>501.954974491517</v>
      </c>
      <c r="M5659" s="38" t="n">
        <f aca="false">Sens!$M$5637</f>
        <v>565.639704466895</v>
      </c>
      <c r="N5659" s="38" t="n">
        <f aca="false">Sens!$N$5637</f>
        <v>60.14</v>
      </c>
      <c r="O5659" s="38" t="n">
        <f aca="false">Sens!$O$5637</f>
        <v>68.585</v>
      </c>
    </row>
    <row r="5660" customFormat="false" ht="17.15" hidden="false" customHeight="false" outlineLevel="0" collapsed="false">
      <c r="A5660" s="0" t="s">
        <v>644</v>
      </c>
      <c r="B5660" s="0" t="s">
        <v>73</v>
      </c>
      <c r="C5660" s="38" t="n">
        <f aca="false">Sens!$C$5635</f>
        <v>2.32100535697364</v>
      </c>
      <c r="D5660" s="38" t="n">
        <f aca="false">Sens!$D$5635</f>
        <v>8.70377008865116</v>
      </c>
      <c r="E5660" s="38" t="n">
        <f aca="false">Sens!$E$5635</f>
        <v>8.51035297557002</v>
      </c>
      <c r="F5660" s="38" t="n">
        <f aca="false">Sens!$F$5635</f>
        <v>14.9634336447205</v>
      </c>
      <c r="G5660" s="38" t="n">
        <f aca="false">Sens!$G$5635</f>
        <v>23.4737866202905</v>
      </c>
      <c r="H5660" s="38" t="n">
        <f aca="false">Sens!$H$5635</f>
        <v>60.1658907497746</v>
      </c>
      <c r="I5660" s="38" t="n">
        <f aca="false">Sens!$I$5635</f>
        <v>101.503699136432</v>
      </c>
      <c r="J5660" s="38" t="n">
        <f aca="false">Sens!$J$5635</f>
        <v>143.025407151278</v>
      </c>
      <c r="K5660" s="38" t="n">
        <f aca="false">Sens!$K$5635</f>
        <v>184.608415042187</v>
      </c>
      <c r="L5660" s="38" t="n">
        <f aca="false">Sens!$L$5635</f>
        <v>226.219286513125</v>
      </c>
      <c r="M5660" s="38" t="n">
        <f aca="false">Sens!$M$5635</f>
        <v>267.845161450232</v>
      </c>
      <c r="N5660" s="38" t="n">
        <f aca="false">Sens!$N$5635</f>
        <v>3.04631953102791</v>
      </c>
      <c r="O5660" s="38" t="n">
        <f aca="false">Sens!$O$5635</f>
        <v>5.65745055762326</v>
      </c>
    </row>
    <row r="5661" customFormat="false" ht="17.15" hidden="false" customHeight="false" outlineLevel="0" collapsed="false">
      <c r="A5661" s="0" t="s">
        <v>646</v>
      </c>
      <c r="B5661" s="0" t="s">
        <v>73</v>
      </c>
      <c r="C5661" s="38" t="n">
        <f aca="false">Sens!$C$5636</f>
        <v>105.234994643026</v>
      </c>
      <c r="D5661" s="38" t="n">
        <f aca="false">Sens!$D$5636</f>
        <v>120.021229911349</v>
      </c>
      <c r="E5661" s="38" t="n">
        <f aca="false">Sens!$E$5636</f>
        <v>71.30864702443</v>
      </c>
      <c r="F5661" s="38" t="n">
        <f aca="false">Sens!$F$5636</f>
        <v>78.5950104186653</v>
      </c>
      <c r="G5661" s="38" t="n">
        <f aca="false">Sens!$G$5636</f>
        <v>149.903657443095</v>
      </c>
      <c r="H5661" s="38" t="n">
        <f aca="false">Sens!$H$5636</f>
        <v>180.893560768142</v>
      </c>
      <c r="I5661" s="38" t="n">
        <f aca="false">Sens!$I$5636</f>
        <v>210.64839721501</v>
      </c>
      <c r="J5661" s="38" t="n">
        <f aca="false">Sens!$J$5636</f>
        <v>236.398909446495</v>
      </c>
      <c r="K5661" s="38" t="n">
        <f aca="false">Sens!$K$5636</f>
        <v>255.310822202215</v>
      </c>
      <c r="L5661" s="38" t="n">
        <f aca="false">Sens!$L$5636</f>
        <v>275.735687978392</v>
      </c>
      <c r="M5661" s="38" t="n">
        <f aca="false">Sens!$M$5636</f>
        <v>297.794543016663</v>
      </c>
      <c r="N5661" s="38" t="n">
        <f aca="false">Sens!$N$5636</f>
        <v>57.0936804689721</v>
      </c>
      <c r="O5661" s="38" t="n">
        <f aca="false">Sens!$O$5636</f>
        <v>62.9275494423768</v>
      </c>
    </row>
    <row r="5662" customFormat="false" ht="15" hidden="false" customHeight="false" outlineLevel="0" collapsed="false">
      <c r="A5662" s="3" t="s">
        <v>477</v>
      </c>
      <c r="B5662" s="8" t="s">
        <v>73</v>
      </c>
      <c r="C5662" s="38" t="n">
        <f aca="false">Sens!$C$5638</f>
        <v>637.959</v>
      </c>
      <c r="D5662" s="38" t="n">
        <f aca="false">Sens!$D$5638</f>
        <v>716.924</v>
      </c>
      <c r="E5662" s="38" t="n">
        <f aca="false">Sens!$E$5638</f>
        <v>382.125</v>
      </c>
      <c r="F5662" s="38" t="n">
        <f aca="false">Sens!$F$5638</f>
        <v>450.494873271816</v>
      </c>
      <c r="G5662" s="38" t="n">
        <f aca="false">Sens!$G$5638</f>
        <v>832.619873271816</v>
      </c>
      <c r="H5662" s="38" t="n">
        <f aca="false">Sens!$H$5638</f>
        <v>970.995189139617</v>
      </c>
      <c r="I5662" s="38" t="n">
        <f aca="false">Sens!$I$5638</f>
        <v>1110.44766604932</v>
      </c>
      <c r="J5662" s="38" t="n">
        <f aca="false">Sens!$J$5638</f>
        <v>1241.16113892356</v>
      </c>
      <c r="K5662" s="38" t="n">
        <f aca="false">Sens!$K$5638</f>
        <v>1357.47672934633</v>
      </c>
      <c r="L5662" s="38" t="n">
        <f aca="false">Sens!$L$5638</f>
        <v>1479.24006423468</v>
      </c>
      <c r="M5662" s="38" t="n">
        <f aca="false">Sens!$M$5638</f>
        <v>1606.8537230104</v>
      </c>
      <c r="N5662" s="38" t="n">
        <f aca="false">Sens!$N$5638</f>
        <v>323.369</v>
      </c>
      <c r="O5662" s="38" t="n">
        <f aca="false">Sens!$O$5638</f>
        <v>393.555</v>
      </c>
    </row>
    <row r="5663" customFormat="false" ht="17.15" hidden="false" customHeight="false" outlineLevel="0" collapsed="false">
      <c r="A5663" s="24" t="s">
        <v>656</v>
      </c>
      <c r="B5663" s="25" t="s">
        <v>73</v>
      </c>
      <c r="C5663" s="39" t="n">
        <f aca="false">Sens!$C$5650+Sens!$C$5651+Sens!$C$5652+Sens!$C$5653+Sens!$C$5654+Sens!$C$5655-(Sens!$C$5657+Sens!$C$5658)</f>
        <v>0</v>
      </c>
      <c r="D5663" s="39" t="n">
        <f aca="false">Sens!$D$5650+Sens!$D$5651+Sens!$D$5652+Sens!$D$5653+Sens!$D$5654+Sens!$D$5655-(Sens!$D$5657+Sens!$D$5658)</f>
        <v>0</v>
      </c>
      <c r="E5663" s="39" t="n">
        <f aca="false">Sens!$E$5650+Sens!$E$5651+Sens!$E$5652+Sens!$E$5653+Sens!$E$5654+Sens!$E$5655-(Sens!$E$5657+Sens!$E$5658)</f>
        <v>0</v>
      </c>
      <c r="F5663" s="39" t="n">
        <f aca="false">Sens!$F$5650+Sens!$F$5651+Sens!$F$5652+Sens!$F$5653+Sens!$F$5654+Sens!$F$5655-(Sens!$F$5657+Sens!$F$5658)</f>
        <v>0</v>
      </c>
      <c r="G5663" s="39" t="n">
        <f aca="false">Sens!$G$5650+Sens!$G$5651+Sens!$G$5652+Sens!$G$5653+Sens!$G$5654+Sens!$G$5655-(Sens!$G$5657+Sens!$G$5658)</f>
        <v>0</v>
      </c>
      <c r="H5663" s="39" t="n">
        <f aca="false">Sens!$H$5650+Sens!$H$5651+Sens!$H$5652+Sens!$H$5653+Sens!$H$5654+Sens!$H$5655-(Sens!$H$5657+Sens!$H$5658)</f>
        <v>0</v>
      </c>
      <c r="I5663" s="39" t="n">
        <f aca="false">Sens!$I$5650+Sens!$I$5651+Sens!$I$5652+Sens!$I$5653+Sens!$I$5654+Sens!$I$5655-(Sens!$I$5657+Sens!$I$5658)</f>
        <v>0</v>
      </c>
      <c r="J5663" s="39" t="n">
        <f aca="false">Sens!$J$5650+Sens!$J$5651+Sens!$J$5652+Sens!$J$5653+Sens!$J$5654+Sens!$J$5655-(Sens!$J$5657+Sens!$J$5658)</f>
        <v>0</v>
      </c>
      <c r="K5663" s="39" t="n">
        <f aca="false">Sens!$K$5650+Sens!$K$5651+Sens!$K$5652+Sens!$K$5653+Sens!$K$5654+Sens!$K$5655-(Sens!$K$5657+Sens!$K$5658)</f>
        <v>0</v>
      </c>
      <c r="L5663" s="39" t="n">
        <f aca="false">Sens!$L$5650+Sens!$L$5651+Sens!$L$5652+Sens!$L$5653+Sens!$L$5654+Sens!$L$5655-(Sens!$L$5657+Sens!$L$5658)</f>
        <v>0</v>
      </c>
      <c r="M5663" s="39" t="n">
        <f aca="false">Sens!$M$5650+Sens!$M$5651+Sens!$M$5652+Sens!$M$5653+Sens!$M$5654+Sens!$M$5655-(Sens!$M$5657+Sens!$M$5658)</f>
        <v>0</v>
      </c>
      <c r="N5663" s="39" t="n">
        <f aca="false">Sens!$N$5650+Sens!$N$5651+Sens!$N$5652+Sens!$N$5653+Sens!$N$5654+Sens!$N$5655-(Sens!$N$5657+Sens!$N$5658)</f>
        <v>0</v>
      </c>
      <c r="O5663" s="39" t="n">
        <f aca="false">Sens!$O$5650+Sens!$O$5651+Sens!$O$5652+Sens!$O$5653+Sens!$O$5654+Sens!$O$5655-(Sens!$O$5657+Sens!$O$5658)</f>
        <v>0</v>
      </c>
    </row>
    <row r="5664" customFormat="false" ht="17.15" hidden="false" customHeight="false" outlineLevel="0" collapsed="false">
      <c r="A5664" s="24" t="s">
        <v>657</v>
      </c>
      <c r="B5664" s="25" t="s">
        <v>73</v>
      </c>
      <c r="C5664" s="39" t="n">
        <f aca="false">Sens!$C$5660+Sens!$C$5661-Sens!$C$5659</f>
        <v>0</v>
      </c>
      <c r="D5664" s="39" t="n">
        <f aca="false">Sens!$D$5660+Sens!$D$5661-Sens!$D$5659</f>
        <v>0</v>
      </c>
      <c r="E5664" s="39" t="n">
        <f aca="false">Sens!$E$5660+Sens!$E$5661-Sens!$E$5659</f>
        <v>0</v>
      </c>
      <c r="F5664" s="39" t="n">
        <f aca="false">Sens!$F$5660+Sens!$F$5661-Sens!$F$5659</f>
        <v>0</v>
      </c>
      <c r="G5664" s="39" t="n">
        <f aca="false">Sens!$G$5660+Sens!$G$5661-Sens!$G$5659</f>
        <v>0</v>
      </c>
      <c r="H5664" s="39" t="n">
        <f aca="false">Sens!$H$5660+Sens!$H$5661-Sens!$H$5659</f>
        <v>0</v>
      </c>
      <c r="I5664" s="39" t="n">
        <f aca="false">Sens!$I$5660+Sens!$I$5661-Sens!$I$5659</f>
        <v>0</v>
      </c>
      <c r="J5664" s="39" t="n">
        <f aca="false">Sens!$J$5660+Sens!$J$5661-Sens!$J$5659</f>
        <v>0</v>
      </c>
      <c r="K5664" s="39" t="n">
        <f aca="false">Sens!$K$5660+Sens!$K$5661-Sens!$K$5659</f>
        <v>0</v>
      </c>
      <c r="L5664" s="39" t="n">
        <f aca="false">Sens!$L$5660+Sens!$L$5661-Sens!$L$5659</f>
        <v>0</v>
      </c>
      <c r="M5664" s="39" t="n">
        <f aca="false">Sens!$M$5660+Sens!$M$5661-Sens!$M$5659</f>
        <v>0</v>
      </c>
      <c r="N5664" s="39" t="n">
        <f aca="false">Sens!$N$5660+Sens!$N$5661-Sens!$N$5659</f>
        <v>0</v>
      </c>
      <c r="O5664" s="39" t="n">
        <f aca="false">Sens!$O$5660+Sens!$O$5661-Sens!$O$5659</f>
        <v>0</v>
      </c>
    </row>
    <row r="5665" customFormat="false" ht="17.15" hidden="false" customHeight="false" outlineLevel="0" collapsed="false">
      <c r="A5665" s="24" t="s">
        <v>711</v>
      </c>
      <c r="B5665" s="25" t="s">
        <v>73</v>
      </c>
      <c r="C5665" s="39" t="n">
        <f aca="false">Sens!$C$5650+Sens!$C$5651+Sens!$C$5652+Sens!$C$5653+Sens!$C$5654+Sens!$C$5655+Sens!$C$5656-Sens!$C$5662</f>
        <v>0</v>
      </c>
      <c r="D5665" s="39" t="n">
        <f aca="false">Sens!$D$5650+Sens!$D$5651+Sens!$D$5652+Sens!$D$5653+Sens!$D$5654+Sens!$D$5655+Sens!$D$5656-Sens!$D$5662</f>
        <v>0</v>
      </c>
      <c r="E5665" s="39" t="n">
        <f aca="false">Sens!$E$5650+Sens!$E$5651+Sens!$E$5652+Sens!$E$5653+Sens!$E$5654+Sens!$E$5655+Sens!$E$5656-Sens!$E$5662</f>
        <v>0</v>
      </c>
      <c r="F5665" s="39" t="n">
        <f aca="false">Sens!$F$5650+Sens!$F$5651+Sens!$F$5652+Sens!$F$5653+Sens!$F$5654+Sens!$F$5655+Sens!$F$5656-Sens!$F$5662</f>
        <v>0</v>
      </c>
      <c r="G5665" s="39" t="n">
        <f aca="false">Sens!$G$5650+Sens!$G$5651+Sens!$G$5652+Sens!$G$5653+Sens!$G$5654+Sens!$G$5655+Sens!$G$5656-Sens!$G$5662</f>
        <v>0</v>
      </c>
      <c r="H5665" s="39" t="n">
        <f aca="false">Sens!$H$5650+Sens!$H$5651+Sens!$H$5652+Sens!$H$5653+Sens!$H$5654+Sens!$H$5655+Sens!$H$5656-Sens!$H$5662</f>
        <v>0</v>
      </c>
      <c r="I5665" s="39" t="n">
        <f aca="false">Sens!$I$5650+Sens!$I$5651+Sens!$I$5652+Sens!$I$5653+Sens!$I$5654+Sens!$I$5655+Sens!$I$5656-Sens!$I$5662</f>
        <v>0</v>
      </c>
      <c r="J5665" s="39" t="n">
        <f aca="false">Sens!$J$5650+Sens!$J$5651+Sens!$J$5652+Sens!$J$5653+Sens!$J$5654+Sens!$J$5655+Sens!$J$5656-Sens!$J$5662</f>
        <v>0</v>
      </c>
      <c r="K5665" s="39" t="n">
        <f aca="false">Sens!$K$5650+Sens!$K$5651+Sens!$K$5652+Sens!$K$5653+Sens!$K$5654+Sens!$K$5655+Sens!$K$5656-Sens!$K$5662</f>
        <v>0</v>
      </c>
      <c r="L5665" s="39" t="n">
        <f aca="false">Sens!$L$5650+Sens!$L$5651+Sens!$L$5652+Sens!$L$5653+Sens!$L$5654+Sens!$L$5655+Sens!$L$5656-Sens!$L$5662</f>
        <v>0</v>
      </c>
      <c r="M5665" s="39" t="n">
        <f aca="false">Sens!$M$5650+Sens!$M$5651+Sens!$M$5652+Sens!$M$5653+Sens!$M$5654+Sens!$M$5655+Sens!$M$5656-Sens!$M$5662</f>
        <v>0</v>
      </c>
      <c r="N5665" s="39" t="n">
        <f aca="false">Sens!$N$5650+Sens!$N$5651+Sens!$N$5652+Sens!$N$5653+Sens!$N$5654+Sens!$N$5655+Sens!$N$5656-Sens!$N$5662</f>
        <v>0</v>
      </c>
      <c r="O5665" s="39" t="n">
        <f aca="false">Sens!$O$5650+Sens!$O$5651+Sens!$O$5652+Sens!$O$5653+Sens!$O$5654+Sens!$O$5655+Sens!$O$5656-Sens!$O$5662</f>
        <v>0</v>
      </c>
    </row>
    <row r="5666" customFormat="false" ht="17.15" hidden="false" customHeight="false" outlineLevel="0" collapsed="false">
      <c r="A5666" s="24" t="s">
        <v>658</v>
      </c>
      <c r="B5666" s="25" t="s">
        <v>73</v>
      </c>
      <c r="C5666" s="39" t="n">
        <f aca="false">Sens!$C$5657+Sens!$C$5658+Sens!$C$5659-Sens!$C$5662</f>
        <v>0</v>
      </c>
      <c r="D5666" s="39" t="n">
        <f aca="false">Sens!$D$5657+Sens!$D$5658+Sens!$D$5659-Sens!$D$5662</f>
        <v>0</v>
      </c>
      <c r="E5666" s="39" t="n">
        <f aca="false">Sens!$E$5657+Sens!$E$5658+Sens!$E$5659-Sens!$E$5662</f>
        <v>0</v>
      </c>
      <c r="F5666" s="39" t="n">
        <f aca="false">Sens!$F$5657+Sens!$F$5658+Sens!$F$5659-Sens!$F$5662</f>
        <v>0</v>
      </c>
      <c r="G5666" s="39" t="n">
        <f aca="false">Sens!$G$5657+Sens!$G$5658+Sens!$G$5659-Sens!$G$5662</f>
        <v>0</v>
      </c>
      <c r="H5666" s="39" t="n">
        <f aca="false">Sens!$H$5657+Sens!$H$5658+Sens!$H$5659-Sens!$H$5662</f>
        <v>0</v>
      </c>
      <c r="I5666" s="39" t="n">
        <f aca="false">Sens!$I$5657+Sens!$I$5658+Sens!$I$5659-Sens!$I$5662</f>
        <v>0</v>
      </c>
      <c r="J5666" s="39" t="n">
        <f aca="false">Sens!$J$5657+Sens!$J$5658+Sens!$J$5659-Sens!$J$5662</f>
        <v>0</v>
      </c>
      <c r="K5666" s="39" t="n">
        <f aca="false">Sens!$K$5657+Sens!$K$5658+Sens!$K$5659-Sens!$K$5662</f>
        <v>0</v>
      </c>
      <c r="L5666" s="39" t="n">
        <f aca="false">Sens!$L$5657+Sens!$L$5658+Sens!$L$5659-Sens!$L$5662</f>
        <v>0</v>
      </c>
      <c r="M5666" s="39" t="n">
        <f aca="false">Sens!$M$5657+Sens!$M$5658+Sens!$M$5659-Sens!$M$5662</f>
        <v>0</v>
      </c>
      <c r="N5666" s="39" t="n">
        <f aca="false">Sens!$N$5657+Sens!$N$5658+Sens!$N$5659-Sens!$N$5662</f>
        <v>0</v>
      </c>
      <c r="O5666" s="39" t="n">
        <f aca="false">Sens!$O$5657+Sens!$O$5658+Sens!$O$5659-Sens!$O$5662</f>
        <v>0</v>
      </c>
    </row>
    <row r="5667" customFormat="false" ht="17.15" hidden="false" customHeight="false" outlineLevel="0" collapsed="false">
      <c r="A5667" s="1" t="s">
        <v>672</v>
      </c>
    </row>
    <row r="5668" customFormat="false" ht="17.15" hidden="false" customHeight="false" outlineLevel="0" collapsed="false">
      <c r="A5668" s="0" t="s">
        <v>673</v>
      </c>
      <c r="B5668" s="0" t="s">
        <v>73</v>
      </c>
      <c r="C5668" s="38" t="n">
        <f aca="false">Sens!$C$5575*m_ad</f>
        <v>20.5341564414228</v>
      </c>
      <c r="D5668" s="38" t="n">
        <f aca="false">Sens!$D$5575*m_ad</f>
        <v>24.8720617299587</v>
      </c>
      <c r="E5668" s="38" t="n">
        <f aca="false">Sens!$E$5575*m_ad</f>
        <v>13.5017112462207</v>
      </c>
      <c r="F5668" s="38" t="n">
        <f aca="false">Sens!$F$5575*m_ad</f>
        <v>17.2886442824599</v>
      </c>
      <c r="G5668" s="38" t="n">
        <f aca="false">Sens!$G$5575*m_ad</f>
        <v>30.8011958765886</v>
      </c>
      <c r="H5668" s="38" t="n">
        <f aca="false">Sens!$H$5575*m_ad</f>
        <v>36.978409366026</v>
      </c>
      <c r="I5668" s="38" t="n">
        <f aca="false">Sens!$I$5575*m_ad</f>
        <v>43.155063281273</v>
      </c>
      <c r="J5668" s="38" t="n">
        <f aca="false">Sens!$J$5575*m_ad</f>
        <v>48.9169991988532</v>
      </c>
      <c r="K5668" s="38" t="n">
        <f aca="false">Sens!$K$5575*m_ad</f>
        <v>53.8086991187386</v>
      </c>
      <c r="L5668" s="38" t="n">
        <f aca="false">Sens!$L$5575*m_ad</f>
        <v>59.1895690306124</v>
      </c>
      <c r="M5668" s="38" t="n">
        <f aca="false">Sens!$M$5575*m_ad</f>
        <v>65.1085259336737</v>
      </c>
      <c r="N5668" s="38" t="n">
        <f aca="false">Sens!$N$5575*m_ad</f>
        <v>10.8543555706248</v>
      </c>
      <c r="O5668" s="38" t="n">
        <f aca="false">Sens!$O$5575*m_ad</f>
        <v>14.0094731821399</v>
      </c>
    </row>
    <row r="5669" customFormat="false" ht="17.15" hidden="false" customHeight="false" outlineLevel="0" collapsed="false">
      <c r="A5669" s="0" t="s">
        <v>674</v>
      </c>
      <c r="B5669" s="0" t="s">
        <v>73</v>
      </c>
      <c r="C5669" s="38" t="n">
        <f aca="false">Sens!$C$5573-Sens!$C$5575</f>
        <v>346.428687117154</v>
      </c>
      <c r="D5669" s="38" t="n">
        <f aca="false">Sens!$D$5573-Sens!$D$5575</f>
        <v>376.560876540083</v>
      </c>
      <c r="E5669" s="38" t="n">
        <f aca="false">Sens!$E$5573-Sens!$E$5575</f>
        <v>193.316577507559</v>
      </c>
      <c r="F5669" s="38" t="n">
        <f aca="false">Sens!$F$5573-Sens!$F$5575</f>
        <v>221.726726438887</v>
      </c>
      <c r="G5669" s="38" t="n">
        <f aca="false">Sens!$G$5573-Sens!$G$5575</f>
        <v>415.02162325063</v>
      </c>
      <c r="H5669" s="38" t="n">
        <f aca="false">Sens!$H$5573-Sens!$H$5575</f>
        <v>453.777572359491</v>
      </c>
      <c r="I5669" s="38" t="n">
        <f aca="false">Sens!$I$5573-Sens!$I$5575</f>
        <v>490.847566467031</v>
      </c>
      <c r="J5669" s="38" t="n">
        <f aca="false">Sens!$J$5573-Sens!$J$5575</f>
        <v>525.190925266121</v>
      </c>
      <c r="K5669" s="38" t="n">
        <f aca="false">Sens!$K$5573-Sens!$K$5575</f>
        <v>555.765170156304</v>
      </c>
      <c r="L5669" s="38" t="n">
        <f aca="false">Sens!$L$5573-Sens!$L$5575</f>
        <v>588.185734949207</v>
      </c>
      <c r="M5669" s="38" t="n">
        <f aca="false">Sens!$M$5573-Sens!$M$5575</f>
        <v>622.567635538672</v>
      </c>
      <c r="N5669" s="38" t="n">
        <f aca="false">Sens!$N$5573-Sens!$N$5575</f>
        <v>171.24628885875</v>
      </c>
      <c r="O5669" s="38" t="n">
        <f aca="false">Sens!$O$5573-Sens!$O$5575</f>
        <v>205.33105363572</v>
      </c>
    </row>
    <row r="5670" customFormat="false" ht="17.15" hidden="false" customHeight="false" outlineLevel="0" collapsed="false">
      <c r="A5670" s="0" t="s">
        <v>675</v>
      </c>
      <c r="B5670" s="0" t="s">
        <v>73</v>
      </c>
      <c r="C5670" s="38" t="n">
        <f aca="false">Sens!$C$5621*Sens!$C$5572</f>
        <v>0.123617442257179</v>
      </c>
      <c r="D5670" s="38" t="n">
        <f aca="false">Sens!$D$5621*Sens!$D$5572</f>
        <v>0.874366899302609</v>
      </c>
      <c r="E5670" s="38" t="n">
        <f aca="false">Sens!$E$5621*Sens!$E$5572</f>
        <v>1.29318830502574</v>
      </c>
      <c r="F5670" s="38" t="n">
        <f aca="false">Sens!$F$5621*Sens!$F$5572</f>
        <v>1.51802024162534</v>
      </c>
      <c r="G5670" s="38" t="n">
        <f aca="false">Sens!$G$5621*Sens!$G$5572</f>
        <v>2.81130189308167</v>
      </c>
      <c r="H5670" s="38" t="n">
        <f aca="false">Sens!$H$5621*Sens!$H$5572</f>
        <v>7.38966789318209</v>
      </c>
      <c r="I5670" s="38" t="n">
        <f aca="false">Sens!$I$5621*Sens!$I$5572</f>
        <v>12.8987443661473</v>
      </c>
      <c r="J5670" s="38" t="n">
        <f aca="false">Sens!$J$5621*Sens!$J$5572</f>
        <v>18.5570025453645</v>
      </c>
      <c r="K5670" s="38" t="n">
        <f aca="false">Sens!$K$5621*Sens!$K$5572</f>
        <v>24.3158972773405</v>
      </c>
      <c r="L5670" s="38" t="n">
        <f aca="false">Sens!$L$5621*Sens!$L$5572</f>
        <v>29.7827375558674</v>
      </c>
      <c r="M5670" s="38" t="n">
        <f aca="false">Sens!$M$5621*Sens!$M$5572</f>
        <v>35.3532344973194</v>
      </c>
      <c r="N5670" s="38" t="n">
        <f aca="false">Sens!$N$5621*Sens!$N$5572</f>
        <v>0.389180508437431</v>
      </c>
      <c r="O5670" s="38" t="n">
        <f aca="false">Sens!$O$5621*Sens!$O$5572</f>
        <v>0.485052120082802</v>
      </c>
    </row>
    <row r="5671" customFormat="false" ht="17.15" hidden="false" customHeight="false" outlineLevel="0" collapsed="false">
      <c r="A5671" s="0" t="s">
        <v>676</v>
      </c>
      <c r="B5671" s="0" t="s">
        <v>52</v>
      </c>
      <c r="C5671" s="28" t="n">
        <f aca="false">(Sens!$C$5672-Sens!$C$5668+Sens!$C$5670)/Sens!$C$5669</f>
        <v>0.0131526665379575</v>
      </c>
      <c r="D5671" s="28" t="n">
        <f aca="false">(Sens!$D$5672-Sens!$D$5668+Sens!$D$5670)/Sens!$D$5669</f>
        <v>0.0149280116962589</v>
      </c>
      <c r="E5671" s="28" t="n">
        <f aca="false">(Sens!$E$5672-Sens!$E$5668+Sens!$E$5670)/Sens!$E$5669</f>
        <v>0.0268030663774938</v>
      </c>
      <c r="F5671" s="28" t="n">
        <f aca="false">Sens!$O$5671+(Sens!$E$5671-Sens!$N$5671)</f>
        <v>0.0232379346966962</v>
      </c>
      <c r="G5671" s="28" t="n">
        <f aca="false">(Sens!$G$5672-Sens!$G$5668+Sens!$G$5670)/Sens!$G$5669</f>
        <v>0.0248738876928168</v>
      </c>
      <c r="H5671" s="28" t="n">
        <f aca="false">Sens!$G$5671+step_na</f>
        <v>0.0278738876928168</v>
      </c>
      <c r="I5671" s="28" t="n">
        <f aca="false">Sens!$H$5671+step_na</f>
        <v>0.0308738876928168</v>
      </c>
      <c r="J5671" s="28" t="n">
        <f aca="false">Sens!$I$5671+step_na</f>
        <v>0.0338738876928168</v>
      </c>
      <c r="K5671" s="28" t="n">
        <f aca="false">Sens!$J$5671+step_na</f>
        <v>0.0368738876928168</v>
      </c>
      <c r="L5671" s="28" t="n">
        <f aca="false">Sens!$K$5671</f>
        <v>0.0368738876928168</v>
      </c>
      <c r="M5671" s="28" t="n">
        <f aca="false">Sens!$L$5671</f>
        <v>0.0368738876928168</v>
      </c>
      <c r="N5671" s="28" t="n">
        <f aca="false">(Sens!$N$5672-Sens!$N$5668+Sens!$N$5670)/Sens!$N$5669</f>
        <v>0.0168927744775755</v>
      </c>
      <c r="O5671" s="28" t="n">
        <f aca="false">(Sens!$O$5672-Sens!$O$5668+Sens!$O$5670)/Sens!$O$5669</f>
        <v>0.0133276427967779</v>
      </c>
      <c r="P5671" s="8" t="s">
        <v>677</v>
      </c>
    </row>
    <row r="5672" customFormat="false" ht="17.15" hidden="false" customHeight="false" outlineLevel="0" collapsed="false">
      <c r="A5672" s="1" t="s">
        <v>678</v>
      </c>
      <c r="B5672" s="8" t="s">
        <v>73</v>
      </c>
      <c r="C5672" s="38" t="n">
        <f aca="false">Q!$D$22</f>
        <v>24.967</v>
      </c>
      <c r="D5672" s="38" t="n">
        <f aca="false">Q!$E$22</f>
        <v>29.619</v>
      </c>
      <c r="E5672" s="38" t="n">
        <f aca="false">Q!$P$22</f>
        <v>17.39</v>
      </c>
      <c r="F5672" s="38" t="n">
        <f aca="false">Sens!$F$5668+Sens!$F$5669*Sens!$F$5671-Sens!$F$5670</f>
        <v>20.9230952303336</v>
      </c>
      <c r="G5672" s="38" t="n">
        <f aca="false">Sens!$E$5672+Sens!$F$5672</f>
        <v>38.3130952303336</v>
      </c>
      <c r="H5672" s="38" t="n">
        <f aca="false">Sens!$H$5668+Sens!$H$5669*Sens!$H$5671-Sens!$H$5670</f>
        <v>42.2372865623114</v>
      </c>
      <c r="I5672" s="38" t="n">
        <f aca="false">Sens!$I$5668+Sens!$I$5669*Sens!$I$5671-Sens!$I$5670</f>
        <v>45.4106915565213</v>
      </c>
      <c r="J5672" s="38" t="n">
        <f aca="false">Sens!$J$5668+Sens!$J$5669*Sens!$J$5671-Sens!$J$5670</f>
        <v>48.1502550732398</v>
      </c>
      <c r="K5672" s="38" t="n">
        <f aca="false">Sens!$K$5668+Sens!$K$5669*Sens!$K$5671-Sens!$K$5670</f>
        <v>49.9860243093208</v>
      </c>
      <c r="L5672" s="38" t="n">
        <f aca="false">Sens!$L$5668+Sens!$L$5669*Sens!$L$5671-Sens!$L$5670</f>
        <v>51.095526207779</v>
      </c>
      <c r="M5672" s="38" t="n">
        <f aca="false">Sens!$M$5668+Sens!$M$5669*Sens!$M$5671-Sens!$M$5670</f>
        <v>52.7117805103898</v>
      </c>
      <c r="N5672" s="38" t="n">
        <f aca="false">Q!$N$22</f>
        <v>13.358</v>
      </c>
      <c r="O5672" s="38" t="n">
        <f aca="false">Q!$O$22</f>
        <v>16.261</v>
      </c>
    </row>
    <row r="5673" customFormat="false" ht="17.15" hidden="false" customHeight="false" outlineLevel="0" collapsed="false">
      <c r="A5673" s="0" t="s">
        <v>679</v>
      </c>
      <c r="B5673" s="0" t="s">
        <v>73</v>
      </c>
      <c r="C5673" s="38" t="n">
        <f aca="false">Sens!$C$5576*m_ad</f>
        <v>7.57284355857716</v>
      </c>
      <c r="D5673" s="38" t="n">
        <f aca="false">Sens!$D$5576*m_ad</f>
        <v>9.44543827004127</v>
      </c>
      <c r="E5673" s="38" t="n">
        <f aca="false">Sens!$E$5576*m_ad</f>
        <v>5.02428875377928</v>
      </c>
      <c r="F5673" s="38" t="n">
        <f aca="false">Sens!$F$5576*m_ad</f>
        <v>6.78802480890925</v>
      </c>
      <c r="G5673" s="38" t="n">
        <f aca="false">Sens!$G$5576*m_ad</f>
        <v>11.8014732147805</v>
      </c>
      <c r="H5673" s="38" t="n">
        <f aca="false">Sens!$H$5576*m_ad</f>
        <v>14.1682715634442</v>
      </c>
      <c r="I5673" s="38" t="n">
        <f aca="false">Sens!$I$5576*m_ad</f>
        <v>16.5348555113474</v>
      </c>
      <c r="J5673" s="38" t="n">
        <f aca="false">Sens!$J$5576*m_ad</f>
        <v>18.7425403255689</v>
      </c>
      <c r="K5673" s="38" t="n">
        <f aca="false">Sens!$K$5576*m_ad</f>
        <v>20.6167943581258</v>
      </c>
      <c r="L5673" s="38" t="n">
        <f aca="false">Sens!$L$5576*m_ad</f>
        <v>22.6784737939383</v>
      </c>
      <c r="M5673" s="38" t="n">
        <f aca="false">Sens!$M$5576*m_ad</f>
        <v>24.9463211733322</v>
      </c>
      <c r="N5673" s="38" t="n">
        <f aca="false">Sens!$N$5576*m_ad</f>
        <v>3.95314442937518</v>
      </c>
      <c r="O5673" s="38" t="n">
        <f aca="false">Sens!$O$5576*m_ad</f>
        <v>5.50052681786011</v>
      </c>
    </row>
    <row r="5674" customFormat="false" ht="17.15" hidden="false" customHeight="false" outlineLevel="0" collapsed="false">
      <c r="A5674" s="0" t="s">
        <v>680</v>
      </c>
      <c r="B5674" s="0" t="s">
        <v>73</v>
      </c>
      <c r="C5674" s="38" t="n">
        <f aca="false">Sens!$C$5574-Sens!$C$5576</f>
        <v>127.760312882846</v>
      </c>
      <c r="D5674" s="38" t="n">
        <f aca="false">Sens!$D$5574-Sens!$D$5576</f>
        <v>143.003123459917</v>
      </c>
      <c r="E5674" s="38" t="n">
        <f aca="false">Sens!$E$5574-Sens!$E$5576</f>
        <v>71.9374224924414</v>
      </c>
      <c r="F5674" s="38" t="n">
        <f aca="false">Sens!$F$5574-Sens!$F$5576</f>
        <v>87.0563645868046</v>
      </c>
      <c r="G5674" s="38" t="n">
        <f aca="false">Sens!$G$5574-Sens!$G$5576</f>
        <v>159.015467775062</v>
      </c>
      <c r="H5674" s="38" t="n">
        <f aca="false">Sens!$H$5574-Sens!$H$5576</f>
        <v>173.864803403269</v>
      </c>
      <c r="I5674" s="38" t="n">
        <f aca="false">Sens!$I$5574-Sens!$I$5576</f>
        <v>188.068165645601</v>
      </c>
      <c r="J5674" s="38" t="n">
        <f aca="false">Sens!$J$5574-Sens!$J$5576</f>
        <v>201.22681801082</v>
      </c>
      <c r="K5674" s="38" t="n">
        <f aca="false">Sens!$K$5574-Sens!$K$5576</f>
        <v>212.941334991893</v>
      </c>
      <c r="L5674" s="38" t="n">
        <f aca="false">Sens!$L$5574-Sens!$L$5576</f>
        <v>225.363269144856</v>
      </c>
      <c r="M5674" s="38" t="n">
        <f aca="false">Sens!$M$5574-Sens!$M$5576</f>
        <v>238.536688790819</v>
      </c>
      <c r="N5674" s="38" t="n">
        <f aca="false">Sens!$N$5574-Sens!$N$5576</f>
        <v>62.3677111412496</v>
      </c>
      <c r="O5674" s="38" t="n">
        <f aca="false">Sens!$O$5574-Sens!$O$5576</f>
        <v>80.6189463642798</v>
      </c>
    </row>
    <row r="5675" customFormat="false" ht="17.15" hidden="false" customHeight="false" outlineLevel="0" collapsed="false">
      <c r="A5675" s="0" t="s">
        <v>681</v>
      </c>
      <c r="B5675" s="0" t="s">
        <v>73</v>
      </c>
      <c r="C5675" s="38" t="n">
        <f aca="false">Sens!$C$5621*(1-Sens!$C$5572)</f>
        <v>0.0455891896019953</v>
      </c>
      <c r="D5675" s="38" t="n">
        <f aca="false">Sens!$D$5621*(1-Sens!$D$5572)</f>
        <v>0.332050421167231</v>
      </c>
      <c r="E5675" s="38" t="n">
        <f aca="false">Sens!$E$5621*(1-Sens!$E$5572)</f>
        <v>0.481224293644882</v>
      </c>
      <c r="F5675" s="38" t="n">
        <f aca="false">Sens!$F$5621*(1-Sens!$F$5572)</f>
        <v>0.596018918096053</v>
      </c>
      <c r="G5675" s="38" t="n">
        <f aca="false">Sens!$G$5621*(1-Sens!$G$5572)</f>
        <v>1.07714986531035</v>
      </c>
      <c r="H5675" s="38" t="n">
        <f aca="false">Sens!$H$5621*(1-Sens!$H$5572)</f>
        <v>2.83135005721638</v>
      </c>
      <c r="I5675" s="38" t="n">
        <f aca="false">Sens!$I$5621*(1-Sens!$I$5572)</f>
        <v>4.9421518161602</v>
      </c>
      <c r="J5675" s="38" t="n">
        <f aca="false">Sens!$J$5621*(1-Sens!$J$5572)</f>
        <v>7.11011252170866</v>
      </c>
      <c r="K5675" s="38" t="n">
        <f aca="false">Sens!$K$5621*(1-Sens!$K$5572)</f>
        <v>9.31663210615807</v>
      </c>
      <c r="L5675" s="38" t="n">
        <f aca="false">Sens!$L$5621*(1-Sens!$L$5572)</f>
        <v>11.411251074039</v>
      </c>
      <c r="M5675" s="38" t="n">
        <f aca="false">Sens!$M$5621*(1-Sens!$M$5572)</f>
        <v>13.5455860755423</v>
      </c>
      <c r="N5675" s="38" t="n">
        <f aca="false">Sens!$N$5621*(1-Sens!$N$5572)</f>
        <v>0.141739115596548</v>
      </c>
      <c r="O5675" s="38" t="n">
        <f aca="false">Sens!$O$5621*(1-Sens!$O$5572)</f>
        <v>0.190445576353059</v>
      </c>
    </row>
    <row r="5676" customFormat="false" ht="17.15" hidden="false" customHeight="false" outlineLevel="0" collapsed="false">
      <c r="A5676" s="0" t="s">
        <v>682</v>
      </c>
      <c r="B5676" s="0" t="s">
        <v>52</v>
      </c>
      <c r="C5676" s="28" t="n">
        <f aca="false">(Sens!$C$5677-Sens!$C$5673+Sens!$C$5675)/Sens!$C$5674</f>
        <v>-0.0292364215826579</v>
      </c>
      <c r="D5676" s="28" t="n">
        <f aca="false">(Sens!$D$5677-Sens!$D$5673+Sens!$D$5675)/Sens!$D$5674</f>
        <v>-0.0305125352740778</v>
      </c>
      <c r="E5676" s="28" t="n">
        <f aca="false">(Sens!$E$5677-Sens!$E$5673+Sens!$E$5675)/Sens!$E$5674</f>
        <v>-0.019490056934994</v>
      </c>
      <c r="F5676" s="28" t="n">
        <f aca="false">Sens!$O$5676+(Sens!$E$5676-Sens!$N$5676)</f>
        <v>-0.0367332293992226</v>
      </c>
      <c r="G5676" s="28" t="n">
        <f aca="false">(Sens!$G$5677-Sens!$G$5673+Sens!$G$5675)/Sens!$G$5674</f>
        <v>-0.0288599526442178</v>
      </c>
      <c r="H5676" s="28" t="n">
        <f aca="false">Sens!$G$5676+step_in</f>
        <v>-0.0288599526442178</v>
      </c>
      <c r="I5676" s="28" t="n">
        <f aca="false">Sens!$H$5676+step_in</f>
        <v>-0.0288599526442178</v>
      </c>
      <c r="J5676" s="28" t="n">
        <f aca="false">Sens!$I$5676+step_in</f>
        <v>-0.0288599526442178</v>
      </c>
      <c r="K5676" s="28" t="n">
        <f aca="false">Sens!$J$5676+step_in</f>
        <v>-0.0288599526442178</v>
      </c>
      <c r="L5676" s="28" t="n">
        <f aca="false">Sens!$K$5676</f>
        <v>-0.0288599526442178</v>
      </c>
      <c r="M5676" s="28" t="n">
        <f aca="false">Sens!$L$5676</f>
        <v>-0.0288599526442178</v>
      </c>
      <c r="N5676" s="28" t="n">
        <f aca="false">(Sens!$N$5677-Sens!$N$5673+Sens!$N$5675)/Sens!$N$5674</f>
        <v>-0.02085061789158</v>
      </c>
      <c r="O5676" s="28" t="n">
        <f aca="false">(Sens!$O$5677-Sens!$O$5673+Sens!$O$5675)/Sens!$O$5674</f>
        <v>-0.0380937903558086</v>
      </c>
      <c r="P5676" s="8" t="s">
        <v>677</v>
      </c>
    </row>
    <row r="5677" customFormat="false" ht="17.15" hidden="false" customHeight="false" outlineLevel="0" collapsed="false">
      <c r="A5677" s="1" t="s">
        <v>683</v>
      </c>
      <c r="B5677" s="8" t="s">
        <v>73</v>
      </c>
      <c r="C5677" s="38" t="n">
        <f aca="false">Q!$D$23</f>
        <v>3.792</v>
      </c>
      <c r="D5677" s="38" t="n">
        <f aca="false">Q!$E$23</f>
        <v>4.75</v>
      </c>
      <c r="E5677" s="38" t="n">
        <f aca="false">Q!$P$23</f>
        <v>3.141</v>
      </c>
      <c r="F5677" s="38" t="n">
        <f aca="false">Sens!$F$5673+Sens!$F$5674*Sens!$F$5676-Sens!$F$5675</f>
        <v>2.99414447978375</v>
      </c>
      <c r="G5677" s="38" t="n">
        <f aca="false">Sens!$E$5677+Sens!$F$5677</f>
        <v>6.13514447978375</v>
      </c>
      <c r="H5677" s="38" t="n">
        <f aca="false">Sens!$H$5673+Sens!$H$5674*Sens!$H$5676-Sens!$H$5675</f>
        <v>6.31919151351322</v>
      </c>
      <c r="I5677" s="38" t="n">
        <f aca="false">Sens!$I$5673+Sens!$I$5674*Sens!$I$5676-Sens!$I$5675</f>
        <v>6.16506534077027</v>
      </c>
      <c r="J5677" s="38" t="n">
        <f aca="false">Sens!$J$5673+Sens!$J$5674*Sens!$J$5676-Sens!$J$5675</f>
        <v>5.8250313653213</v>
      </c>
      <c r="K5677" s="38" t="n">
        <f aca="false">Sens!$K$5673+Sens!$K$5674*Sens!$K$5676-Sens!$K$5675</f>
        <v>5.15468540810514</v>
      </c>
      <c r="L5677" s="38" t="n">
        <f aca="false">Sens!$L$5673+Sens!$L$5674*Sens!$L$5676-Sens!$L$5675</f>
        <v>4.76324944463266</v>
      </c>
      <c r="M5677" s="38" t="n">
        <f aca="false">Sens!$M$5673+Sens!$M$5674*Sens!$M$5676-Sens!$M$5675</f>
        <v>4.51657755537829</v>
      </c>
      <c r="N5677" s="38" t="n">
        <f aca="false">Q!$N$23</f>
        <v>2.511</v>
      </c>
      <c r="O5677" s="38" t="n">
        <f aca="false">Q!$O$23</f>
        <v>2.239</v>
      </c>
    </row>
    <row r="5678" customFormat="false" ht="17.15" hidden="false" customHeight="false" outlineLevel="0" collapsed="false">
      <c r="A5678" s="0" t="s">
        <v>684</v>
      </c>
      <c r="B5678" s="0" t="s">
        <v>73</v>
      </c>
      <c r="C5678" s="38" t="n">
        <f aca="false">Sens!$C$5618</f>
        <v>1.64417882953695</v>
      </c>
      <c r="D5678" s="38" t="n">
        <f aca="false">Sens!$D$5618</f>
        <v>3.8781008067718</v>
      </c>
      <c r="E5678" s="38" t="n">
        <f aca="false">Sens!$E$5618</f>
        <v>1.41270258088753</v>
      </c>
      <c r="F5678" s="38" t="n">
        <f aca="false">Sens!$F$5618</f>
        <v>6.50727700583486</v>
      </c>
      <c r="G5678" s="38" t="n">
        <f aca="false">Sens!$G$5618</f>
        <v>7.9199795867224</v>
      </c>
      <c r="H5678" s="38" t="n">
        <f aca="false">Sens!$H$5618</f>
        <v>19.2818189481807</v>
      </c>
      <c r="I5678" s="38" t="n">
        <f aca="false">Sens!$I$5618</f>
        <v>30.140114407202</v>
      </c>
      <c r="J5678" s="38" t="n">
        <f aca="false">Sens!$J$5618</f>
        <v>40.3569468829854</v>
      </c>
      <c r="K5678" s="38" t="n">
        <f aca="false">Sens!$K$5618</f>
        <v>50.0782975081929</v>
      </c>
      <c r="L5678" s="38" t="n">
        <f aca="false">Sens!$L$5618</f>
        <v>61.443331993499</v>
      </c>
      <c r="M5678" s="38" t="n">
        <f aca="false">Sens!$M$5618</f>
        <v>72.2498791587849</v>
      </c>
      <c r="N5678" s="38" t="n">
        <f aca="false">Sens!$N$5618</f>
        <v>0.92264103489199</v>
      </c>
      <c r="O5678" s="38" t="n">
        <f aca="false">Sens!$O$5618</f>
        <v>2.95545977187981</v>
      </c>
    </row>
    <row r="5679" customFormat="false" ht="17.15" hidden="false" customHeight="false" outlineLevel="0" collapsed="false">
      <c r="A5679" s="0" t="s">
        <v>604</v>
      </c>
      <c r="B5679" s="0" t="s">
        <v>73</v>
      </c>
      <c r="C5679" s="38" t="n">
        <f aca="false">Sens!$C$5623</f>
        <v>38.1898211704631</v>
      </c>
      <c r="D5679" s="38" t="n">
        <f aca="false">Sens!$D$5623</f>
        <v>41.7278991932282</v>
      </c>
      <c r="E5679" s="38" t="n">
        <f aca="false">Sens!$E$5623</f>
        <v>29.3692974191125</v>
      </c>
      <c r="F5679" s="38" t="n">
        <f aca="false">Sens!$F$5623</f>
        <v>29.458060516894</v>
      </c>
      <c r="G5679" s="38" t="n">
        <f aca="false">Sens!$G$5623</f>
        <v>58.8273579360065</v>
      </c>
      <c r="H5679" s="38" t="n">
        <f aca="false">Sens!$H$5623</f>
        <v>67.8004040185081</v>
      </c>
      <c r="I5679" s="38" t="n">
        <f aca="false">Sens!$I$5623</f>
        <v>78.9527630302702</v>
      </c>
      <c r="J5679" s="38" t="n">
        <f aca="false">Sens!$J$5623</f>
        <v>88.6042681781841</v>
      </c>
      <c r="K5679" s="38" t="n">
        <f aca="false">Sens!$K$5623</f>
        <v>95.6926096324389</v>
      </c>
      <c r="L5679" s="38" t="n">
        <f aca="false">Sens!$L$5623</f>
        <v>103.348018403034</v>
      </c>
      <c r="M5679" s="38" t="n">
        <f aca="false">Sens!$M$5623</f>
        <v>111.615859875277</v>
      </c>
      <c r="N5679" s="38" t="n">
        <f aca="false">Sens!$N$5623</f>
        <v>20.784358965108</v>
      </c>
      <c r="O5679" s="38" t="n">
        <f aca="false">Sens!$O$5623</f>
        <v>20.9435402281202</v>
      </c>
    </row>
    <row r="5680" customFormat="false" ht="17.15" hidden="false" customHeight="false" outlineLevel="0" collapsed="false">
      <c r="A5680" s="1" t="s">
        <v>685</v>
      </c>
      <c r="B5680" s="8" t="s">
        <v>73</v>
      </c>
      <c r="C5680" s="38" t="n">
        <f aca="false">Q!$D$24</f>
        <v>39.834</v>
      </c>
      <c r="D5680" s="38" t="n">
        <f aca="false">Q!$E$24</f>
        <v>45.606</v>
      </c>
      <c r="E5680" s="38" t="n">
        <f aca="false">Q!$P$24</f>
        <v>30.782</v>
      </c>
      <c r="F5680" s="38" t="n">
        <f aca="false">Sens!$F$5678+Sens!$F$5679</f>
        <v>35.9653375227289</v>
      </c>
      <c r="G5680" s="38" t="n">
        <f aca="false">Sens!$G$5678+Sens!$G$5679</f>
        <v>66.7473375227289</v>
      </c>
      <c r="H5680" s="38" t="n">
        <f aca="false">Sens!$H$5678+Sens!$H$5679</f>
        <v>87.0822229666888</v>
      </c>
      <c r="I5680" s="38" t="n">
        <f aca="false">Sens!$I$5678+Sens!$I$5679</f>
        <v>109.092877437472</v>
      </c>
      <c r="J5680" s="38" t="n">
        <f aca="false">Sens!$J$5678+Sens!$J$5679</f>
        <v>128.96121506117</v>
      </c>
      <c r="K5680" s="38" t="n">
        <f aca="false">Sens!$K$5678+Sens!$K$5679</f>
        <v>145.770907140632</v>
      </c>
      <c r="L5680" s="38" t="n">
        <f aca="false">Sens!$L$5678+Sens!$L$5679</f>
        <v>164.791350396533</v>
      </c>
      <c r="M5680" s="38" t="n">
        <f aca="false">Sens!$M$5678+Sens!$M$5679</f>
        <v>183.865739034062</v>
      </c>
      <c r="N5680" s="38" t="n">
        <f aca="false">Q!$N$24</f>
        <v>21.707</v>
      </c>
      <c r="O5680" s="38" t="n">
        <f aca="false">Q!$O$24</f>
        <v>23.899</v>
      </c>
    </row>
    <row r="5681" customFormat="false" ht="17.15" hidden="false" customHeight="false" outlineLevel="0" collapsed="false">
      <c r="A5681" s="5" t="s">
        <v>686</v>
      </c>
      <c r="B5681" s="0" t="s">
        <v>73</v>
      </c>
      <c r="C5681" s="38" t="n">
        <f aca="false">Q!$D$26</f>
        <v>0</v>
      </c>
      <c r="D5681" s="38" t="n">
        <f aca="false">Q!$E$26</f>
        <v>0</v>
      </c>
      <c r="E5681" s="38" t="n">
        <f aca="false">Q!$P$26</f>
        <v>0</v>
      </c>
      <c r="F5681" s="41" t="n">
        <v>0</v>
      </c>
      <c r="G5681" s="38" t="n">
        <f aca="false">Sens!$E$5681+Sens!$F$5681</f>
        <v>0</v>
      </c>
      <c r="H5681" s="41" t="n">
        <v>0</v>
      </c>
      <c r="I5681" s="41" t="n">
        <v>0</v>
      </c>
      <c r="J5681" s="41" t="n">
        <v>0</v>
      </c>
      <c r="K5681" s="41" t="n">
        <v>0</v>
      </c>
      <c r="L5681" s="41" t="n">
        <v>0</v>
      </c>
      <c r="M5681" s="41" t="n">
        <v>0</v>
      </c>
      <c r="N5681" s="38" t="n">
        <f aca="false">Q!$N$26</f>
        <v>0</v>
      </c>
      <c r="O5681" s="38" t="n">
        <f aca="false">Q!$O$26</f>
        <v>0</v>
      </c>
    </row>
    <row r="5682" customFormat="false" ht="15" hidden="false" customHeight="false" outlineLevel="0" collapsed="false">
      <c r="A5682" s="3" t="s">
        <v>494</v>
      </c>
      <c r="B5682" s="8" t="s">
        <v>73</v>
      </c>
      <c r="C5682" s="38" t="n">
        <f aca="false">Q!$D$25</f>
        <v>68.593</v>
      </c>
      <c r="D5682" s="38" t="n">
        <f aca="false">Q!$E$25</f>
        <v>79.975</v>
      </c>
      <c r="E5682" s="38" t="n">
        <f aca="false">Q!$P$25</f>
        <v>51.313</v>
      </c>
      <c r="F5682" s="38" t="n">
        <f aca="false">Sens!$F$5672+Sens!$F$5677+Sens!$F$5680+Sens!$F$5681</f>
        <v>59.8825772328462</v>
      </c>
      <c r="G5682" s="38" t="n">
        <f aca="false">Sens!$G$5672+Sens!$G$5677+Sens!$G$5680+Sens!$G$5681</f>
        <v>111.195577232846</v>
      </c>
      <c r="H5682" s="38" t="n">
        <f aca="false">Sens!$H$5672+Sens!$H$5677+Sens!$H$5680+Sens!$H$5681</f>
        <v>135.638701042513</v>
      </c>
      <c r="I5682" s="38" t="n">
        <f aca="false">Sens!$I$5672+Sens!$I$5677+Sens!$I$5680+Sens!$I$5681</f>
        <v>160.668634334764</v>
      </c>
      <c r="J5682" s="38" t="n">
        <f aca="false">Sens!$J$5672+Sens!$J$5677+Sens!$J$5680+Sens!$J$5681</f>
        <v>182.936501499731</v>
      </c>
      <c r="K5682" s="38" t="n">
        <f aca="false">Sens!$K$5672+Sens!$K$5677+Sens!$K$5680+Sens!$K$5681</f>
        <v>200.911616858058</v>
      </c>
      <c r="L5682" s="38" t="n">
        <f aca="false">Sens!$L$5672+Sens!$L$5677+Sens!$L$5680+Sens!$L$5681</f>
        <v>220.650126048945</v>
      </c>
      <c r="M5682" s="38" t="n">
        <f aca="false">Sens!$M$5672+Sens!$M$5677+Sens!$M$5680+Sens!$M$5681</f>
        <v>241.09409709983</v>
      </c>
      <c r="N5682" s="38" t="n">
        <f aca="false">Q!$N$25</f>
        <v>37.576</v>
      </c>
      <c r="O5682" s="38" t="n">
        <f aca="false">Q!$O$25</f>
        <v>42.399</v>
      </c>
    </row>
    <row r="5683" customFormat="false" ht="17.15" hidden="false" customHeight="false" outlineLevel="0" collapsed="false">
      <c r="A5683" s="24" t="s">
        <v>712</v>
      </c>
      <c r="B5683" s="25" t="s">
        <v>73</v>
      </c>
      <c r="C5683" s="39" t="n">
        <f aca="false">Sens!$C$5672+Sens!$C$5677+Sens!$C$5680+Sens!$C$5681-Sens!$C$5682</f>
        <v>0</v>
      </c>
      <c r="D5683" s="39" t="n">
        <f aca="false">Sens!$D$5672+Sens!$D$5677+Sens!$D$5680+Sens!$D$5681-Sens!$D$5682</f>
        <v>0</v>
      </c>
      <c r="E5683" s="39" t="n">
        <f aca="false">Sens!$E$5672+Sens!$E$5677+Sens!$E$5680+Sens!$E$5681-Sens!$E$5682</f>
        <v>0</v>
      </c>
      <c r="F5683" s="39" t="n">
        <f aca="false">Sens!$F$5672+Sens!$F$5677+Sens!$F$5680+Sens!$F$5681-Sens!$F$5682</f>
        <v>0</v>
      </c>
      <c r="G5683" s="39" t="n">
        <f aca="false">Sens!$G$5672+Sens!$G$5677+Sens!$G$5680+Sens!$G$5681-Sens!$G$5682</f>
        <v>0</v>
      </c>
      <c r="H5683" s="39" t="n">
        <f aca="false">Sens!$H$5672+Sens!$H$5677+Sens!$H$5680+Sens!$H$5681-Sens!$H$5682</f>
        <v>0</v>
      </c>
      <c r="I5683" s="39" t="n">
        <f aca="false">Sens!$I$5672+Sens!$I$5677+Sens!$I$5680+Sens!$I$5681-Sens!$I$5682</f>
        <v>0</v>
      </c>
      <c r="J5683" s="39" t="n">
        <f aca="false">Sens!$J$5672+Sens!$J$5677+Sens!$J$5680+Sens!$J$5681-Sens!$J$5682</f>
        <v>0</v>
      </c>
      <c r="K5683" s="39" t="n">
        <f aca="false">Sens!$K$5672+Sens!$K$5677+Sens!$K$5680+Sens!$K$5681-Sens!$K$5682</f>
        <v>0</v>
      </c>
      <c r="L5683" s="39" t="n">
        <f aca="false">Sens!$L$5672+Sens!$L$5677+Sens!$L$5680+Sens!$L$5681-Sens!$L$5682</f>
        <v>0</v>
      </c>
      <c r="M5683" s="39" t="n">
        <f aca="false">Sens!$M$5672+Sens!$M$5677+Sens!$M$5680+Sens!$M$5681-Sens!$M$5682</f>
        <v>0</v>
      </c>
      <c r="N5683" s="39" t="n">
        <f aca="false">Sens!$N$5672+Sens!$N$5677+Sens!$N$5680+Sens!$N$5681-Sens!$N$5682</f>
        <v>0</v>
      </c>
      <c r="O5683" s="39" t="n">
        <f aca="false">Sens!$O$5672+Sens!$O$5677+Sens!$O$5680+Sens!$O$5681-Sens!$O$5682</f>
        <v>0</v>
      </c>
    </row>
    <row r="5684" customFormat="false" ht="17.15" hidden="false" customHeight="false" outlineLevel="0" collapsed="false">
      <c r="A5684" s="0" t="s">
        <v>688</v>
      </c>
      <c r="B5684" s="0" t="s">
        <v>52</v>
      </c>
      <c r="C5684" s="12" t="n">
        <f aca="false">Sens!$C$5672/Sens!$C$5657</f>
        <v>0.0644314665661928</v>
      </c>
      <c r="D5684" s="12" t="n">
        <f aca="false">Sens!$D$5672/Sens!$D$5657</f>
        <v>0.0694784250712518</v>
      </c>
      <c r="E5684" s="12" t="n">
        <f aca="false">Sens!$E$5672/Sens!$E$5657</f>
        <v>0.0789306463326071</v>
      </c>
      <c r="F5684" s="12" t="n">
        <f aca="false">Sens!$F$5672/Sens!$F$5657</f>
        <v>0.0816338957078875</v>
      </c>
      <c r="G5684" s="12" t="n">
        <f aca="false">Sens!$G$5672/Sens!$G$5657</f>
        <v>0.080384315570057</v>
      </c>
      <c r="H5684" s="12" t="n">
        <f aca="false">Sens!$H$5672/Sens!$H$5657</f>
        <v>0.080035122355679</v>
      </c>
      <c r="I5684" s="12" t="n">
        <f aca="false">Sens!$I$5672/Sens!$I$5657</f>
        <v>0.0786798687862144</v>
      </c>
      <c r="J5684" s="12" t="n">
        <f aca="false">Sens!$J$5672/Sens!$J$5657</f>
        <v>0.0772846370095153</v>
      </c>
      <c r="K5684" s="12" t="n">
        <f aca="false">Sens!$K$5672/Sens!$K$5657</f>
        <v>0.0753502227686655</v>
      </c>
      <c r="L5684" s="12" t="n">
        <f aca="false">Sens!$L$5672/Sens!$L$5657</f>
        <v>0.0723154067793922</v>
      </c>
      <c r="M5684" s="12" t="n">
        <f aca="false">Sens!$M$5672/Sens!$M$5657</f>
        <v>0.070022386735876</v>
      </c>
      <c r="N5684" s="12" t="n">
        <f aca="false">Sens!$N$5672/Sens!$N$5657</f>
        <v>0.069228576611127</v>
      </c>
      <c r="O5684" s="12" t="n">
        <f aca="false">Sens!$O$5672/Sens!$O$5657</f>
        <v>0.069685022498393</v>
      </c>
    </row>
    <row r="5685" customFormat="false" ht="17.15" hidden="false" customHeight="false" outlineLevel="0" collapsed="false">
      <c r="A5685" s="0" t="s">
        <v>689</v>
      </c>
      <c r="B5685" s="0" t="s">
        <v>52</v>
      </c>
      <c r="C5685" s="12" t="n">
        <f aca="false">Sens!$C$5677/Sens!$C$5658</f>
        <v>0.026534925055631</v>
      </c>
      <c r="D5685" s="12" t="n">
        <f aca="false">Sens!$D$5677/Sens!$D$5658</f>
        <v>0.0293401855535103</v>
      </c>
      <c r="E5685" s="12" t="n">
        <f aca="false">Sens!$E$5677/Sens!$E$5658</f>
        <v>0.03831141902276</v>
      </c>
      <c r="F5685" s="12" t="n">
        <f aca="false">Sens!$F$5677/Sens!$F$5658</f>
        <v>0.0297532808235678</v>
      </c>
      <c r="G5685" s="12" t="n">
        <f aca="false">Sens!$G$5677/Sens!$G$5658</f>
        <v>0.0335954317997163</v>
      </c>
      <c r="H5685" s="12" t="n">
        <f aca="false">Sens!$H$5677/Sens!$H$5658</f>
        <v>0.0312519754292078</v>
      </c>
      <c r="I5685" s="12" t="n">
        <f aca="false">Sens!$I$5677/Sens!$I$5658</f>
        <v>0.0278788303191397</v>
      </c>
      <c r="J5685" s="12" t="n">
        <f aca="false">Sens!$J$5677/Sens!$J$5658</f>
        <v>0.0244019313573061</v>
      </c>
      <c r="K5685" s="12" t="n">
        <f aca="false">Sens!$K$5677/Sens!$K$5658</f>
        <v>0.020280070641524</v>
      </c>
      <c r="L5685" s="12" t="n">
        <f aca="false">Sens!$L$5677/Sens!$L$5658</f>
        <v>0.0175947312030086</v>
      </c>
      <c r="M5685" s="12" t="n">
        <f aca="false">Sens!$M$5677/Sens!$M$5658</f>
        <v>0.0156592172424565</v>
      </c>
      <c r="N5685" s="12" t="n">
        <f aca="false">Sens!$N$5677/Sens!$N$5658</f>
        <v>0.0357315650169337</v>
      </c>
      <c r="O5685" s="12" t="n">
        <f aca="false">Sens!$O$5677/Sens!$O$5658</f>
        <v>0.0244378956559703</v>
      </c>
    </row>
    <row r="5686" customFormat="false" ht="17.15" hidden="false" customHeight="false" outlineLevel="0" collapsed="false">
      <c r="A5686" s="13" t="s">
        <v>690</v>
      </c>
      <c r="B5686" s="13" t="s">
        <v>52</v>
      </c>
      <c r="C5686" s="16" t="n">
        <f aca="false">Sens!$C$5680/Sens!$C$5659</f>
        <v>0.370355907620217</v>
      </c>
      <c r="D5686" s="16" t="n">
        <f aca="false">Sens!$D$5680/Sens!$D$5659</f>
        <v>0.35429015342785</v>
      </c>
      <c r="E5686" s="16" t="n">
        <f aca="false">Sens!$E$5680/Sens!$E$5659</f>
        <v>0.385647527531039</v>
      </c>
      <c r="F5686" s="16" t="n">
        <f aca="false">Sens!$F$5680/Sens!$F$5659</f>
        <v>0.384415729470259</v>
      </c>
      <c r="G5686" s="16" t="n">
        <f aca="false">Sens!$G$5680/Sens!$G$5659</f>
        <v>0.38498282105443</v>
      </c>
      <c r="H5686" s="16" t="n">
        <f aca="false">Sens!$H$5680/Sens!$H$5659</f>
        <v>0.361247909668527</v>
      </c>
      <c r="I5686" s="16" t="n">
        <f aca="false">Sens!$I$5680/Sens!$I$5659</f>
        <v>0.349486287974975</v>
      </c>
      <c r="J5686" s="16" t="n">
        <f aca="false">Sens!$J$5680/Sens!$J$5659</f>
        <v>0.339886531832068</v>
      </c>
      <c r="K5686" s="16" t="n">
        <f aca="false">Sens!$K$5680/Sens!$K$5659</f>
        <v>0.33135833762061</v>
      </c>
      <c r="L5686" s="16" t="n">
        <f aca="false">Sens!$L$5680/Sens!$L$5659</f>
        <v>0.328299068185284</v>
      </c>
      <c r="M5686" s="16" t="n">
        <f aca="false">Sens!$M$5680/Sens!$M$5659</f>
        <v>0.325058049465166</v>
      </c>
      <c r="N5686" s="16" t="n">
        <f aca="false">Sens!$N$5680/Sens!$N$5659</f>
        <v>0.360941137346192</v>
      </c>
      <c r="O5686" s="16" t="n">
        <f aca="false">Sens!$O$5680/Sens!$O$5659</f>
        <v>0.348458117664212</v>
      </c>
    </row>
    <row r="5687" customFormat="false" ht="17.15" hidden="false" customHeight="false" outlineLevel="0" collapsed="false">
      <c r="A5687" s="0" t="s">
        <v>691</v>
      </c>
      <c r="B5687" s="0" t="s">
        <v>52</v>
      </c>
      <c r="C5687" s="12" t="n">
        <f aca="false">Sens!$C$5678/Sens!$C$5660</f>
        <v>0.708390794789371</v>
      </c>
      <c r="D5687" s="12" t="n">
        <f aca="false">Sens!$D$5678/Sens!$D$5660</f>
        <v>0.445565630441968</v>
      </c>
      <c r="E5687" s="12" t="n">
        <f aca="false">Sens!$E$5678/Sens!$E$5660</f>
        <v>0.165998118402711</v>
      </c>
      <c r="F5687" s="12" t="n">
        <f aca="false">Sens!$F$5678/Sens!$F$5660</f>
        <v>0.434878595403858</v>
      </c>
      <c r="G5687" s="12" t="n">
        <f aca="false">Sens!$G$5678/Sens!$G$5660</f>
        <v>0.3373967615381</v>
      </c>
      <c r="H5687" s="12" t="n">
        <f aca="false">Sens!$H$5678/Sens!$H$5660</f>
        <v>0.320477578041224</v>
      </c>
      <c r="I5687" s="12" t="n">
        <f aca="false">Sens!$I$5678/Sens!$I$5660</f>
        <v>0.296936118226494</v>
      </c>
      <c r="J5687" s="12" t="n">
        <f aca="false">Sens!$J$5678/Sens!$J$5660</f>
        <v>0.282166278613001</v>
      </c>
      <c r="K5687" s="12" t="n">
        <f aca="false">Sens!$K$5678/Sens!$K$5660</f>
        <v>0.271267685694333</v>
      </c>
      <c r="L5687" s="12" t="n">
        <f aca="false">Sens!$L$5678/Sens!$L$5660</f>
        <v>0.27160960915653</v>
      </c>
      <c r="M5687" s="12" t="n">
        <f aca="false">Sens!$M$5678/Sens!$M$5660</f>
        <v>0.26974494804234</v>
      </c>
      <c r="N5687" s="12" t="n">
        <f aca="false">Sens!$N$5678/Sens!$N$5660</f>
        <v>0.302870734830849</v>
      </c>
      <c r="O5687" s="12" t="n">
        <f aca="false">Sens!$O$5678/Sens!$O$5660</f>
        <v>0.52240134346334</v>
      </c>
    </row>
    <row r="5688" customFormat="false" ht="15" hidden="false" customHeight="false" outlineLevel="0" collapsed="false">
      <c r="A5688" s="5" t="s">
        <v>692</v>
      </c>
      <c r="B5688" s="0" t="s">
        <v>52</v>
      </c>
      <c r="C5688" s="12" t="n">
        <f aca="false">Sens!$C$5682/Sens!$C$5662</f>
        <v>0.107519448742004</v>
      </c>
      <c r="D5688" s="12" t="n">
        <f aca="false">Sens!$D$5682/Sens!$D$5662</f>
        <v>0.111552967957552</v>
      </c>
      <c r="E5688" s="12" t="n">
        <f aca="false">Sens!$E$5682/Sens!$E$5662</f>
        <v>0.13428328426562</v>
      </c>
      <c r="F5688" s="12" t="n">
        <f aca="false">Sens!$F$5682/Sens!$F$5662</f>
        <v>0.132926212451512</v>
      </c>
      <c r="G5688" s="12" t="n">
        <f aca="false">Sens!$G$5682/Sens!$G$5662</f>
        <v>0.133549030959228</v>
      </c>
      <c r="H5688" s="12" t="n">
        <f aca="false">Sens!$H$5682/Sens!$H$5662</f>
        <v>0.139690394514416</v>
      </c>
      <c r="I5688" s="12" t="n">
        <f aca="false">Sens!$I$5682/Sens!$I$5662</f>
        <v>0.144688164284573</v>
      </c>
      <c r="J5688" s="12" t="n">
        <f aca="false">Sens!$J$5682/Sens!$J$5662</f>
        <v>0.147391419021054</v>
      </c>
      <c r="K5688" s="12" t="n">
        <f aca="false">Sens!$K$5682/Sens!$K$5662</f>
        <v>0.148003728177944</v>
      </c>
      <c r="L5688" s="12" t="n">
        <f aca="false">Sens!$L$5682/Sens!$L$5662</f>
        <v>0.149164514525979</v>
      </c>
      <c r="M5688" s="12" t="n">
        <f aca="false">Sens!$M$5682/Sens!$M$5662</f>
        <v>0.150041098108262</v>
      </c>
      <c r="N5688" s="12" t="n">
        <f aca="false">Sens!$N$5682/Sens!$N$5662</f>
        <v>0.116201614873411</v>
      </c>
      <c r="O5688" s="12" t="n">
        <f aca="false">Sens!$O$5682/Sens!$O$5662</f>
        <v>0.107733353660861</v>
      </c>
    </row>
    <row r="5689" customFormat="false" ht="17.15" hidden="false" customHeight="false" outlineLevel="0" collapsed="false">
      <c r="A5689" s="1" t="s">
        <v>693</v>
      </c>
    </row>
    <row r="5690" customFormat="false" ht="17.15" hidden="false" customHeight="false" outlineLevel="0" collapsed="false">
      <c r="A5690" s="5" t="s">
        <v>694</v>
      </c>
      <c r="B5690" s="0" t="s">
        <v>52</v>
      </c>
      <c r="D5690" s="28" t="n">
        <f aca="false">(Q!$E$29+Q!$E$30-(1-ext_sh)*Sens!$D$5614)/Sens!$D$5571</f>
        <v>0.0334674312393194</v>
      </c>
    </row>
    <row r="5691" customFormat="false" ht="17.15" hidden="false" customHeight="false" outlineLevel="0" collapsed="false">
      <c r="A5691" s="0" t="s">
        <v>498</v>
      </c>
      <c r="B5691" s="0" t="s">
        <v>73</v>
      </c>
      <c r="C5691" s="38" t="n">
        <f aca="false">Q!$D$29</f>
        <v>14.285</v>
      </c>
      <c r="D5691" s="38" t="n">
        <f aca="false">Q!$E$29</f>
        <v>15.503</v>
      </c>
      <c r="E5691" s="38" t="n">
        <f aca="false">Q!$P$29</f>
        <v>8.78</v>
      </c>
      <c r="F5691" s="38" t="n">
        <f aca="false">(Sens!$D$5690*Sens!$F$5571+(1-ext_sh)*Sens!$F$5614)*Sens!$F$5572</f>
        <v>9.51361751569285</v>
      </c>
      <c r="G5691" s="38" t="n">
        <f aca="false">Sens!$E$5691+Sens!$F$5691</f>
        <v>18.2936175156929</v>
      </c>
      <c r="H5691" s="38" t="n">
        <f aca="false">(Sens!$D$5690*Sens!$H$5571+(1-ext_sh)*Sens!$H$5614)*Sens!$H$5572</f>
        <v>22.7653661801943</v>
      </c>
      <c r="I5691" s="38" t="n">
        <f aca="false">(Sens!$D$5690*Sens!$I$5571+(1-ext_sh)*Sens!$I$5614)*Sens!$I$5572</f>
        <v>28.4281317305062</v>
      </c>
      <c r="J5691" s="38" t="n">
        <f aca="false">(Sens!$D$5690*Sens!$J$5571+(1-ext_sh)*Sens!$J$5614)*Sens!$J$5572</f>
        <v>34.1182922009732</v>
      </c>
      <c r="K5691" s="38" t="n">
        <f aca="false">(Sens!$D$5690*Sens!$K$5571+(1-ext_sh)*Sens!$K$5614)*Sens!$K$5572</f>
        <v>39.7237727987046</v>
      </c>
      <c r="L5691" s="38" t="n">
        <f aca="false">(Sens!$D$5690*Sens!$L$5571+(1-ext_sh)*Sens!$L$5614)*Sens!$L$5572</f>
        <v>45.1313127180263</v>
      </c>
      <c r="M5691" s="38" t="n">
        <f aca="false">(Sens!$D$5690*Sens!$M$5571+(1-ext_sh)*Sens!$M$5614)*Sens!$M$5572</f>
        <v>50.743940615442</v>
      </c>
      <c r="N5691" s="38" t="n">
        <f aca="false">Q!$N$29</f>
        <v>7.272</v>
      </c>
      <c r="O5691" s="38" t="n">
        <f aca="false">Q!$O$29</f>
        <v>8.231</v>
      </c>
    </row>
    <row r="5692" customFormat="false" ht="17.15" hidden="false" customHeight="false" outlineLevel="0" collapsed="false">
      <c r="A5692" s="0" t="s">
        <v>500</v>
      </c>
      <c r="B5692" s="0" t="s">
        <v>73</v>
      </c>
      <c r="C5692" s="38" t="n">
        <f aca="false">Q!$D$30</f>
        <v>4.462</v>
      </c>
      <c r="D5692" s="38" t="n">
        <f aca="false">Q!$E$30</f>
        <v>4.907</v>
      </c>
      <c r="E5692" s="38" t="n">
        <f aca="false">Q!$P$30</f>
        <v>2.57</v>
      </c>
      <c r="F5692" s="38" t="n">
        <f aca="false">(Sens!$D$5690*Sens!$F$5571+(1-ext_sh)*Sens!$F$5614)*(1-Sens!$F$5572)</f>
        <v>3.7353230631574</v>
      </c>
      <c r="G5692" s="38" t="n">
        <f aca="false">Sens!$E$5692+Sens!$F$5692</f>
        <v>6.3053230631574</v>
      </c>
      <c r="H5692" s="38" t="n">
        <f aca="false">(Sens!$D$5690*Sens!$H$5571+(1-ext_sh)*Sens!$H$5614)*(1-Sens!$H$5572)</f>
        <v>8.72254636724805</v>
      </c>
      <c r="I5692" s="38" t="n">
        <f aca="false">(Sens!$D$5690*Sens!$I$5571+(1-ext_sh)*Sens!$I$5614)*(1-Sens!$I$5572)</f>
        <v>10.8922340713019</v>
      </c>
      <c r="J5692" s="38" t="n">
        <f aca="false">(Sens!$D$5690*Sens!$J$5571+(1-ext_sh)*Sens!$J$5614)*(1-Sens!$J$5572)</f>
        <v>13.0724181345791</v>
      </c>
      <c r="K5692" s="38" t="n">
        <f aca="false">(Sens!$D$5690*Sens!$K$5571+(1-ext_sh)*Sens!$K$5614)*(1-Sens!$K$5572)</f>
        <v>15.2201571183236</v>
      </c>
      <c r="L5692" s="38" t="n">
        <f aca="false">(Sens!$D$5690*Sens!$L$5571+(1-ext_sh)*Sens!$L$5614)*(1-Sens!$L$5572)</f>
        <v>17.2920551631732</v>
      </c>
      <c r="M5692" s="38" t="n">
        <f aca="false">(Sens!$D$5690*Sens!$M$5571+(1-ext_sh)*Sens!$M$5614)*(1-Sens!$M$5572)</f>
        <v>19.4425326336348</v>
      </c>
      <c r="N5692" s="38" t="n">
        <f aca="false">Q!$N$30</f>
        <v>2.316</v>
      </c>
      <c r="O5692" s="38" t="n">
        <f aca="false">Q!$O$30</f>
        <v>2.591</v>
      </c>
    </row>
    <row r="5693" customFormat="false" ht="17.15" hidden="false" customHeight="false" outlineLevel="0" collapsed="false">
      <c r="A5693" s="0" t="s">
        <v>501</v>
      </c>
      <c r="B5693" s="0" t="s">
        <v>73</v>
      </c>
      <c r="C5693" s="38" t="n">
        <f aca="false">Sens!$C$5626</f>
        <v>13.32</v>
      </c>
      <c r="D5693" s="38" t="n">
        <f aca="false">Sens!$D$5626</f>
        <v>21.45</v>
      </c>
      <c r="E5693" s="38" t="n">
        <f aca="false">Sens!$E$5626</f>
        <v>15.353</v>
      </c>
      <c r="F5693" s="38" t="n">
        <f aca="false">Sens!$F$5626</f>
        <v>17.3614451462707</v>
      </c>
      <c r="G5693" s="38" t="n">
        <f aca="false">Sens!$G$5626</f>
        <v>32.7144451462707</v>
      </c>
      <c r="H5693" s="38" t="n">
        <f aca="false">Sens!$H$5626</f>
        <v>56.1966092719415</v>
      </c>
      <c r="I5693" s="38" t="n">
        <f aca="false">Sens!$I$5626</f>
        <v>82.9744039068297</v>
      </c>
      <c r="J5693" s="38" t="n">
        <f aca="false">Sens!$J$5626</f>
        <v>109.943252237669</v>
      </c>
      <c r="K5693" s="38" t="n">
        <f aca="false">Sens!$K$5626</f>
        <v>136.406703436571</v>
      </c>
      <c r="L5693" s="38" t="n">
        <f aca="false">Sens!$L$5626</f>
        <v>161.485870454155</v>
      </c>
      <c r="M5693" s="38" t="n">
        <f aca="false">Sens!$M$5626</f>
        <v>187.389846618199</v>
      </c>
      <c r="N5693" s="38" t="n">
        <f aca="false">Sens!$N$5626</f>
        <v>9.234</v>
      </c>
      <c r="O5693" s="38" t="n">
        <f aca="false">Sens!$O$5626</f>
        <v>12.216</v>
      </c>
    </row>
    <row r="5694" customFormat="false" ht="17.15" hidden="false" customHeight="false" outlineLevel="0" collapsed="false">
      <c r="A5694" s="5" t="s">
        <v>695</v>
      </c>
      <c r="B5694" s="0" t="s">
        <v>73</v>
      </c>
      <c r="C5694" s="38" t="n">
        <f aca="false">Sens!$C$5691+Sens!$C$5692+Sens!$C$5693</f>
        <v>32.067</v>
      </c>
      <c r="D5694" s="38" t="n">
        <f aca="false">Sens!$D$5691+Sens!$D$5692+Sens!$D$5693</f>
        <v>41.86</v>
      </c>
      <c r="E5694" s="38" t="n">
        <f aca="false">Sens!$E$5691+Sens!$E$5692+Sens!$E$5693</f>
        <v>26.703</v>
      </c>
      <c r="F5694" s="38" t="n">
        <f aca="false">Sens!$F$5691+Sens!$F$5692+Sens!$F$5693</f>
        <v>30.6103857251209</v>
      </c>
      <c r="G5694" s="38" t="n">
        <f aca="false">Sens!$G$5691+Sens!$G$5692+Sens!$G$5693</f>
        <v>57.3133857251209</v>
      </c>
      <c r="H5694" s="38" t="n">
        <f aca="false">Sens!$H$5691+Sens!$H$5692+Sens!$H$5693</f>
        <v>87.6845218193838</v>
      </c>
      <c r="I5694" s="38" t="n">
        <f aca="false">Sens!$I$5691+Sens!$I$5692+Sens!$I$5693</f>
        <v>122.294769708638</v>
      </c>
      <c r="J5694" s="38" t="n">
        <f aca="false">Sens!$J$5691+Sens!$J$5692+Sens!$J$5693</f>
        <v>157.133962573221</v>
      </c>
      <c r="K5694" s="38" t="n">
        <f aca="false">Sens!$K$5691+Sens!$K$5692+Sens!$K$5693</f>
        <v>191.350633353599</v>
      </c>
      <c r="L5694" s="38" t="n">
        <f aca="false">Sens!$L$5691+Sens!$L$5692+Sens!$L$5693</f>
        <v>223.909238335354</v>
      </c>
      <c r="M5694" s="38" t="n">
        <f aca="false">Sens!$M$5691+Sens!$M$5692+Sens!$M$5693</f>
        <v>257.576319867276</v>
      </c>
      <c r="N5694" s="38" t="n">
        <f aca="false">Sens!$N$5691+Sens!$N$5692+Sens!$N$5693</f>
        <v>18.822</v>
      </c>
      <c r="O5694" s="38" t="n">
        <f aca="false">Sens!$O$5691+Sens!$O$5692+Sens!$O$5693</f>
        <v>23.038</v>
      </c>
    </row>
    <row r="5695" customFormat="false" ht="17.15" hidden="false" customHeight="false" outlineLevel="0" collapsed="false">
      <c r="A5695" s="0" t="s">
        <v>696</v>
      </c>
      <c r="B5695" s="0" t="s">
        <v>73</v>
      </c>
      <c r="C5695" s="38" t="n">
        <f aca="false">Sens!$C$5668+Sens!$C$5673</f>
        <v>28.107</v>
      </c>
      <c r="D5695" s="38" t="n">
        <f aca="false">Sens!$D$5668+Sens!$D$5673</f>
        <v>34.3175</v>
      </c>
      <c r="E5695" s="38" t="n">
        <f aca="false">Sens!$E$5668+Sens!$E$5673</f>
        <v>18.526</v>
      </c>
      <c r="F5695" s="38" t="n">
        <f aca="false">Sens!$F$5668+Sens!$F$5673</f>
        <v>24.0766690913691</v>
      </c>
      <c r="G5695" s="38" t="n">
        <f aca="false">Sens!$G$5668+Sens!$G$5673</f>
        <v>42.6026690913691</v>
      </c>
      <c r="H5695" s="38" t="n">
        <f aca="false">Sens!$H$5668+Sens!$H$5673</f>
        <v>51.1466809294702</v>
      </c>
      <c r="I5695" s="38" t="n">
        <f aca="false">Sens!$I$5668+Sens!$I$5673</f>
        <v>59.6899187926205</v>
      </c>
      <c r="J5695" s="38" t="n">
        <f aca="false">Sens!$J$5668+Sens!$J$5673</f>
        <v>67.6595395244221</v>
      </c>
      <c r="K5695" s="38" t="n">
        <f aca="false">Sens!$K$5668+Sens!$K$5673</f>
        <v>74.4254934768643</v>
      </c>
      <c r="L5695" s="38" t="n">
        <f aca="false">Sens!$L$5668+Sens!$L$5673</f>
        <v>81.8680428245508</v>
      </c>
      <c r="M5695" s="38" t="n">
        <f aca="false">Sens!$M$5668+Sens!$M$5673</f>
        <v>90.0548471070059</v>
      </c>
      <c r="N5695" s="38" t="n">
        <f aca="false">Sens!$N$5668+Sens!$N$5673</f>
        <v>14.8075</v>
      </c>
      <c r="O5695" s="38" t="n">
        <f aca="false">Sens!$O$5668+Sens!$O$5673</f>
        <v>19.51</v>
      </c>
    </row>
    <row r="5696" customFormat="false" ht="17.15" hidden="false" customHeight="false" outlineLevel="0" collapsed="false">
      <c r="A5696" s="0" t="s">
        <v>697</v>
      </c>
      <c r="B5696" s="0" t="s">
        <v>73</v>
      </c>
      <c r="C5696" s="38" t="n">
        <f aca="false">Sens!$C$5672+Sens!$C$5677+Sens!$C$5691+Sens!$C$5692-Sens!$C$5695</f>
        <v>19.399</v>
      </c>
      <c r="D5696" s="38" t="n">
        <f aca="false">Sens!$D$5672+Sens!$D$5677+Sens!$D$5691+Sens!$D$5692-Sens!$D$5695</f>
        <v>20.4615</v>
      </c>
      <c r="E5696" s="38" t="n">
        <f aca="false">Sens!$E$5672+Sens!$E$5677+Sens!$E$5691+Sens!$E$5692-Sens!$E$5695</f>
        <v>13.355</v>
      </c>
      <c r="F5696" s="38" t="n">
        <f aca="false">Sens!$F$5672+Sens!$F$5677+Sens!$F$5691+Sens!$F$5692-Sens!$F$5695</f>
        <v>13.0895111975985</v>
      </c>
      <c r="G5696" s="38" t="n">
        <f aca="false">Sens!$G$5672+Sens!$G$5677+Sens!$G$5691+Sens!$G$5692-Sens!$G$5695</f>
        <v>26.4445111975985</v>
      </c>
      <c r="H5696" s="38" t="n">
        <f aca="false">Sens!$H$5672+Sens!$H$5677+Sens!$H$5691+Sens!$H$5692-Sens!$H$5695</f>
        <v>28.8977096937968</v>
      </c>
      <c r="I5696" s="38" t="n">
        <f aca="false">Sens!$I$5672+Sens!$I$5677+Sens!$I$5691+Sens!$I$5692-Sens!$I$5695</f>
        <v>31.2062039064791</v>
      </c>
      <c r="J5696" s="38" t="n">
        <f aca="false">Sens!$J$5672+Sens!$J$5677+Sens!$J$5691+Sens!$J$5692-Sens!$J$5695</f>
        <v>33.5064572496913</v>
      </c>
      <c r="K5696" s="38" t="n">
        <f aca="false">Sens!$K$5672+Sens!$K$5677+Sens!$K$5691+Sens!$K$5692-Sens!$K$5695</f>
        <v>35.6591461575899</v>
      </c>
      <c r="L5696" s="38" t="n">
        <f aca="false">Sens!$L$5672+Sens!$L$5677+Sens!$L$5691+Sens!$L$5692-Sens!$L$5695</f>
        <v>36.4141007090604</v>
      </c>
      <c r="M5696" s="38" t="n">
        <f aca="false">Sens!$M$5672+Sens!$M$5677+Sens!$M$5691+Sens!$M$5692-Sens!$M$5695</f>
        <v>37.359984207839</v>
      </c>
      <c r="N5696" s="38" t="n">
        <f aca="false">Sens!$N$5672+Sens!$N$5677+Sens!$N$5691+Sens!$N$5692-Sens!$N$5695</f>
        <v>10.6495</v>
      </c>
      <c r="O5696" s="38" t="n">
        <f aca="false">Sens!$O$5672+Sens!$O$5677+Sens!$O$5691+Sens!$O$5692-Sens!$O$5695</f>
        <v>9.81200000000001</v>
      </c>
    </row>
    <row r="5697" customFormat="false" ht="17.15" hidden="false" customHeight="false" outlineLevel="0" collapsed="false">
      <c r="A5697" s="0" t="s">
        <v>698</v>
      </c>
      <c r="B5697" s="0" t="s">
        <v>73</v>
      </c>
      <c r="C5697" s="38" t="n">
        <f aca="false">Sens!$C$5679+Sens!$C$5693-ext_sh*Sens!$C$5614</f>
        <v>51.3470500115664</v>
      </c>
      <c r="D5697" s="38" t="n">
        <f aca="false">Sens!$D$5679+Sens!$D$5693-ext_sh*Sens!$D$5614</f>
        <v>60.2799375433739</v>
      </c>
      <c r="E5697" s="38" t="n">
        <f aca="false">Sens!$E$5679+Sens!$E$5693-ext_sh*Sens!$E$5614</f>
        <v>39.5095167090767</v>
      </c>
      <c r="F5697" s="38" t="n">
        <f aca="false">Sens!$F$5679+Sens!$F$5693-ext_sh*Sens!$F$5614</f>
        <v>41.606724953129</v>
      </c>
      <c r="G5697" s="38" t="n">
        <f aca="false">Sens!$G$5679+Sens!$G$5693-ext_sh*Sens!$G$5614</f>
        <v>81.1162416622057</v>
      </c>
      <c r="H5697" s="38" t="n">
        <f aca="false">Sens!$H$5679+Sens!$H$5693-ext_sh*Sens!$H$5614</f>
        <v>95.7616595325849</v>
      </c>
      <c r="I5697" s="38" t="n">
        <f aca="false">Sens!$I$5679+Sens!$I$5693-ext_sh*Sens!$I$5614</f>
        <v>111.513312079935</v>
      </c>
      <c r="J5697" s="38" t="n">
        <f aca="false">Sens!$J$5679+Sens!$J$5693-ext_sh*Sens!$J$5614</f>
        <v>125.145150463955</v>
      </c>
      <c r="K5697" s="38" t="n">
        <f aca="false">Sens!$K$5679+Sens!$K$5693-ext_sh*Sens!$K$5614</f>
        <v>135.156762501071</v>
      </c>
      <c r="L5697" s="38" t="n">
        <f aca="false">Sens!$L$5679+Sens!$L$5693-ext_sh*Sens!$L$5614</f>
        <v>145.969303501157</v>
      </c>
      <c r="M5697" s="38" t="n">
        <f aca="false">Sens!$M$5679+Sens!$M$5693-ext_sh*Sens!$M$5614</f>
        <v>157.646847781249</v>
      </c>
      <c r="N5697" s="38" t="n">
        <f aca="false">Sens!$N$5679+Sens!$N$5693-ext_sh*Sens!$N$5614</f>
        <v>28.5693781401809</v>
      </c>
      <c r="O5697" s="38" t="n">
        <f aca="false">Sens!$O$5679+Sens!$O$5693-ext_sh*Sens!$O$5614</f>
        <v>31.7105594031931</v>
      </c>
    </row>
    <row r="5698" customFormat="false" ht="17.15" hidden="false" customHeight="false" outlineLevel="0" collapsed="false">
      <c r="A5698" s="0" t="s">
        <v>699</v>
      </c>
      <c r="B5698" s="0" t="s">
        <v>73</v>
      </c>
      <c r="C5698" s="38" t="n">
        <f aca="false">Sens!$C$5617</f>
        <v>1.80694998843362</v>
      </c>
      <c r="D5698" s="38" t="n">
        <f aca="false">Sens!$D$5617</f>
        <v>6.77606245662607</v>
      </c>
      <c r="E5698" s="38" t="n">
        <f aca="false">Sens!$E$5617</f>
        <v>6.62548329092326</v>
      </c>
      <c r="F5698" s="38" t="n">
        <f aca="false">Sens!$F$5617</f>
        <v>11.7200577158706</v>
      </c>
      <c r="G5698" s="38" t="n">
        <f aca="false">Sens!$G$5617</f>
        <v>18.3455410067939</v>
      </c>
      <c r="H5698" s="38" t="n">
        <f aca="false">Sens!$H$5617</f>
        <v>47.5171727060453</v>
      </c>
      <c r="I5698" s="38" t="n">
        <f aca="false">Sens!$I$5617</f>
        <v>80.5539692643667</v>
      </c>
      <c r="J5698" s="38" t="n">
        <f aca="false">Sens!$J$5617</f>
        <v>113.759316834883</v>
      </c>
      <c r="K5698" s="38" t="n">
        <f aca="false">Sens!$K$5617</f>
        <v>147.020848076132</v>
      </c>
      <c r="L5698" s="38" t="n">
        <f aca="false">Sens!$L$5617</f>
        <v>180.307917349531</v>
      </c>
      <c r="M5698" s="38" t="n">
        <f aca="false">Sens!$M$5617</f>
        <v>213.608737871012</v>
      </c>
      <c r="N5698" s="38" t="n">
        <f aca="false">Sens!$N$5617</f>
        <v>2.37162185981912</v>
      </c>
      <c r="O5698" s="38" t="n">
        <f aca="false">Sens!$O$5617</f>
        <v>4.40444059680694</v>
      </c>
    </row>
    <row r="5699" customFormat="false" ht="17.15" hidden="false" customHeight="false" outlineLevel="0" collapsed="false">
      <c r="A5699" s="0" t="s">
        <v>700</v>
      </c>
      <c r="B5699" s="0" t="s">
        <v>73</v>
      </c>
      <c r="C5699" s="38" t="n">
        <f aca="false">Sens!$C$5682+Sens!$C$5694</f>
        <v>100.66</v>
      </c>
      <c r="D5699" s="38" t="n">
        <f aca="false">Sens!$D$5682+Sens!$D$5694</f>
        <v>121.835</v>
      </c>
      <c r="E5699" s="38" t="n">
        <f aca="false">Sens!$E$5682+Sens!$E$5694</f>
        <v>78.016</v>
      </c>
      <c r="F5699" s="38" t="n">
        <f aca="false">Sens!$F$5682+Sens!$F$5694</f>
        <v>90.4929629579672</v>
      </c>
      <c r="G5699" s="38" t="n">
        <f aca="false">Sens!$G$5682+Sens!$G$5694</f>
        <v>168.508962957967</v>
      </c>
      <c r="H5699" s="38" t="n">
        <f aca="false">Sens!$H$5682+Sens!$H$5694</f>
        <v>223.323222861897</v>
      </c>
      <c r="I5699" s="38" t="n">
        <f aca="false">Sens!$I$5682+Sens!$I$5694</f>
        <v>282.963404043402</v>
      </c>
      <c r="J5699" s="38" t="n">
        <f aca="false">Sens!$J$5682+Sens!$J$5694</f>
        <v>340.070464072952</v>
      </c>
      <c r="K5699" s="38" t="n">
        <f aca="false">Sens!$K$5682+Sens!$K$5694</f>
        <v>392.262250211657</v>
      </c>
      <c r="L5699" s="38" t="n">
        <f aca="false">Sens!$L$5682+Sens!$L$5694</f>
        <v>444.559364384299</v>
      </c>
      <c r="M5699" s="38" t="n">
        <f aca="false">Sens!$M$5682+Sens!$M$5694</f>
        <v>498.670416967106</v>
      </c>
      <c r="N5699" s="38" t="n">
        <f aca="false">Sens!$N$5682+Sens!$N$5694</f>
        <v>56.398</v>
      </c>
      <c r="O5699" s="38" t="n">
        <f aca="false">Sens!$O$5682+Sens!$O$5694</f>
        <v>65.437</v>
      </c>
    </row>
    <row r="5700" customFormat="false" ht="17.15" hidden="false" customHeight="false" outlineLevel="0" collapsed="false">
      <c r="A5700" s="1" t="s">
        <v>701</v>
      </c>
    </row>
    <row r="5701" customFormat="false" ht="15" hidden="false" customHeight="false" outlineLevel="0" collapsed="false">
      <c r="A5701" s="5" t="s">
        <v>504</v>
      </c>
      <c r="B5701" s="0" t="s">
        <v>73</v>
      </c>
      <c r="C5701" s="38" t="n">
        <f aca="false">Q!$D$34</f>
        <v>2.406</v>
      </c>
      <c r="D5701" s="38" t="n">
        <f aca="false">Q!$E$34</f>
        <v>2.274</v>
      </c>
      <c r="E5701" s="38" t="n">
        <f aca="false">Q!$P$34</f>
        <v>2.114</v>
      </c>
      <c r="F5701" s="38" t="n">
        <f aca="false">Sens!$F$5737</f>
        <v>3.24888964316061</v>
      </c>
      <c r="G5701" s="38" t="n">
        <f aca="false">Sens!$E$5701+Sens!$F$5701</f>
        <v>5.36288964316061</v>
      </c>
      <c r="H5701" s="38" t="n">
        <f aca="false">Sens!$H$5737</f>
        <v>7.42354178632123</v>
      </c>
      <c r="I5701" s="38" t="n">
        <f aca="false">Sens!$I$5737</f>
        <v>7.51827597635917</v>
      </c>
      <c r="J5701" s="38" t="n">
        <f aca="false">Sens!$J$5737</f>
        <v>7.76994062068418</v>
      </c>
      <c r="K5701" s="38" t="n">
        <f aca="false">Sens!$K$5737</f>
        <v>7.76994062068418</v>
      </c>
      <c r="L5701" s="38" t="n">
        <f aca="false">Sens!$L$5737</f>
        <v>7.76994062068418</v>
      </c>
      <c r="M5701" s="38" t="n">
        <f aca="false">Sens!$M$5737</f>
        <v>7.76994062068418</v>
      </c>
      <c r="N5701" s="38" t="n">
        <f aca="false">Q!$N$34</f>
        <v>1.057</v>
      </c>
      <c r="O5701" s="38" t="n">
        <f aca="false">Q!$O$34</f>
        <v>1.217</v>
      </c>
    </row>
    <row r="5702" customFormat="false" ht="15" hidden="false" customHeight="false" outlineLevel="0" collapsed="false">
      <c r="A5702" s="5" t="s">
        <v>702</v>
      </c>
      <c r="B5702" s="0" t="s">
        <v>73</v>
      </c>
      <c r="F5702" s="38" t="n">
        <f aca="false">Sens!$F$5738</f>
        <v>2.59</v>
      </c>
      <c r="H5702" s="38" t="n">
        <f aca="false">Sens!$H$5738</f>
        <v>4.00971603121774</v>
      </c>
      <c r="I5702" s="38" t="n">
        <f aca="false">Sens!$I$5738</f>
        <v>2.10589651022864</v>
      </c>
      <c r="J5702" s="38" t="n">
        <f aca="false">Sens!$J$5738</f>
        <v>2.10589651022864</v>
      </c>
      <c r="K5702" s="38" t="n">
        <f aca="false">Sens!$K$5738</f>
        <v>3.77985822695893</v>
      </c>
      <c r="L5702" s="38" t="n">
        <f aca="false">Sens!$L$5738</f>
        <v>7.24081936505971</v>
      </c>
      <c r="M5702" s="38" t="n">
        <f aca="false">Sens!$M$5738</f>
        <v>11.205150593419</v>
      </c>
    </row>
    <row r="5703" customFormat="false" ht="17.15" hidden="false" customHeight="false" outlineLevel="0" collapsed="false">
      <c r="A5703" s="5" t="s">
        <v>703</v>
      </c>
      <c r="B5703" s="0" t="s">
        <v>73</v>
      </c>
      <c r="C5703" s="38" t="n">
        <f aca="false">Q!$D$39</f>
        <v>2.427</v>
      </c>
      <c r="D5703" s="38" t="n">
        <f aca="false">Q!$E$39</f>
        <v>19.61</v>
      </c>
      <c r="E5703" s="38" t="n">
        <f aca="false">Q!$P$39</f>
        <v>71.492</v>
      </c>
      <c r="F5703" s="41" t="n">
        <v>0</v>
      </c>
      <c r="G5703" s="38" t="n">
        <f aca="false">Sens!$E$5703+Sens!$F$5703</f>
        <v>71.492</v>
      </c>
      <c r="H5703" s="41" t="n">
        <v>0</v>
      </c>
      <c r="I5703" s="41" t="n">
        <v>0</v>
      </c>
      <c r="J5703" s="41" t="n">
        <v>0</v>
      </c>
      <c r="K5703" s="41" t="n">
        <v>0</v>
      </c>
      <c r="L5703" s="41" t="n">
        <v>0</v>
      </c>
      <c r="M5703" s="41" t="n">
        <v>0</v>
      </c>
      <c r="N5703" s="38" t="n">
        <f aca="false">Q!$N$39</f>
        <v>6.017</v>
      </c>
      <c r="O5703" s="38" t="n">
        <f aca="false">Q!$O$39</f>
        <v>13.593</v>
      </c>
      <c r="P5703" s="5" t="s">
        <v>704</v>
      </c>
    </row>
    <row r="5704" customFormat="false" ht="15" hidden="false" customHeight="false" outlineLevel="0" collapsed="false">
      <c r="A5704" s="5" t="s">
        <v>507</v>
      </c>
      <c r="B5704" s="0" t="s">
        <v>73</v>
      </c>
      <c r="C5704" s="38" t="n">
        <f aca="false">Q!$D$36</f>
        <v>68.614</v>
      </c>
      <c r="D5704" s="38" t="n">
        <f aca="false">Q!$E$36</f>
        <v>97.311</v>
      </c>
      <c r="E5704" s="38" t="n">
        <f aca="false">Q!$P$36</f>
        <v>120.691</v>
      </c>
      <c r="F5704" s="38" t="n">
        <f aca="false">Sens!$F$5682-Sens!$F$5701+Sens!$F$5702+Sens!$F$5703</f>
        <v>59.2236875896856</v>
      </c>
      <c r="G5704" s="38" t="n">
        <f aca="false">Sens!$E$5704+Sens!$F$5704</f>
        <v>179.914687589686</v>
      </c>
      <c r="H5704" s="38" t="n">
        <f aca="false">Sens!$H$5682-Sens!$H$5701+Sens!$H$5702+Sens!$H$5703</f>
        <v>132.22487528741</v>
      </c>
      <c r="I5704" s="38" t="n">
        <f aca="false">Sens!$I$5682-Sens!$I$5701+Sens!$I$5702+Sens!$I$5703</f>
        <v>155.256254868633</v>
      </c>
      <c r="J5704" s="38" t="n">
        <f aca="false">Sens!$J$5682-Sens!$J$5701+Sens!$J$5702+Sens!$J$5703</f>
        <v>177.272457389275</v>
      </c>
      <c r="K5704" s="38" t="n">
        <f aca="false">Sens!$K$5682-Sens!$K$5701+Sens!$K$5702+Sens!$K$5703</f>
        <v>196.921534464333</v>
      </c>
      <c r="L5704" s="38" t="n">
        <f aca="false">Sens!$L$5682-Sens!$L$5701+Sens!$L$5702+Sens!$L$5703</f>
        <v>220.12100479332</v>
      </c>
      <c r="M5704" s="38" t="n">
        <f aca="false">Sens!$M$5682-Sens!$M$5701+Sens!$M$5702+Sens!$M$5703</f>
        <v>244.529307072564</v>
      </c>
      <c r="N5704" s="38" t="n">
        <f aca="false">Q!$N$36</f>
        <v>42.536</v>
      </c>
      <c r="O5704" s="38" t="n">
        <f aca="false">Q!$O$36</f>
        <v>54.775</v>
      </c>
    </row>
    <row r="5705" customFormat="false" ht="15" hidden="false" customHeight="false" outlineLevel="0" collapsed="false">
      <c r="A5705" s="5" t="s">
        <v>508</v>
      </c>
      <c r="B5705" s="0" t="s">
        <v>73</v>
      </c>
      <c r="C5705" s="38" t="n">
        <f aca="false">Q!$D$37</f>
        <v>9.265</v>
      </c>
      <c r="D5705" s="38" t="n">
        <f aca="false">Q!$E$37</f>
        <v>19.087</v>
      </c>
      <c r="E5705" s="38" t="n">
        <f aca="false">Q!$P$37</f>
        <v>27.759</v>
      </c>
      <c r="F5705" s="38" t="n">
        <f aca="false">Sens!$F$5704*tax</f>
        <v>10.2803157750071</v>
      </c>
      <c r="G5705" s="38" t="n">
        <f aca="false">Sens!$E$5705+Sens!$F$5705</f>
        <v>38.0393157750071</v>
      </c>
      <c r="H5705" s="38" t="n">
        <f aca="false">Sens!$H$5704*tax</f>
        <v>22.9521923842892</v>
      </c>
      <c r="I5705" s="38" t="n">
        <f aca="false">Sens!$I$5704*tax</f>
        <v>26.9500835063251</v>
      </c>
      <c r="J5705" s="38" t="n">
        <f aca="false">Sens!$J$5704*tax</f>
        <v>30.7717555988633</v>
      </c>
      <c r="K5705" s="38" t="n">
        <f aca="false">Sens!$K$5704*tax</f>
        <v>34.1825313414772</v>
      </c>
      <c r="L5705" s="38" t="n">
        <f aca="false">Sens!$L$5704*tax</f>
        <v>38.209600416393</v>
      </c>
      <c r="M5705" s="38" t="n">
        <f aca="false">Sens!$M$5704*tax</f>
        <v>42.4465040131586</v>
      </c>
      <c r="N5705" s="38" t="n">
        <f aca="false">Q!$N$37</f>
        <v>7.231</v>
      </c>
      <c r="O5705" s="38" t="n">
        <f aca="false">Q!$O$37</f>
        <v>11.856</v>
      </c>
    </row>
    <row r="5706" customFormat="false" ht="15" hidden="false" customHeight="false" outlineLevel="0" collapsed="false">
      <c r="A5706" s="3" t="s">
        <v>509</v>
      </c>
      <c r="B5706" s="8" t="s">
        <v>73</v>
      </c>
      <c r="C5706" s="38" t="n">
        <f aca="false">Q!$D$38</f>
        <v>59.248</v>
      </c>
      <c r="D5706" s="38" t="n">
        <f aca="false">Q!$E$38</f>
        <v>77.67</v>
      </c>
      <c r="E5706" s="38" t="n">
        <f aca="false">Q!$P$38</f>
        <v>92.902</v>
      </c>
      <c r="F5706" s="38" t="n">
        <f aca="false">Sens!$F$5704-Sens!$F$5705</f>
        <v>48.9433718146785</v>
      </c>
      <c r="G5706" s="38" t="n">
        <f aca="false">Sens!$E$5706+Sens!$F$5706</f>
        <v>141.845371814679</v>
      </c>
      <c r="H5706" s="38" t="n">
        <f aca="false">Sens!$H$5704-Sens!$H$5705</f>
        <v>109.272682903121</v>
      </c>
      <c r="I5706" s="38" t="n">
        <f aca="false">Sens!$I$5704-Sens!$I$5705</f>
        <v>128.306171362308</v>
      </c>
      <c r="J5706" s="38" t="n">
        <f aca="false">Sens!$J$5704-Sens!$J$5705</f>
        <v>146.500701790412</v>
      </c>
      <c r="K5706" s="38" t="n">
        <f aca="false">Sens!$K$5704-Sens!$K$5705</f>
        <v>162.739003122855</v>
      </c>
      <c r="L5706" s="38" t="n">
        <f aca="false">Sens!$L$5704-Sens!$L$5705</f>
        <v>181.911404376927</v>
      </c>
      <c r="M5706" s="38" t="n">
        <f aca="false">Sens!$M$5704-Sens!$M$5705</f>
        <v>202.082803059406</v>
      </c>
      <c r="N5706" s="38" t="n">
        <f aca="false">Q!$N$38</f>
        <v>35.291</v>
      </c>
      <c r="O5706" s="38" t="n">
        <f aca="false">Q!$O$38</f>
        <v>42.379</v>
      </c>
    </row>
    <row r="5707" customFormat="false" ht="17.15" hidden="false" customHeight="false" outlineLevel="0" collapsed="false">
      <c r="A5707" s="5" t="s">
        <v>512</v>
      </c>
      <c r="B5707" s="5" t="s">
        <v>33</v>
      </c>
      <c r="C5707" s="22" t="n">
        <f aca="false">Q!$D$41</f>
        <v>10.721</v>
      </c>
      <c r="D5707" s="22" t="n">
        <f aca="false">Q!$E$41</f>
        <v>10.827</v>
      </c>
      <c r="E5707" s="22" t="n">
        <f aca="false">(Q!$L$41+Q!$M$41)/2</f>
        <v>10.8885</v>
      </c>
      <c r="F5707" s="22" t="n">
        <f aca="false">Sens!$G$5707</f>
        <v>10.924806</v>
      </c>
      <c r="G5707" s="22" t="n">
        <f aca="false">Q!$M$41*(1+sh_g*0.25)</f>
        <v>10.924806</v>
      </c>
      <c r="H5707" s="22" t="n">
        <f aca="false">Sens!$G$5707*(1+sh_g)</f>
        <v>11.012204448</v>
      </c>
      <c r="I5707" s="22" t="n">
        <f aca="false">Sens!$H$5707*(1+sh_g)</f>
        <v>11.100302083584</v>
      </c>
      <c r="J5707" s="22" t="n">
        <f aca="false">Sens!$I$5707*(1+sh_g)</f>
        <v>11.1891045002527</v>
      </c>
      <c r="K5707" s="22" t="n">
        <f aca="false">Sens!$J$5707*(1+sh_g)</f>
        <v>11.2786173362547</v>
      </c>
      <c r="L5707" s="22" t="n">
        <f aca="false">Sens!$K$5707*(1+sh_g)</f>
        <v>11.3688462749447</v>
      </c>
      <c r="M5707" s="22" t="n">
        <f aca="false">Sens!$L$5707*(1+sh_g)</f>
        <v>11.4597970451443</v>
      </c>
      <c r="P5707" s="5" t="s">
        <v>705</v>
      </c>
    </row>
    <row r="5708" customFormat="false" ht="17.15" hidden="false" customHeight="false" outlineLevel="0" collapsed="false">
      <c r="A5708" s="42" t="s">
        <v>706</v>
      </c>
      <c r="B5708" s="13" t="s">
        <v>27</v>
      </c>
      <c r="C5708" s="43" t="n">
        <f aca="false">Sens!$C$5706/Sens!$C$5707</f>
        <v>5.52635015390355</v>
      </c>
      <c r="D5708" s="43" t="n">
        <f aca="false">Sens!$D$5706/Sens!$D$5707</f>
        <v>7.1737323358271</v>
      </c>
      <c r="E5708" s="43" t="n">
        <f aca="false">Sens!$E$5706/Sens!$E$5707</f>
        <v>8.53212104513937</v>
      </c>
      <c r="F5708" s="13"/>
      <c r="G5708" s="43" t="n">
        <f aca="false">Sens!$G$5706/Sens!$G$5707</f>
        <v>12.9837886196495</v>
      </c>
      <c r="H5708" s="43" t="n">
        <f aca="false">Sens!$H$5706/Sens!$H$5707</f>
        <v>9.92287088558062</v>
      </c>
      <c r="I5708" s="43" t="n">
        <f aca="false">Sens!$I$5706/Sens!$I$5707</f>
        <v>11.5587999674403</v>
      </c>
      <c r="J5708" s="43" t="n">
        <f aca="false">Sens!$J$5706/Sens!$J$5707</f>
        <v>13.0931569892035</v>
      </c>
      <c r="K5708" s="43" t="n">
        <f aca="false">Sens!$K$5706/Sens!$K$5707</f>
        <v>14.4289852444711</v>
      </c>
      <c r="L5708" s="43" t="n">
        <f aca="false">Sens!$L$5706/Sens!$L$5707</f>
        <v>16.0008676322621</v>
      </c>
      <c r="M5708" s="43" t="n">
        <f aca="false">Sens!$M$5706/Sens!$M$5707</f>
        <v>17.6340647450673</v>
      </c>
      <c r="N5708" s="13"/>
      <c r="O5708" s="13"/>
    </row>
    <row r="5709" customFormat="false" ht="17.15" hidden="false" customHeight="false" outlineLevel="0" collapsed="false">
      <c r="A5709" s="0" t="s">
        <v>707</v>
      </c>
      <c r="B5709" s="0" t="s">
        <v>27</v>
      </c>
      <c r="C5709" s="30" t="n">
        <f aca="false">(Sens!$C$5706-Sens!$C$5703*(1-tax))/Sens!$C$5707</f>
        <v>5.33926775917445</v>
      </c>
      <c r="D5709" s="30" t="n">
        <f aca="false">(Sens!$D$5706-Sens!$D$5703*(1-tax))/Sens!$D$5707</f>
        <v>5.67691812755503</v>
      </c>
      <c r="E5709" s="30" t="n">
        <f aca="false">(Sens!$E$5706-Sens!$E$5703*(1-tax))/Sens!$E$5707</f>
        <v>3.10602057006846</v>
      </c>
      <c r="G5709" s="30" t="n">
        <f aca="false">(Sens!$G$5706-Sens!$G$5703*(1-tax))/Sens!$G$5707</f>
        <v>7.57572050175252</v>
      </c>
      <c r="H5709" s="30" t="n">
        <f aca="false">(Sens!$H$5706-Sens!$H$5703*(1-tax))/Sens!$H$5707</f>
        <v>9.92287088558062</v>
      </c>
      <c r="I5709" s="30" t="n">
        <f aca="false">(Sens!$I$5706-Sens!$I$5703*(1-tax))/Sens!$I$5707</f>
        <v>11.5587999674403</v>
      </c>
      <c r="J5709" s="30" t="n">
        <f aca="false">(Sens!$J$5706-Sens!$J$5703*(1-tax))/Sens!$J$5707</f>
        <v>13.0931569892035</v>
      </c>
      <c r="K5709" s="30" t="n">
        <f aca="false">(Sens!$K$5706-Sens!$K$5703*(1-tax))/Sens!$K$5707</f>
        <v>14.4289852444711</v>
      </c>
      <c r="L5709" s="30" t="n">
        <f aca="false">(Sens!$L$5706-Sens!$L$5703*(1-tax))/Sens!$L$5707</f>
        <v>16.0008676322621</v>
      </c>
      <c r="M5709" s="30" t="n">
        <f aca="false">(Sens!$M$5706-Sens!$M$5703*(1-tax))/Sens!$M$5707</f>
        <v>17.6340647450673</v>
      </c>
      <c r="P5709" s="5" t="s">
        <v>708</v>
      </c>
    </row>
    <row r="5710" customFormat="false" ht="17.15" hidden="false" customHeight="false" outlineLevel="0" collapsed="false">
      <c r="A5710" s="0" t="s">
        <v>709</v>
      </c>
      <c r="B5710" s="0" t="s">
        <v>52</v>
      </c>
      <c r="H5710" s="12" t="n">
        <f aca="false">Sens!$H$5708/Sens!$G$5708-1</f>
        <v>-0.23574919645846</v>
      </c>
      <c r="I5710" s="12" t="n">
        <f aca="false">Sens!$I$5708/Sens!$H$5708-1</f>
        <v>0.164864493423664</v>
      </c>
      <c r="J5710" s="12" t="n">
        <f aca="false">Sens!$J$5708/Sens!$I$5708-1</f>
        <v>0.132743626162345</v>
      </c>
      <c r="K5710" s="12" t="n">
        <f aca="false">Sens!$K$5708/Sens!$J$5708-1</f>
        <v>0.102024917013454</v>
      </c>
      <c r="L5710" s="12" t="n">
        <f aca="false">Sens!$L$5708/Sens!$K$5708-1</f>
        <v>0.108939219297719</v>
      </c>
      <c r="M5710" s="12" t="n">
        <f aca="false">Sens!$M$5708/Sens!$L$5708-1</f>
        <v>0.102069284637555</v>
      </c>
    </row>
    <row r="5713" customFormat="false" ht="19.4" hidden="false" customHeight="false" outlineLevel="0" collapsed="false">
      <c r="A5713" s="31" t="s">
        <v>1168</v>
      </c>
    </row>
    <row r="5714" customFormat="false" ht="17.15" hidden="false" customHeight="false" outlineLevel="0" collapsed="false">
      <c r="A5714" s="6" t="s">
        <v>16</v>
      </c>
      <c r="B5714" s="6" t="s">
        <v>17</v>
      </c>
      <c r="C5714" s="20" t="s">
        <v>457</v>
      </c>
      <c r="D5714" s="20" t="s">
        <v>458</v>
      </c>
      <c r="E5714" s="20" t="s">
        <v>540</v>
      </c>
      <c r="F5714" s="20" t="s">
        <v>541</v>
      </c>
      <c r="G5714" s="20" t="s">
        <v>542</v>
      </c>
      <c r="H5714" s="20" t="s">
        <v>543</v>
      </c>
      <c r="I5714" s="20" t="s">
        <v>544</v>
      </c>
      <c r="J5714" s="20" t="s">
        <v>545</v>
      </c>
      <c r="K5714" s="20" t="s">
        <v>546</v>
      </c>
      <c r="L5714" s="20" t="s">
        <v>547</v>
      </c>
      <c r="M5714" s="20" t="s">
        <v>548</v>
      </c>
      <c r="N5714" s="20" t="s">
        <v>549</v>
      </c>
      <c r="O5714" s="20" t="s">
        <v>550</v>
      </c>
      <c r="P5714" s="6" t="s">
        <v>23</v>
      </c>
      <c r="R5714" s="20" t="n">
        <v>2023</v>
      </c>
      <c r="S5714" s="20" t="n">
        <v>2024</v>
      </c>
      <c r="T5714" s="20" t="n">
        <v>2025</v>
      </c>
      <c r="U5714" s="20" t="n">
        <v>2026</v>
      </c>
      <c r="V5714" s="20" t="n">
        <v>2027</v>
      </c>
      <c r="W5714" s="20" t="n">
        <v>2028</v>
      </c>
      <c r="X5714" s="20" t="n">
        <v>2029</v>
      </c>
      <c r="Y5714" s="20" t="n">
        <v>2030</v>
      </c>
      <c r="Z5714" s="20" t="n">
        <v>2031</v>
      </c>
      <c r="AA5714" s="20" t="n">
        <v>2032</v>
      </c>
    </row>
    <row r="5715" customFormat="false" ht="15" hidden="false" customHeight="false" outlineLevel="0" collapsed="false">
      <c r="A5715" s="5" t="s">
        <v>509</v>
      </c>
      <c r="B5715" s="0" t="s">
        <v>73</v>
      </c>
      <c r="C5715" s="38" t="n">
        <f aca="false">Sens!$C$5706</f>
        <v>59.248</v>
      </c>
      <c r="D5715" s="38" t="n">
        <f aca="false">Sens!$D$5706</f>
        <v>77.67</v>
      </c>
      <c r="E5715" s="38" t="n">
        <f aca="false">Sens!$E$5706</f>
        <v>92.902</v>
      </c>
      <c r="F5715" s="38" t="n">
        <f aca="false">Sens!$F$5706</f>
        <v>48.9433718146785</v>
      </c>
      <c r="G5715" s="38" t="n">
        <f aca="false">Sens!$G$5706</f>
        <v>141.845371814679</v>
      </c>
      <c r="H5715" s="38" t="n">
        <f aca="false">Sens!$H$5706</f>
        <v>109.272682903121</v>
      </c>
      <c r="I5715" s="38" t="n">
        <f aca="false">Sens!$I$5706</f>
        <v>128.306171362308</v>
      </c>
      <c r="J5715" s="38" t="n">
        <f aca="false">Sens!$J$5706</f>
        <v>146.500701790412</v>
      </c>
      <c r="K5715" s="38" t="n">
        <f aca="false">Sens!$K$5706</f>
        <v>162.739003122855</v>
      </c>
      <c r="L5715" s="38" t="n">
        <f aca="false">Sens!$L$5706</f>
        <v>181.911404376927</v>
      </c>
      <c r="M5715" s="38" t="n">
        <f aca="false">Sens!$M$5706</f>
        <v>202.082803059406</v>
      </c>
    </row>
    <row r="5716" customFormat="false" ht="17.15" hidden="false" customHeight="false" outlineLevel="0" collapsed="false">
      <c r="A5716" s="5" t="s">
        <v>731</v>
      </c>
      <c r="B5716" s="0" t="s">
        <v>73</v>
      </c>
      <c r="C5716" s="38" t="n">
        <f aca="false">Sens!$C$5694</f>
        <v>32.067</v>
      </c>
      <c r="D5716" s="38" t="n">
        <f aca="false">Sens!$D$5694</f>
        <v>41.86</v>
      </c>
      <c r="E5716" s="38" t="n">
        <f aca="false">Sens!$E$5694</f>
        <v>26.703</v>
      </c>
      <c r="F5716" s="38" t="n">
        <f aca="false">Sens!$F$5694</f>
        <v>30.6103857251209</v>
      </c>
      <c r="G5716" s="38" t="n">
        <f aca="false">Sens!$G$5694</f>
        <v>57.3133857251209</v>
      </c>
      <c r="H5716" s="38" t="n">
        <f aca="false">Sens!$H$5694</f>
        <v>87.6845218193838</v>
      </c>
      <c r="I5716" s="38" t="n">
        <f aca="false">Sens!$I$5694</f>
        <v>122.294769708638</v>
      </c>
      <c r="J5716" s="38" t="n">
        <f aca="false">Sens!$J$5694</f>
        <v>157.133962573221</v>
      </c>
      <c r="K5716" s="38" t="n">
        <f aca="false">Sens!$K$5694</f>
        <v>191.350633353599</v>
      </c>
      <c r="L5716" s="38" t="n">
        <f aca="false">Sens!$L$5694</f>
        <v>223.909238335354</v>
      </c>
      <c r="M5716" s="38" t="n">
        <f aca="false">Sens!$M$5694</f>
        <v>257.576319867276</v>
      </c>
    </row>
    <row r="5717" customFormat="false" ht="15" hidden="false" customHeight="false" outlineLevel="0" collapsed="false">
      <c r="A5717" s="5" t="s">
        <v>732</v>
      </c>
      <c r="B5717" s="0" t="s">
        <v>73</v>
      </c>
      <c r="C5717" s="38" t="n">
        <f aca="false">Q!$D$48</f>
        <v>22.011</v>
      </c>
      <c r="D5717" s="38" t="n">
        <f aca="false">Q!$E$48</f>
        <v>19.467</v>
      </c>
      <c r="E5717" s="38" t="n">
        <f aca="false">Q!$P$48</f>
        <v>10.07</v>
      </c>
      <c r="F5717" s="38" t="n">
        <f aca="false">sbc_r*Sens!$F$5638</f>
        <v>11.2170714500462</v>
      </c>
      <c r="G5717" s="38" t="n">
        <f aca="false">Sens!$E$5717+Sens!$F$5717</f>
        <v>21.2870714500462</v>
      </c>
      <c r="H5717" s="38" t="n">
        <f aca="false">sbc_r*Sens!$H$5638</f>
        <v>24.1772394325528</v>
      </c>
      <c r="I5717" s="38" t="n">
        <f aca="false">sbc_r*Sens!$I$5638</f>
        <v>27.6495284422397</v>
      </c>
      <c r="J5717" s="38" t="n">
        <f aca="false">sbc_r*Sens!$J$5638</f>
        <v>30.9042211184633</v>
      </c>
      <c r="K5717" s="38" t="n">
        <f aca="false">sbc_r*Sens!$K$5638</f>
        <v>33.8004145402678</v>
      </c>
      <c r="L5717" s="38" t="n">
        <f aca="false">sbc_r*Sens!$L$5638</f>
        <v>36.8322537652494</v>
      </c>
      <c r="M5717" s="38" t="n">
        <f aca="false">sbc_r*Sens!$M$5638</f>
        <v>40.0097627968013</v>
      </c>
    </row>
    <row r="5718" customFormat="false" ht="17.15" hidden="false" customHeight="false" outlineLevel="0" collapsed="false">
      <c r="A5718" s="5" t="s">
        <v>733</v>
      </c>
      <c r="B5718" s="0" t="s">
        <v>73</v>
      </c>
      <c r="C5718" s="38" t="n">
        <f aca="false">Q!$D$44-Sens!$C$5715-Sens!$C$5716-Sens!$C$5717</f>
        <v>2.551</v>
      </c>
      <c r="D5718" s="38" t="n">
        <f aca="false">Q!$E$44-Sens!$D$5715-Sens!$D$5716-Sens!$D$5717</f>
        <v>0.51700000000001</v>
      </c>
      <c r="E5718" s="38" t="n">
        <f aca="false">Q!$P$44-Sens!$E$5715-Sens!$E$5716-Sens!$E$5717</f>
        <v>-58.256</v>
      </c>
      <c r="F5718" s="38" t="n">
        <f aca="false">wc_2h26+oth_r*Sens!$F$5638</f>
        <v>7.34599241893378</v>
      </c>
      <c r="G5718" s="38" t="n">
        <f aca="false">Sens!$E$5718+Sens!$F$5718</f>
        <v>-50.9100075810662</v>
      </c>
      <c r="H5718" s="38" t="n">
        <f aca="false">oth_r*Sens!$H$5638</f>
        <v>11.6369707537667</v>
      </c>
      <c r="I5718" s="38" t="n">
        <f aca="false">oth_r*Sens!$I$5638</f>
        <v>13.3082502961262</v>
      </c>
      <c r="J5718" s="38" t="n">
        <f aca="false">oth_r*Sens!$J$5638</f>
        <v>14.8747965344332</v>
      </c>
      <c r="K5718" s="38" t="n">
        <f aca="false">oth_r*Sens!$K$5638</f>
        <v>16.2687901804328</v>
      </c>
      <c r="L5718" s="38" t="n">
        <f aca="false">oth_r*Sens!$L$5638</f>
        <v>17.7280727627002</v>
      </c>
      <c r="M5718" s="38" t="n">
        <f aca="false">oth_r*Sens!$M$5638</f>
        <v>19.2574690270319</v>
      </c>
      <c r="P5718" s="8" t="s">
        <v>734</v>
      </c>
    </row>
    <row r="5719" customFormat="false" ht="15" hidden="false" customHeight="false" outlineLevel="0" collapsed="false">
      <c r="A5719" s="3" t="s">
        <v>515</v>
      </c>
      <c r="B5719" s="8" t="s">
        <v>73</v>
      </c>
      <c r="C5719" s="38" t="n">
        <f aca="false">Q!$D$44</f>
        <v>115.877</v>
      </c>
      <c r="D5719" s="38" t="n">
        <f aca="false">Q!$E$44</f>
        <v>139.514</v>
      </c>
      <c r="E5719" s="38" t="n">
        <f aca="false">Q!$P$44</f>
        <v>71.419</v>
      </c>
      <c r="F5719" s="38" t="n">
        <f aca="false">Sens!$F$5715+Sens!$F$5716+Sens!$F$5717+Sens!$F$5718</f>
        <v>98.1168214087795</v>
      </c>
      <c r="G5719" s="38" t="n">
        <f aca="false">Sens!$E$5719+Sens!$F$5719</f>
        <v>169.535821408779</v>
      </c>
      <c r="H5719" s="38" t="n">
        <f aca="false">Sens!$H$5715+Sens!$H$5716+Sens!$H$5717+Sens!$H$5718</f>
        <v>232.771414908824</v>
      </c>
      <c r="I5719" s="38" t="n">
        <f aca="false">Sens!$I$5715+Sens!$I$5716+Sens!$I$5717+Sens!$I$5718</f>
        <v>291.558719809312</v>
      </c>
      <c r="J5719" s="38" t="n">
        <f aca="false">Sens!$J$5715+Sens!$J$5716+Sens!$J$5717+Sens!$J$5718</f>
        <v>349.413682016529</v>
      </c>
      <c r="K5719" s="38" t="n">
        <f aca="false">Sens!$K$5715+Sens!$K$5716+Sens!$K$5717+Sens!$K$5718</f>
        <v>404.158841197156</v>
      </c>
      <c r="L5719" s="38" t="n">
        <f aca="false">Sens!$L$5715+Sens!$L$5716+Sens!$L$5717+Sens!$L$5718</f>
        <v>460.380969240231</v>
      </c>
      <c r="M5719" s="38" t="n">
        <f aca="false">Sens!$M$5715+Sens!$M$5716+Sens!$M$5717+Sens!$M$5718</f>
        <v>518.926354750515</v>
      </c>
    </row>
    <row r="5720" customFormat="false" ht="17.15" hidden="false" customHeight="false" outlineLevel="0" collapsed="false">
      <c r="A5720" s="5" t="s">
        <v>735</v>
      </c>
      <c r="B5720" s="0" t="s">
        <v>73</v>
      </c>
      <c r="C5720" s="38" t="n">
        <f aca="false">Sens!$C$5607</f>
        <v>25.2781053077374</v>
      </c>
      <c r="D5720" s="38" t="n">
        <f aca="false">Sens!$D$5607</f>
        <v>69.5686316310026</v>
      </c>
      <c r="E5720" s="38" t="n">
        <f aca="false">Sens!$E$5607</f>
        <v>64.1899206485108</v>
      </c>
      <c r="F5720" s="38" t="n">
        <f aca="false">Sens!$F$5607</f>
        <v>96.2481299895</v>
      </c>
      <c r="G5720" s="38" t="n">
        <f aca="false">Sens!$G$5607</f>
        <v>160.438050638011</v>
      </c>
      <c r="H5720" s="38" t="n">
        <f aca="false">Sens!$H$5607</f>
        <v>198.57136494475</v>
      </c>
      <c r="I5720" s="38" t="n">
        <f aca="false">Sens!$I$5607</f>
        <v>204.6464699105</v>
      </c>
      <c r="J5720" s="38" t="n">
        <f aca="false">Sens!$J$5607</f>
        <v>209.8832381105</v>
      </c>
      <c r="K5720" s="38" t="n">
        <f aca="false">Sens!$K$5607</f>
        <v>215.1200063105</v>
      </c>
      <c r="L5720" s="38" t="n">
        <f aca="false">Sens!$L$5607</f>
        <v>251.7773837105</v>
      </c>
      <c r="M5720" s="38" t="n">
        <f aca="false">Sens!$M$5607</f>
        <v>311.87584476575</v>
      </c>
    </row>
    <row r="5721" customFormat="false" ht="17.15" hidden="false" customHeight="false" outlineLevel="0" collapsed="false">
      <c r="A5721" s="5" t="s">
        <v>736</v>
      </c>
      <c r="B5721" s="0" t="s">
        <v>73</v>
      </c>
      <c r="C5721" s="38" t="n">
        <f aca="false">cx_awso*Sens!$C$5636</f>
        <v>21.0469989286053</v>
      </c>
      <c r="D5721" s="38" t="n">
        <f aca="false">cx_awso*Sens!$D$5636</f>
        <v>24.0042459822698</v>
      </c>
      <c r="E5721" s="38" t="n">
        <f aca="false">cx_awso*Sens!$E$5636</f>
        <v>14.261729404886</v>
      </c>
      <c r="F5721" s="38" t="n">
        <f aca="false">cx_awso*Sens!$F$5636</f>
        <v>15.7190020837331</v>
      </c>
      <c r="G5721" s="38" t="n">
        <f aca="false">Sens!$E$5721+Sens!$F$5721</f>
        <v>29.9807314886191</v>
      </c>
      <c r="H5721" s="38" t="n">
        <f aca="false">cx_awso*Sens!$H$5636</f>
        <v>36.1787121536283</v>
      </c>
      <c r="I5721" s="38" t="n">
        <f aca="false">cx_awso*Sens!$I$5636</f>
        <v>42.1296794430021</v>
      </c>
      <c r="J5721" s="38" t="n">
        <f aca="false">cx_awso*Sens!$J$5636</f>
        <v>47.279781889299</v>
      </c>
      <c r="K5721" s="38" t="n">
        <f aca="false">cx_awso*Sens!$K$5636</f>
        <v>51.0621644404429</v>
      </c>
      <c r="L5721" s="38" t="n">
        <f aca="false">cx_awso*Sens!$L$5636</f>
        <v>55.1471375956783</v>
      </c>
      <c r="M5721" s="38" t="n">
        <f aca="false">cx_awso*Sens!$M$5636</f>
        <v>59.5589086033326</v>
      </c>
    </row>
    <row r="5722" customFormat="false" ht="17.15" hidden="false" customHeight="false" outlineLevel="0" collapsed="false">
      <c r="A5722" s="5" t="s">
        <v>737</v>
      </c>
      <c r="B5722" s="0" t="s">
        <v>73</v>
      </c>
      <c r="C5722" s="38" t="n">
        <f aca="false">Q!$D$46-Sens!$C$5720-Sens!$C$5721</f>
        <v>31.3328957636573</v>
      </c>
      <c r="D5722" s="38" t="n">
        <f aca="false">Q!$E$46-Sens!$D$5720-Sens!$D$5721</f>
        <v>34.7471223867276</v>
      </c>
      <c r="E5722" s="38" t="n">
        <f aca="false">Q!$P$46-Sens!$E$5720-Sens!$E$5721</f>
        <v>17.8583499466032</v>
      </c>
      <c r="F5722" s="38" t="n">
        <f aca="false">cx_rt*Sens!$F$5571</f>
        <v>21.0855744229195</v>
      </c>
      <c r="G5722" s="38" t="n">
        <f aca="false">Sens!$E$5722+Sens!$F$5722</f>
        <v>38.9439243695228</v>
      </c>
      <c r="H5722" s="38" t="n">
        <f aca="false">cx_rt*Sens!$H$5571</f>
        <v>43.1200434029767</v>
      </c>
      <c r="I5722" s="38" t="n">
        <f aca="false">cx_rt*Sens!$I$5571</f>
        <v>47.1583152318763</v>
      </c>
      <c r="J5722" s="38" t="n">
        <f aca="false">cx_rt*Sens!$J$5571</f>
        <v>50.9060281137911</v>
      </c>
      <c r="K5722" s="38" t="n">
        <f aca="false">cx_rt*Sens!$K$5571</f>
        <v>54.2035645673053</v>
      </c>
      <c r="L5722" s="38" t="n">
        <f aca="false">cx_rt*Sens!$L$5571</f>
        <v>57.7318979121519</v>
      </c>
      <c r="M5722" s="38" t="n">
        <f aca="false">cx_rt*Sens!$M$5571</f>
        <v>61.5084196557756</v>
      </c>
    </row>
    <row r="5723" customFormat="false" ht="15" hidden="false" customHeight="false" outlineLevel="0" collapsed="false">
      <c r="A5723" s="3" t="s">
        <v>738</v>
      </c>
      <c r="B5723" s="8" t="s">
        <v>73</v>
      </c>
      <c r="C5723" s="38" t="n">
        <f aca="false">Q!$D$46</f>
        <v>77.658</v>
      </c>
      <c r="D5723" s="38" t="n">
        <f aca="false">Q!$E$46</f>
        <v>128.32</v>
      </c>
      <c r="E5723" s="38" t="n">
        <f aca="false">Q!$P$46</f>
        <v>96.31</v>
      </c>
      <c r="F5723" s="38" t="n">
        <f aca="false">Sens!$F$5720+Sens!$F$5721+Sens!$F$5722</f>
        <v>133.052706496153</v>
      </c>
      <c r="G5723" s="38" t="n">
        <f aca="false">Sens!$E$5723+Sens!$F$5723</f>
        <v>229.362706496153</v>
      </c>
      <c r="H5723" s="38" t="n">
        <f aca="false">Sens!$H$5720+Sens!$H$5721+Sens!$H$5722</f>
        <v>277.870120501355</v>
      </c>
      <c r="I5723" s="38" t="n">
        <f aca="false">Sens!$I$5720+Sens!$I$5721+Sens!$I$5722</f>
        <v>293.934464585378</v>
      </c>
      <c r="J5723" s="38" t="n">
        <f aca="false">Sens!$J$5720+Sens!$J$5721+Sens!$J$5722</f>
        <v>308.06904811359</v>
      </c>
      <c r="K5723" s="38" t="n">
        <f aca="false">Sens!$K$5720+Sens!$K$5721+Sens!$K$5722</f>
        <v>320.385735318248</v>
      </c>
      <c r="L5723" s="38" t="n">
        <f aca="false">Sens!$L$5720+Sens!$L$5721+Sens!$L$5722</f>
        <v>364.65641921833</v>
      </c>
      <c r="M5723" s="38" t="n">
        <f aca="false">Sens!$M$5720+Sens!$M$5721+Sens!$M$5722</f>
        <v>432.943173024858</v>
      </c>
    </row>
    <row r="5724" customFormat="false" ht="17.15" hidden="false" customHeight="false" outlineLevel="0" collapsed="false">
      <c r="A5724" s="5" t="s">
        <v>523</v>
      </c>
      <c r="B5724" s="0" t="s">
        <v>73</v>
      </c>
      <c r="C5724" s="38" t="n">
        <f aca="false">Q!$D$50</f>
        <v>2.043</v>
      </c>
      <c r="D5724" s="38" t="n">
        <f aca="false">Q!$E$50</f>
        <v>1.557</v>
      </c>
      <c r="E5724" s="38" t="n">
        <f aca="false">lease_pr/2</f>
        <v>0.8</v>
      </c>
      <c r="F5724" s="38" t="n">
        <f aca="false">lease_pr/2</f>
        <v>0.8</v>
      </c>
      <c r="G5724" s="38" t="n">
        <f aca="false">Sens!$E$5724+Sens!$F$5724</f>
        <v>1.6</v>
      </c>
      <c r="H5724" s="38" t="n">
        <f aca="false">lease_pr</f>
        <v>1.6</v>
      </c>
      <c r="I5724" s="38" t="n">
        <f aca="false">lease_pr</f>
        <v>1.6</v>
      </c>
      <c r="J5724" s="38" t="n">
        <f aca="false">lease_pr</f>
        <v>1.6</v>
      </c>
      <c r="K5724" s="38" t="n">
        <f aca="false">lease_pr</f>
        <v>1.6</v>
      </c>
      <c r="L5724" s="38" t="n">
        <f aca="false">lease_pr</f>
        <v>1.6</v>
      </c>
      <c r="M5724" s="38" t="n">
        <f aca="false">lease_pr</f>
        <v>1.6</v>
      </c>
      <c r="P5724" s="8" t="s">
        <v>739</v>
      </c>
    </row>
    <row r="5725" customFormat="false" ht="15" hidden="false" customHeight="false" outlineLevel="0" collapsed="false">
      <c r="A5725" s="46" t="s">
        <v>740</v>
      </c>
      <c r="B5725" s="13" t="s">
        <v>73</v>
      </c>
      <c r="C5725" s="47" t="n">
        <f aca="false">Sens!$C$5719-Sens!$C$5723-Sens!$C$5724</f>
        <v>36.176</v>
      </c>
      <c r="D5725" s="47" t="n">
        <f aca="false">Sens!$D$5719-Sens!$D$5723-Sens!$D$5724</f>
        <v>9.63700000000002</v>
      </c>
      <c r="E5725" s="47" t="n">
        <f aca="false">Sens!$E$5719-Sens!$E$5723-Sens!$E$5724</f>
        <v>-25.691</v>
      </c>
      <c r="F5725" s="47" t="n">
        <f aca="false">Sens!$F$5719-Sens!$F$5723-Sens!$F$5724</f>
        <v>-35.7358850873731</v>
      </c>
      <c r="G5725" s="47" t="n">
        <f aca="false">Sens!$G$5719-Sens!$G$5723-Sens!$G$5724</f>
        <v>-61.4268850873731</v>
      </c>
      <c r="H5725" s="47" t="n">
        <f aca="false">Sens!$H$5719-Sens!$H$5723-Sens!$H$5724</f>
        <v>-46.6987055925312</v>
      </c>
      <c r="I5725" s="47" t="n">
        <f aca="false">Sens!$I$5719-Sens!$I$5723-Sens!$I$5724</f>
        <v>-3.97574477606648</v>
      </c>
      <c r="J5725" s="47" t="n">
        <f aca="false">Sens!$J$5719-Sens!$J$5723-Sens!$J$5724</f>
        <v>39.7446339029391</v>
      </c>
      <c r="K5725" s="47" t="n">
        <f aca="false">Sens!$K$5719-Sens!$K$5723-Sens!$K$5724</f>
        <v>82.1731058789073</v>
      </c>
      <c r="L5725" s="47" t="n">
        <f aca="false">Sens!$L$5719-Sens!$L$5723-Sens!$L$5724</f>
        <v>94.1245500219009</v>
      </c>
      <c r="M5725" s="47" t="n">
        <f aca="false">Sens!$M$5719-Sens!$M$5723-Sens!$M$5724</f>
        <v>84.3831817256571</v>
      </c>
      <c r="N5725" s="13"/>
      <c r="O5725" s="13"/>
    </row>
    <row r="5726" customFormat="false" ht="17.15" hidden="false" customHeight="false" outlineLevel="0" collapsed="false">
      <c r="A5726" s="5" t="s">
        <v>741</v>
      </c>
      <c r="B5726" s="0" t="s">
        <v>73</v>
      </c>
      <c r="C5726" s="38" t="n">
        <f aca="false">dps*Sens!$C$5707</f>
        <v>0</v>
      </c>
      <c r="D5726" s="38" t="n">
        <f aca="false">dps*Sens!$D$5707</f>
        <v>0</v>
      </c>
      <c r="E5726" s="38" t="n">
        <f aca="false">dps*Sens!$E$5707</f>
        <v>0</v>
      </c>
      <c r="F5726" s="38" t="n">
        <f aca="false">0</f>
        <v>0</v>
      </c>
      <c r="G5726" s="38" t="n">
        <f aca="false">dps*Sens!$G$5707</f>
        <v>0</v>
      </c>
      <c r="H5726" s="38" t="n">
        <f aca="false">dps*Sens!$H$5707</f>
        <v>0</v>
      </c>
      <c r="I5726" s="38" t="n">
        <f aca="false">dps*Sens!$I$5707</f>
        <v>0</v>
      </c>
      <c r="J5726" s="38" t="n">
        <f aca="false">dps*Sens!$J$5707</f>
        <v>0</v>
      </c>
      <c r="K5726" s="38" t="n">
        <f aca="false">dps*Sens!$K$5707</f>
        <v>0</v>
      </c>
      <c r="L5726" s="38" t="n">
        <f aca="false">dps*Sens!$L$5707</f>
        <v>0</v>
      </c>
      <c r="M5726" s="38" t="n">
        <f aca="false">dps*Sens!$M$5707</f>
        <v>0</v>
      </c>
      <c r="P5726" s="8" t="s">
        <v>742</v>
      </c>
    </row>
    <row r="5727" customFormat="false" ht="17.15" hidden="false" customHeight="false" outlineLevel="0" collapsed="false">
      <c r="A5727" s="5" t="s">
        <v>743</v>
      </c>
      <c r="B5727" s="0" t="s">
        <v>73</v>
      </c>
      <c r="C5727" s="38" t="n">
        <f aca="false">0</f>
        <v>0</v>
      </c>
      <c r="D5727" s="38" t="n">
        <f aca="false">0</f>
        <v>0</v>
      </c>
      <c r="E5727" s="38" t="n">
        <f aca="false">0</f>
        <v>0</v>
      </c>
      <c r="F5727" s="38" t="n">
        <f aca="false">0</f>
        <v>0</v>
      </c>
      <c r="G5727" s="38" t="n">
        <f aca="false">0</f>
        <v>0</v>
      </c>
      <c r="H5727" s="38" t="n">
        <f aca="false">0</f>
        <v>0</v>
      </c>
      <c r="I5727" s="38" t="n">
        <f aca="false">0</f>
        <v>0</v>
      </c>
      <c r="J5727" s="38" t="n">
        <f aca="false">0</f>
        <v>0</v>
      </c>
      <c r="K5727" s="38" t="n">
        <f aca="false">0</f>
        <v>0</v>
      </c>
      <c r="L5727" s="38" t="n">
        <f aca="false">0</f>
        <v>0</v>
      </c>
      <c r="M5727" s="38" t="n">
        <f aca="false">0</f>
        <v>0</v>
      </c>
      <c r="P5727" s="8" t="s">
        <v>744</v>
      </c>
    </row>
    <row r="5728" customFormat="false" ht="15" hidden="false" customHeight="false" outlineLevel="0" collapsed="false">
      <c r="A5728" s="3" t="s">
        <v>745</v>
      </c>
      <c r="B5728" s="8" t="s">
        <v>73</v>
      </c>
      <c r="C5728" s="38" t="n">
        <f aca="false">Sens!$C$5725-Sens!$C$5726</f>
        <v>36.176</v>
      </c>
      <c r="D5728" s="38" t="n">
        <f aca="false">Sens!$D$5725-Sens!$D$5726</f>
        <v>9.63700000000002</v>
      </c>
      <c r="E5728" s="38" t="n">
        <f aca="false">Sens!$E$5725-Sens!$E$5726</f>
        <v>-25.691</v>
      </c>
      <c r="F5728" s="38" t="n">
        <f aca="false">Sens!$F$5725-Sens!$F$5726</f>
        <v>-35.7358850873731</v>
      </c>
      <c r="G5728" s="38" t="n">
        <f aca="false">Sens!$G$5725-Sens!$G$5726</f>
        <v>-61.4268850873731</v>
      </c>
      <c r="H5728" s="38" t="n">
        <f aca="false">Sens!$H$5725-Sens!$H$5726</f>
        <v>-46.6987055925312</v>
      </c>
      <c r="I5728" s="38" t="n">
        <f aca="false">Sens!$I$5725-Sens!$I$5726</f>
        <v>-3.97574477606648</v>
      </c>
      <c r="J5728" s="38" t="n">
        <f aca="false">Sens!$J$5725-Sens!$J$5726</f>
        <v>39.7446339029391</v>
      </c>
      <c r="K5728" s="38" t="n">
        <f aca="false">Sens!$K$5725-Sens!$K$5726</f>
        <v>82.1731058789073</v>
      </c>
      <c r="L5728" s="38" t="n">
        <f aca="false">Sens!$L$5725-Sens!$L$5726</f>
        <v>94.1245500219009</v>
      </c>
      <c r="M5728" s="38" t="n">
        <f aca="false">Sens!$M$5725-Sens!$M$5726</f>
        <v>84.3831817256571</v>
      </c>
    </row>
    <row r="5729" customFormat="false" ht="17.15" hidden="false" customHeight="false" outlineLevel="0" collapsed="false">
      <c r="A5729" s="5" t="s">
        <v>746</v>
      </c>
      <c r="B5729" s="0" t="s">
        <v>73</v>
      </c>
      <c r="E5729" s="38" t="n">
        <f aca="false">Q!$P$53</f>
        <v>39.767</v>
      </c>
      <c r="F5729" s="38" t="n">
        <f aca="false">inv_2h26</f>
        <v>21.3</v>
      </c>
      <c r="G5729" s="38" t="n">
        <f aca="false">Sens!$E$5729+Sens!$F$5729</f>
        <v>61.067</v>
      </c>
      <c r="H5729" s="41" t="n">
        <v>0</v>
      </c>
      <c r="I5729" s="41" t="n">
        <v>0</v>
      </c>
      <c r="J5729" s="41" t="n">
        <v>0</v>
      </c>
      <c r="K5729" s="41" t="n">
        <v>0</v>
      </c>
      <c r="L5729" s="41" t="n">
        <v>0</v>
      </c>
      <c r="M5729" s="41" t="n">
        <v>0</v>
      </c>
    </row>
    <row r="5730" customFormat="false" ht="17.15" hidden="false" customHeight="false" outlineLevel="0" collapsed="false">
      <c r="A5730" s="5" t="s">
        <v>747</v>
      </c>
      <c r="B5730" s="0" t="s">
        <v>73</v>
      </c>
      <c r="F5730" s="38" t="n">
        <f aca="false">iss_2h26</f>
        <v>29.25</v>
      </c>
      <c r="G5730" s="38" t="n">
        <f aca="false">Sens!$F$5730</f>
        <v>29.25</v>
      </c>
      <c r="H5730" s="41" t="n">
        <v>0</v>
      </c>
      <c r="I5730" s="41" t="n">
        <v>0</v>
      </c>
      <c r="J5730" s="41" t="n">
        <v>0</v>
      </c>
      <c r="K5730" s="41" t="n">
        <v>0</v>
      </c>
      <c r="L5730" s="41" t="n">
        <v>0</v>
      </c>
      <c r="M5730" s="41" t="n">
        <v>0</v>
      </c>
    </row>
    <row r="5731" customFormat="false" ht="17.15" hidden="false" customHeight="false" outlineLevel="0" collapsed="false">
      <c r="A5731" s="5" t="s">
        <v>748</v>
      </c>
      <c r="B5731" s="0" t="s">
        <v>73</v>
      </c>
      <c r="F5731" s="38" t="n">
        <f aca="false">cash_q2</f>
        <v>122.988</v>
      </c>
      <c r="G5731" s="38" t="n">
        <f aca="false">cash_q2</f>
        <v>122.988</v>
      </c>
      <c r="H5731" s="38" t="n">
        <f aca="false">Sens!$G$5734</f>
        <v>95.2021149126269</v>
      </c>
      <c r="I5731" s="38" t="n">
        <f aca="false">Sens!$H$5734</f>
        <v>50</v>
      </c>
      <c r="J5731" s="38" t="n">
        <f aca="false">Sens!$I$5734</f>
        <v>50</v>
      </c>
      <c r="K5731" s="38" t="n">
        <f aca="false">Sens!$J$5734</f>
        <v>89.7446339029391</v>
      </c>
      <c r="L5731" s="38" t="n">
        <f aca="false">Sens!$K$5734</f>
        <v>171.917739781846</v>
      </c>
      <c r="M5731" s="38" t="n">
        <f aca="false">Sens!$L$5734</f>
        <v>266.042289803747</v>
      </c>
    </row>
    <row r="5732" customFormat="false" ht="15" hidden="false" customHeight="false" outlineLevel="0" collapsed="false">
      <c r="A5732" s="5" t="s">
        <v>749</v>
      </c>
      <c r="B5732" s="0" t="s">
        <v>73</v>
      </c>
      <c r="F5732" s="38" t="n">
        <f aca="false">Sens!$F$5731+Sens!$F$5728-Sens!$F$5727-Sens!$F$5729+Sens!$F$5730</f>
        <v>95.2021149126269</v>
      </c>
      <c r="H5732" s="38" t="n">
        <f aca="false">Sens!$H$5731+Sens!$H$5728-Sens!$H$5727-Sens!$H$5729+Sens!$H$5730</f>
        <v>48.5034093200957</v>
      </c>
      <c r="I5732" s="38" t="n">
        <f aca="false">Sens!$I$5731+Sens!$I$5728-Sens!$I$5727-Sens!$I$5729+Sens!$I$5730</f>
        <v>46.0242552239335</v>
      </c>
      <c r="J5732" s="38" t="n">
        <f aca="false">Sens!$J$5731+Sens!$J$5728-Sens!$J$5727-Sens!$J$5729+Sens!$J$5730</f>
        <v>89.7446339029391</v>
      </c>
      <c r="K5732" s="38" t="n">
        <f aca="false">Sens!$K$5731+Sens!$K$5728-Sens!$K$5727-Sens!$K$5729+Sens!$K$5730</f>
        <v>171.917739781846</v>
      </c>
      <c r="L5732" s="38" t="n">
        <f aca="false">Sens!$L$5731+Sens!$L$5728-Sens!$L$5727-Sens!$L$5729+Sens!$L$5730</f>
        <v>266.042289803747</v>
      </c>
      <c r="M5732" s="38" t="n">
        <f aca="false">Sens!$M$5731+Sens!$M$5728-Sens!$M$5727-Sens!$M$5729+Sens!$M$5730</f>
        <v>350.425471529404</v>
      </c>
    </row>
    <row r="5733" customFormat="false" ht="17.15" hidden="false" customHeight="false" outlineLevel="0" collapsed="false">
      <c r="A5733" s="5" t="s">
        <v>750</v>
      </c>
      <c r="B5733" s="0" t="s">
        <v>73</v>
      </c>
      <c r="F5733" s="38" t="n">
        <f aca="false">MAX(0,min_cash-Sens!$F$5732)</f>
        <v>0</v>
      </c>
      <c r="G5733" s="38" t="n">
        <f aca="false">Sens!$F$5733</f>
        <v>0</v>
      </c>
      <c r="H5733" s="38" t="n">
        <f aca="false">MAX(0,min_cash-Sens!$H$5732)</f>
        <v>1.49659067990431</v>
      </c>
      <c r="I5733" s="38" t="n">
        <f aca="false">MAX(0,min_cash-Sens!$I$5732)</f>
        <v>3.97574477606648</v>
      </c>
      <c r="J5733" s="38" t="n">
        <f aca="false">MAX(0,min_cash-Sens!$J$5732)</f>
        <v>0</v>
      </c>
      <c r="K5733" s="38" t="n">
        <f aca="false">MAX(0,min_cash-Sens!$K$5732)</f>
        <v>0</v>
      </c>
      <c r="L5733" s="38" t="n">
        <f aca="false">MAX(0,min_cash-Sens!$L$5732)</f>
        <v>0</v>
      </c>
      <c r="M5733" s="38" t="n">
        <f aca="false">MAX(0,min_cash-Sens!$M$5732)</f>
        <v>0</v>
      </c>
      <c r="P5733" s="5" t="s">
        <v>751</v>
      </c>
    </row>
    <row r="5734" customFormat="false" ht="15" hidden="false" customHeight="false" outlineLevel="0" collapsed="false">
      <c r="A5734" s="5" t="s">
        <v>752</v>
      </c>
      <c r="B5734" s="0" t="s">
        <v>73</v>
      </c>
      <c r="D5734" s="38" t="n">
        <f aca="false">Q!$E$61</f>
        <v>123.029</v>
      </c>
      <c r="E5734" s="38" t="n">
        <f aca="false">Q!$M$61</f>
        <v>122.988</v>
      </c>
      <c r="F5734" s="38" t="n">
        <f aca="false">Sens!$F$5732+Sens!$F$5733</f>
        <v>95.2021149126269</v>
      </c>
      <c r="G5734" s="38" t="n">
        <f aca="false">Sens!$F$5734</f>
        <v>95.2021149126269</v>
      </c>
      <c r="H5734" s="38" t="n">
        <f aca="false">Sens!$H$5732+Sens!$H$5733</f>
        <v>50</v>
      </c>
      <c r="I5734" s="38" t="n">
        <f aca="false">Sens!$I$5732+Sens!$I$5733</f>
        <v>50</v>
      </c>
      <c r="J5734" s="38" t="n">
        <f aca="false">Sens!$J$5732+Sens!$J$5733</f>
        <v>89.7446339029391</v>
      </c>
      <c r="K5734" s="38" t="n">
        <f aca="false">Sens!$K$5732+Sens!$K$5733</f>
        <v>171.917739781846</v>
      </c>
      <c r="L5734" s="38" t="n">
        <f aca="false">Sens!$L$5732+Sens!$L$5733</f>
        <v>266.042289803747</v>
      </c>
      <c r="M5734" s="38" t="n">
        <f aca="false">Sens!$M$5732+Sens!$M$5733</f>
        <v>350.425471529404</v>
      </c>
    </row>
    <row r="5735" customFormat="false" ht="15" hidden="false" customHeight="false" outlineLevel="0" collapsed="false">
      <c r="A5735" s="5" t="s">
        <v>753</v>
      </c>
      <c r="B5735" s="0" t="s">
        <v>73</v>
      </c>
      <c r="D5735" s="38" t="n">
        <f aca="false">Q!$E$62</f>
        <v>68.836</v>
      </c>
      <c r="E5735" s="38" t="n">
        <f aca="false">Q!$M$62</f>
        <v>132.995</v>
      </c>
      <c r="F5735" s="38" t="n">
        <f aca="false">debt_q2+Sens!$F$5730+Sens!$F$5733</f>
        <v>162.245</v>
      </c>
      <c r="G5735" s="38" t="n">
        <f aca="false">Sens!$F$5735</f>
        <v>162.245</v>
      </c>
      <c r="H5735" s="38" t="n">
        <f aca="false">Sens!$G$5735+Sens!$H$5733</f>
        <v>163.741590679904</v>
      </c>
      <c r="I5735" s="38" t="n">
        <f aca="false">Sens!$H$5735+Sens!$I$5733</f>
        <v>167.717335455971</v>
      </c>
      <c r="J5735" s="38" t="n">
        <f aca="false">Sens!$I$5735+Sens!$J$5733</f>
        <v>167.717335455971</v>
      </c>
      <c r="K5735" s="38" t="n">
        <f aca="false">Sens!$J$5735+Sens!$K$5733</f>
        <v>167.717335455971</v>
      </c>
      <c r="L5735" s="38" t="n">
        <f aca="false">Sens!$K$5735+Sens!$L$5733</f>
        <v>167.717335455971</v>
      </c>
      <c r="M5735" s="38" t="n">
        <f aca="false">Sens!$L$5735+Sens!$M$5733</f>
        <v>167.717335455971</v>
      </c>
    </row>
    <row r="5736" customFormat="false" ht="15" hidden="false" customHeight="false" outlineLevel="0" collapsed="false">
      <c r="A5736" s="5" t="s">
        <v>754</v>
      </c>
      <c r="B5736" s="0" t="s">
        <v>73</v>
      </c>
      <c r="D5736" s="38" t="n">
        <f aca="false">Sens!$D$5735-Sens!$D$5734</f>
        <v>-54.193</v>
      </c>
      <c r="E5736" s="38" t="n">
        <f aca="false">Sens!$E$5735-Sens!$E$5734</f>
        <v>10.007</v>
      </c>
      <c r="F5736" s="38" t="n">
        <f aca="false">Sens!$F$5735-Sens!$F$5734</f>
        <v>67.0428850873731</v>
      </c>
      <c r="G5736" s="38" t="n">
        <f aca="false">Sens!$G$5735-Sens!$G$5734</f>
        <v>67.0428850873731</v>
      </c>
      <c r="H5736" s="38" t="n">
        <f aca="false">Sens!$H$5735-Sens!$H$5734</f>
        <v>113.741590679904</v>
      </c>
      <c r="I5736" s="38" t="n">
        <f aca="false">Sens!$I$5735-Sens!$I$5734</f>
        <v>117.717335455971</v>
      </c>
      <c r="J5736" s="38" t="n">
        <f aca="false">Sens!$J$5735-Sens!$J$5734</f>
        <v>77.9727015530317</v>
      </c>
      <c r="K5736" s="38" t="n">
        <f aca="false">Sens!$K$5735-Sens!$K$5734</f>
        <v>-4.20040432587558</v>
      </c>
      <c r="L5736" s="38" t="n">
        <f aca="false">Sens!$L$5735-Sens!$L$5734</f>
        <v>-98.3249543477765</v>
      </c>
      <c r="M5736" s="38" t="n">
        <f aca="false">Sens!$M$5735-Sens!$M$5734</f>
        <v>-182.708136073434</v>
      </c>
    </row>
    <row r="5737" customFormat="false" ht="17.15" hidden="false" customHeight="false" outlineLevel="0" collapsed="false">
      <c r="A5737" s="5" t="s">
        <v>755</v>
      </c>
      <c r="B5737" s="0" t="s">
        <v>73</v>
      </c>
      <c r="F5737" s="38" t="n">
        <f aca="false">debt_q2*kd_book*0.5+iss_2h26*kd_new*0.25</f>
        <v>3.24888964316061</v>
      </c>
      <c r="H5737" s="38" t="n">
        <f aca="false">debt_q2*kd_book+(Sens!$G$5735-debt_q2)*kd_new</f>
        <v>7.42354178632123</v>
      </c>
      <c r="I5737" s="38" t="n">
        <f aca="false">debt_q2*kd_book+(Sens!$H$5735-debt_q2)*kd_new</f>
        <v>7.51827597635917</v>
      </c>
      <c r="J5737" s="38" t="n">
        <f aca="false">debt_q2*kd_book+(Sens!$I$5735-debt_q2)*kd_new</f>
        <v>7.76994062068418</v>
      </c>
      <c r="K5737" s="38" t="n">
        <f aca="false">debt_q2*kd_book+(Sens!$J$5735-debt_q2)*kd_new</f>
        <v>7.76994062068418</v>
      </c>
      <c r="L5737" s="38" t="n">
        <f aca="false">debt_q2*kd_book+(Sens!$K$5735-debt_q2)*kd_new</f>
        <v>7.76994062068418</v>
      </c>
      <c r="M5737" s="38" t="n">
        <f aca="false">debt_q2*kd_book+(Sens!$L$5735-debt_q2)*kd_new</f>
        <v>7.76994062068418</v>
      </c>
    </row>
    <row r="5738" customFormat="false" ht="17.15" hidden="false" customHeight="false" outlineLevel="0" collapsed="false">
      <c r="A5738" s="5" t="s">
        <v>756</v>
      </c>
      <c r="B5738" s="0" t="s">
        <v>73</v>
      </c>
      <c r="F5738" s="38" t="n">
        <f aca="false">cash_q2*y_cash*0.5</f>
        <v>2.59</v>
      </c>
      <c r="H5738" s="38" t="n">
        <f aca="false">Sens!$G$5734*y_cash</f>
        <v>4.00971603121774</v>
      </c>
      <c r="I5738" s="38" t="n">
        <f aca="false">Sens!$H$5734*y_cash</f>
        <v>2.10589651022864</v>
      </c>
      <c r="J5738" s="38" t="n">
        <f aca="false">Sens!$I$5734*y_cash</f>
        <v>2.10589651022864</v>
      </c>
      <c r="K5738" s="38" t="n">
        <f aca="false">Sens!$J$5734*y_cash</f>
        <v>3.77985822695893</v>
      </c>
      <c r="L5738" s="38" t="n">
        <f aca="false">Sens!$K$5734*y_cash</f>
        <v>7.24081936505971</v>
      </c>
      <c r="M5738" s="38" t="n">
        <f aca="false">Sens!$L$5734*y_cash</f>
        <v>11.205150593419</v>
      </c>
    </row>
    <row r="5739" customFormat="false" ht="17.15" hidden="false" customHeight="false" outlineLevel="0" collapsed="false">
      <c r="A5739" s="46" t="s">
        <v>757</v>
      </c>
      <c r="B5739" s="13" t="s">
        <v>73</v>
      </c>
      <c r="C5739" s="13"/>
      <c r="D5739" s="13"/>
      <c r="E5739" s="13"/>
      <c r="F5739" s="13"/>
      <c r="G5739" s="47" t="n">
        <f aca="false">SUM(Sens!$G$5728:$K$5728)</f>
        <v>9.81640432587554</v>
      </c>
      <c r="H5739" s="13"/>
      <c r="I5739" s="13"/>
      <c r="J5739" s="13"/>
      <c r="K5739" s="13"/>
      <c r="L5739" s="13"/>
      <c r="M5739" s="13"/>
      <c r="N5739" s="13"/>
      <c r="O5739" s="13"/>
    </row>
    <row r="5740" customFormat="false" ht="17.15" hidden="false" customHeight="false" outlineLevel="0" collapsed="false">
      <c r="A5740" s="0" t="s">
        <v>724</v>
      </c>
      <c r="B5740" s="0" t="s">
        <v>73</v>
      </c>
      <c r="G5740" s="38" t="n">
        <f aca="false">SUM(Sens!$G$5733:$K$5733)</f>
        <v>5.47233545597079</v>
      </c>
    </row>
    <row r="5743" customFormat="false" ht="19.4" hidden="false" customHeight="false" outlineLevel="0" collapsed="false">
      <c r="A5743" s="31" t="s">
        <v>1169</v>
      </c>
    </row>
    <row r="5744" customFormat="false" ht="17.15" hidden="false" customHeight="false" outlineLevel="0" collapsed="false">
      <c r="A5744" s="6" t="s">
        <v>16</v>
      </c>
      <c r="B5744" s="6" t="s">
        <v>17</v>
      </c>
      <c r="C5744" s="20" t="s">
        <v>457</v>
      </c>
      <c r="D5744" s="20" t="s">
        <v>458</v>
      </c>
      <c r="E5744" s="20" t="s">
        <v>540</v>
      </c>
      <c r="F5744" s="20" t="s">
        <v>541</v>
      </c>
      <c r="G5744" s="20" t="s">
        <v>542</v>
      </c>
      <c r="H5744" s="20" t="s">
        <v>543</v>
      </c>
      <c r="I5744" s="20" t="s">
        <v>544</v>
      </c>
      <c r="J5744" s="20" t="s">
        <v>545</v>
      </c>
      <c r="K5744" s="20" t="s">
        <v>546</v>
      </c>
      <c r="L5744" s="20" t="s">
        <v>547</v>
      </c>
      <c r="M5744" s="20" t="s">
        <v>548</v>
      </c>
      <c r="N5744" s="20" t="s">
        <v>549</v>
      </c>
      <c r="O5744" s="20" t="s">
        <v>550</v>
      </c>
      <c r="P5744" s="6" t="s">
        <v>23</v>
      </c>
      <c r="R5744" s="20" t="n">
        <v>2023</v>
      </c>
      <c r="S5744" s="20" t="n">
        <v>2024</v>
      </c>
      <c r="T5744" s="20" t="n">
        <v>2025</v>
      </c>
      <c r="U5744" s="20" t="n">
        <v>2026</v>
      </c>
      <c r="V5744" s="20" t="n">
        <v>2027</v>
      </c>
      <c r="W5744" s="20" t="n">
        <v>2028</v>
      </c>
      <c r="X5744" s="20" t="n">
        <v>2029</v>
      </c>
      <c r="Y5744" s="20" t="n">
        <v>2030</v>
      </c>
      <c r="Z5744" s="20" t="n">
        <v>2031</v>
      </c>
      <c r="AA5744" s="20" t="n">
        <v>2032</v>
      </c>
    </row>
    <row r="5745" customFormat="false" ht="17.15" hidden="false" customHeight="false" outlineLevel="0" collapsed="false">
      <c r="A5745" s="1" t="s">
        <v>852</v>
      </c>
    </row>
    <row r="5746" customFormat="false" ht="17.15" hidden="false" customHeight="false" outlineLevel="0" collapsed="false">
      <c r="A5746" s="0" t="s">
        <v>853</v>
      </c>
      <c r="B5746" s="0" t="s">
        <v>73</v>
      </c>
      <c r="H5746" s="38" t="n">
        <f aca="false">Sens!$H$5682*(1-tax)</f>
        <v>112.093921330558</v>
      </c>
      <c r="I5746" s="38" t="n">
        <f aca="false">Sens!$I$5682*(1-tax)</f>
        <v>132.779045500917</v>
      </c>
      <c r="J5746" s="38" t="n">
        <f aca="false">Sens!$J$5682*(1-tax)</f>
        <v>151.181555485193</v>
      </c>
      <c r="K5746" s="38" t="n">
        <f aca="false">Sens!$K$5682*(1-tax)</f>
        <v>166.036468953087</v>
      </c>
      <c r="L5746" s="38" t="n">
        <f aca="false">Sens!$L$5682*(1-tax)</f>
        <v>182.348678369869</v>
      </c>
      <c r="M5746" s="38" t="n">
        <f aca="false">Sens!$M$5682*(1-tax)</f>
        <v>199.243892383632</v>
      </c>
    </row>
    <row r="5747" customFormat="false" ht="15" hidden="false" customHeight="false" outlineLevel="0" collapsed="false">
      <c r="A5747" s="5" t="s">
        <v>854</v>
      </c>
      <c r="B5747" s="0" t="s">
        <v>73</v>
      </c>
      <c r="H5747" s="38" t="n">
        <f aca="false">Sens!$H$5694</f>
        <v>87.6845218193838</v>
      </c>
      <c r="I5747" s="38" t="n">
        <f aca="false">Sens!$I$5694</f>
        <v>122.294769708638</v>
      </c>
      <c r="J5747" s="38" t="n">
        <f aca="false">Sens!$J$5694</f>
        <v>157.133962573221</v>
      </c>
      <c r="K5747" s="38" t="n">
        <f aca="false">Sens!$K$5694</f>
        <v>191.350633353599</v>
      </c>
      <c r="L5747" s="38" t="n">
        <f aca="false">Sens!$L$5694</f>
        <v>223.909238335354</v>
      </c>
      <c r="M5747" s="38" t="n">
        <f aca="false">Sens!$M$5694</f>
        <v>257.576319867276</v>
      </c>
    </row>
    <row r="5748" customFormat="false" ht="15" hidden="false" customHeight="false" outlineLevel="0" collapsed="false">
      <c r="A5748" s="5" t="s">
        <v>855</v>
      </c>
      <c r="B5748" s="0" t="s">
        <v>73</v>
      </c>
      <c r="H5748" s="38" t="n">
        <f aca="false">Sens!$H$5723</f>
        <v>277.870120501355</v>
      </c>
      <c r="I5748" s="38" t="n">
        <f aca="false">Sens!$I$5723</f>
        <v>293.934464585378</v>
      </c>
      <c r="J5748" s="38" t="n">
        <f aca="false">Sens!$J$5723</f>
        <v>308.06904811359</v>
      </c>
      <c r="K5748" s="38" t="n">
        <f aca="false">Sens!$K$5723</f>
        <v>320.385735318248</v>
      </c>
      <c r="L5748" s="38" t="n">
        <f aca="false">Sens!$L$5723</f>
        <v>364.65641921833</v>
      </c>
      <c r="M5748" s="38" t="n">
        <f aca="false">Sens!$M$5723</f>
        <v>432.943173024858</v>
      </c>
    </row>
    <row r="5749" customFormat="false" ht="15" hidden="false" customHeight="false" outlineLevel="0" collapsed="false">
      <c r="A5749" s="5" t="s">
        <v>856</v>
      </c>
      <c r="B5749" s="0" t="s">
        <v>73</v>
      </c>
      <c r="H5749" s="38" t="n">
        <f aca="false">Sens!$H$5724</f>
        <v>1.6</v>
      </c>
      <c r="I5749" s="38" t="n">
        <f aca="false">Sens!$I$5724</f>
        <v>1.6</v>
      </c>
      <c r="J5749" s="38" t="n">
        <f aca="false">Sens!$J$5724</f>
        <v>1.6</v>
      </c>
      <c r="K5749" s="38" t="n">
        <f aca="false">Sens!$K$5724</f>
        <v>1.6</v>
      </c>
      <c r="L5749" s="38" t="n">
        <f aca="false">Sens!$L$5724</f>
        <v>1.6</v>
      </c>
      <c r="M5749" s="38" t="n">
        <f aca="false">Sens!$M$5724</f>
        <v>1.6</v>
      </c>
    </row>
    <row r="5750" customFormat="false" ht="15" hidden="false" customHeight="false" outlineLevel="0" collapsed="false">
      <c r="A5750" s="5" t="s">
        <v>857</v>
      </c>
      <c r="B5750" s="0" t="s">
        <v>73</v>
      </c>
      <c r="H5750" s="38" t="n">
        <f aca="false">Sens!$H$5718</f>
        <v>11.6369707537667</v>
      </c>
      <c r="I5750" s="38" t="n">
        <f aca="false">Sens!$I$5718</f>
        <v>13.3082502961262</v>
      </c>
      <c r="J5750" s="38" t="n">
        <f aca="false">Sens!$J$5718</f>
        <v>14.8747965344332</v>
      </c>
      <c r="K5750" s="38" t="n">
        <f aca="false">Sens!$K$5718</f>
        <v>16.2687901804328</v>
      </c>
      <c r="L5750" s="38" t="n">
        <f aca="false">Sens!$L$5718</f>
        <v>17.7280727627002</v>
      </c>
      <c r="M5750" s="38" t="n">
        <f aca="false">Sens!$M$5718</f>
        <v>19.2574690270319</v>
      </c>
    </row>
    <row r="5751" customFormat="false" ht="17.15" hidden="false" customHeight="false" outlineLevel="0" collapsed="false">
      <c r="A5751" s="1" t="s">
        <v>858</v>
      </c>
      <c r="B5751" s="8" t="s">
        <v>73</v>
      </c>
      <c r="H5751" s="38" t="n">
        <f aca="false">Sens!$H$5746+Sens!$H$5747-Sens!$H$5748-Sens!$H$5749+Sens!$H$5750</f>
        <v>-68.0547065976468</v>
      </c>
      <c r="I5751" s="38" t="n">
        <f aca="false">Sens!$I$5746+Sens!$I$5747-Sens!$I$5748-Sens!$I$5749+Sens!$I$5750</f>
        <v>-27.1523990796972</v>
      </c>
      <c r="J5751" s="38" t="n">
        <f aca="false">Sens!$J$5746+Sens!$J$5747-Sens!$J$5748-Sens!$J$5749+Sens!$J$5750</f>
        <v>13.5212664792573</v>
      </c>
      <c r="K5751" s="38" t="n">
        <f aca="false">Sens!$K$5746+Sens!$K$5747-Sens!$K$5748-Sens!$K$5749+Sens!$K$5750</f>
        <v>51.6701571688709</v>
      </c>
      <c r="L5751" s="38" t="n">
        <f aca="false">Sens!$L$5746+Sens!$L$5747-Sens!$L$5748-Sens!$L$5749+Sens!$L$5750</f>
        <v>57.7295702495933</v>
      </c>
      <c r="M5751" s="38" t="n">
        <f aca="false">Sens!$M$5746+Sens!$M$5747-Sens!$M$5748-Sens!$M$5749+Sens!$M$5750</f>
        <v>41.534508253082</v>
      </c>
    </row>
    <row r="5752" customFormat="false" ht="15" hidden="false" customHeight="false" outlineLevel="0" collapsed="false">
      <c r="A5752" s="5" t="s">
        <v>859</v>
      </c>
      <c r="B5752" s="0" t="s">
        <v>57</v>
      </c>
      <c r="H5752" s="51" t="n">
        <f aca="false">1/(1+wacc)^(2027-2026-0.5)</f>
        <v>0.942858177653364</v>
      </c>
      <c r="I5752" s="51" t="n">
        <f aca="false">1/(1+wacc)^(2028-2026-0.5)</f>
        <v>0.838183517758688</v>
      </c>
      <c r="J5752" s="51" t="n">
        <f aca="false">1/(1+wacc)^(2029-2026-0.5)</f>
        <v>0.745129677074952</v>
      </c>
      <c r="K5752" s="51" t="n">
        <f aca="false">1/(1+wacc)^(2030-2026-0.5)</f>
        <v>0.662406530186232</v>
      </c>
      <c r="L5752" s="51" t="n">
        <f aca="false">1/(1+wacc)^(2031-2026-0.5)</f>
        <v>0.588867179409399</v>
      </c>
      <c r="M5752" s="51" t="n">
        <f aca="false">1/(1+wacc)^(2032-2026-0.5)</f>
        <v>0.52349205387225</v>
      </c>
    </row>
    <row r="5753" customFormat="false" ht="15" hidden="false" customHeight="false" outlineLevel="0" collapsed="false">
      <c r="A5753" s="5" t="s">
        <v>860</v>
      </c>
      <c r="B5753" s="0" t="s">
        <v>73</v>
      </c>
      <c r="H5753" s="38" t="n">
        <f aca="false">Sens!$H$5751*Sens!$H$5752</f>
        <v>-64.1659366433916</v>
      </c>
      <c r="I5753" s="38" t="n">
        <f aca="false">Sens!$I$5751*Sens!$I$5752</f>
        <v>-22.7586933762084</v>
      </c>
      <c r="J5753" s="38" t="n">
        <f aca="false">Sens!$J$5751*Sens!$J$5752</f>
        <v>10.0750969253334</v>
      </c>
      <c r="K5753" s="38" t="n">
        <f aca="false">Sens!$K$5751*Sens!$K$5752</f>
        <v>34.226649524409</v>
      </c>
      <c r="L5753" s="38" t="n">
        <f aca="false">Sens!$L$5751*Sens!$L$5752</f>
        <v>33.9950492013948</v>
      </c>
      <c r="M5753" s="38" t="n">
        <f aca="false">Sens!$M$5751*Sens!$M$5752</f>
        <v>21.7429850319798</v>
      </c>
    </row>
    <row r="5754" customFormat="false" ht="15" hidden="false" customHeight="false" outlineLevel="0" collapsed="false">
      <c r="A5754" s="5" t="s">
        <v>861</v>
      </c>
      <c r="B5754" s="0" t="s">
        <v>73</v>
      </c>
      <c r="C5754" s="38" t="n">
        <f aca="false">SUM(Sens!$H$5753:$M$5753)</f>
        <v>13.115150663517</v>
      </c>
    </row>
    <row r="5755" customFormat="false" ht="17.15" hidden="false" customHeight="false" outlineLevel="0" collapsed="false">
      <c r="A5755" s="5" t="s">
        <v>862</v>
      </c>
      <c r="B5755" s="0" t="s">
        <v>73</v>
      </c>
      <c r="C5755" s="38" t="n">
        <f aca="false">Sens!$M$5746*(1+tg)*(1-tg/ronic)/(wacc-tg)</f>
        <v>1643.3111431308</v>
      </c>
    </row>
    <row r="5756" customFormat="false" ht="15" hidden="false" customHeight="false" outlineLevel="0" collapsed="false">
      <c r="A5756" s="5" t="s">
        <v>863</v>
      </c>
      <c r="B5756" s="0" t="s">
        <v>73</v>
      </c>
      <c r="C5756" s="38" t="n">
        <f aca="false">Sens!$C$5755/(1+wacc)^6</f>
        <v>811.103482778908</v>
      </c>
    </row>
    <row r="5757" customFormat="false" ht="17.15" hidden="false" customHeight="false" outlineLevel="0" collapsed="false">
      <c r="A5757" s="5" t="s">
        <v>864</v>
      </c>
      <c r="B5757" s="0" t="s">
        <v>73</v>
      </c>
      <c r="C5757" s="38" t="n">
        <f aca="false">Sens!$C$5754+Sens!$C$5756</f>
        <v>824.218633442425</v>
      </c>
    </row>
    <row r="5758" customFormat="false" ht="17.15" hidden="false" customHeight="false" outlineLevel="0" collapsed="false">
      <c r="A5758" s="5" t="s">
        <v>865</v>
      </c>
      <c r="B5758" s="0" t="s">
        <v>52</v>
      </c>
      <c r="C5758" s="12" t="n">
        <f aca="false">Sens!$C$5756/Sens!$C$5757</f>
        <v>0.984087777039521</v>
      </c>
    </row>
    <row r="5759" customFormat="false" ht="17.15" hidden="false" customHeight="false" outlineLevel="0" collapsed="false">
      <c r="A5759" s="5" t="s">
        <v>866</v>
      </c>
      <c r="B5759" s="0" t="s">
        <v>73</v>
      </c>
      <c r="C5759" s="38" t="n">
        <f aca="false">Sens!$G$5736</f>
        <v>67.0428850873731</v>
      </c>
    </row>
    <row r="5760" customFormat="false" ht="17.15" hidden="false" customHeight="false" outlineLevel="0" collapsed="false">
      <c r="A5760" s="5" t="s">
        <v>867</v>
      </c>
      <c r="B5760" s="0" t="s">
        <v>73</v>
      </c>
      <c r="C5760" s="38" t="n">
        <f aca="false">(ant_val*ant_sh+oai_val*oai_sh)*(1-liq_disc)</f>
        <v>178.944</v>
      </c>
    </row>
    <row r="5761" customFormat="false" ht="15" hidden="false" customHeight="false" outlineLevel="0" collapsed="false">
      <c r="A5761" s="5" t="s">
        <v>868</v>
      </c>
      <c r="B5761" s="0" t="s">
        <v>73</v>
      </c>
      <c r="C5761" s="38" t="n">
        <f aca="false">Sens!$C$5757-Sens!$C$5759+Sens!$C$5760</f>
        <v>936.119748355051</v>
      </c>
    </row>
    <row r="5762" customFormat="false" ht="17.15" hidden="false" customHeight="false" outlineLevel="0" collapsed="false">
      <c r="A5762" s="5" t="s">
        <v>869</v>
      </c>
      <c r="B5762" s="0" t="s">
        <v>27</v>
      </c>
      <c r="C5762" s="30" t="n">
        <f aca="false">Sens!$C$5761/sh_val</f>
        <v>84.8679147624493</v>
      </c>
    </row>
    <row r="5763" customFormat="false" ht="17.15" hidden="false" customHeight="false" outlineLevel="0" collapsed="false">
      <c r="A5763" s="1" t="s">
        <v>870</v>
      </c>
      <c r="B5763" s="8" t="s">
        <v>27</v>
      </c>
      <c r="C5763" s="30" t="n">
        <f aca="false">Sens!$C$5762*(1+ke)^tp_yf</f>
        <v>93.7319373662158</v>
      </c>
    </row>
    <row r="5764" customFormat="false" ht="17.15" hidden="false" customHeight="false" outlineLevel="0" collapsed="false">
      <c r="A5764" s="3" t="s">
        <v>871</v>
      </c>
    </row>
    <row r="5765" customFormat="false" ht="17.15" hidden="false" customHeight="false" outlineLevel="0" collapsed="false">
      <c r="A5765" s="5" t="s">
        <v>872</v>
      </c>
      <c r="B5765" s="0" t="s">
        <v>73</v>
      </c>
      <c r="C5765" s="38" t="n">
        <f aca="false">0.25*Sens!$H$5695+0.75*Sens!$I$5695</f>
        <v>57.5541093268329</v>
      </c>
    </row>
    <row r="5766" customFormat="false" ht="15" hidden="false" customHeight="false" outlineLevel="0" collapsed="false">
      <c r="A5766" s="5" t="s">
        <v>873</v>
      </c>
      <c r="B5766" s="0" t="s">
        <v>57</v>
      </c>
      <c r="C5766" s="30" t="n">
        <f aca="false">m_ads*m_x_lo</f>
        <v>7.288</v>
      </c>
    </row>
    <row r="5767" customFormat="false" ht="17.15" hidden="false" customHeight="false" outlineLevel="0" collapsed="false">
      <c r="A5767" s="5" t="s">
        <v>874</v>
      </c>
      <c r="B5767" s="0" t="s">
        <v>73</v>
      </c>
      <c r="C5767" s="38" t="n">
        <f aca="false">Sens!$C$5765*Sens!$C$5766</f>
        <v>419.454348773958</v>
      </c>
    </row>
    <row r="5768" customFormat="false" ht="17.15" hidden="false" customHeight="false" outlineLevel="0" collapsed="false">
      <c r="A5768" s="5" t="s">
        <v>875</v>
      </c>
      <c r="B5768" s="0" t="s">
        <v>73</v>
      </c>
      <c r="C5768" s="38" t="n">
        <f aca="false">0.25*Sens!$H$5696+0.75*Sens!$I$5696</f>
        <v>30.6290803533085</v>
      </c>
    </row>
    <row r="5769" customFormat="false" ht="15" hidden="false" customHeight="false" outlineLevel="0" collapsed="false">
      <c r="A5769" s="5" t="s">
        <v>876</v>
      </c>
      <c r="B5769" s="0" t="s">
        <v>57</v>
      </c>
      <c r="C5769" s="30" t="n">
        <f aca="false">m_retail*m_x_lo</f>
        <v>14.176</v>
      </c>
    </row>
    <row r="5770" customFormat="false" ht="17.15" hidden="false" customHeight="false" outlineLevel="0" collapsed="false">
      <c r="A5770" s="5" t="s">
        <v>877</v>
      </c>
      <c r="B5770" s="0" t="s">
        <v>73</v>
      </c>
      <c r="C5770" s="38" t="n">
        <f aca="false">Sens!$C$5768*Sens!$C$5769</f>
        <v>434.197843088502</v>
      </c>
    </row>
    <row r="5771" customFormat="false" ht="17.15" hidden="false" customHeight="false" outlineLevel="0" collapsed="false">
      <c r="A5771" s="0" t="s">
        <v>878</v>
      </c>
      <c r="B5771" s="0" t="s">
        <v>73</v>
      </c>
      <c r="C5771" s="38" t="n">
        <f aca="false">0.25*Sens!$H$5697+0.75*Sens!$I$5697</f>
        <v>107.575398943098</v>
      </c>
    </row>
    <row r="5772" customFormat="false" ht="17.15" hidden="false" customHeight="false" outlineLevel="0" collapsed="false">
      <c r="A5772" s="0" t="s">
        <v>879</v>
      </c>
      <c r="B5772" s="0" t="s">
        <v>57</v>
      </c>
      <c r="C5772" s="30" t="n">
        <f aca="false">m_cloud*m_x_lo</f>
        <v>11.056</v>
      </c>
    </row>
    <row r="5773" customFormat="false" ht="17.15" hidden="false" customHeight="false" outlineLevel="0" collapsed="false">
      <c r="A5773" s="0" t="s">
        <v>880</v>
      </c>
      <c r="B5773" s="0" t="s">
        <v>73</v>
      </c>
      <c r="C5773" s="38" t="n">
        <f aca="false">Sens!$C$5771*Sens!$C$5772</f>
        <v>1189.35361071489</v>
      </c>
    </row>
    <row r="5774" customFormat="false" ht="17.15" hidden="false" customHeight="false" outlineLevel="0" collapsed="false">
      <c r="A5774" s="0" t="s">
        <v>881</v>
      </c>
      <c r="B5774" s="0" t="s">
        <v>73</v>
      </c>
      <c r="C5774" s="38" t="n">
        <f aca="false">0.25*Sens!$H$5698+0.75*Sens!$I$5698</f>
        <v>72.2947701247864</v>
      </c>
    </row>
    <row r="5775" customFormat="false" ht="17.15" hidden="false" customHeight="false" outlineLevel="0" collapsed="false">
      <c r="A5775" s="0" t="s">
        <v>882</v>
      </c>
      <c r="B5775" s="0" t="s">
        <v>57</v>
      </c>
      <c r="C5775" s="30" t="n">
        <f aca="false">m_ai</f>
        <v>6</v>
      </c>
    </row>
    <row r="5776" customFormat="false" ht="17.15" hidden="false" customHeight="false" outlineLevel="0" collapsed="false">
      <c r="A5776" s="0" t="s">
        <v>883</v>
      </c>
      <c r="B5776" s="0" t="s">
        <v>73</v>
      </c>
      <c r="C5776" s="38" t="n">
        <f aca="false">Sens!$C$5774*Sens!$C$5775</f>
        <v>433.768620748718</v>
      </c>
    </row>
    <row r="5777" customFormat="false" ht="17.15" hidden="false" customHeight="false" outlineLevel="0" collapsed="false">
      <c r="A5777" s="5" t="s">
        <v>884</v>
      </c>
      <c r="B5777" s="0" t="s">
        <v>73</v>
      </c>
      <c r="C5777" s="38" t="n">
        <f aca="false">Sens!$C$5767+Sens!$C$5770+Sens!$C$5773+Sens!$C$5776</f>
        <v>2476.77442332607</v>
      </c>
    </row>
    <row r="5778" customFormat="false" ht="17.15" hidden="false" customHeight="false" outlineLevel="0" collapsed="false">
      <c r="A5778" s="5" t="s">
        <v>885</v>
      </c>
      <c r="B5778" s="0" t="s">
        <v>73</v>
      </c>
      <c r="C5778" s="38" t="n">
        <f aca="false">Sens!$H$5736</f>
        <v>113.741590679904</v>
      </c>
    </row>
    <row r="5779" customFormat="false" ht="15" hidden="false" customHeight="false" outlineLevel="0" collapsed="false">
      <c r="A5779" s="5" t="s">
        <v>886</v>
      </c>
      <c r="B5779" s="0" t="s">
        <v>73</v>
      </c>
      <c r="C5779" s="38" t="n">
        <f aca="false">Sens!$C$5777-Sens!$C$5778+Sens!$C$5760</f>
        <v>2541.97683264616</v>
      </c>
    </row>
    <row r="5780" customFormat="false" ht="15" hidden="false" customHeight="false" outlineLevel="0" collapsed="false">
      <c r="A5780" s="3" t="s">
        <v>887</v>
      </c>
      <c r="B5780" s="8" t="s">
        <v>27</v>
      </c>
      <c r="C5780" s="30" t="n">
        <f aca="false">Sens!$C$5779/sh_val</f>
        <v>230.453714431535</v>
      </c>
    </row>
    <row r="5781" customFormat="false" ht="17.15" hidden="false" customHeight="false" outlineLevel="0" collapsed="false">
      <c r="A5781" s="46" t="s">
        <v>888</v>
      </c>
      <c r="B5781" s="13" t="s">
        <v>27</v>
      </c>
      <c r="C5781" s="43" t="n">
        <f aca="false">w_dcf*Sens!$C$5763+(1-w_dcf)*Sens!$C$5780</f>
        <v>162.092825898875</v>
      </c>
      <c r="D5781" s="13"/>
      <c r="E5781" s="13"/>
      <c r="F5781" s="13"/>
      <c r="G5781" s="13"/>
      <c r="H5781" s="13"/>
      <c r="I5781" s="13"/>
      <c r="J5781" s="13"/>
      <c r="K5781" s="13"/>
      <c r="L5781" s="13"/>
      <c r="M5781" s="13"/>
      <c r="N5781" s="13"/>
      <c r="O5781" s="13"/>
    </row>
    <row r="5782" customFormat="false" ht="17.15" hidden="false" customHeight="false" outlineLevel="0" collapsed="false">
      <c r="A5782" s="5" t="s">
        <v>889</v>
      </c>
      <c r="B5782" s="0" t="s">
        <v>27</v>
      </c>
      <c r="C5782" s="30" t="n">
        <f aca="false">0.45*Sens!$C$5763+0.55*Sens!$C$5780</f>
        <v>168.928914752141</v>
      </c>
    </row>
    <row r="5785" customFormat="false" ht="19.4" hidden="false" customHeight="false" outlineLevel="0" collapsed="false">
      <c r="A5785" s="31" t="s">
        <v>1170</v>
      </c>
    </row>
    <row r="5786" customFormat="false" ht="17.15" hidden="false" customHeight="false" outlineLevel="0" collapsed="false">
      <c r="A5786" s="6" t="s">
        <v>16</v>
      </c>
      <c r="B5786" s="6" t="s">
        <v>17</v>
      </c>
      <c r="C5786" s="20" t="s">
        <v>457</v>
      </c>
      <c r="D5786" s="20" t="s">
        <v>458</v>
      </c>
      <c r="E5786" s="20" t="s">
        <v>540</v>
      </c>
      <c r="F5786" s="20" t="s">
        <v>541</v>
      </c>
      <c r="G5786" s="20" t="s">
        <v>542</v>
      </c>
      <c r="H5786" s="20" t="s">
        <v>543</v>
      </c>
      <c r="I5786" s="20" t="s">
        <v>544</v>
      </c>
      <c r="J5786" s="20" t="s">
        <v>545</v>
      </c>
      <c r="K5786" s="20" t="s">
        <v>546</v>
      </c>
      <c r="L5786" s="20" t="s">
        <v>547</v>
      </c>
      <c r="M5786" s="20" t="s">
        <v>548</v>
      </c>
      <c r="N5786" s="20" t="s">
        <v>549</v>
      </c>
      <c r="O5786" s="20" t="s">
        <v>550</v>
      </c>
      <c r="P5786" s="6" t="s">
        <v>23</v>
      </c>
      <c r="R5786" s="20" t="n">
        <v>2023</v>
      </c>
      <c r="S5786" s="20" t="n">
        <v>2024</v>
      </c>
      <c r="T5786" s="20" t="n">
        <v>2025</v>
      </c>
      <c r="U5786" s="20" t="n">
        <v>2026</v>
      </c>
      <c r="V5786" s="20" t="n">
        <v>2027</v>
      </c>
      <c r="W5786" s="20" t="n">
        <v>2028</v>
      </c>
      <c r="X5786" s="20" t="n">
        <v>2029</v>
      </c>
      <c r="Y5786" s="20" t="n">
        <v>2030</v>
      </c>
      <c r="Z5786" s="20" t="n">
        <v>2031</v>
      </c>
      <c r="AA5786" s="20" t="n">
        <v>2032</v>
      </c>
    </row>
    <row r="5787" customFormat="false" ht="17.15" hidden="false" customHeight="false" outlineLevel="0" collapsed="false">
      <c r="A5787" s="1" t="s">
        <v>621</v>
      </c>
    </row>
    <row r="5788" customFormat="false" ht="17.15" hidden="false" customHeight="false" outlineLevel="0" collapsed="false">
      <c r="A5788" s="0" t="s">
        <v>479</v>
      </c>
      <c r="B5788" s="0" t="s">
        <v>73</v>
      </c>
      <c r="C5788" s="38" t="n">
        <f aca="false">Q!$D$10</f>
        <v>247.029</v>
      </c>
      <c r="D5788" s="38" t="n">
        <f aca="false">Q!$E$10</f>
        <v>269.287</v>
      </c>
      <c r="E5788" s="38" t="n">
        <f aca="false">Q!$P$10</f>
        <v>134.686</v>
      </c>
      <c r="F5788" s="38" t="n">
        <f aca="false">Sens!$O$5788*(1+Sens!$F$5789)-pd_amt*Q!$O$10/(Q!$O$10+Q!$O$12)</f>
        <v>160.728085930082</v>
      </c>
      <c r="G5788" s="38" t="n">
        <f aca="false">Sens!$E$5788+Sens!$F$5788</f>
        <v>295.414085930082</v>
      </c>
      <c r="H5788" s="38" t="n">
        <f aca="false">Sens!$G$5788*(1+Sens!$H$5789)</f>
        <v>320.828163943375</v>
      </c>
      <c r="I5788" s="38" t="n">
        <f aca="false">Sens!$H$5788*(1+Sens!$I$5789)</f>
        <v>344.575578072228</v>
      </c>
      <c r="J5788" s="38" t="n">
        <f aca="false">Sens!$I$5788*(1+Sens!$J$5789)</f>
        <v>365.942555779681</v>
      </c>
      <c r="K5788" s="38" t="n">
        <f aca="false">Sens!$J$5788*(1+Sens!$K$5789)</f>
        <v>384.239683568665</v>
      </c>
      <c r="L5788" s="38" t="n">
        <f aca="false">Sens!$K$5788*(1+Sens!$L$5789)</f>
        <v>403.451667747098</v>
      </c>
      <c r="M5788" s="38" t="n">
        <f aca="false">Sens!$L$5788*(1+Sens!$M$5789)</f>
        <v>423.624251134453</v>
      </c>
      <c r="N5788" s="38" t="n">
        <f aca="false">Q!$N$10</f>
        <v>118.892</v>
      </c>
      <c r="O5788" s="38" t="n">
        <f aca="false">Q!$O$10</f>
        <v>150.395</v>
      </c>
      <c r="P5788" s="8" t="s">
        <v>622</v>
      </c>
    </row>
    <row r="5789" customFormat="false" ht="17.15" hidden="false" customHeight="false" outlineLevel="0" collapsed="false">
      <c r="A5789" s="0" t="s">
        <v>623</v>
      </c>
      <c r="B5789" s="0" t="s">
        <v>52</v>
      </c>
      <c r="E5789" s="12" t="n">
        <f aca="false">Sens!$E$5788/Sens!$N$5788-1</f>
        <v>0.132843252699929</v>
      </c>
      <c r="F5789" s="12" t="n">
        <f aca="false">Sens!$O$5788/(Q!$F$10+Q!$G$10)-1</f>
        <v>0.0980382135842941</v>
      </c>
      <c r="G5789" s="12" t="n">
        <f aca="false">Sens!$G$5788/Sens!$D$5788-1</f>
        <v>0.0970231980380869</v>
      </c>
      <c r="H5789" s="12" t="n">
        <f aca="false">Sens!$F$5789+(g_os-Sens!$F$5789)*1/4</f>
        <v>0.0860286601882206</v>
      </c>
      <c r="I5789" s="12" t="n">
        <f aca="false">Sens!$F$5789+(g_os-Sens!$F$5789)*2/4</f>
        <v>0.074019106792147</v>
      </c>
      <c r="J5789" s="12" t="n">
        <f aca="false">Sens!$F$5789+(g_os-Sens!$F$5789)*3/4</f>
        <v>0.0620095533960735</v>
      </c>
      <c r="K5789" s="12" t="n">
        <f aca="false">Sens!$F$5789+(g_os-Sens!$F$5789)*4/4</f>
        <v>0.05</v>
      </c>
      <c r="L5789" s="12" t="n">
        <f aca="false">g_os</f>
        <v>0.05</v>
      </c>
      <c r="M5789" s="12" t="n">
        <f aca="false">g_os</f>
        <v>0.05</v>
      </c>
      <c r="P5789" s="8" t="s">
        <v>624</v>
      </c>
    </row>
    <row r="5790" customFormat="false" ht="17.15" hidden="false" customHeight="false" outlineLevel="0" collapsed="false">
      <c r="A5790" s="0" t="s">
        <v>480</v>
      </c>
      <c r="B5790" s="0" t="s">
        <v>73</v>
      </c>
      <c r="C5790" s="38" t="n">
        <f aca="false">Q!$D$11</f>
        <v>21.215</v>
      </c>
      <c r="D5790" s="38" t="n">
        <f aca="false">Q!$E$11</f>
        <v>22.561</v>
      </c>
      <c r="E5790" s="38" t="n">
        <f aca="false">Q!$P$11</f>
        <v>11.579</v>
      </c>
      <c r="F5790" s="38" t="n">
        <f aca="false">Sens!$O$5790*(1+Sens!$F$5791)</f>
        <v>12.0952613121125</v>
      </c>
      <c r="G5790" s="38" t="n">
        <f aca="false">Sens!$E$5790+Sens!$F$5790</f>
        <v>23.6742613121125</v>
      </c>
      <c r="H5790" s="38" t="n">
        <f aca="false">Sens!$G$5790*(1+Sens!$H$5791)</f>
        <v>24.8803243963206</v>
      </c>
      <c r="I5790" s="38" t="n">
        <f aca="false">Sens!$H$5790*(1+Sens!$I$5791)</f>
        <v>25.9741308664154</v>
      </c>
      <c r="J5790" s="38" t="n">
        <f aca="false">Sens!$I$5790*(1+Sens!$J$5791)</f>
        <v>26.9346894124267</v>
      </c>
      <c r="K5790" s="38" t="n">
        <f aca="false">Sens!$J$5790*(1+Sens!$K$5791)</f>
        <v>27.7427300947995</v>
      </c>
      <c r="L5790" s="38" t="n">
        <f aca="false">Sens!$K$5790*(1+Sens!$L$5791)</f>
        <v>28.5750119976435</v>
      </c>
      <c r="M5790" s="38" t="n">
        <f aca="false">Sens!$L$5790*(1+Sens!$M$5791)</f>
        <v>29.4322623575728</v>
      </c>
      <c r="N5790" s="38" t="n">
        <f aca="false">Q!$N$11</f>
        <v>11.128</v>
      </c>
      <c r="O5790" s="38" t="n">
        <f aca="false">Q!$O$11</f>
        <v>11.433</v>
      </c>
      <c r="P5790" s="8" t="s">
        <v>622</v>
      </c>
    </row>
    <row r="5791" customFormat="false" ht="17.15" hidden="false" customHeight="false" outlineLevel="0" collapsed="false">
      <c r="A5791" s="0" t="s">
        <v>625</v>
      </c>
      <c r="B5791" s="0" t="s">
        <v>52</v>
      </c>
      <c r="E5791" s="12" t="n">
        <f aca="false">Sens!$E$5790/Sens!$N$5790-1</f>
        <v>0.0405283968368082</v>
      </c>
      <c r="F5791" s="12" t="n">
        <f aca="false">Sens!$O$5790/(Q!$F$11+Q!$G$11)-1</f>
        <v>0.0579254187100955</v>
      </c>
      <c r="G5791" s="12" t="n">
        <f aca="false">Sens!$G$5790/Sens!$D$5790-1</f>
        <v>0.0493445021103904</v>
      </c>
      <c r="H5791" s="12" t="n">
        <f aca="false">Sens!$F$5791+(g_ps-Sens!$F$5791)*1/4</f>
        <v>0.0509440640325716</v>
      </c>
      <c r="I5791" s="12" t="n">
        <f aca="false">Sens!$F$5791+(g_ps-Sens!$F$5791)*2/4</f>
        <v>0.0439627093550477</v>
      </c>
      <c r="J5791" s="12" t="n">
        <f aca="false">Sens!$F$5791+(g_ps-Sens!$F$5791)*3/4</f>
        <v>0.0369813546775239</v>
      </c>
      <c r="K5791" s="12" t="n">
        <f aca="false">Sens!$F$5791+(g_ps-Sens!$F$5791)*4/4</f>
        <v>0.03</v>
      </c>
      <c r="L5791" s="12" t="n">
        <f aca="false">g_ps</f>
        <v>0.03</v>
      </c>
      <c r="M5791" s="12" t="n">
        <f aca="false">g_ps</f>
        <v>0.03</v>
      </c>
      <c r="P5791" s="8" t="s">
        <v>626</v>
      </c>
    </row>
    <row r="5792" customFormat="false" ht="17.15" hidden="false" customHeight="false" outlineLevel="0" collapsed="false">
      <c r="A5792" s="0" t="s">
        <v>481</v>
      </c>
      <c r="B5792" s="0" t="s">
        <v>73</v>
      </c>
      <c r="C5792" s="38" t="n">
        <f aca="false">Q!$D$12</f>
        <v>156.146</v>
      </c>
      <c r="D5792" s="38" t="n">
        <f aca="false">Q!$E$12</f>
        <v>172.162</v>
      </c>
      <c r="E5792" s="38" t="n">
        <f aca="false">Q!$P$12</f>
        <v>88.358</v>
      </c>
      <c r="F5792" s="38" t="n">
        <f aca="false">Sens!$O$5792*(1+Sens!$F$5793)-pd_amt*Q!$O$12/(Q!$O$10+Q!$O$12)</f>
        <v>103.62028337149</v>
      </c>
      <c r="G5792" s="38" t="n">
        <f aca="false">Sens!$E$5792+Sens!$F$5792</f>
        <v>191.97828337149</v>
      </c>
      <c r="H5792" s="38" t="n">
        <f aca="false">Sens!$G$5792*(1+Sens!$H$5793)</f>
        <v>212.128608444755</v>
      </c>
      <c r="I5792" s="38" t="n">
        <f aca="false">Sens!$H$5792*(1+Sens!$I$5793)</f>
        <v>231.92183134134</v>
      </c>
      <c r="J5792" s="38" t="n">
        <f aca="false">Sens!$I$5792*(1+Sens!$J$5793)</f>
        <v>250.859136487863</v>
      </c>
      <c r="K5792" s="38" t="n">
        <f aca="false">Sens!$J$5792*(1+Sens!$K$5793)</f>
        <v>268.419276042014</v>
      </c>
      <c r="L5792" s="38" t="n">
        <f aca="false">Sens!$K$5792*(1+Sens!$L$5793)</f>
        <v>287.208625364954</v>
      </c>
      <c r="M5792" s="38" t="n">
        <f aca="false">Sens!$L$5792*(1+Sens!$M$5793)</f>
        <v>307.313229140501</v>
      </c>
      <c r="N5792" s="38" t="n">
        <f aca="false">Q!$N$12</f>
        <v>76.86</v>
      </c>
      <c r="O5792" s="38" t="n">
        <f aca="false">Q!$O$12</f>
        <v>95.302</v>
      </c>
      <c r="P5792" s="8" t="s">
        <v>622</v>
      </c>
    </row>
    <row r="5793" customFormat="false" ht="17.15" hidden="false" customHeight="false" outlineLevel="0" collapsed="false">
      <c r="A5793" s="0" t="s">
        <v>627</v>
      </c>
      <c r="B5793" s="0" t="s">
        <v>52</v>
      </c>
      <c r="E5793" s="12" t="n">
        <f aca="false">Sens!$E$5792/Sens!$N$5792-1</f>
        <v>0.1495966692688</v>
      </c>
      <c r="F5793" s="12" t="n">
        <f aca="false">Sens!$O$5792/(Q!$F$12+Q!$G$12)-1</f>
        <v>0.11661530890813</v>
      </c>
      <c r="G5793" s="12" t="n">
        <f aca="false">Sens!$G$5792/Sens!$D$5792-1</f>
        <v>0.115102539303041</v>
      </c>
      <c r="H5793" s="12" t="n">
        <f aca="false">Sens!$F$5793+(g_sp-Sens!$F$5793)*1/4</f>
        <v>0.104961481681098</v>
      </c>
      <c r="I5793" s="12" t="n">
        <f aca="false">Sens!$F$5793+(g_sp-Sens!$F$5793)*2/4</f>
        <v>0.0933076544540651</v>
      </c>
      <c r="J5793" s="12" t="n">
        <f aca="false">Sens!$F$5793+(g_sp-Sens!$F$5793)*3/4</f>
        <v>0.0816538272270325</v>
      </c>
      <c r="K5793" s="12" t="n">
        <f aca="false">Sens!$F$5793+(g_sp-Sens!$F$5793)*4/4</f>
        <v>0.07</v>
      </c>
      <c r="L5793" s="12" t="n">
        <f aca="false">g_sp</f>
        <v>0.07</v>
      </c>
      <c r="M5793" s="12" t="n">
        <f aca="false">g_sp</f>
        <v>0.07</v>
      </c>
      <c r="P5793" s="8" t="s">
        <v>628</v>
      </c>
    </row>
    <row r="5794" customFormat="false" ht="17.15" hidden="false" customHeight="false" outlineLevel="0" collapsed="false">
      <c r="A5794" s="0" t="s">
        <v>482</v>
      </c>
      <c r="B5794" s="0" t="s">
        <v>73</v>
      </c>
      <c r="C5794" s="38" t="n">
        <f aca="false">Q!$D$13</f>
        <v>56.214</v>
      </c>
      <c r="D5794" s="38" t="n">
        <f aca="false">Q!$E$13</f>
        <v>68.635</v>
      </c>
      <c r="E5794" s="38" t="n">
        <f aca="false">Q!$P$13</f>
        <v>37.052</v>
      </c>
      <c r="F5794" s="38" t="n">
        <f aca="false">Sens!$O$5794*(1+Sens!$F$5795)</f>
        <v>48.1533381827382</v>
      </c>
      <c r="G5794" s="38" t="n">
        <f aca="false">Sens!$E$5794+Sens!$F$5794</f>
        <v>85.2053381827382</v>
      </c>
      <c r="H5794" s="38" t="n">
        <f aca="false">Sens!$G$5794*(1+Sens!$H$5795)</f>
        <v>102.29336185894</v>
      </c>
      <c r="I5794" s="38" t="n">
        <f aca="false">Sens!$H$5794*(1+Sens!$I$5795)</f>
        <v>119.379837585241</v>
      </c>
      <c r="J5794" s="38" t="n">
        <f aca="false">Sens!$I$5794*(1+Sens!$J$5795)</f>
        <v>135.319079048844</v>
      </c>
      <c r="K5794" s="38" t="n">
        <f aca="false">Sens!$J$5794*(1+Sens!$K$5795)</f>
        <v>148.850986953729</v>
      </c>
      <c r="L5794" s="38" t="n">
        <f aca="false">Sens!$K$5794*(1+Sens!$L$5795)</f>
        <v>163.736085649102</v>
      </c>
      <c r="M5794" s="38" t="n">
        <f aca="false">Sens!$L$5794*(1+Sens!$M$5795)</f>
        <v>180.109694214012</v>
      </c>
      <c r="N5794" s="38" t="n">
        <f aca="false">Q!$N$13</f>
        <v>29.615</v>
      </c>
      <c r="O5794" s="38" t="n">
        <f aca="false">Q!$O$13</f>
        <v>39.02</v>
      </c>
      <c r="P5794" s="8" t="s">
        <v>622</v>
      </c>
    </row>
    <row r="5795" customFormat="false" ht="17.15" hidden="false" customHeight="false" outlineLevel="0" collapsed="false">
      <c r="A5795" s="0" t="s">
        <v>629</v>
      </c>
      <c r="B5795" s="0" t="s">
        <v>52</v>
      </c>
      <c r="E5795" s="12" t="n">
        <f aca="false">Sens!$E$5794/Sens!$N$5794-1</f>
        <v>0.25112274185379</v>
      </c>
      <c r="F5795" s="12" t="n">
        <f aca="false">Sens!$O$5794/(Q!$F$13+Q!$G$13)-1</f>
        <v>0.234068123596572</v>
      </c>
      <c r="G5795" s="12" t="n">
        <f aca="false">Sens!$G$5794/Sens!$D$5794-1</f>
        <v>0.241426942270536</v>
      </c>
      <c r="H5795" s="12" t="n">
        <f aca="false">Sens!$F$5795+(g_ad-Sens!$F$5795)*1/4</f>
        <v>0.200551092697429</v>
      </c>
      <c r="I5795" s="12" t="n">
        <f aca="false">Sens!$F$5795+(g_ad-Sens!$F$5795)*2/4</f>
        <v>0.167034061798286</v>
      </c>
      <c r="J5795" s="12" t="n">
        <f aca="false">Sens!$F$5795+(g_ad-Sens!$F$5795)*3/4</f>
        <v>0.133517030899143</v>
      </c>
      <c r="K5795" s="12" t="n">
        <f aca="false">Sens!$F$5795+(g_ad-Sens!$F$5795)*4/4</f>
        <v>0.1</v>
      </c>
      <c r="L5795" s="12" t="n">
        <f aca="false">g_ad</f>
        <v>0.1</v>
      </c>
      <c r="M5795" s="12" t="n">
        <f aca="false">g_ad</f>
        <v>0.1</v>
      </c>
      <c r="P5795" s="8" t="s">
        <v>630</v>
      </c>
    </row>
    <row r="5796" customFormat="false" ht="17.15" hidden="false" customHeight="false" outlineLevel="0" collapsed="false">
      <c r="A5796" s="0" t="s">
        <v>483</v>
      </c>
      <c r="B5796" s="0" t="s">
        <v>73</v>
      </c>
      <c r="C5796" s="38" t="n">
        <f aca="false">Q!$D$14</f>
        <v>44.374</v>
      </c>
      <c r="D5796" s="38" t="n">
        <f aca="false">Q!$E$14</f>
        <v>49.619</v>
      </c>
      <c r="E5796" s="38" t="n">
        <f aca="false">Q!$P$14</f>
        <v>27.157</v>
      </c>
      <c r="F5796" s="38" t="n">
        <f aca="false">Sens!$O$5796*(1+Sens!$F$5797)</f>
        <v>28.9776360923374</v>
      </c>
      <c r="G5796" s="38" t="n">
        <f aca="false">Sens!$E$5796+Sens!$F$5796</f>
        <v>56.1346360923374</v>
      </c>
      <c r="H5796" s="38" t="n">
        <f aca="false">Sens!$G$5796*(1+Sens!$H$5797)</f>
        <v>62.4937078946075</v>
      </c>
      <c r="I5796" s="38" t="n">
        <f aca="false">Sens!$H$5796*(1+Sens!$I$5797)</f>
        <v>68.6715233062498</v>
      </c>
      <c r="J5796" s="38" t="n">
        <f aca="false">Sens!$I$5796*(1+Sens!$J$5797)</f>
        <v>74.4692882949818</v>
      </c>
      <c r="K5796" s="38" t="n">
        <f aca="false">Sens!$J$5796*(1+Sens!$K$5797)</f>
        <v>79.6821384756306</v>
      </c>
      <c r="L5796" s="38" t="n">
        <f aca="false">Sens!$K$5796*(1+Sens!$L$5797)</f>
        <v>85.2598881689247</v>
      </c>
      <c r="M5796" s="38" t="n">
        <f aca="false">Sens!$L$5796*(1+Sens!$M$5797)</f>
        <v>91.2280803407494</v>
      </c>
      <c r="N5796" s="38" t="n">
        <f aca="false">Q!$N$14</f>
        <v>23.923</v>
      </c>
      <c r="O5796" s="38" t="n">
        <f aca="false">Q!$O$14</f>
        <v>25.696</v>
      </c>
      <c r="P5796" s="8" t="s">
        <v>622</v>
      </c>
    </row>
    <row r="5797" customFormat="false" ht="17.15" hidden="false" customHeight="false" outlineLevel="0" collapsed="false">
      <c r="A5797" s="0" t="s">
        <v>631</v>
      </c>
      <c r="B5797" s="0" t="s">
        <v>52</v>
      </c>
      <c r="E5797" s="12" t="n">
        <f aca="false">Sens!$E$5796/Sens!$N$5796-1</f>
        <v>0.135183714417088</v>
      </c>
      <c r="F5797" s="12" t="n">
        <f aca="false">Sens!$O$5796/(Q!$F$14+Q!$G$14)-1</f>
        <v>0.127709997366804</v>
      </c>
      <c r="G5797" s="12" t="n">
        <f aca="false">Sens!$G$5796/Sens!$D$5796-1</f>
        <v>0.131313329416905</v>
      </c>
      <c r="H5797" s="12" t="n">
        <f aca="false">Sens!$F$5797+(g_sub-Sens!$F$5797)*1/4</f>
        <v>0.113282498025103</v>
      </c>
      <c r="I5797" s="12" t="n">
        <f aca="false">Sens!$F$5797+(g_sub-Sens!$F$5797)*2/4</f>
        <v>0.0988549986834021</v>
      </c>
      <c r="J5797" s="12" t="n">
        <f aca="false">Sens!$F$5797+(g_sub-Sens!$F$5797)*3/4</f>
        <v>0.084427499341701</v>
      </c>
      <c r="K5797" s="12" t="n">
        <f aca="false">Sens!$F$5797+(g_sub-Sens!$F$5797)*4/4</f>
        <v>0.07</v>
      </c>
      <c r="L5797" s="12" t="n">
        <f aca="false">g_sub</f>
        <v>0.07</v>
      </c>
      <c r="M5797" s="12" t="n">
        <f aca="false">g_sub</f>
        <v>0.07</v>
      </c>
      <c r="P5797" s="8" t="s">
        <v>632</v>
      </c>
    </row>
    <row r="5798" customFormat="false" ht="17.15" hidden="false" customHeight="false" outlineLevel="0" collapsed="false">
      <c r="A5798" s="0" t="s">
        <v>484</v>
      </c>
      <c r="B5798" s="0" t="s">
        <v>73</v>
      </c>
      <c r="C5798" s="38" t="n">
        <f aca="false">Q!$D$15</f>
        <v>5.425</v>
      </c>
      <c r="D5798" s="38" t="n">
        <f aca="false">Q!$E$15</f>
        <v>5.935</v>
      </c>
      <c r="E5798" s="38" t="n">
        <f aca="false">Q!$P$15</f>
        <v>3.474</v>
      </c>
      <c r="F5798" s="38" t="n">
        <f aca="false">Sens!$O$5798*(1+Sens!$F$5799)</f>
        <v>3.36182431966931</v>
      </c>
      <c r="G5798" s="38" t="n">
        <f aca="false">Sens!$E$5798+Sens!$F$5798</f>
        <v>6.83582431966931</v>
      </c>
      <c r="H5798" s="38" t="n">
        <f aca="false">Sens!$G$5798*(1+Sens!$H$5799)</f>
        <v>7.31157108370141</v>
      </c>
      <c r="I5798" s="38" t="n">
        <f aca="false">Sens!$H$5798*(1+Sens!$I$5799)</f>
        <v>7.77266852639815</v>
      </c>
      <c r="J5798" s="38" t="n">
        <f aca="false">Sens!$I$5798*(1+Sens!$J$5799)</f>
        <v>8.2120733019884</v>
      </c>
      <c r="K5798" s="38" t="n">
        <f aca="false">Sens!$J$5798*(1+Sens!$K$5799)</f>
        <v>8.62267696708783</v>
      </c>
      <c r="L5798" s="38" t="n">
        <f aca="false">Sens!$K$5798*(1+Sens!$L$5799)</f>
        <v>9.05381081544222</v>
      </c>
      <c r="M5798" s="38" t="n">
        <f aca="false">Sens!$L$5798*(1+Sens!$M$5799)</f>
        <v>9.50650135621433</v>
      </c>
      <c r="N5798" s="38" t="n">
        <f aca="false">Q!$N$15</f>
        <v>2.811</v>
      </c>
      <c r="O5798" s="38" t="n">
        <f aca="false">Q!$O$15</f>
        <v>3.124</v>
      </c>
      <c r="P5798" s="8" t="s">
        <v>622</v>
      </c>
    </row>
    <row r="5799" customFormat="false" ht="17.15" hidden="false" customHeight="false" outlineLevel="0" collapsed="false">
      <c r="A5799" s="0" t="s">
        <v>633</v>
      </c>
      <c r="B5799" s="0" t="s">
        <v>52</v>
      </c>
      <c r="E5799" s="12" t="n">
        <f aca="false">Sens!$E$5798/Sens!$N$5798-1</f>
        <v>0.235859124866596</v>
      </c>
      <c r="F5799" s="12" t="n">
        <f aca="false">Sens!$O$5798/(Q!$F$15+Q!$G$15)-1</f>
        <v>0.0761281433000345</v>
      </c>
      <c r="G5799" s="12" t="n">
        <f aca="false">Sens!$G$5798/Sens!$D$5798-1</f>
        <v>0.151781688234087</v>
      </c>
      <c r="H5799" s="12" t="n">
        <f aca="false">Sens!$F$5799+(g_ot-Sens!$F$5799)*1/4</f>
        <v>0.0695961074750259</v>
      </c>
      <c r="I5799" s="12" t="n">
        <f aca="false">Sens!$F$5799+(g_ot-Sens!$F$5799)*2/4</f>
        <v>0.0630640716500172</v>
      </c>
      <c r="J5799" s="12" t="n">
        <f aca="false">Sens!$F$5799+(g_ot-Sens!$F$5799)*3/4</f>
        <v>0.0565320358250086</v>
      </c>
      <c r="K5799" s="12" t="n">
        <f aca="false">Sens!$F$5799+(g_ot-Sens!$F$5799)*4/4</f>
        <v>0.05</v>
      </c>
      <c r="L5799" s="12" t="n">
        <f aca="false">g_ot</f>
        <v>0.05</v>
      </c>
      <c r="M5799" s="12" t="n">
        <f aca="false">g_ot</f>
        <v>0.05</v>
      </c>
      <c r="P5799" s="8" t="s">
        <v>634</v>
      </c>
    </row>
    <row r="5800" customFormat="false" ht="17.15" hidden="false" customHeight="false" outlineLevel="0" collapsed="false">
      <c r="A5800" s="3" t="s">
        <v>635</v>
      </c>
      <c r="B5800" s="8" t="s">
        <v>73</v>
      </c>
      <c r="C5800" s="38" t="n">
        <f aca="false">Sens!$C$5788+Sens!$C$5790+Sens!$C$5792+Sens!$C$5794+Sens!$C$5796+Sens!$C$5798</f>
        <v>530.403</v>
      </c>
      <c r="D5800" s="38" t="n">
        <f aca="false">Sens!$D$5788+Sens!$D$5790+Sens!$D$5792+Sens!$D$5794+Sens!$D$5796+Sens!$D$5798</f>
        <v>588.199</v>
      </c>
      <c r="E5800" s="38" t="n">
        <f aca="false">Sens!$E$5788+Sens!$E$5790+Sens!$E$5792+Sens!$E$5794+Sens!$E$5796+Sens!$E$5798</f>
        <v>302.306</v>
      </c>
      <c r="F5800" s="38" t="n">
        <f aca="false">Sens!$F$5788+Sens!$F$5790+Sens!$F$5792+Sens!$F$5794+Sens!$F$5796+Sens!$F$5798</f>
        <v>356.93642920843</v>
      </c>
      <c r="G5800" s="38" t="n">
        <f aca="false">Sens!$G$5788+Sens!$G$5790+Sens!$G$5792+Sens!$G$5794+Sens!$G$5796+Sens!$G$5798</f>
        <v>659.24242920843</v>
      </c>
      <c r="H5800" s="38" t="n">
        <f aca="false">Sens!$H$5788+Sens!$H$5790+Sens!$H$5792+Sens!$H$5794+Sens!$H$5796+Sens!$H$5798</f>
        <v>729.935737621701</v>
      </c>
      <c r="I5800" s="38" t="n">
        <f aca="false">Sens!$I$5788+Sens!$I$5790+Sens!$I$5792+Sens!$I$5794+Sens!$I$5796+Sens!$I$5798</f>
        <v>798.295569697873</v>
      </c>
      <c r="J5800" s="38" t="n">
        <f aca="false">Sens!$J$5788+Sens!$J$5790+Sens!$J$5792+Sens!$J$5794+Sens!$J$5796+Sens!$J$5798</f>
        <v>861.736822325785</v>
      </c>
      <c r="K5800" s="38" t="n">
        <f aca="false">Sens!$K$5788+Sens!$K$5790+Sens!$K$5792+Sens!$K$5794+Sens!$K$5796+Sens!$K$5798</f>
        <v>917.557492101925</v>
      </c>
      <c r="L5800" s="38" t="n">
        <f aca="false">Sens!$L$5788+Sens!$L$5790+Sens!$L$5792+Sens!$L$5794+Sens!$L$5796+Sens!$L$5798</f>
        <v>977.285089743165</v>
      </c>
      <c r="M5800" s="38" t="n">
        <f aca="false">Sens!$M$5788+Sens!$M$5790+Sens!$M$5792+Sens!$M$5794+Sens!$M$5796+Sens!$M$5798</f>
        <v>1041.2140185435</v>
      </c>
      <c r="N5800" s="38" t="n">
        <f aca="false">Sens!$N$5788+Sens!$N$5790+Sens!$N$5792+Sens!$N$5794+Sens!$N$5796+Sens!$N$5798</f>
        <v>263.229</v>
      </c>
      <c r="O5800" s="38" t="n">
        <f aca="false">Sens!$O$5788+Sens!$O$5790+Sens!$O$5792+Sens!$O$5794+Sens!$O$5796+Sens!$O$5798</f>
        <v>324.97</v>
      </c>
    </row>
    <row r="5801" customFormat="false" ht="17.15" hidden="false" customHeight="false" outlineLevel="0" collapsed="false">
      <c r="A5801" s="5" t="s">
        <v>636</v>
      </c>
      <c r="B5801" s="0" t="s">
        <v>52</v>
      </c>
      <c r="C5801" s="12" t="n">
        <f aca="false">Q!$D$5/(Q!$D$5+Q!$D$6)</f>
        <v>0.730570905519011</v>
      </c>
      <c r="D5801" s="12" t="n">
        <f aca="false">Q!$E$5/(Q!$E$5+Q!$E$6)</f>
        <v>0.724763217890544</v>
      </c>
      <c r="E5801" s="12" t="n">
        <f aca="false">Q!$P$5/(Q!$P$5+Q!$P$6)</f>
        <v>0.728797972914861</v>
      </c>
      <c r="F5801" s="12" t="n">
        <f aca="false">Sens!$O$5801</f>
        <v>0.718066283041511</v>
      </c>
      <c r="G5801" s="12" t="n">
        <f aca="false">Sens!$G$5802/Sens!$G$5800</f>
        <v>0.722987468473627</v>
      </c>
      <c r="H5801" s="12" t="n">
        <f aca="false">Sens!$G$5801</f>
        <v>0.722987468473627</v>
      </c>
      <c r="I5801" s="12" t="n">
        <f aca="false">Sens!$G$5801</f>
        <v>0.722987468473627</v>
      </c>
      <c r="J5801" s="12" t="n">
        <f aca="false">Sens!$G$5801</f>
        <v>0.722987468473627</v>
      </c>
      <c r="K5801" s="12" t="n">
        <f aca="false">Sens!$G$5801</f>
        <v>0.722987468473627</v>
      </c>
      <c r="L5801" s="12" t="n">
        <f aca="false">Sens!$G$5801</f>
        <v>0.722987468473627</v>
      </c>
      <c r="M5801" s="12" t="n">
        <f aca="false">Sens!$G$5801</f>
        <v>0.722987468473627</v>
      </c>
      <c r="N5801" s="12" t="n">
        <f aca="false">Q!$N$5/(Q!$N$5+Q!$N$6)</f>
        <v>0.733030935041352</v>
      </c>
      <c r="O5801" s="12" t="n">
        <f aca="false">Q!$O$5/(Q!$O$5+Q!$O$6)</f>
        <v>0.718066283041511</v>
      </c>
      <c r="P5801" s="8" t="s">
        <v>637</v>
      </c>
    </row>
    <row r="5802" customFormat="false" ht="17.15" hidden="false" customHeight="false" outlineLevel="0" collapsed="false">
      <c r="A5802" s="1" t="s">
        <v>472</v>
      </c>
      <c r="B5802" s="8" t="s">
        <v>73</v>
      </c>
      <c r="C5802" s="38" t="n">
        <f aca="false">Q!$D$5</f>
        <v>387.497</v>
      </c>
      <c r="D5802" s="38" t="n">
        <f aca="false">Q!$E$5</f>
        <v>426.305</v>
      </c>
      <c r="E5802" s="38" t="n">
        <f aca="false">Q!$P$5</f>
        <v>220.32</v>
      </c>
      <c r="F5802" s="38" t="n">
        <f aca="false">Sens!$F$5800*Sens!$F$5801</f>
        <v>256.304015003807</v>
      </c>
      <c r="G5802" s="38" t="n">
        <f aca="false">Sens!$E$5802+Sens!$F$5802</f>
        <v>476.624015003807</v>
      </c>
      <c r="H5802" s="38" t="n">
        <f aca="false">Sens!$H$5800*Sens!$H$5801</f>
        <v>527.734391091543</v>
      </c>
      <c r="I5802" s="38" t="n">
        <f aca="false">Sens!$I$5800*Sens!$I$5801</f>
        <v>577.157693029577</v>
      </c>
      <c r="J5802" s="38" t="n">
        <f aca="false">Sens!$J$5800*Sens!$J$5801</f>
        <v>623.024923663827</v>
      </c>
      <c r="K5802" s="38" t="n">
        <f aca="false">Sens!$K$5800*Sens!$K$5801</f>
        <v>663.382568393781</v>
      </c>
      <c r="L5802" s="38" t="n">
        <f aca="false">Sens!$L$5800*Sens!$L$5801</f>
        <v>706.564873010432</v>
      </c>
      <c r="M5802" s="38" t="n">
        <f aca="false">Sens!$M$5800*Sens!$M$5801</f>
        <v>752.784687406019</v>
      </c>
      <c r="N5802" s="38" t="n">
        <f aca="false">Q!$N$5</f>
        <v>192.955</v>
      </c>
      <c r="O5802" s="38" t="n">
        <f aca="false">Q!$O$5</f>
        <v>233.35</v>
      </c>
      <c r="P5802" s="5" t="s">
        <v>638</v>
      </c>
    </row>
    <row r="5803" customFormat="false" ht="17.15" hidden="false" customHeight="false" outlineLevel="0" collapsed="false">
      <c r="A5803" s="1" t="s">
        <v>475</v>
      </c>
      <c r="B5803" s="8" t="s">
        <v>73</v>
      </c>
      <c r="C5803" s="38" t="n">
        <f aca="false">Q!$D$6</f>
        <v>142.906</v>
      </c>
      <c r="D5803" s="38" t="n">
        <f aca="false">Q!$E$6</f>
        <v>161.894</v>
      </c>
      <c r="E5803" s="38" t="n">
        <f aca="false">Q!$P$6</f>
        <v>81.986</v>
      </c>
      <c r="F5803" s="38" t="n">
        <f aca="false">Sens!$F$5800*(1-Sens!$F$5801)</f>
        <v>100.632414204623</v>
      </c>
      <c r="G5803" s="38" t="n">
        <f aca="false">Sens!$E$5803+Sens!$F$5803</f>
        <v>182.618414204623</v>
      </c>
      <c r="H5803" s="38" t="n">
        <f aca="false">Sens!$H$5800*(1-Sens!$H$5801)</f>
        <v>202.201346530158</v>
      </c>
      <c r="I5803" s="38" t="n">
        <f aca="false">Sens!$I$5800*(1-Sens!$I$5801)</f>
        <v>221.137876668296</v>
      </c>
      <c r="J5803" s="38" t="n">
        <f aca="false">Sens!$J$5800*(1-Sens!$J$5801)</f>
        <v>238.711898661958</v>
      </c>
      <c r="K5803" s="38" t="n">
        <f aca="false">Sens!$K$5800*(1-Sens!$K$5801)</f>
        <v>254.174923708144</v>
      </c>
      <c r="L5803" s="38" t="n">
        <f aca="false">Sens!$L$5800*(1-Sens!$L$5801)</f>
        <v>270.720216732733</v>
      </c>
      <c r="M5803" s="38" t="n">
        <f aca="false">Sens!$M$5800*(1-Sens!$M$5801)</f>
        <v>288.429331137484</v>
      </c>
      <c r="N5803" s="38" t="n">
        <f aca="false">Q!$N$6</f>
        <v>70.274</v>
      </c>
      <c r="O5803" s="38" t="n">
        <f aca="false">Q!$O$6</f>
        <v>91.62</v>
      </c>
      <c r="P5803" s="5" t="s">
        <v>639</v>
      </c>
    </row>
    <row r="5804" customFormat="false" ht="17.15" hidden="false" customHeight="false" outlineLevel="0" collapsed="false">
      <c r="A5804" s="5" t="s">
        <v>640</v>
      </c>
      <c r="B5804" s="0" t="s">
        <v>73</v>
      </c>
      <c r="C5804" s="38" t="n">
        <f aca="false">Sens!$C$5794*Sens!$C$5801</f>
        <v>41.0683128828457</v>
      </c>
      <c r="D5804" s="38" t="n">
        <f aca="false">Sens!$D$5794*Sens!$D$5801</f>
        <v>49.7441234599175</v>
      </c>
      <c r="E5804" s="38" t="n">
        <f aca="false">Sens!$E$5794*Sens!$E$5801</f>
        <v>27.0034224924414</v>
      </c>
      <c r="F5804" s="38" t="n">
        <f aca="false">Sens!$F$5794*Sens!$F$5801</f>
        <v>34.5772885649197</v>
      </c>
      <c r="G5804" s="38" t="n">
        <f aca="false">Sens!$G$5794*Sens!$G$5801</f>
        <v>61.6023917531772</v>
      </c>
      <c r="H5804" s="38" t="n">
        <f aca="false">Sens!$H$5794*Sens!$H$5801</f>
        <v>73.9568187320519</v>
      </c>
      <c r="I5804" s="38" t="n">
        <f aca="false">Sens!$I$5794*Sens!$I$5801</f>
        <v>86.3101265625461</v>
      </c>
      <c r="J5804" s="38" t="n">
        <f aca="false">Sens!$J$5794*Sens!$J$5801</f>
        <v>97.8339983977065</v>
      </c>
      <c r="K5804" s="38" t="n">
        <f aca="false">Sens!$K$5794*Sens!$K$5801</f>
        <v>107.617398237477</v>
      </c>
      <c r="L5804" s="38" t="n">
        <f aca="false">Sens!$L$5794*Sens!$L$5801</f>
        <v>118.379138061225</v>
      </c>
      <c r="M5804" s="38" t="n">
        <f aca="false">Sens!$M$5794*Sens!$M$5801</f>
        <v>130.217051867347</v>
      </c>
      <c r="N5804" s="38" t="n">
        <f aca="false">Sens!$N$5794*Sens!$N$5801</f>
        <v>21.7087111412496</v>
      </c>
      <c r="O5804" s="38" t="n">
        <f aca="false">Sens!$O$5794*Sens!$O$5801</f>
        <v>28.0189463642798</v>
      </c>
      <c r="P5804" s="5" t="s">
        <v>641</v>
      </c>
    </row>
    <row r="5805" customFormat="false" ht="15" hidden="false" customHeight="false" outlineLevel="0" collapsed="false">
      <c r="A5805" s="5" t="s">
        <v>642</v>
      </c>
      <c r="B5805" s="0" t="s">
        <v>73</v>
      </c>
      <c r="C5805" s="38" t="n">
        <f aca="false">Sens!$C$5794-Sens!$C$5804</f>
        <v>15.1456871171543</v>
      </c>
      <c r="D5805" s="38" t="n">
        <f aca="false">Sens!$D$5794-Sens!$D$5804</f>
        <v>18.8908765400825</v>
      </c>
      <c r="E5805" s="38" t="n">
        <f aca="false">Sens!$E$5794-Sens!$E$5804</f>
        <v>10.0485775075586</v>
      </c>
      <c r="F5805" s="38" t="n">
        <f aca="false">Sens!$F$5794-Sens!$F$5804</f>
        <v>13.5760496178185</v>
      </c>
      <c r="G5805" s="38" t="n">
        <f aca="false">Sens!$G$5794-Sens!$G$5804</f>
        <v>23.6029464295611</v>
      </c>
      <c r="H5805" s="38" t="n">
        <f aca="false">Sens!$H$5794-Sens!$H$5804</f>
        <v>28.3365431268884</v>
      </c>
      <c r="I5805" s="38" t="n">
        <f aca="false">Sens!$I$5794-Sens!$I$5804</f>
        <v>33.0697110226949</v>
      </c>
      <c r="J5805" s="38" t="n">
        <f aca="false">Sens!$J$5794-Sens!$J$5804</f>
        <v>37.4850806511378</v>
      </c>
      <c r="K5805" s="38" t="n">
        <f aca="false">Sens!$K$5794-Sens!$K$5804</f>
        <v>41.2335887162515</v>
      </c>
      <c r="L5805" s="38" t="n">
        <f aca="false">Sens!$L$5794-Sens!$L$5804</f>
        <v>45.3569475878767</v>
      </c>
      <c r="M5805" s="38" t="n">
        <f aca="false">Sens!$M$5794-Sens!$M$5804</f>
        <v>49.8926423466644</v>
      </c>
      <c r="N5805" s="38" t="n">
        <f aca="false">Sens!$N$5794-Sens!$N$5804</f>
        <v>7.90628885875037</v>
      </c>
      <c r="O5805" s="38" t="n">
        <f aca="false">Sens!$O$5794-Sens!$O$5804</f>
        <v>11.0010536357202</v>
      </c>
    </row>
    <row r="5806" customFormat="false" ht="19.4" hidden="false" customHeight="false" outlineLevel="0" collapsed="false">
      <c r="A5806" s="31" t="s">
        <v>1171</v>
      </c>
    </row>
    <row r="5807" customFormat="false" ht="17.15" hidden="false" customHeight="false" outlineLevel="0" collapsed="false">
      <c r="A5807" s="6" t="s">
        <v>16</v>
      </c>
      <c r="B5807" s="6" t="s">
        <v>17</v>
      </c>
      <c r="C5807" s="20" t="s">
        <v>457</v>
      </c>
      <c r="D5807" s="20" t="s">
        <v>458</v>
      </c>
      <c r="E5807" s="20" t="s">
        <v>540</v>
      </c>
      <c r="F5807" s="20" t="s">
        <v>541</v>
      </c>
      <c r="G5807" s="20" t="s">
        <v>542</v>
      </c>
      <c r="H5807" s="20" t="s">
        <v>543</v>
      </c>
      <c r="I5807" s="20" t="s">
        <v>544</v>
      </c>
      <c r="J5807" s="20" t="s">
        <v>545</v>
      </c>
      <c r="K5807" s="20" t="s">
        <v>546</v>
      </c>
      <c r="L5807" s="20" t="s">
        <v>547</v>
      </c>
      <c r="M5807" s="20" t="s">
        <v>548</v>
      </c>
      <c r="N5807" s="20" t="s">
        <v>549</v>
      </c>
      <c r="O5807" s="20" t="s">
        <v>550</v>
      </c>
      <c r="P5807" s="6" t="s">
        <v>23</v>
      </c>
      <c r="R5807" s="20" t="n">
        <v>2023</v>
      </c>
      <c r="S5807" s="20" t="n">
        <v>2024</v>
      </c>
      <c r="T5807" s="20" t="n">
        <v>2025</v>
      </c>
      <c r="U5807" s="20" t="n">
        <v>2026</v>
      </c>
      <c r="V5807" s="20" t="n">
        <v>2027</v>
      </c>
      <c r="W5807" s="20" t="n">
        <v>2028</v>
      </c>
      <c r="X5807" s="20" t="n">
        <v>2029</v>
      </c>
      <c r="Y5807" s="20" t="n">
        <v>2030</v>
      </c>
      <c r="Z5807" s="20" t="n">
        <v>2031</v>
      </c>
      <c r="AA5807" s="20" t="n">
        <v>2032</v>
      </c>
    </row>
    <row r="5808" customFormat="false" ht="17.15" hidden="false" customHeight="false" outlineLevel="0" collapsed="false">
      <c r="A5808" s="1" t="s">
        <v>551</v>
      </c>
    </row>
    <row r="5809" customFormat="false" ht="17.15" hidden="false" customHeight="false" outlineLevel="0" collapsed="false">
      <c r="A5809" s="14" t="s">
        <v>552</v>
      </c>
      <c r="B5809" s="13" t="s">
        <v>108</v>
      </c>
      <c r="C5809" s="32" t="n">
        <f aca="false">mw_ye24</f>
        <v>360</v>
      </c>
      <c r="D5809" s="32" t="n">
        <f aca="false">mw_ye25</f>
        <v>1440</v>
      </c>
      <c r="E5809" s="32" t="n">
        <f aca="false">mw_open</f>
        <v>2080</v>
      </c>
      <c r="F5809" s="32" t="n">
        <f aca="false">Sens!$E$5809+pace_B*0.5</f>
        <v>3897.15</v>
      </c>
      <c r="G5809" s="32" t="n">
        <f aca="false">Sens!$F$5809</f>
        <v>3897.15</v>
      </c>
      <c r="H5809" s="32" t="n">
        <f aca="false">Sens!$G$5809+pace_B</f>
        <v>7531.45</v>
      </c>
      <c r="I5809" s="32" t="n">
        <f aca="false">Sens!$H$5809+pace_B</f>
        <v>11165.75</v>
      </c>
      <c r="J5809" s="32" t="n">
        <f aca="false">Sens!$I$5809+pace_B</f>
        <v>14800.05</v>
      </c>
      <c r="K5809" s="32" t="n">
        <f aca="false">Sens!$J$5809+pace_B</f>
        <v>18434.35</v>
      </c>
      <c r="L5809" s="32" t="n">
        <f aca="false">Sens!$K$5809+pace_B</f>
        <v>22068.65</v>
      </c>
      <c r="M5809" s="32" t="n">
        <f aca="false">Sens!$L$5809+pace_B</f>
        <v>25702.95</v>
      </c>
      <c r="N5809" s="32" t="n">
        <f aca="false">(mw_ye24+mw_ye25)/2</f>
        <v>900</v>
      </c>
      <c r="O5809" s="32" t="n">
        <f aca="false">mw_ye25</f>
        <v>1440</v>
      </c>
      <c r="P5809" s="5" t="s">
        <v>553</v>
      </c>
    </row>
    <row r="5810" customFormat="false" ht="17.15" hidden="false" customHeight="false" outlineLevel="0" collapsed="false">
      <c r="A5810" s="5" t="s">
        <v>554</v>
      </c>
      <c r="B5810" s="0" t="s">
        <v>108</v>
      </c>
      <c r="C5810" s="33" t="n">
        <f aca="false">(mw_ye23+mw_ye24)/2</f>
        <v>240</v>
      </c>
      <c r="D5810" s="33" t="n">
        <f aca="false">(Sens!$C$5809+Sens!$D$5809)/2</f>
        <v>900</v>
      </c>
      <c r="E5810" s="33" t="n">
        <f aca="false">(Sens!$D$5809+Sens!$E$5809)/2</f>
        <v>1760</v>
      </c>
      <c r="F5810" s="33" t="n">
        <f aca="false">(Sens!$E$5809+Sens!$F$5809)/2</f>
        <v>2988.575</v>
      </c>
      <c r="G5810" s="33" t="n">
        <f aca="false">(Sens!$E$5810+Sens!$F$5810)/2</f>
        <v>2374.2875</v>
      </c>
      <c r="H5810" s="33" t="n">
        <f aca="false">(Sens!$G$5809+Sens!$H$5809)/2</f>
        <v>5714.3</v>
      </c>
      <c r="I5810" s="33" t="n">
        <f aca="false">(Sens!$H$5809+Sens!$I$5809)/2</f>
        <v>9348.6</v>
      </c>
      <c r="J5810" s="33" t="n">
        <f aca="false">(Sens!$I$5809+Sens!$J$5809)/2</f>
        <v>12982.9</v>
      </c>
      <c r="K5810" s="33" t="n">
        <f aca="false">(Sens!$J$5809+Sens!$K$5809)/2</f>
        <v>16617.2</v>
      </c>
      <c r="L5810" s="33" t="n">
        <f aca="false">(Sens!$K$5809+Sens!$L$5809)/2</f>
        <v>20251.5</v>
      </c>
      <c r="M5810" s="33" t="n">
        <f aca="false">(Sens!$L$5809+Sens!$M$5809)/2</f>
        <v>23885.8</v>
      </c>
      <c r="N5810" s="33" t="n">
        <f aca="false">(Sens!$C$5809+Sens!$N$5809)/2</f>
        <v>630</v>
      </c>
      <c r="O5810" s="33" t="n">
        <f aca="false">(Sens!$N$5809+Sens!$O$5809)/2</f>
        <v>1170</v>
      </c>
    </row>
    <row r="5811" customFormat="false" ht="15" hidden="false" customHeight="false" outlineLevel="0" collapsed="false">
      <c r="A5811" s="5" t="s">
        <v>555</v>
      </c>
      <c r="B5811" s="5" t="s">
        <v>102</v>
      </c>
      <c r="C5811" s="34" t="n">
        <v>1</v>
      </c>
      <c r="D5811" s="34" t="n">
        <v>1</v>
      </c>
      <c r="E5811" s="34" t="n">
        <v>0.5</v>
      </c>
      <c r="F5811" s="34" t="n">
        <v>0.5</v>
      </c>
      <c r="G5811" s="34" t="n">
        <v>1</v>
      </c>
      <c r="H5811" s="34" t="n">
        <v>1</v>
      </c>
      <c r="I5811" s="34" t="n">
        <v>1</v>
      </c>
      <c r="J5811" s="34" t="n">
        <v>1</v>
      </c>
      <c r="K5811" s="34" t="n">
        <v>1</v>
      </c>
      <c r="L5811" s="34" t="n">
        <v>1</v>
      </c>
      <c r="M5811" s="34" t="n">
        <v>1</v>
      </c>
      <c r="N5811" s="34" t="n">
        <v>0.5</v>
      </c>
      <c r="O5811" s="34" t="n">
        <v>0.5</v>
      </c>
    </row>
    <row r="5812" customFormat="false" ht="17.15" hidden="false" customHeight="false" outlineLevel="0" collapsed="false">
      <c r="A5812" s="5" t="s">
        <v>556</v>
      </c>
      <c r="B5812" s="0" t="s">
        <v>108</v>
      </c>
      <c r="C5812" s="33" t="n">
        <f aca="false">Sens!$C$5809-mw_ye23</f>
        <v>240</v>
      </c>
      <c r="D5812" s="33" t="n">
        <f aca="false">Sens!$D$5809-Sens!$C$5809</f>
        <v>1080</v>
      </c>
      <c r="E5812" s="33" t="n">
        <f aca="false">Sens!$E$5809-Sens!$D$5809</f>
        <v>640</v>
      </c>
      <c r="F5812" s="33" t="n">
        <f aca="false">Sens!$F$5809-Sens!$E$5809</f>
        <v>1817.15</v>
      </c>
      <c r="G5812" s="33" t="n">
        <f aca="false">Sens!$E$5812+Sens!$F$5812</f>
        <v>2457.15</v>
      </c>
      <c r="H5812" s="33" t="n">
        <f aca="false">Sens!$H$5809-Sens!$G$5809</f>
        <v>3634.3</v>
      </c>
      <c r="I5812" s="33" t="n">
        <f aca="false">Sens!$I$5809-Sens!$H$5809</f>
        <v>3634.3</v>
      </c>
      <c r="J5812" s="33" t="n">
        <f aca="false">Sens!$J$5809-Sens!$I$5809</f>
        <v>3634.3</v>
      </c>
      <c r="K5812" s="33" t="n">
        <f aca="false">Sens!$K$5809-Sens!$J$5809</f>
        <v>3634.3</v>
      </c>
      <c r="L5812" s="33" t="n">
        <f aca="false">Sens!$L$5809-Sens!$K$5809</f>
        <v>3634.3</v>
      </c>
      <c r="M5812" s="33" t="n">
        <f aca="false">Sens!$M$5809-Sens!$L$5809</f>
        <v>3634.3</v>
      </c>
      <c r="N5812" s="33" t="n">
        <f aca="false">Sens!$N$5809-Sens!$C$5809</f>
        <v>540</v>
      </c>
      <c r="O5812" s="33" t="n">
        <f aca="false">Sens!$O$5809-Sens!$N$5809</f>
        <v>540</v>
      </c>
    </row>
    <row r="5813" customFormat="false" ht="17.15" hidden="false" customHeight="false" outlineLevel="0" collapsed="false">
      <c r="A5813" s="5" t="s">
        <v>557</v>
      </c>
      <c r="B5813" s="0" t="s">
        <v>108</v>
      </c>
      <c r="C5813" s="33" t="n">
        <f aca="false">Sens!$C$5812/ext_sh</f>
        <v>300</v>
      </c>
      <c r="D5813" s="33" t="n">
        <f aca="false">Sens!$D$5812/ext_sh</f>
        <v>1350</v>
      </c>
      <c r="E5813" s="33" t="n">
        <f aca="false">Sens!$E$5812/ext_sh</f>
        <v>800</v>
      </c>
      <c r="F5813" s="33" t="n">
        <f aca="false">Sens!$F$5812/ext_sh</f>
        <v>2271.4375</v>
      </c>
      <c r="G5813" s="33" t="n">
        <f aca="false">Sens!$G$5812/ext_sh</f>
        <v>3071.4375</v>
      </c>
      <c r="H5813" s="33" t="n">
        <f aca="false">Sens!$H$5812/ext_sh</f>
        <v>4542.875</v>
      </c>
      <c r="I5813" s="33" t="n">
        <f aca="false">Sens!$I$5812/ext_sh</f>
        <v>4542.875</v>
      </c>
      <c r="J5813" s="33" t="n">
        <f aca="false">Sens!$J$5812/ext_sh</f>
        <v>4542.875</v>
      </c>
      <c r="K5813" s="33" t="n">
        <f aca="false">Sens!$K$5812/ext_sh</f>
        <v>4542.875</v>
      </c>
      <c r="L5813" s="33" t="n">
        <f aca="false">Sens!$L$5812/ext_sh</f>
        <v>4542.875</v>
      </c>
      <c r="M5813" s="33" t="n">
        <f aca="false">Sens!$M$5812/ext_sh</f>
        <v>4542.875</v>
      </c>
      <c r="N5813" s="33" t="n">
        <f aca="false">Sens!$N$5812/ext_sh</f>
        <v>675</v>
      </c>
      <c r="O5813" s="33" t="n">
        <f aca="false">Sens!$O$5812/ext_sh</f>
        <v>675</v>
      </c>
      <c r="P5813" s="8" t="s">
        <v>558</v>
      </c>
      <c r="R5813" s="33" t="n">
        <f aca="false">mw_ye23/ext_sh</f>
        <v>150</v>
      </c>
      <c r="S5813" s="33" t="n">
        <f aca="false">Sens!$C$5813</f>
        <v>300</v>
      </c>
      <c r="T5813" s="33" t="n">
        <f aca="false">Sens!$D$5813</f>
        <v>1350</v>
      </c>
      <c r="U5813" s="33" t="n">
        <f aca="false">Sens!$G$5813</f>
        <v>3071.4375</v>
      </c>
      <c r="V5813" s="33" t="n">
        <f aca="false">Sens!$H$5813</f>
        <v>4542.875</v>
      </c>
      <c r="W5813" s="33" t="n">
        <f aca="false">Sens!$I$5813</f>
        <v>4542.875</v>
      </c>
      <c r="X5813" s="33" t="n">
        <f aca="false">Sens!$J$5813</f>
        <v>4542.875</v>
      </c>
      <c r="Y5813" s="33" t="n">
        <f aca="false">Sens!$K$5813</f>
        <v>4542.875</v>
      </c>
      <c r="Z5813" s="33" t="n">
        <f aca="false">Sens!$L$5813</f>
        <v>4542.875</v>
      </c>
      <c r="AA5813" s="33" t="n">
        <f aca="false">Sens!$M$5813</f>
        <v>4542.875</v>
      </c>
    </row>
    <row r="5814" customFormat="false" ht="17.15" hidden="false" customHeight="false" outlineLevel="0" collapsed="false">
      <c r="A5814" s="1" t="s">
        <v>559</v>
      </c>
    </row>
    <row r="5815" customFormat="false" ht="17.15" hidden="false" customHeight="false" outlineLevel="0" collapsed="false">
      <c r="A5815" s="0" t="s">
        <v>560</v>
      </c>
      <c r="B5815" s="0" t="s">
        <v>52</v>
      </c>
      <c r="F5815" s="35" t="n">
        <f aca="false">na_vr26</f>
        <v>0</v>
      </c>
      <c r="G5815" s="35" t="n">
        <f aca="false">na_vr26</f>
        <v>0</v>
      </c>
      <c r="H5815" s="35" t="n">
        <f aca="false">na_vr27</f>
        <v>0.5</v>
      </c>
      <c r="I5815" s="35" t="n">
        <f aca="false">na_vr28</f>
        <v>1</v>
      </c>
      <c r="J5815" s="35" t="n">
        <f aca="false">na_vr28</f>
        <v>1</v>
      </c>
      <c r="K5815" s="35" t="n">
        <f aca="false">na_vr28</f>
        <v>1</v>
      </c>
      <c r="L5815" s="35" t="n">
        <f aca="false">na_vr28</f>
        <v>1</v>
      </c>
      <c r="M5815" s="35" t="n">
        <f aca="false">na_vr28</f>
        <v>1</v>
      </c>
    </row>
    <row r="5816" customFormat="false" ht="17.15" hidden="false" customHeight="false" outlineLevel="0" collapsed="false">
      <c r="A5816" s="5" t="s">
        <v>561</v>
      </c>
      <c r="B5816" s="0" t="s">
        <v>151</v>
      </c>
      <c r="F5816" s="36" t="n">
        <f aca="false">cust_sh*tk_he_gb300*cf_chip+(1-cust_sh)*((1-Sens!$F$5815)*tk_he_gb300+Sens!$F$5815*tk_he_vr200)</f>
        <v>10.8864110021101</v>
      </c>
      <c r="G5816" s="36" t="n">
        <f aca="false">cust_sh*tk_he_gb300*cf_chip+(1-cust_sh)*((1-Sens!$G$5815)*tk_he_gb300+Sens!$G$5815*tk_he_vr200)</f>
        <v>10.8864110021101</v>
      </c>
      <c r="H5816" s="36" t="n">
        <f aca="false">cust_sh*tk_he_gb300*cf_chip+(1-cust_sh)*((1-Sens!$H$5815)*tk_he_gb300+Sens!$H$5815*tk_he_vr200)</f>
        <v>11.2211760027286</v>
      </c>
      <c r="I5816" s="36" t="n">
        <f aca="false">cust_sh*tk_he_gb300*cf_chip+(1-cust_sh)*((1-Sens!$I$5815)*tk_he_gb300+Sens!$I$5815*tk_he_vr200)</f>
        <v>11.5559410033471</v>
      </c>
      <c r="J5816" s="36" t="n">
        <f aca="false">cust_sh*tk_he_gb300*cf_chip+(1-cust_sh)*((1-Sens!$J$5815)*tk_he_gb300+Sens!$J$5815*tk_he_vr200)</f>
        <v>11.5559410033471</v>
      </c>
      <c r="K5816" s="36" t="n">
        <f aca="false">cust_sh*tk_he_gb300*cf_chip+(1-cust_sh)*((1-Sens!$K$5815)*tk_he_gb300+Sens!$K$5815*tk_he_vr200)</f>
        <v>11.5559410033471</v>
      </c>
      <c r="L5816" s="36" t="n">
        <f aca="false">cust_sh*tk_he_gb300*cf_chip+(1-cust_sh)*((1-Sens!$L$5815)*tk_he_gb300+Sens!$L$5815*tk_he_vr200)</f>
        <v>11.5559410033471</v>
      </c>
      <c r="M5816" s="36" t="n">
        <f aca="false">cust_sh*tk_he_gb300*cf_chip+(1-cust_sh)*((1-Sens!$M$5815)*tk_he_gb300+Sens!$M$5815*tk_he_vr200)</f>
        <v>11.5559410033471</v>
      </c>
    </row>
    <row r="5817" customFormat="false" ht="17.15" hidden="false" customHeight="false" outlineLevel="0" collapsed="false">
      <c r="A5817" s="5" t="s">
        <v>562</v>
      </c>
      <c r="B5817" s="0" t="s">
        <v>151</v>
      </c>
      <c r="F5817" s="36" t="n">
        <f aca="false">cust_sh*tk_ox_gb300+(1-cust_sh)*((1-Sens!$F$5815)*tk_ox_gb300+Sens!$F$5815*tk_ox_vr200)</f>
        <v>1.98263481314457</v>
      </c>
      <c r="G5817" s="36" t="n">
        <f aca="false">cust_sh*tk_ox_gb300+(1-cust_sh)*((1-Sens!$G$5815)*tk_ox_gb300+Sens!$G$5815*tk_ox_vr200)</f>
        <v>1.98263481314457</v>
      </c>
      <c r="H5817" s="36" t="n">
        <f aca="false">cust_sh*tk_ox_gb300+(1-cust_sh)*((1-Sens!$H$5815)*tk_ox_gb300+Sens!$H$5815*tk_ox_vr200)</f>
        <v>2.01034999693694</v>
      </c>
      <c r="I5817" s="36" t="n">
        <f aca="false">cust_sh*tk_ox_gb300+(1-cust_sh)*((1-Sens!$I$5815)*tk_ox_gb300+Sens!$I$5815*tk_ox_vr200)</f>
        <v>2.0380651807293</v>
      </c>
      <c r="J5817" s="36" t="n">
        <f aca="false">cust_sh*tk_ox_gb300+(1-cust_sh)*((1-Sens!$J$5815)*tk_ox_gb300+Sens!$J$5815*tk_ox_vr200)</f>
        <v>2.0380651807293</v>
      </c>
      <c r="K5817" s="36" t="n">
        <f aca="false">cust_sh*tk_ox_gb300+(1-cust_sh)*((1-Sens!$K$5815)*tk_ox_gb300+Sens!$K$5815*tk_ox_vr200)</f>
        <v>2.0380651807293</v>
      </c>
      <c r="L5817" s="36" t="n">
        <f aca="false">cust_sh*tk_ox_gb300+(1-cust_sh)*((1-Sens!$L$5815)*tk_ox_gb300+Sens!$L$5815*tk_ox_vr200)</f>
        <v>2.0380651807293</v>
      </c>
      <c r="M5817" s="36" t="n">
        <f aca="false">cust_sh*tk_ox_gb300+(1-cust_sh)*((1-Sens!$M$5815)*tk_ox_gb300+Sens!$M$5815*tk_ox_vr200)</f>
        <v>2.0380651807293</v>
      </c>
    </row>
    <row r="5818" customFormat="false" ht="17.15" hidden="false" customHeight="false" outlineLevel="0" collapsed="false">
      <c r="A5818" s="5" t="s">
        <v>563</v>
      </c>
      <c r="B5818" s="0" t="s">
        <v>170</v>
      </c>
      <c r="F5818" s="36" t="n">
        <f aca="false">cust_sh*tk_cx_gb300*cf_cx+(1-cust_sh)*((1-Sens!$F$5815)*tk_cx_gb300+Sens!$F$5815*tk_cx_vr200)</f>
        <v>32.237224</v>
      </c>
      <c r="G5818" s="36" t="n">
        <f aca="false">cust_sh*tk_cx_gb300*cf_cx+(1-cust_sh)*((1-Sens!$G$5815)*tk_cx_gb300+Sens!$G$5815*tk_cx_vr200)</f>
        <v>32.237224</v>
      </c>
      <c r="H5818" s="36" t="n">
        <f aca="false">cust_sh*tk_cx_gb300*cf_cx+(1-cust_sh)*((1-Sens!$H$5815)*tk_cx_gb300+Sens!$H$5815*tk_cx_vr200)</f>
        <v>33.574506</v>
      </c>
      <c r="I5818" s="36" t="n">
        <f aca="false">cust_sh*tk_cx_gb300*cf_cx+(1-cust_sh)*((1-Sens!$I$5815)*tk_cx_gb300+Sens!$I$5815*tk_cx_vr200)</f>
        <v>34.911788</v>
      </c>
      <c r="J5818" s="36" t="n">
        <f aca="false">cust_sh*tk_cx_gb300*cf_cx+(1-cust_sh)*((1-Sens!$J$5815)*tk_cx_gb300+Sens!$J$5815*tk_cx_vr200)</f>
        <v>34.911788</v>
      </c>
      <c r="K5818" s="36" t="n">
        <f aca="false">cust_sh*tk_cx_gb300*cf_cx+(1-cust_sh)*((1-Sens!$K$5815)*tk_cx_gb300+Sens!$K$5815*tk_cx_vr200)</f>
        <v>34.911788</v>
      </c>
      <c r="L5818" s="36" t="n">
        <f aca="false">cust_sh*tk_cx_gb300*cf_cx+(1-cust_sh)*((1-Sens!$L$5815)*tk_cx_gb300+Sens!$L$5815*tk_cx_vr200)</f>
        <v>34.911788</v>
      </c>
      <c r="M5818" s="36" t="n">
        <f aca="false">cust_sh*tk_cx_gb300*cf_cx+(1-cust_sh)*((1-Sens!$M$5815)*tk_cx_gb300+Sens!$M$5815*tk_cx_vr200)</f>
        <v>34.911788</v>
      </c>
    </row>
    <row r="5819" customFormat="false" ht="17.15" hidden="false" customHeight="false" outlineLevel="0" collapsed="false">
      <c r="A5819" s="5" t="s">
        <v>564</v>
      </c>
      <c r="B5819" s="0" t="s">
        <v>108</v>
      </c>
      <c r="F5819" s="33" t="n">
        <f aca="false">Sens!$F$5809-mw_open</f>
        <v>1817.15</v>
      </c>
      <c r="G5819" s="33" t="n">
        <f aca="false">Sens!$F$5819</f>
        <v>1817.15</v>
      </c>
      <c r="H5819" s="33" t="n">
        <f aca="false">Sens!$H$5809-mw_open</f>
        <v>5451.45</v>
      </c>
      <c r="I5819" s="33" t="n">
        <f aca="false">Sens!$I$5809-mw_open</f>
        <v>9085.75</v>
      </c>
      <c r="J5819" s="33" t="n">
        <f aca="false">Sens!$J$5809-mw_open</f>
        <v>12720.05</v>
      </c>
      <c r="K5819" s="33" t="n">
        <f aca="false">Sens!$K$5809-mw_open</f>
        <v>16354.35</v>
      </c>
      <c r="L5819" s="33" t="n">
        <f aca="false">Sens!$L$5809-mw_open</f>
        <v>19988.65</v>
      </c>
      <c r="M5819" s="33" t="n">
        <f aca="false">Sens!$M$5809-mw_open</f>
        <v>23622.95</v>
      </c>
    </row>
    <row r="5820" customFormat="false" ht="17.15" hidden="false" customHeight="false" outlineLevel="0" collapsed="false">
      <c r="A5820" s="0" t="s">
        <v>565</v>
      </c>
      <c r="B5820" s="0" t="s">
        <v>566</v>
      </c>
      <c r="F5820" s="33" t="n">
        <f aca="false">Sens!$F$5812*Sens!$F$5816</f>
        <v>19782.2417524844</v>
      </c>
      <c r="G5820" s="33" t="n">
        <f aca="false">Sens!$F$5820</f>
        <v>19782.2417524844</v>
      </c>
      <c r="H5820" s="33" t="n">
        <f aca="false">Sens!$G$5820+Sens!$H$5812*Sens!$H$5816</f>
        <v>60563.3616992009</v>
      </c>
      <c r="I5820" s="33" t="n">
        <f aca="false">Sens!$H$5820+Sens!$I$5812*Sens!$I$5816</f>
        <v>102561.118087665</v>
      </c>
      <c r="J5820" s="33" t="n">
        <f aca="false">Sens!$I$5820+Sens!$J$5812*Sens!$J$5816</f>
        <v>144558.87447613</v>
      </c>
      <c r="K5820" s="33" t="n">
        <f aca="false">Sens!$J$5820+Sens!$K$5812*Sens!$K$5816</f>
        <v>186556.630864594</v>
      </c>
      <c r="L5820" s="33" t="n">
        <f aca="false">Sens!$K$5820+Sens!$L$5812*Sens!$L$5816</f>
        <v>228554.387253058</v>
      </c>
      <c r="M5820" s="33" t="n">
        <f aca="false">Sens!$L$5820+Sens!$M$5812*Sens!$M$5816</f>
        <v>270552.143641523</v>
      </c>
    </row>
    <row r="5821" customFormat="false" ht="17.15" hidden="false" customHeight="false" outlineLevel="0" collapsed="false">
      <c r="A5821" s="0" t="s">
        <v>567</v>
      </c>
      <c r="B5821" s="0" t="s">
        <v>566</v>
      </c>
      <c r="F5821" s="33" t="n">
        <f aca="false">Sens!$F$5812*Sens!$F$5817</f>
        <v>3602.74485070566</v>
      </c>
      <c r="G5821" s="33" t="n">
        <f aca="false">Sens!$F$5821</f>
        <v>3602.74485070566</v>
      </c>
      <c r="H5821" s="33" t="n">
        <f aca="false">Sens!$G$5821+Sens!$H$5812*Sens!$H$5817</f>
        <v>10908.9598445736</v>
      </c>
      <c r="I5821" s="33" t="n">
        <f aca="false">Sens!$H$5821+Sens!$I$5812*Sens!$I$5817</f>
        <v>18315.9001308981</v>
      </c>
      <c r="J5821" s="33" t="n">
        <f aca="false">Sens!$I$5821+Sens!$J$5812*Sens!$J$5817</f>
        <v>25722.8404172225</v>
      </c>
      <c r="K5821" s="33" t="n">
        <f aca="false">Sens!$J$5821+Sens!$K$5812*Sens!$K$5817</f>
        <v>33129.780703547</v>
      </c>
      <c r="L5821" s="33" t="n">
        <f aca="false">Sens!$K$5821+Sens!$L$5812*Sens!$L$5817</f>
        <v>40536.7209898715</v>
      </c>
      <c r="M5821" s="33" t="n">
        <f aca="false">Sens!$L$5821+Sens!$M$5812*Sens!$M$5817</f>
        <v>47943.661276196</v>
      </c>
    </row>
    <row r="5822" customFormat="false" ht="17.15" hidden="false" customHeight="false" outlineLevel="0" collapsed="false">
      <c r="A5822" s="5" t="s">
        <v>568</v>
      </c>
      <c r="B5822" s="0" t="s">
        <v>151</v>
      </c>
      <c r="F5822" s="36" t="n">
        <f aca="false">IF(Sens!$F$5819&gt;0,Sens!$F$5820/Sens!$F$5819,Sens!$F$5816)</f>
        <v>10.8864110021101</v>
      </c>
      <c r="G5822" s="36" t="n">
        <f aca="false">IF(Sens!$G$5819&gt;0,Sens!$G$5820/Sens!$G$5819,Sens!$G$5816)</f>
        <v>10.8864110021101</v>
      </c>
      <c r="H5822" s="36" t="n">
        <f aca="false">IF(Sens!$H$5819&gt;0,Sens!$H$5820/Sens!$H$5819,Sens!$H$5816)</f>
        <v>11.1095876691891</v>
      </c>
      <c r="I5822" s="36" t="n">
        <f aca="false">IF(Sens!$I$5819&gt;0,Sens!$I$5820/Sens!$I$5819,Sens!$I$5816)</f>
        <v>11.2881290028523</v>
      </c>
      <c r="J5822" s="36" t="n">
        <f aca="false">IF(Sens!$J$5819&gt;0,Sens!$J$5820/Sens!$J$5819,Sens!$J$5816)</f>
        <v>11.3646467172794</v>
      </c>
      <c r="K5822" s="36" t="n">
        <f aca="false">IF(Sens!$K$5819&gt;0,Sens!$K$5820/Sens!$K$5819,Sens!$K$5816)</f>
        <v>11.4071565586278</v>
      </c>
      <c r="L5822" s="36" t="n">
        <f aca="false">IF(Sens!$L$5819&gt;0,Sens!$L$5820/Sens!$L$5819,Sens!$L$5816)</f>
        <v>11.4342082758495</v>
      </c>
      <c r="M5822" s="36" t="n">
        <f aca="false">IF(Sens!$M$5819&gt;0,Sens!$M$5820/Sens!$M$5819,Sens!$M$5816)</f>
        <v>11.4529363877722</v>
      </c>
    </row>
    <row r="5823" customFormat="false" ht="17.15" hidden="false" customHeight="false" outlineLevel="0" collapsed="false">
      <c r="A5823" s="5" t="s">
        <v>569</v>
      </c>
      <c r="B5823" s="0" t="s">
        <v>151</v>
      </c>
      <c r="F5823" s="36" t="n">
        <f aca="false">IF(Sens!$F$5819&gt;0,Sens!$F$5821/Sens!$F$5819,Sens!$F$5817)</f>
        <v>1.98263481314457</v>
      </c>
      <c r="G5823" s="36" t="n">
        <f aca="false">IF(Sens!$G$5819&gt;0,Sens!$G$5821/Sens!$G$5819,Sens!$G$5817)</f>
        <v>1.98263481314457</v>
      </c>
      <c r="H5823" s="36" t="n">
        <f aca="false">IF(Sens!$H$5819&gt;0,Sens!$H$5821/Sens!$H$5819,Sens!$H$5817)</f>
        <v>2.00111160233948</v>
      </c>
      <c r="I5823" s="36" t="n">
        <f aca="false">IF(Sens!$I$5819&gt;0,Sens!$I$5821/Sens!$I$5819,Sens!$I$5817)</f>
        <v>2.01589303369541</v>
      </c>
      <c r="J5823" s="36" t="n">
        <f aca="false">IF(Sens!$J$5819&gt;0,Sens!$J$5821/Sens!$J$5819,Sens!$J$5817)</f>
        <v>2.02222793284795</v>
      </c>
      <c r="K5823" s="36" t="n">
        <f aca="false">IF(Sens!$K$5819&gt;0,Sens!$K$5821/Sens!$K$5819,Sens!$K$5817)</f>
        <v>2.02574732126603</v>
      </c>
      <c r="L5823" s="36" t="n">
        <f aca="false">IF(Sens!$L$5819&gt;0,Sens!$L$5821/Sens!$L$5819,Sens!$L$5817)</f>
        <v>2.02798693207753</v>
      </c>
      <c r="M5823" s="36" t="n">
        <f aca="false">IF(Sens!$M$5819&gt;0,Sens!$M$5821/Sens!$M$5819,Sens!$M$5817)</f>
        <v>2.02953743187011</v>
      </c>
    </row>
    <row r="5824" customFormat="false" ht="17.15" hidden="false" customHeight="false" outlineLevel="0" collapsed="false">
      <c r="A5824" s="14" t="s">
        <v>570</v>
      </c>
      <c r="B5824" s="13" t="s">
        <v>151</v>
      </c>
      <c r="C5824" s="13"/>
      <c r="D5824" s="13"/>
      <c r="E5824" s="13"/>
      <c r="F5824" s="37" t="n">
        <f aca="false">Sens!$F$5822*k_B</f>
        <v>10.7987645808025</v>
      </c>
      <c r="G5824" s="37" t="n">
        <f aca="false">Sens!$G$5822*k_B</f>
        <v>10.7987645808025</v>
      </c>
      <c r="H5824" s="37" t="n">
        <f aca="false">Sens!$H$5822*k_B</f>
        <v>11.0201444540452</v>
      </c>
      <c r="I5824" s="37" t="n">
        <f aca="false">Sens!$I$5822*k_B</f>
        <v>11.1972483526393</v>
      </c>
      <c r="J5824" s="37" t="n">
        <f aca="false">Sens!$J$5822*k_B</f>
        <v>11.2731500234653</v>
      </c>
      <c r="K5824" s="37" t="n">
        <f aca="false">Sens!$K$5822*k_B</f>
        <v>11.3153176183687</v>
      </c>
      <c r="L5824" s="37" t="n">
        <f aca="false">Sens!$L$5822*k_B</f>
        <v>11.3421515423981</v>
      </c>
      <c r="M5824" s="37" t="n">
        <f aca="false">Sens!$M$5822*k_B</f>
        <v>11.3607288744184</v>
      </c>
      <c r="N5824" s="13"/>
      <c r="O5824" s="13"/>
      <c r="P5824" s="5" t="s">
        <v>571</v>
      </c>
    </row>
    <row r="5825" customFormat="false" ht="17.15" hidden="false" customHeight="false" outlineLevel="0" collapsed="false">
      <c r="A5825" s="5" t="s">
        <v>572</v>
      </c>
      <c r="B5825" s="0" t="s">
        <v>108</v>
      </c>
      <c r="F5825" s="33" t="n">
        <f aca="false">Sens!$F$5819/2</f>
        <v>908.575</v>
      </c>
      <c r="H5825" s="33" t="n">
        <f aca="false">(Sens!$G$5819+Sens!$H$5819)/2</f>
        <v>3634.3</v>
      </c>
      <c r="I5825" s="33" t="n">
        <f aca="false">(Sens!$H$5819+Sens!$I$5819)/2</f>
        <v>7268.6</v>
      </c>
      <c r="J5825" s="33" t="n">
        <f aca="false">(Sens!$I$5819+Sens!$J$5819)/2</f>
        <v>10902.9</v>
      </c>
      <c r="K5825" s="33" t="n">
        <f aca="false">(Sens!$J$5819+Sens!$K$5819)/2</f>
        <v>14537.2</v>
      </c>
      <c r="L5825" s="33" t="n">
        <f aca="false">(Sens!$K$5819+Sens!$L$5819)/2</f>
        <v>18171.5</v>
      </c>
      <c r="M5825" s="33" t="n">
        <f aca="false">(Sens!$L$5819+Sens!$M$5819)/2</f>
        <v>21805.8</v>
      </c>
    </row>
    <row r="5826" customFormat="false" ht="17.15" hidden="false" customHeight="false" outlineLevel="0" collapsed="false">
      <c r="A5826" s="1" t="s">
        <v>573</v>
      </c>
    </row>
    <row r="5827" customFormat="false" ht="17.15" hidden="false" customHeight="false" outlineLevel="0" collapsed="false">
      <c r="A5827" s="1" t="s">
        <v>574</v>
      </c>
      <c r="B5827" s="8" t="s">
        <v>73</v>
      </c>
      <c r="C5827" s="38" t="n">
        <f aca="false">Sens!$C$5810*rpm_open*Sens!$C$5811/1000</f>
        <v>2.32100535697364</v>
      </c>
      <c r="D5827" s="38" t="n">
        <f aca="false">Sens!$D$5810*rpm_open*Sens!$D$5811/1000</f>
        <v>8.70377008865116</v>
      </c>
      <c r="E5827" s="38" t="n">
        <f aca="false">Sens!$E$5810*rpm_open*Sens!$E$5811/1000</f>
        <v>8.51035297557002</v>
      </c>
      <c r="F5827" s="38" t="n">
        <f aca="false">(mw_open*rpm_open+Sens!$F$5825*Sens!$F$5824)*Sens!$F$5811/1000</f>
        <v>14.9634336447205</v>
      </c>
      <c r="G5827" s="38" t="n">
        <f aca="false">Sens!$E$5827+Sens!$F$5827</f>
        <v>23.4737866202905</v>
      </c>
      <c r="H5827" s="38" t="n">
        <f aca="false">(mw_open*rpm_open+Sens!$H$5825*Sens!$H$5824)/1000</f>
        <v>60.1658907497746</v>
      </c>
      <c r="I5827" s="38" t="n">
        <f aca="false">(mw_open*rpm_open+Sens!$I$5825*Sens!$I$5824)/1000</f>
        <v>101.503699136432</v>
      </c>
      <c r="J5827" s="38" t="n">
        <f aca="false">(mw_open*rpm_open+Sens!$J$5825*Sens!$J$5824)/1000</f>
        <v>143.025407151278</v>
      </c>
      <c r="K5827" s="38" t="n">
        <f aca="false">(mw_open*rpm_open+Sens!$K$5825*Sens!$K$5824)/1000</f>
        <v>184.608415042187</v>
      </c>
      <c r="L5827" s="38" t="n">
        <f aca="false">(mw_open*rpm_open+Sens!$L$5825*Sens!$L$5824)/1000</f>
        <v>226.219286513125</v>
      </c>
      <c r="M5827" s="38" t="n">
        <f aca="false">(mw_open*rpm_open+Sens!$M$5825*Sens!$M$5824)/1000</f>
        <v>267.845161450232</v>
      </c>
      <c r="N5827" s="38" t="n">
        <f aca="false">Sens!$N$5810*rpm_open*Sens!$N$5811/1000</f>
        <v>3.04631953102791</v>
      </c>
      <c r="O5827" s="38" t="n">
        <f aca="false">Sens!$O$5810*rpm_open*Sens!$O$5811/1000</f>
        <v>5.65745055762326</v>
      </c>
      <c r="P5827" s="5" t="s">
        <v>575</v>
      </c>
    </row>
    <row r="5828" customFormat="false" ht="17.15" hidden="false" customHeight="false" outlineLevel="0" collapsed="false">
      <c r="A5828" s="5" t="s">
        <v>576</v>
      </c>
      <c r="B5828" s="0" t="s">
        <v>151</v>
      </c>
      <c r="C5828" s="36" t="n">
        <f aca="false">Sens!$C$5827*1000/(Sens!$C$5810*Sens!$C$5811)</f>
        <v>9.67085565405685</v>
      </c>
      <c r="D5828" s="36" t="n">
        <f aca="false">Sens!$D$5827*1000/(Sens!$D$5810*Sens!$D$5811)</f>
        <v>9.67085565405685</v>
      </c>
      <c r="E5828" s="36" t="n">
        <f aca="false">Sens!$E$5827*1000/(Sens!$E$5810*Sens!$E$5811)</f>
        <v>9.67085565405685</v>
      </c>
      <c r="F5828" s="36" t="n">
        <f aca="false">Sens!$F$5827*1000/(Sens!$F$5810*Sens!$F$5811)</f>
        <v>10.0137581588017</v>
      </c>
      <c r="G5828" s="36" t="n">
        <f aca="false">Sens!$G$5827*1000/(Sens!$G$5810*Sens!$G$5811)</f>
        <v>9.88666562928478</v>
      </c>
      <c r="H5828" s="36" t="n">
        <f aca="false">Sens!$H$5827*1000/(Sens!$H$5810*Sens!$H$5811)</f>
        <v>10.5290045586992</v>
      </c>
      <c r="I5828" s="36" t="n">
        <f aca="false">Sens!$I$5827*1000/(Sens!$I$5810*Sens!$I$5811)</f>
        <v>10.8576363451674</v>
      </c>
      <c r="J5828" s="36" t="n">
        <f aca="false">Sens!$J$5827*1000/(Sens!$J$5810*Sens!$J$5811)</f>
        <v>11.0164452588619</v>
      </c>
      <c r="K5828" s="36" t="n">
        <f aca="false">Sens!$K$5827*1000/(Sens!$K$5810*Sens!$K$5811)</f>
        <v>11.1094778327388</v>
      </c>
      <c r="L5828" s="36" t="n">
        <f aca="false">Sens!$L$5827*1000/(Sens!$L$5810*Sens!$L$5811)</f>
        <v>11.1704953466718</v>
      </c>
      <c r="M5828" s="36" t="n">
        <f aca="false">Sens!$M$5827*1000/(Sens!$M$5810*Sens!$M$5811)</f>
        <v>11.2135729785158</v>
      </c>
      <c r="N5828" s="36" t="n">
        <f aca="false">Sens!$N$5827*1000/(Sens!$N$5810*Sens!$N$5811)</f>
        <v>9.67085565405685</v>
      </c>
      <c r="O5828" s="36" t="n">
        <f aca="false">Sens!$O$5827*1000/(Sens!$O$5810*Sens!$O$5811)</f>
        <v>9.67085565405685</v>
      </c>
    </row>
    <row r="5829" customFormat="false" ht="17.15" hidden="false" customHeight="false" outlineLevel="0" collapsed="false">
      <c r="A5829" s="0" t="s">
        <v>577</v>
      </c>
      <c r="B5829" s="0" t="s">
        <v>73</v>
      </c>
      <c r="C5829" s="38" t="n">
        <f aca="false">Sens!$C$5810/ext_sh*(ox_open+rent_mw)*Sens!$C$5811/1000</f>
        <v>0.642569210675032</v>
      </c>
      <c r="D5829" s="38" t="n">
        <f aca="false">Sens!$D$5810/ext_sh*(ox_open+rent_mw)*Sens!$D$5811/1000</f>
        <v>2.40963454003137</v>
      </c>
      <c r="E5829" s="38" t="n">
        <f aca="false">Sens!$E$5810/ext_sh*(ox_open+rent_mw)*Sens!$E$5811/1000</f>
        <v>2.35608710580845</v>
      </c>
      <c r="F5829" s="38" t="n">
        <f aca="false">((mw_open*ox_open+Sens!$F$5825*Sens!$F$5823)/ext_sh+Sens!$F$5810/ext_sh*rent_mw)*Sens!$F$5811/1000</f>
        <v>4.05421991106232</v>
      </c>
      <c r="G5829" s="38" t="n">
        <f aca="false">Sens!$E$5829+Sens!$F$5829</f>
        <v>6.41030701687077</v>
      </c>
      <c r="H5829" s="38" t="n">
        <f aca="false">((mw_open*ox_open+Sens!$H$5825*Sens!$H$5823)/ext_sh+Sens!$H$5810/ext_sh*rent_mw)*Sens!$H$5811/1000</f>
        <v>15.8108975546616</v>
      </c>
      <c r="I5829" s="38" t="n">
        <f aca="false">((mw_open*ox_open+Sens!$I$5825*Sens!$I$5823)/ext_sh+Sens!$I$5810/ext_sh*rent_mw)*Sens!$I$5811/1000</f>
        <v>26.1871623400817</v>
      </c>
      <c r="J5829" s="38" t="n">
        <f aca="false">((mw_open*ox_open+Sens!$J$5825*Sens!$J$5823)/ext_sh+Sens!$J$5810/ext_sh*rent_mw)*Sens!$J$5811/1000</f>
        <v>36.5826128954935</v>
      </c>
      <c r="K5829" s="38" t="n">
        <f aca="false">((mw_open*ox_open+Sens!$K$5825*Sens!$K$5823)/ext_sh+Sens!$K$5810/ext_sh*rent_mw)*Sens!$K$5811/1000</f>
        <v>46.9844587075692</v>
      </c>
      <c r="L5829" s="38" t="n">
        <f aca="false">((mw_open*ox_open+Sens!$L$5825*Sens!$L$5823)/ext_sh+Sens!$L$5810/ext_sh*rent_mw)*Sens!$L$5811/1000</f>
        <v>57.3892114544922</v>
      </c>
      <c r="M5829" s="38" t="n">
        <f aca="false">((mw_open*ox_open+Sens!$M$5825*Sens!$M$5823)/ext_sh+Sens!$M$5810/ext_sh*rent_mw)*Sens!$M$5811/1000</f>
        <v>67.7955294740252</v>
      </c>
      <c r="N5829" s="38" t="n">
        <f aca="false">Sens!$N$5810/ext_sh*(ox_open+rent_mw)*Sens!$N$5811/1000</f>
        <v>0.84337208901098</v>
      </c>
      <c r="O5829" s="38" t="n">
        <f aca="false">Sens!$O$5810/ext_sh*(ox_open+rent_mw)*Sens!$O$5811/1000</f>
        <v>1.56626245102039</v>
      </c>
    </row>
    <row r="5830" customFormat="false" ht="17.15" hidden="false" customHeight="false" outlineLevel="0" collapsed="false">
      <c r="A5830" s="0" t="s">
        <v>578</v>
      </c>
      <c r="B5830" s="0" t="s">
        <v>73</v>
      </c>
      <c r="C5830" s="38" t="n">
        <f aca="false">Q!$D$7</f>
        <v>107.556</v>
      </c>
      <c r="D5830" s="38" t="n">
        <f aca="false">Q!$E$7</f>
        <v>128.725</v>
      </c>
      <c r="E5830" s="38" t="n">
        <f aca="false">Q!$P$7</f>
        <v>79.819</v>
      </c>
      <c r="N5830" s="38" t="n">
        <f aca="false">Q!$N$7</f>
        <v>60.14</v>
      </c>
      <c r="O5830" s="38" t="n">
        <f aca="false">Q!$O$7</f>
        <v>68.585</v>
      </c>
    </row>
    <row r="5831" customFormat="false" ht="17.15" hidden="false" customHeight="false" outlineLevel="0" collapsed="false">
      <c r="A5831" s="1" t="s">
        <v>579</v>
      </c>
      <c r="B5831" s="8" t="s">
        <v>73</v>
      </c>
      <c r="C5831" s="38" t="n">
        <f aca="false">Sens!$C$5830-Sens!$C$5827</f>
        <v>105.234994643026</v>
      </c>
      <c r="D5831" s="38" t="n">
        <f aca="false">Sens!$D$5830-Sens!$D$5827</f>
        <v>120.021229911349</v>
      </c>
      <c r="E5831" s="38" t="n">
        <f aca="false">Sens!$E$5830-Sens!$E$5827</f>
        <v>71.30864702443</v>
      </c>
      <c r="F5831" s="38" t="n">
        <f aca="false">Sens!$O$5831*(1+Sens!$F$5832)</f>
        <v>78.5950104186653</v>
      </c>
      <c r="G5831" s="38" t="n">
        <f aca="false">Sens!$E$5831+Sens!$F$5831</f>
        <v>149.903657443095</v>
      </c>
      <c r="H5831" s="38" t="n">
        <f aca="false">Sens!$G$5831*(1+Sens!$H$5832)</f>
        <v>180.893560768142</v>
      </c>
      <c r="I5831" s="38" t="n">
        <f aca="false">Sens!$H$5831*(1+Sens!$I$5832)</f>
        <v>210.64839721501</v>
      </c>
      <c r="J5831" s="38" t="n">
        <f aca="false">Sens!$I$5831*(1+Sens!$J$5832)</f>
        <v>236.398909446495</v>
      </c>
      <c r="K5831" s="38" t="n">
        <f aca="false">Sens!$J$5831*(1+Sens!$K$5832)</f>
        <v>255.310822202215</v>
      </c>
      <c r="L5831" s="38" t="n">
        <f aca="false">Sens!$K$5831*(1+Sens!$L$5832)</f>
        <v>275.735687978392</v>
      </c>
      <c r="M5831" s="38" t="n">
        <f aca="false">Sens!$L$5831*(1+Sens!$M$5832)</f>
        <v>297.794543016663</v>
      </c>
      <c r="N5831" s="38" t="n">
        <f aca="false">Sens!$N$5830-Sens!$N$5827</f>
        <v>57.0936804689721</v>
      </c>
      <c r="O5831" s="38" t="n">
        <f aca="false">Sens!$O$5830-Sens!$O$5827</f>
        <v>62.9275494423768</v>
      </c>
      <c r="P5831" s="5" t="s">
        <v>580</v>
      </c>
    </row>
    <row r="5832" customFormat="false" ht="17.15" hidden="false" customHeight="false" outlineLevel="0" collapsed="false">
      <c r="A5832" s="0" t="s">
        <v>581</v>
      </c>
      <c r="B5832" s="0" t="s">
        <v>52</v>
      </c>
      <c r="E5832" s="12" t="n">
        <f aca="false">Sens!$E$5831/Sens!$N$5831-1</f>
        <v>0.248976181579029</v>
      </c>
      <c r="F5832" s="12" t="n">
        <f aca="false">Sens!$E$5832</f>
        <v>0.248976181579029</v>
      </c>
      <c r="G5832" s="12" t="n">
        <f aca="false">Sens!$G$5831/Sens!$D$5831-1</f>
        <v>0.248976181579029</v>
      </c>
      <c r="H5832" s="12" t="n">
        <f aca="false">Sens!$E$5832+(g_awso_lt-Sens!$E$5832)*1/4</f>
        <v>0.206732136184272</v>
      </c>
      <c r="I5832" s="12" t="n">
        <f aca="false">Sens!$E$5832+(g_awso_lt-Sens!$E$5832)*2/4</f>
        <v>0.164488090789515</v>
      </c>
      <c r="J5832" s="12" t="n">
        <f aca="false">Sens!$E$5832+(g_awso_lt-Sens!$E$5832)*3/4</f>
        <v>0.122244045394757</v>
      </c>
      <c r="K5832" s="12" t="n">
        <f aca="false">Sens!$E$5832+(g_awso_lt-Sens!$E$5832)*4/4</f>
        <v>0.08</v>
      </c>
      <c r="L5832" s="12" t="n">
        <f aca="false">g_awso_lt</f>
        <v>0.08</v>
      </c>
      <c r="M5832" s="12" t="n">
        <f aca="false">g_awso_lt</f>
        <v>0.08</v>
      </c>
      <c r="P5832" s="8" t="s">
        <v>582</v>
      </c>
    </row>
    <row r="5833" customFormat="false" ht="17.15" hidden="false" customHeight="false" outlineLevel="0" collapsed="false">
      <c r="A5833" s="1" t="s">
        <v>583</v>
      </c>
    </row>
    <row r="5834" customFormat="false" ht="17.15" hidden="false" customHeight="false" outlineLevel="0" collapsed="false">
      <c r="A5834" s="0" t="s">
        <v>584</v>
      </c>
      <c r="B5834" s="0" t="s">
        <v>73</v>
      </c>
      <c r="F5834" s="38" t="n">
        <f aca="false">cx_rt*Sens!$F$5800+cx_awso*Sens!$F$5831</f>
        <v>36.8045765066526</v>
      </c>
    </row>
    <row r="5835" customFormat="false" ht="17.15" hidden="false" customHeight="false" outlineLevel="0" collapsed="false">
      <c r="A5835" s="0" t="s">
        <v>585</v>
      </c>
      <c r="B5835" s="0" t="s">
        <v>52</v>
      </c>
      <c r="C5835" s="12" t="n">
        <f aca="false">tk_cx_h100/(tk_cx_h100+tk_fac*(1-colo_sh))</f>
        <v>0.730756458006641</v>
      </c>
      <c r="D5835" s="12" t="n">
        <f aca="false">tk_cx_h100/(tk_cx_h100+tk_fac*(1-colo_sh))</f>
        <v>0.730756458006641</v>
      </c>
      <c r="E5835" s="12" t="n">
        <f aca="false">Sens!$F$5835</f>
        <v>0.760792334328868</v>
      </c>
      <c r="F5835" s="12" t="n">
        <f aca="false">Sens!$F$5818/(Sens!$F$5818+tk_fac*(1-colo_sh))</f>
        <v>0.760792334328868</v>
      </c>
      <c r="G5835" s="12" t="n">
        <f aca="false">Sens!$G$5818/(Sens!$G$5818+tk_fac*(1-colo_sh))</f>
        <v>0.760792334328868</v>
      </c>
      <c r="H5835" s="12" t="n">
        <f aca="false">Sens!$H$5818/(Sens!$H$5818+tk_fac*(1-colo_sh))</f>
        <v>0.768110668862996</v>
      </c>
      <c r="I5835" s="12" t="n">
        <f aca="false">Sens!$I$5818/(Sens!$I$5818+tk_fac*(1-colo_sh))</f>
        <v>0.77499450139483</v>
      </c>
      <c r="J5835" s="12" t="n">
        <f aca="false">Sens!$J$5818/(Sens!$J$5818+tk_fac*(1-colo_sh))</f>
        <v>0.77499450139483</v>
      </c>
      <c r="K5835" s="12" t="n">
        <f aca="false">Sens!$K$5818/(Sens!$K$5818+tk_fac*(1-colo_sh))</f>
        <v>0.77499450139483</v>
      </c>
      <c r="L5835" s="12" t="n">
        <f aca="false">Sens!$L$5818/(Sens!$L$5818+tk_fac*(1-colo_sh))</f>
        <v>0.77499450139483</v>
      </c>
      <c r="M5835" s="12" t="n">
        <f aca="false">Sens!$M$5818/(Sens!$M$5818+tk_fac*(1-colo_sh))</f>
        <v>0.77499450139483</v>
      </c>
    </row>
    <row r="5836" customFormat="false" ht="17.15" hidden="false" customHeight="false" outlineLevel="0" collapsed="false">
      <c r="A5836" s="1" t="s">
        <v>586</v>
      </c>
      <c r="B5836" s="8" t="s">
        <v>73</v>
      </c>
      <c r="C5836" s="38" t="n">
        <f aca="false">Q!$D$46-cx_rt*Q!$D$16-cx_awso*Sens!$C$5831</f>
        <v>25.2781053077374</v>
      </c>
      <c r="D5836" s="38" t="n">
        <f aca="false">Q!$E$46-cx_rt*Q!$E$16-cx_awso*Sens!$D$5831</f>
        <v>69.5686316310026</v>
      </c>
      <c r="E5836" s="38" t="n">
        <f aca="false">Q!$P$46-cx_rt*Q!$P$16-cx_awso*Sens!$E$5831</f>
        <v>64.1899206485108</v>
      </c>
      <c r="F5836" s="38" t="n">
        <f aca="false">MAX(Sens!$F$5813*(Sens!$F$5818+tk_fac*(1-colo_sh))/1000,capex_g26-Q!$P$46-Sens!$F$5834)</f>
        <v>96.2481299895</v>
      </c>
      <c r="G5836" s="38" t="n">
        <f aca="false">Sens!$E$5836+Sens!$F$5836</f>
        <v>160.438050638011</v>
      </c>
      <c r="H5836" s="38" t="n">
        <f aca="false">Sens!$H$5813*(Sens!$H$5818+tk_fac*(1-colo_sh))/1000+Sens!$H$5837</f>
        <v>198.57136494475</v>
      </c>
      <c r="I5836" s="38" t="n">
        <f aca="false">Sens!$I$5813*(Sens!$I$5818+tk_fac*(1-colo_sh))/1000+Sens!$I$5837</f>
        <v>204.6464699105</v>
      </c>
      <c r="J5836" s="38" t="n">
        <f aca="false">Sens!$J$5813*(Sens!$J$5818+tk_fac*(1-colo_sh))/1000+Sens!$J$5837</f>
        <v>209.8832381105</v>
      </c>
      <c r="K5836" s="38" t="n">
        <f aca="false">Sens!$K$5813*(Sens!$K$5818+tk_fac*(1-colo_sh))/1000+Sens!$K$5837</f>
        <v>215.1200063105</v>
      </c>
      <c r="L5836" s="38" t="n">
        <f aca="false">Sens!$L$5813*(Sens!$L$5818+tk_fac*(1-colo_sh))/1000+Sens!$L$5837</f>
        <v>251.7773837105</v>
      </c>
      <c r="M5836" s="38" t="n">
        <f aca="false">Sens!$M$5813*(Sens!$M$5818+tk_fac*(1-colo_sh))/1000+Sens!$M$5837</f>
        <v>311.87584476575</v>
      </c>
      <c r="P5836" s="5" t="s">
        <v>587</v>
      </c>
      <c r="R5836" s="38" t="n">
        <f aca="false">Q!$C$46-cx_rt*Q!$C$16-cx_awso*(Q!$C$7-mw_ye23/2*rpm_open/1000)</f>
        <v>1.50429979529945</v>
      </c>
      <c r="S5836" s="38" t="n">
        <f aca="false">Sens!$C$5836</f>
        <v>25.2781053077374</v>
      </c>
      <c r="T5836" s="38" t="n">
        <f aca="false">Sens!$D$5836</f>
        <v>69.5686316310026</v>
      </c>
      <c r="U5836" s="38" t="n">
        <f aca="false">Sens!$G$5836</f>
        <v>160.438050638011</v>
      </c>
      <c r="V5836" s="38" t="n">
        <f aca="false">Sens!$H$5836</f>
        <v>198.57136494475</v>
      </c>
      <c r="W5836" s="38" t="n">
        <f aca="false">Sens!$I$5836</f>
        <v>204.6464699105</v>
      </c>
      <c r="X5836" s="38" t="n">
        <f aca="false">Sens!$J$5836</f>
        <v>209.8832381105</v>
      </c>
      <c r="Y5836" s="38" t="n">
        <f aca="false">Sens!$K$5836</f>
        <v>215.1200063105</v>
      </c>
      <c r="Z5836" s="38" t="n">
        <f aca="false">Sens!$L$5836</f>
        <v>251.7773837105</v>
      </c>
      <c r="AA5836" s="38" t="n">
        <f aca="false">Sens!$M$5836</f>
        <v>311.87584476575</v>
      </c>
    </row>
    <row r="5837" customFormat="false" ht="17.15" hidden="false" customHeight="false" outlineLevel="0" collapsed="false">
      <c r="A5837" s="0" t="s">
        <v>588</v>
      </c>
      <c r="B5837" s="0" t="s">
        <v>73</v>
      </c>
      <c r="H5837" s="38" t="n">
        <f aca="false">SUMPRODUCT(--(Sens!$R$5807:$AA$5807=2027-tk_life),Sens!$R$5813:$AA$5813)*Sens!$H$5818/1000</f>
        <v>0</v>
      </c>
      <c r="I5837" s="38" t="n">
        <f aca="false">SUMPRODUCT(--(Sens!$R$5807:$AA$5807=2028-tk_life),Sens!$R$5813:$AA$5813)*Sens!$I$5818/1000</f>
        <v>0</v>
      </c>
      <c r="J5837" s="38" t="n">
        <f aca="false">SUMPRODUCT(--(Sens!$R$5807:$AA$5807=2029-tk_life),Sens!$R$5813:$AA$5813)*Sens!$J$5818/1000</f>
        <v>5.2367682</v>
      </c>
      <c r="K5837" s="38" t="n">
        <f aca="false">SUMPRODUCT(--(Sens!$R$5807:$AA$5807=2030-tk_life),Sens!$R$5813:$AA$5813)*Sens!$K$5818/1000</f>
        <v>10.4735364</v>
      </c>
      <c r="L5837" s="38" t="n">
        <f aca="false">SUMPRODUCT(--(Sens!$R$5807:$AA$5807=2031-tk_life),Sens!$R$5813:$AA$5813)*Sens!$L$5818/1000</f>
        <v>47.1309138</v>
      </c>
      <c r="M5837" s="38" t="n">
        <f aca="false">SUMPRODUCT(--(Sens!$R$5807:$AA$5807=2032-tk_life),Sens!$R$5813:$AA$5813)*Sens!$M$5818/1000</f>
        <v>107.22937485525</v>
      </c>
    </row>
    <row r="5838" customFormat="false" ht="17.15" hidden="false" customHeight="false" outlineLevel="0" collapsed="false">
      <c r="A5838" s="5" t="s">
        <v>589</v>
      </c>
      <c r="B5838" s="0" t="s">
        <v>73</v>
      </c>
      <c r="C5838" s="38" t="n">
        <f aca="false">Sens!$C$5836*Sens!$C$5835</f>
        <v>18.472138699801</v>
      </c>
      <c r="D5838" s="38" t="n">
        <f aca="false">Sens!$D$5836*Sens!$D$5835</f>
        <v>50.8377268390402</v>
      </c>
      <c r="E5838" s="38" t="n">
        <f aca="false">Sens!$E$5836*Sens!$E$5835</f>
        <v>48.8351995705653</v>
      </c>
      <c r="F5838" s="38" t="n">
        <f aca="false">Sens!$F$5836*Sens!$F$5835</f>
        <v>73.2248394895</v>
      </c>
      <c r="G5838" s="38" t="n">
        <f aca="false">Sens!$E$5838+Sens!$F$5838</f>
        <v>122.060039060065</v>
      </c>
      <c r="H5838" s="38" t="n">
        <f aca="false">(Sens!$H$5836-Sens!$H$5837)*Sens!$H$5835+Sens!$H$5837</f>
        <v>152.52478394475</v>
      </c>
      <c r="I5838" s="38" t="n">
        <f aca="false">(Sens!$I$5836-Sens!$I$5837)*Sens!$I$5835+Sens!$I$5837</f>
        <v>158.5998889105</v>
      </c>
      <c r="J5838" s="38" t="n">
        <f aca="false">(Sens!$J$5836-Sens!$J$5837)*Sens!$J$5835+Sens!$J$5837</f>
        <v>163.8366571105</v>
      </c>
      <c r="K5838" s="38" t="n">
        <f aca="false">(Sens!$K$5836-Sens!$K$5837)*Sens!$K$5835+Sens!$K$5837</f>
        <v>169.0734253105</v>
      </c>
      <c r="L5838" s="38" t="n">
        <f aca="false">(Sens!$L$5836-Sens!$L$5837)*Sens!$L$5835+Sens!$L$5837</f>
        <v>205.7308027105</v>
      </c>
      <c r="M5838" s="38" t="n">
        <f aca="false">(Sens!$M$5836-Sens!$M$5837)*Sens!$M$5835+Sens!$M$5837</f>
        <v>265.82926376575</v>
      </c>
      <c r="R5838" s="38" t="n">
        <f aca="false">Sens!$R$5836*Sens!$C$5835</f>
        <v>1.09927679019314</v>
      </c>
      <c r="S5838" s="38" t="n">
        <f aca="false">Sens!$C$5838</f>
        <v>18.472138699801</v>
      </c>
      <c r="T5838" s="38" t="n">
        <f aca="false">Sens!$D$5838</f>
        <v>50.8377268390402</v>
      </c>
      <c r="U5838" s="38" t="n">
        <f aca="false">Sens!$G$5838</f>
        <v>122.060039060065</v>
      </c>
      <c r="V5838" s="38" t="n">
        <f aca="false">Sens!$H$5838</f>
        <v>152.52478394475</v>
      </c>
      <c r="W5838" s="38" t="n">
        <f aca="false">Sens!$I$5838</f>
        <v>158.5998889105</v>
      </c>
      <c r="X5838" s="38" t="n">
        <f aca="false">Sens!$J$5838</f>
        <v>163.8366571105</v>
      </c>
      <c r="Y5838" s="38" t="n">
        <f aca="false">Sens!$K$5838</f>
        <v>169.0734253105</v>
      </c>
      <c r="Z5838" s="38" t="n">
        <f aca="false">Sens!$L$5838</f>
        <v>205.7308027105</v>
      </c>
      <c r="AA5838" s="38" t="n">
        <f aca="false">Sens!$M$5838</f>
        <v>265.82926376575</v>
      </c>
    </row>
    <row r="5839" customFormat="false" ht="15" hidden="false" customHeight="false" outlineLevel="0" collapsed="false">
      <c r="A5839" s="5" t="s">
        <v>590</v>
      </c>
      <c r="B5839" s="0" t="s">
        <v>73</v>
      </c>
      <c r="C5839" s="38" t="n">
        <f aca="false">Sens!$C$5836-Sens!$C$5838</f>
        <v>6.80596660793636</v>
      </c>
      <c r="D5839" s="38" t="n">
        <f aca="false">Sens!$D$5836-Sens!$D$5838</f>
        <v>18.7309047919624</v>
      </c>
      <c r="E5839" s="38" t="n">
        <f aca="false">Sens!$E$5836-Sens!$E$5838</f>
        <v>15.3547210779455</v>
      </c>
      <c r="F5839" s="38" t="n">
        <f aca="false">Sens!$F$5836-Sens!$F$5838</f>
        <v>23.0232905</v>
      </c>
      <c r="G5839" s="38" t="n">
        <f aca="false">Sens!$G$5836-Sens!$G$5838</f>
        <v>38.3780115779455</v>
      </c>
      <c r="H5839" s="38" t="n">
        <f aca="false">Sens!$H$5836-Sens!$H$5838</f>
        <v>46.046581</v>
      </c>
      <c r="I5839" s="38" t="n">
        <f aca="false">Sens!$I$5836-Sens!$I$5838</f>
        <v>46.046581</v>
      </c>
      <c r="J5839" s="38" t="n">
        <f aca="false">Sens!$J$5836-Sens!$J$5838</f>
        <v>46.046581</v>
      </c>
      <c r="K5839" s="38" t="n">
        <f aca="false">Sens!$K$5836-Sens!$K$5838</f>
        <v>46.046581</v>
      </c>
      <c r="L5839" s="38" t="n">
        <f aca="false">Sens!$L$5836-Sens!$L$5838</f>
        <v>46.046581</v>
      </c>
      <c r="M5839" s="38" t="n">
        <f aca="false">Sens!$M$5836-Sens!$M$5838</f>
        <v>46.046581</v>
      </c>
      <c r="R5839" s="38" t="n">
        <f aca="false">Sens!$R$5836-Sens!$R$5838</f>
        <v>0.405023005106309</v>
      </c>
      <c r="S5839" s="38" t="n">
        <f aca="false">Sens!$S$5836-Sens!$S$5838</f>
        <v>6.80596660793636</v>
      </c>
      <c r="T5839" s="38" t="n">
        <f aca="false">Sens!$T$5836-Sens!$T$5838</f>
        <v>18.7309047919624</v>
      </c>
      <c r="U5839" s="38" t="n">
        <f aca="false">Sens!$U$5836-Sens!$U$5838</f>
        <v>38.3780115779455</v>
      </c>
      <c r="V5839" s="38" t="n">
        <f aca="false">Sens!$V$5836-Sens!$V$5838</f>
        <v>46.046581</v>
      </c>
      <c r="W5839" s="38" t="n">
        <f aca="false">Sens!$W$5836-Sens!$W$5838</f>
        <v>46.046581</v>
      </c>
      <c r="X5839" s="38" t="n">
        <f aca="false">Sens!$X$5836-Sens!$X$5838</f>
        <v>46.046581</v>
      </c>
      <c r="Y5839" s="38" t="n">
        <f aca="false">Sens!$Y$5836-Sens!$Y$5838</f>
        <v>46.046581</v>
      </c>
      <c r="Z5839" s="38" t="n">
        <f aca="false">Sens!$Z$5836-Sens!$Z$5838</f>
        <v>46.046581</v>
      </c>
      <c r="AA5839" s="38" t="n">
        <f aca="false">Sens!$AA$5836-Sens!$AA$5838</f>
        <v>46.046581</v>
      </c>
    </row>
    <row r="5840" customFormat="false" ht="17.15" hidden="false" customHeight="false" outlineLevel="0" collapsed="false">
      <c r="A5840" s="0" t="s">
        <v>591</v>
      </c>
      <c r="B5840" s="0" t="s">
        <v>52</v>
      </c>
      <c r="C5840" s="12" t="n">
        <f aca="false">Sens!$C$5836/Sens!$C$5952</f>
        <v>0.325505489553393</v>
      </c>
      <c r="D5840" s="12" t="n">
        <f aca="false">Sens!$D$5836/Sens!$D$5952</f>
        <v>0.54214956071542</v>
      </c>
      <c r="E5840" s="12" t="n">
        <f aca="false">Sens!$E$5836/Sens!$E$5952</f>
        <v>0.666492790452817</v>
      </c>
      <c r="F5840" s="12" t="n">
        <f aca="false">Sens!$F$5836/Sens!$F$5952</f>
        <v>0.723383481058938</v>
      </c>
      <c r="G5840" s="12" t="n">
        <f aca="false">Sens!$G$5836/Sens!$G$5952</f>
        <v>0.699494931364102</v>
      </c>
      <c r="H5840" s="12" t="n">
        <f aca="false">Sens!$H$5836/Sens!$H$5952</f>
        <v>0.714619350171483</v>
      </c>
      <c r="I5840" s="12" t="n">
        <f aca="false">Sens!$I$5836/Sens!$I$5952</f>
        <v>0.696231624961614</v>
      </c>
      <c r="J5840" s="12" t="n">
        <f aca="false">Sens!$J$5836/Sens!$J$5952</f>
        <v>0.681286352509885</v>
      </c>
      <c r="K5840" s="12" t="n">
        <f aca="false">Sens!$K$5836/Sens!$K$5952</f>
        <v>0.671440649805508</v>
      </c>
      <c r="L5840" s="12" t="n">
        <f aca="false">Sens!$L$5836/Sens!$L$5952</f>
        <v>0.6904509846562</v>
      </c>
      <c r="M5840" s="12" t="n">
        <f aca="false">Sens!$M$5836/Sens!$M$5952</f>
        <v>0.720362080285865</v>
      </c>
    </row>
    <row r="5841" customFormat="false" ht="17.15" hidden="false" customHeight="false" outlineLevel="0" collapsed="false">
      <c r="A5841" s="0" t="s">
        <v>592</v>
      </c>
      <c r="B5841" s="0" t="s">
        <v>73</v>
      </c>
      <c r="C5841" s="38" t="n">
        <f aca="false">Sens!$S$5841</f>
        <v>0.183212798365523</v>
      </c>
      <c r="D5841" s="38" t="n">
        <f aca="false">Sens!$T$5841</f>
        <v>3.2619025816657</v>
      </c>
      <c r="E5841" s="38" t="n">
        <f aca="false">Sens!$G$5841/2</f>
        <v>5.86742852741953</v>
      </c>
      <c r="F5841" s="38" t="n">
        <f aca="false">Sens!$G$5841/2</f>
        <v>5.86742852741953</v>
      </c>
      <c r="G5841" s="38" t="n">
        <f aca="false">Sens!$U$5841</f>
        <v>11.7348570548391</v>
      </c>
      <c r="H5841" s="38" t="n">
        <f aca="false">Sens!$V$5841</f>
        <v>32.0781968981833</v>
      </c>
      <c r="I5841" s="38" t="n">
        <f aca="false">Sens!$W$5841</f>
        <v>57.4989942223083</v>
      </c>
      <c r="J5841" s="38" t="n">
        <f aca="false">Sens!$X$5841</f>
        <v>83.932309040725</v>
      </c>
      <c r="K5841" s="38" t="n">
        <f aca="false">Sens!$Y$5841</f>
        <v>111.055205760776</v>
      </c>
      <c r="L5841" s="38" t="n">
        <f aca="false">Sens!$Z$5841</f>
        <v>136.155420195893</v>
      </c>
      <c r="M5841" s="38" t="n">
        <f aca="false">Sens!$AA$5841</f>
        <v>161.970932841136</v>
      </c>
      <c r="N5841" s="38" t="n">
        <f aca="false">Sens!$D$5841/2</f>
        <v>1.63095129083285</v>
      </c>
      <c r="O5841" s="38" t="n">
        <f aca="false">Sens!$D$5841/2</f>
        <v>1.63095129083285</v>
      </c>
      <c r="R5841" s="38" t="n">
        <f aca="false">SUMPRODUCT(--(Sens!$R$5807:$AA$5807&lt;Sens!R$5807),--(Sens!$R$5807:$AA$5807&gt;=Sens!R$5807-tk_life),Sens!$R$5838:$AA$5838)/tk_life</f>
        <v>0</v>
      </c>
      <c r="S5841" s="38" t="n">
        <f aca="false">SUMPRODUCT(--(Sens!$R$5807:$AA$5807&lt;Sens!S$5807),--(Sens!$R$5807:$AA$5807&gt;=Sens!S$5807-tk_life),Sens!$R$5838:$AA$5838)/tk_life</f>
        <v>0.183212798365523</v>
      </c>
      <c r="T5841" s="38" t="n">
        <f aca="false">SUMPRODUCT(--(Sens!$R$5807:$AA$5807&lt;Sens!T$5807),--(Sens!$R$5807:$AA$5807&gt;=Sens!T$5807-tk_life),Sens!$R$5838:$AA$5838)/tk_life</f>
        <v>3.2619025816657</v>
      </c>
      <c r="U5841" s="38" t="n">
        <f aca="false">SUMPRODUCT(--(Sens!$R$5807:$AA$5807&lt;Sens!U$5807),--(Sens!$R$5807:$AA$5807&gt;=Sens!U$5807-tk_life),Sens!$R$5838:$AA$5838)/tk_life</f>
        <v>11.7348570548391</v>
      </c>
      <c r="V5841" s="38" t="n">
        <f aca="false">SUMPRODUCT(--(Sens!$R$5807:$AA$5807&lt;Sens!V$5807),--(Sens!$R$5807:$AA$5807&gt;=Sens!V$5807-tk_life),Sens!$R$5838:$AA$5838)/tk_life</f>
        <v>32.0781968981833</v>
      </c>
      <c r="W5841" s="38" t="n">
        <f aca="false">SUMPRODUCT(--(Sens!$R$5807:$AA$5807&lt;Sens!W$5807),--(Sens!$R$5807:$AA$5807&gt;=Sens!W$5807-tk_life),Sens!$R$5838:$AA$5838)/tk_life</f>
        <v>57.4989942223083</v>
      </c>
      <c r="X5841" s="38" t="n">
        <f aca="false">SUMPRODUCT(--(Sens!$R$5807:$AA$5807&lt;Sens!X$5807),--(Sens!$R$5807:$AA$5807&gt;=Sens!X$5807-tk_life),Sens!$R$5838:$AA$5838)/tk_life</f>
        <v>83.932309040725</v>
      </c>
      <c r="Y5841" s="38" t="n">
        <f aca="false">SUMPRODUCT(--(Sens!$R$5807:$AA$5807&lt;Sens!Y$5807),--(Sens!$R$5807:$AA$5807&gt;=Sens!Y$5807-tk_life),Sens!$R$5838:$AA$5838)/tk_life</f>
        <v>111.055205760776</v>
      </c>
      <c r="Z5841" s="38" t="n">
        <f aca="false">SUMPRODUCT(--(Sens!$R$5807:$AA$5807&lt;Sens!Z$5807),--(Sens!$R$5807:$AA$5807&gt;=Sens!Z$5807-tk_life),Sens!$R$5838:$AA$5838)/tk_life</f>
        <v>136.155420195893</v>
      </c>
      <c r="AA5841" s="38" t="n">
        <f aca="false">SUMPRODUCT(--(Sens!$R$5807:$AA$5807&lt;Sens!AA$5807),--(Sens!$R$5807:$AA$5807&gt;=Sens!AA$5807-tk_life),Sens!$R$5838:$AA$5838)/tk_life</f>
        <v>161.970932841136</v>
      </c>
    </row>
    <row r="5842" customFormat="false" ht="17.15" hidden="false" customHeight="false" outlineLevel="0" collapsed="false">
      <c r="A5842" s="0" t="s">
        <v>593</v>
      </c>
      <c r="B5842" s="0" t="s">
        <v>73</v>
      </c>
      <c r="C5842" s="38" t="n">
        <f aca="false">Sens!$S$5842</f>
        <v>0.0202511502553155</v>
      </c>
      <c r="D5842" s="38" t="n">
        <f aca="false">Sens!$T$5842</f>
        <v>0.360549480652134</v>
      </c>
      <c r="E5842" s="38" t="n">
        <f aca="false">Sens!$G$5842/2</f>
        <v>0.648547360125127</v>
      </c>
      <c r="F5842" s="38" t="n">
        <f aca="false">Sens!$G$5842/2</f>
        <v>0.648547360125127</v>
      </c>
      <c r="G5842" s="38" t="n">
        <f aca="false">Sens!$U$5842</f>
        <v>1.29709472025025</v>
      </c>
      <c r="H5842" s="38" t="n">
        <f aca="false">Sens!$V$5842</f>
        <v>3.21599529914753</v>
      </c>
      <c r="I5842" s="38" t="n">
        <f aca="false">Sens!$W$5842</f>
        <v>5.51832434914753</v>
      </c>
      <c r="J5842" s="38" t="n">
        <f aca="false">Sens!$X$5842</f>
        <v>7.82065339914753</v>
      </c>
      <c r="K5842" s="38" t="n">
        <f aca="false">Sens!$Y$5842</f>
        <v>10.1229824491475</v>
      </c>
      <c r="L5842" s="38" t="n">
        <f aca="false">Sens!$Z$5842</f>
        <v>12.4253114991475</v>
      </c>
      <c r="M5842" s="38" t="n">
        <f aca="false">Sens!$AA$5842</f>
        <v>14.7276405491475</v>
      </c>
      <c r="N5842" s="38" t="n">
        <f aca="false">Sens!$D$5842/2</f>
        <v>0.180274740326067</v>
      </c>
      <c r="O5842" s="38" t="n">
        <f aca="false">Sens!$D$5842/2</f>
        <v>0.180274740326067</v>
      </c>
      <c r="R5842" s="38" t="n">
        <f aca="false">SUMPRODUCT(--(Sens!$R$5807:$AA$5807&lt;Sens!R$5807),Sens!$R$5839:$AA$5839)/fac_life</f>
        <v>0</v>
      </c>
      <c r="S5842" s="38" t="n">
        <f aca="false">SUMPRODUCT(--(Sens!$R$5807:$AA$5807&lt;Sens!S$5807),Sens!$R$5839:$AA$5839)/fac_life</f>
        <v>0.0202511502553155</v>
      </c>
      <c r="T5842" s="38" t="n">
        <f aca="false">SUMPRODUCT(--(Sens!$R$5807:$AA$5807&lt;Sens!T$5807),Sens!$R$5839:$AA$5839)/fac_life</f>
        <v>0.360549480652134</v>
      </c>
      <c r="U5842" s="38" t="n">
        <f aca="false">SUMPRODUCT(--(Sens!$R$5807:$AA$5807&lt;Sens!U$5807),Sens!$R$5839:$AA$5839)/fac_life</f>
        <v>1.29709472025025</v>
      </c>
      <c r="V5842" s="38" t="n">
        <f aca="false">SUMPRODUCT(--(Sens!$R$5807:$AA$5807&lt;Sens!V$5807),Sens!$R$5839:$AA$5839)/fac_life</f>
        <v>3.21599529914753</v>
      </c>
      <c r="W5842" s="38" t="n">
        <f aca="false">SUMPRODUCT(--(Sens!$R$5807:$AA$5807&lt;Sens!W$5807),Sens!$R$5839:$AA$5839)/fac_life</f>
        <v>5.51832434914753</v>
      </c>
      <c r="X5842" s="38" t="n">
        <f aca="false">SUMPRODUCT(--(Sens!$R$5807:$AA$5807&lt;Sens!X$5807),Sens!$R$5839:$AA$5839)/fac_life</f>
        <v>7.82065339914753</v>
      </c>
      <c r="Y5842" s="38" t="n">
        <f aca="false">SUMPRODUCT(--(Sens!$R$5807:$AA$5807&lt;Sens!Y$5807),Sens!$R$5839:$AA$5839)/fac_life</f>
        <v>10.1229824491475</v>
      </c>
      <c r="Z5842" s="38" t="n">
        <f aca="false">SUMPRODUCT(--(Sens!$R$5807:$AA$5807&lt;Sens!Z$5807),Sens!$R$5839:$AA$5839)/fac_life</f>
        <v>12.4253114991475</v>
      </c>
      <c r="AA5842" s="38" t="n">
        <f aca="false">SUMPRODUCT(--(Sens!$R$5807:$AA$5807&lt;Sens!AA$5807),Sens!$R$5839:$AA$5839)/fac_life</f>
        <v>14.7276405491475</v>
      </c>
    </row>
    <row r="5843" customFormat="false" ht="17.15" hidden="false" customHeight="false" outlineLevel="0" collapsed="false">
      <c r="A5843" s="1" t="s">
        <v>594</v>
      </c>
      <c r="B5843" s="8" t="s">
        <v>73</v>
      </c>
      <c r="C5843" s="38" t="n">
        <f aca="false">Sens!$C$5841+Sens!$C$5842</f>
        <v>0.203463948620839</v>
      </c>
      <c r="D5843" s="38" t="n">
        <f aca="false">Sens!$D$5841+Sens!$D$5842</f>
        <v>3.62245206231783</v>
      </c>
      <c r="E5843" s="38" t="n">
        <f aca="false">Sens!$E$5841+Sens!$E$5842</f>
        <v>6.51597588754466</v>
      </c>
      <c r="F5843" s="38" t="n">
        <f aca="false">Sens!$F$5841+Sens!$F$5842</f>
        <v>6.51597588754466</v>
      </c>
      <c r="G5843" s="38" t="n">
        <f aca="false">Sens!$G$5841+Sens!$G$5842</f>
        <v>13.0319517750893</v>
      </c>
      <c r="H5843" s="38" t="n">
        <f aca="false">Sens!$H$5841+Sens!$H$5842</f>
        <v>35.2941921973308</v>
      </c>
      <c r="I5843" s="38" t="n">
        <f aca="false">Sens!$I$5841+Sens!$I$5842</f>
        <v>63.0173185714558</v>
      </c>
      <c r="J5843" s="38" t="n">
        <f aca="false">Sens!$J$5841+Sens!$J$5842</f>
        <v>91.7529624398725</v>
      </c>
      <c r="K5843" s="38" t="n">
        <f aca="false">Sens!$K$5841+Sens!$K$5842</f>
        <v>121.178188209924</v>
      </c>
      <c r="L5843" s="38" t="n">
        <f aca="false">Sens!$L$5841+Sens!$L$5842</f>
        <v>148.58073169504</v>
      </c>
      <c r="M5843" s="38" t="n">
        <f aca="false">Sens!$M$5841+Sens!$M$5842</f>
        <v>176.698573390283</v>
      </c>
      <c r="N5843" s="38" t="n">
        <f aca="false">Sens!$N$5841+Sens!$N$5842</f>
        <v>1.81122603115892</v>
      </c>
      <c r="O5843" s="38" t="n">
        <f aca="false">Sens!$O$5841+Sens!$O$5842</f>
        <v>1.81122603115892</v>
      </c>
      <c r="R5843" s="38" t="n">
        <f aca="false">Sens!$R$5841+Sens!$R$5842</f>
        <v>0</v>
      </c>
      <c r="S5843" s="38" t="n">
        <f aca="false">Sens!$S$5841+Sens!$S$5842</f>
        <v>0.203463948620839</v>
      </c>
      <c r="T5843" s="38" t="n">
        <f aca="false">Sens!$T$5841+Sens!$T$5842</f>
        <v>3.62245206231783</v>
      </c>
      <c r="U5843" s="38" t="n">
        <f aca="false">Sens!$U$5841+Sens!$U$5842</f>
        <v>13.0319517750893</v>
      </c>
      <c r="V5843" s="38" t="n">
        <f aca="false">Sens!$V$5841+Sens!$V$5842</f>
        <v>35.2941921973308</v>
      </c>
      <c r="W5843" s="38" t="n">
        <f aca="false">Sens!$W$5841+Sens!$W$5842</f>
        <v>63.0173185714558</v>
      </c>
      <c r="X5843" s="38" t="n">
        <f aca="false">Sens!$X$5841+Sens!$X$5842</f>
        <v>91.7529624398725</v>
      </c>
      <c r="Y5843" s="38" t="n">
        <f aca="false">Sens!$Y$5841+Sens!$Y$5842</f>
        <v>121.178188209924</v>
      </c>
      <c r="Z5843" s="38" t="n">
        <f aca="false">Sens!$Z$5841+Sens!$Z$5842</f>
        <v>148.58073169504</v>
      </c>
      <c r="AA5843" s="38" t="n">
        <f aca="false">Sens!$AA$5841+Sens!$AA$5842</f>
        <v>176.698573390283</v>
      </c>
    </row>
    <row r="5844" customFormat="false" ht="17.15" hidden="false" customHeight="false" outlineLevel="0" collapsed="false">
      <c r="A5844" s="0" t="s">
        <v>595</v>
      </c>
      <c r="B5844" s="0" t="s">
        <v>73</v>
      </c>
      <c r="C5844" s="38" t="n">
        <f aca="false">Sens!$S$5844</f>
        <v>26.578941154416</v>
      </c>
      <c r="D5844" s="38" t="n">
        <f aca="false">Sens!$T$5844</f>
        <v>92.5251207231008</v>
      </c>
      <c r="G5844" s="38" t="n">
        <f aca="false">Sens!$U$5844</f>
        <v>239.931219586022</v>
      </c>
      <c r="H5844" s="38" t="n">
        <f aca="false">Sens!$V$5844</f>
        <v>403.208392333442</v>
      </c>
      <c r="I5844" s="38" t="n">
        <f aca="false">Sens!$W$5844</f>
        <v>544.837543672486</v>
      </c>
      <c r="J5844" s="38" t="n">
        <f aca="false">Sens!$X$5844</f>
        <v>662.967819343113</v>
      </c>
      <c r="K5844" s="38" t="n">
        <f aca="false">Sens!$Y$5844</f>
        <v>756.90963744369</v>
      </c>
      <c r="L5844" s="38" t="n">
        <f aca="false">Sens!$Z$5844</f>
        <v>860.10628945915</v>
      </c>
      <c r="M5844" s="38" t="n">
        <f aca="false">Sens!$AA$5844</f>
        <v>995.283560834616</v>
      </c>
      <c r="R5844" s="38" t="n">
        <f aca="false">SUM(Sens!$R$5836:$R$5836)-SUM(Sens!$R$5843:$R$5843)</f>
        <v>1.50429979529945</v>
      </c>
      <c r="S5844" s="38" t="n">
        <f aca="false">SUM(Sens!$R$5836:$S$5836)-SUM(Sens!$R$5843:$S$5843)</f>
        <v>26.578941154416</v>
      </c>
      <c r="T5844" s="38" t="n">
        <f aca="false">SUM(Sens!$R$5836:$T$5836)-SUM(Sens!$R$5843:$T$5843)</f>
        <v>92.5251207231008</v>
      </c>
      <c r="U5844" s="38" t="n">
        <f aca="false">SUM(Sens!$R$5836:$U$5836)-SUM(Sens!$R$5843:$U$5843)</f>
        <v>239.931219586022</v>
      </c>
      <c r="V5844" s="38" t="n">
        <f aca="false">SUM(Sens!$R$5836:$V$5836)-SUM(Sens!$R$5843:$V$5843)</f>
        <v>403.208392333442</v>
      </c>
      <c r="W5844" s="38" t="n">
        <f aca="false">SUM(Sens!$R$5836:$W$5836)-SUM(Sens!$R$5843:$W$5843)</f>
        <v>544.837543672486</v>
      </c>
      <c r="X5844" s="38" t="n">
        <f aca="false">SUM(Sens!$R$5836:$X$5836)-SUM(Sens!$R$5843:$X$5843)</f>
        <v>662.967819343113</v>
      </c>
      <c r="Y5844" s="38" t="n">
        <f aca="false">SUM(Sens!$R$5836:$Y$5836)-SUM(Sens!$R$5843:$Y$5843)</f>
        <v>756.90963744369</v>
      </c>
      <c r="Z5844" s="38" t="n">
        <f aca="false">SUM(Sens!$R$5836:$Z$5836)-SUM(Sens!$R$5843:$Z$5843)</f>
        <v>860.10628945915</v>
      </c>
      <c r="AA5844" s="38" t="n">
        <f aca="false">SUM(Sens!$R$5836:$AA$5836)-SUM(Sens!$R$5843:$AA$5843)</f>
        <v>995.283560834616</v>
      </c>
    </row>
    <row r="5845" customFormat="false" ht="17.15" hidden="false" customHeight="false" outlineLevel="0" collapsed="false">
      <c r="A5845" s="1" t="s">
        <v>596</v>
      </c>
    </row>
    <row r="5846" customFormat="false" ht="17.15" hidden="false" customHeight="false" outlineLevel="0" collapsed="false">
      <c r="A5846" s="0" t="s">
        <v>597</v>
      </c>
      <c r="B5846" s="0" t="s">
        <v>73</v>
      </c>
      <c r="C5846" s="38" t="n">
        <f aca="false">Sens!$C$5827-ext_sh*Sens!$C$5829</f>
        <v>1.80694998843362</v>
      </c>
      <c r="D5846" s="38" t="n">
        <f aca="false">Sens!$D$5827-ext_sh*Sens!$D$5829</f>
        <v>6.77606245662607</v>
      </c>
      <c r="E5846" s="38" t="n">
        <f aca="false">Sens!$E$5827-ext_sh*Sens!$E$5829</f>
        <v>6.62548329092326</v>
      </c>
      <c r="F5846" s="38" t="n">
        <f aca="false">Sens!$F$5827-ext_sh*Sens!$F$5829</f>
        <v>11.7200577158706</v>
      </c>
      <c r="G5846" s="38" t="n">
        <f aca="false">Sens!$G$5827-ext_sh*Sens!$G$5829</f>
        <v>18.3455410067939</v>
      </c>
      <c r="H5846" s="38" t="n">
        <f aca="false">Sens!$H$5827-ext_sh*Sens!$H$5829</f>
        <v>47.5171727060453</v>
      </c>
      <c r="I5846" s="38" t="n">
        <f aca="false">Sens!$I$5827-ext_sh*Sens!$I$5829</f>
        <v>80.5539692643667</v>
      </c>
      <c r="J5846" s="38" t="n">
        <f aca="false">Sens!$J$5827-ext_sh*Sens!$J$5829</f>
        <v>113.759316834883</v>
      </c>
      <c r="K5846" s="38" t="n">
        <f aca="false">Sens!$K$5827-ext_sh*Sens!$K$5829</f>
        <v>147.020848076132</v>
      </c>
      <c r="L5846" s="38" t="n">
        <f aca="false">Sens!$L$5827-ext_sh*Sens!$L$5829</f>
        <v>180.307917349531</v>
      </c>
      <c r="M5846" s="38" t="n">
        <f aca="false">Sens!$M$5827-ext_sh*Sens!$M$5829</f>
        <v>213.608737871012</v>
      </c>
      <c r="N5846" s="38" t="n">
        <f aca="false">Sens!$N$5827-ext_sh*Sens!$N$5829</f>
        <v>2.37162185981912</v>
      </c>
      <c r="O5846" s="38" t="n">
        <f aca="false">Sens!$O$5827-ext_sh*Sens!$O$5829</f>
        <v>4.40444059680694</v>
      </c>
    </row>
    <row r="5847" customFormat="false" ht="17.15" hidden="false" customHeight="false" outlineLevel="0" collapsed="false">
      <c r="A5847" s="1" t="s">
        <v>598</v>
      </c>
      <c r="B5847" s="8" t="s">
        <v>73</v>
      </c>
      <c r="C5847" s="38" t="n">
        <f aca="false">Sens!$C$5846-ext_sh*Sens!$C$5843</f>
        <v>1.64417882953695</v>
      </c>
      <c r="D5847" s="38" t="n">
        <f aca="false">Sens!$D$5846-ext_sh*Sens!$D$5843</f>
        <v>3.8781008067718</v>
      </c>
      <c r="E5847" s="38" t="n">
        <f aca="false">Sens!$E$5846-ext_sh*Sens!$E$5843</f>
        <v>1.41270258088753</v>
      </c>
      <c r="F5847" s="38" t="n">
        <f aca="false">Sens!$F$5846-ext_sh*Sens!$F$5843</f>
        <v>6.50727700583486</v>
      </c>
      <c r="G5847" s="38" t="n">
        <f aca="false">Sens!$G$5846-ext_sh*Sens!$G$5843</f>
        <v>7.9199795867224</v>
      </c>
      <c r="H5847" s="38" t="n">
        <f aca="false">Sens!$H$5846-ext_sh*Sens!$H$5843</f>
        <v>19.2818189481807</v>
      </c>
      <c r="I5847" s="38" t="n">
        <f aca="false">Sens!$I$5846-ext_sh*Sens!$I$5843</f>
        <v>30.140114407202</v>
      </c>
      <c r="J5847" s="38" t="n">
        <f aca="false">Sens!$J$5846-ext_sh*Sens!$J$5843</f>
        <v>40.3569468829854</v>
      </c>
      <c r="K5847" s="38" t="n">
        <f aca="false">Sens!$K$5846-ext_sh*Sens!$K$5843</f>
        <v>50.0782975081929</v>
      </c>
      <c r="L5847" s="38" t="n">
        <f aca="false">Sens!$L$5846-ext_sh*Sens!$L$5843</f>
        <v>61.443331993499</v>
      </c>
      <c r="M5847" s="38" t="n">
        <f aca="false">Sens!$M$5846-ext_sh*Sens!$M$5843</f>
        <v>72.2498791587849</v>
      </c>
      <c r="N5847" s="38" t="n">
        <f aca="false">Sens!$N$5846-ext_sh*Sens!$N$5843</f>
        <v>0.92264103489199</v>
      </c>
      <c r="O5847" s="38" t="n">
        <f aca="false">Sens!$O$5846-ext_sh*Sens!$O$5843</f>
        <v>2.95545977187981</v>
      </c>
    </row>
    <row r="5848" customFormat="false" ht="17.15" hidden="false" customHeight="false" outlineLevel="0" collapsed="false">
      <c r="A5848" s="0" t="s">
        <v>599</v>
      </c>
      <c r="B5848" s="0" t="s">
        <v>52</v>
      </c>
      <c r="C5848" s="12" t="n">
        <f aca="false">Sens!$C$5847/Sens!$C$5827</f>
        <v>0.708390794789371</v>
      </c>
      <c r="D5848" s="12" t="n">
        <f aca="false">Sens!$D$5847/Sens!$D$5827</f>
        <v>0.445565630441968</v>
      </c>
      <c r="E5848" s="12" t="n">
        <f aca="false">Sens!$E$5847/Sens!$E$5827</f>
        <v>0.165998118402711</v>
      </c>
      <c r="F5848" s="12" t="n">
        <f aca="false">Sens!$F$5847/Sens!$F$5827</f>
        <v>0.434878595403858</v>
      </c>
      <c r="G5848" s="12" t="n">
        <f aca="false">Sens!$G$5847/Sens!$G$5827</f>
        <v>0.3373967615381</v>
      </c>
      <c r="H5848" s="12" t="n">
        <f aca="false">Sens!$H$5847/Sens!$H$5827</f>
        <v>0.320477578041224</v>
      </c>
      <c r="I5848" s="12" t="n">
        <f aca="false">Sens!$I$5847/Sens!$I$5827</f>
        <v>0.296936118226494</v>
      </c>
      <c r="J5848" s="12" t="n">
        <f aca="false">Sens!$J$5847/Sens!$J$5827</f>
        <v>0.282166278613001</v>
      </c>
      <c r="K5848" s="12" t="n">
        <f aca="false">Sens!$K$5847/Sens!$K$5827</f>
        <v>0.271267685694333</v>
      </c>
      <c r="L5848" s="12" t="n">
        <f aca="false">Sens!$L$5847/Sens!$L$5827</f>
        <v>0.27160960915653</v>
      </c>
      <c r="M5848" s="12" t="n">
        <f aca="false">Sens!$M$5847/Sens!$M$5827</f>
        <v>0.26974494804234</v>
      </c>
      <c r="N5848" s="12" t="n">
        <f aca="false">Sens!$N$5847/Sens!$N$5827</f>
        <v>0.302870734830849</v>
      </c>
      <c r="O5848" s="12" t="n">
        <f aca="false">Sens!$O$5847/Sens!$O$5827</f>
        <v>0.52240134346334</v>
      </c>
    </row>
    <row r="5849" customFormat="false" ht="17.15" hidden="false" customHeight="false" outlineLevel="0" collapsed="false">
      <c r="A5849" s="5" t="s">
        <v>600</v>
      </c>
      <c r="B5849" s="0" t="s">
        <v>73</v>
      </c>
      <c r="C5849" s="38" t="n">
        <f aca="false">rd2*(1-ext_sh)/ext_sh*Sens!$C$5810*he_open*Sens!$C$5811/1000</f>
        <v>0</v>
      </c>
      <c r="D5849" s="38" t="n">
        <f aca="false">rd2*(1-ext_sh)/ext_sh*Sens!$D$5810*he_open*Sens!$D$5811/1000</f>
        <v>0</v>
      </c>
      <c r="E5849" s="38" t="n">
        <f aca="false">rd2*(1-ext_sh)/ext_sh*Sens!$E$5810*he_open*Sens!$E$5811/1000</f>
        <v>0</v>
      </c>
      <c r="F5849" s="38" t="n">
        <f aca="false">rd2*(1-ext_sh)/ext_sh*(mw_open*he_open+Sens!$F$5825*Sens!$F$5822)*Sens!$F$5811/1000</f>
        <v>0</v>
      </c>
      <c r="G5849" s="38" t="n">
        <f aca="false">Sens!$E$5849+Sens!$F$5849</f>
        <v>0</v>
      </c>
      <c r="H5849" s="38" t="n">
        <f aca="false">rd2*(1-ext_sh)/ext_sh*(mw_open*he_open+Sens!$H$5825*Sens!$H$5822)*Sens!$H$5811/1000</f>
        <v>0</v>
      </c>
      <c r="I5849" s="38" t="n">
        <f aca="false">rd2*(1-ext_sh)/ext_sh*(mw_open*he_open+Sens!$I$5825*Sens!$I$5822)*Sens!$I$5811/1000</f>
        <v>0</v>
      </c>
      <c r="J5849" s="38" t="n">
        <f aca="false">rd2*(1-ext_sh)/ext_sh*(mw_open*he_open+Sens!$J$5825*Sens!$J$5822)*Sens!$J$5811/1000</f>
        <v>0</v>
      </c>
      <c r="K5849" s="38" t="n">
        <f aca="false">rd2*(1-ext_sh)/ext_sh*(mw_open*he_open+Sens!$K$5825*Sens!$K$5822)*Sens!$K$5811/1000</f>
        <v>0</v>
      </c>
      <c r="L5849" s="38" t="n">
        <f aca="false">rd2*(1-ext_sh)/ext_sh*(mw_open*he_open+Sens!$L$5825*Sens!$L$5822)*Sens!$L$5811/1000</f>
        <v>0</v>
      </c>
      <c r="M5849" s="38" t="n">
        <f aca="false">rd2*(1-ext_sh)/ext_sh*(mw_open*he_open+Sens!$M$5825*Sens!$M$5822)*Sens!$M$5811/1000</f>
        <v>0</v>
      </c>
      <c r="N5849" s="38" t="n">
        <f aca="false">rd2*(1-ext_sh)/ext_sh*Sens!$N$5810*he_open*Sens!$N$5811/1000</f>
        <v>0</v>
      </c>
      <c r="O5849" s="38" t="n">
        <f aca="false">rd2*(1-ext_sh)/ext_sh*Sens!$O$5810*he_open*Sens!$O$5811/1000</f>
        <v>0</v>
      </c>
      <c r="P5849" s="8" t="s">
        <v>601</v>
      </c>
    </row>
    <row r="5850" customFormat="false" ht="17.15" hidden="false" customHeight="false" outlineLevel="0" collapsed="false">
      <c r="A5850" s="5" t="s">
        <v>602</v>
      </c>
      <c r="B5850" s="0" t="s">
        <v>73</v>
      </c>
      <c r="C5850" s="38" t="n">
        <f aca="false">(1-ext_sh)*(Sens!$C$5829+Sens!$C$5843)-Sens!$C$5849</f>
        <v>0.169206631859174</v>
      </c>
      <c r="D5850" s="38" t="n">
        <f aca="false">(1-ext_sh)*(Sens!$D$5829+Sens!$D$5843)-Sens!$D$5849</f>
        <v>1.20641732046984</v>
      </c>
      <c r="E5850" s="38" t="n">
        <f aca="false">(1-ext_sh)*(Sens!$E$5829+Sens!$E$5843)-Sens!$E$5849</f>
        <v>1.77441259867062</v>
      </c>
      <c r="F5850" s="38" t="n">
        <f aca="false">(1-ext_sh)*(Sens!$F$5829+Sens!$F$5843)-Sens!$F$5849</f>
        <v>2.1140391597214</v>
      </c>
      <c r="G5850" s="38" t="n">
        <f aca="false">(1-ext_sh)*(Sens!$G$5829+Sens!$G$5843)-Sens!$G$5849</f>
        <v>3.88845175839202</v>
      </c>
      <c r="H5850" s="38" t="n">
        <f aca="false">(1-ext_sh)*(Sens!$H$5829+Sens!$H$5843)-Sens!$H$5849</f>
        <v>10.2210179503985</v>
      </c>
      <c r="I5850" s="38" t="n">
        <f aca="false">(1-ext_sh)*(Sens!$I$5829+Sens!$I$5843)-Sens!$I$5849</f>
        <v>17.8408961823075</v>
      </c>
      <c r="J5850" s="38" t="n">
        <f aca="false">(1-ext_sh)*(Sens!$J$5829+Sens!$J$5843)-Sens!$J$5849</f>
        <v>25.6671150670732</v>
      </c>
      <c r="K5850" s="38" t="n">
        <f aca="false">(1-ext_sh)*(Sens!$K$5829+Sens!$K$5843)-Sens!$K$5849</f>
        <v>33.6325293834986</v>
      </c>
      <c r="L5850" s="38" t="n">
        <f aca="false">(1-ext_sh)*(Sens!$L$5829+Sens!$L$5843)-Sens!$L$5849</f>
        <v>41.1939886299065</v>
      </c>
      <c r="M5850" s="38" t="n">
        <f aca="false">(1-ext_sh)*(Sens!$M$5829+Sens!$M$5843)-Sens!$M$5849</f>
        <v>48.8988205728617</v>
      </c>
      <c r="N5850" s="38" t="n">
        <f aca="false">(1-ext_sh)*(Sens!$N$5829+Sens!$N$5843)-Sens!$N$5849</f>
        <v>0.530919624033979</v>
      </c>
      <c r="O5850" s="38" t="n">
        <f aca="false">(1-ext_sh)*(Sens!$O$5829+Sens!$O$5843)-Sens!$O$5849</f>
        <v>0.675497696435861</v>
      </c>
    </row>
    <row r="5851" customFormat="false" ht="17.15" hidden="false" customHeight="false" outlineLevel="0" collapsed="false">
      <c r="A5851" s="0" t="s">
        <v>603</v>
      </c>
      <c r="B5851" s="0" t="s">
        <v>73</v>
      </c>
      <c r="C5851" s="38" t="n">
        <f aca="false">Q!$D$24</f>
        <v>39.834</v>
      </c>
      <c r="D5851" s="38" t="n">
        <f aca="false">Q!$E$24</f>
        <v>45.606</v>
      </c>
      <c r="E5851" s="38" t="n">
        <f aca="false">Q!$P$24</f>
        <v>30.782</v>
      </c>
      <c r="N5851" s="38" t="n">
        <f aca="false">Q!$N$24</f>
        <v>21.707</v>
      </c>
      <c r="O5851" s="38" t="n">
        <f aca="false">Q!$O$24</f>
        <v>23.899</v>
      </c>
    </row>
    <row r="5852" customFormat="false" ht="17.15" hidden="false" customHeight="false" outlineLevel="0" collapsed="false">
      <c r="A5852" s="0" t="s">
        <v>604</v>
      </c>
      <c r="B5852" s="0" t="s">
        <v>73</v>
      </c>
      <c r="C5852" s="38" t="n">
        <f aca="false">Sens!$C$5851-Sens!$C$5847</f>
        <v>38.1898211704631</v>
      </c>
      <c r="D5852" s="38" t="n">
        <f aca="false">Sens!$D$5851-Sens!$D$5847</f>
        <v>41.7278991932282</v>
      </c>
      <c r="E5852" s="38" t="n">
        <f aca="false">Sens!$E$5851-Sens!$E$5847</f>
        <v>29.3692974191125</v>
      </c>
      <c r="F5852" s="38" t="n">
        <f aca="false">Sens!$F$5831*Sens!$F$5853</f>
        <v>29.458060516894</v>
      </c>
      <c r="G5852" s="38" t="n">
        <f aca="false">Sens!$E$5852+Sens!$F$5852</f>
        <v>58.8273579360065</v>
      </c>
      <c r="H5852" s="38" t="n">
        <f aca="false">Sens!$H$5831*Sens!$H$5853</f>
        <v>67.8004040185081</v>
      </c>
      <c r="I5852" s="38" t="n">
        <f aca="false">Sens!$I$5831*Sens!$I$5853</f>
        <v>78.9527630302702</v>
      </c>
      <c r="J5852" s="38" t="n">
        <f aca="false">Sens!$J$5831*Sens!$J$5853</f>
        <v>88.6042681781841</v>
      </c>
      <c r="K5852" s="38" t="n">
        <f aca="false">Sens!$K$5831*Sens!$K$5853</f>
        <v>95.6926096324389</v>
      </c>
      <c r="L5852" s="38" t="n">
        <f aca="false">Sens!$L$5831*Sens!$L$5853</f>
        <v>103.348018403034</v>
      </c>
      <c r="M5852" s="38" t="n">
        <f aca="false">Sens!$M$5831*Sens!$M$5853</f>
        <v>111.615859875277</v>
      </c>
      <c r="N5852" s="38" t="n">
        <f aca="false">Sens!$N$5851-Sens!$N$5847</f>
        <v>20.784358965108</v>
      </c>
      <c r="O5852" s="38" t="n">
        <f aca="false">Sens!$O$5851-Sens!$O$5847</f>
        <v>20.9435402281202</v>
      </c>
      <c r="P5852" s="5" t="s">
        <v>605</v>
      </c>
    </row>
    <row r="5853" customFormat="false" ht="17.15" hidden="false" customHeight="false" outlineLevel="0" collapsed="false">
      <c r="A5853" s="0" t="s">
        <v>606</v>
      </c>
      <c r="B5853" s="0" t="s">
        <v>52</v>
      </c>
      <c r="C5853" s="12" t="n">
        <f aca="false">Sens!$C$5852/Sens!$C$5831</f>
        <v>0.362900395443635</v>
      </c>
      <c r="D5853" s="12" t="n">
        <f aca="false">Sens!$D$5852/Sens!$D$5831</f>
        <v>0.34767098474203</v>
      </c>
      <c r="E5853" s="12" t="n">
        <f aca="false">Sens!$E$5852/Sens!$E$5831</f>
        <v>0.411861655558416</v>
      </c>
      <c r="F5853" s="12" t="n">
        <f aca="false">(Sens!$O$5852+Sens!$E$5852)/(Sens!$O$5831+Sens!$E$5831)</f>
        <v>0.37480827803158</v>
      </c>
      <c r="G5853" s="12" t="n">
        <f aca="false">Sens!$G$5852/Sens!$G$5831</f>
        <v>0.392434440489471</v>
      </c>
      <c r="H5853" s="12" t="n">
        <f aca="false">Sens!$F$5853</f>
        <v>0.37480827803158</v>
      </c>
      <c r="I5853" s="12" t="n">
        <f aca="false">Sens!$F$5853</f>
        <v>0.37480827803158</v>
      </c>
      <c r="J5853" s="12" t="n">
        <f aca="false">Sens!$F$5853</f>
        <v>0.37480827803158</v>
      </c>
      <c r="K5853" s="12" t="n">
        <f aca="false">Sens!$F$5853</f>
        <v>0.37480827803158</v>
      </c>
      <c r="L5853" s="12" t="n">
        <f aca="false">Sens!$F$5853</f>
        <v>0.37480827803158</v>
      </c>
      <c r="M5853" s="12" t="n">
        <f aca="false">Sens!$F$5853</f>
        <v>0.37480827803158</v>
      </c>
      <c r="N5853" s="12" t="n">
        <f aca="false">Sens!$N$5852/Sens!$N$5831</f>
        <v>0.364039571356823</v>
      </c>
      <c r="O5853" s="12" t="n">
        <f aca="false">Sens!$O$5852/Sens!$O$5831</f>
        <v>0.332819892300086</v>
      </c>
      <c r="P5853" s="8" t="s">
        <v>607</v>
      </c>
    </row>
    <row r="5854" customFormat="false" ht="17.15" hidden="false" customHeight="false" outlineLevel="0" collapsed="false">
      <c r="A5854" s="0" t="s">
        <v>608</v>
      </c>
      <c r="B5854" s="0" t="s">
        <v>52</v>
      </c>
      <c r="D5854" s="12" t="n">
        <f aca="false">(Q!$E$31-ext_sh*Sens!$D$5843)/Sens!$D$5831</f>
        <v>0.154572973163571</v>
      </c>
    </row>
    <row r="5855" customFormat="false" ht="17.15" hidden="false" customHeight="false" outlineLevel="0" collapsed="false">
      <c r="A5855" s="0" t="s">
        <v>609</v>
      </c>
      <c r="B5855" s="0" t="s">
        <v>73</v>
      </c>
      <c r="C5855" s="38" t="n">
        <f aca="false">Q!$D$31</f>
        <v>13.32</v>
      </c>
      <c r="D5855" s="38" t="n">
        <f aca="false">Q!$E$31</f>
        <v>21.45</v>
      </c>
      <c r="E5855" s="38" t="n">
        <f aca="false">Q!$P$31</f>
        <v>15.353</v>
      </c>
      <c r="F5855" s="38" t="n">
        <f aca="false">ext_sh*Sens!$F$5843+Sens!$D$5854*Sens!$F$5831</f>
        <v>17.3614451462707</v>
      </c>
      <c r="G5855" s="38" t="n">
        <f aca="false">Sens!$E$5855+Sens!$F$5855</f>
        <v>32.7144451462707</v>
      </c>
      <c r="H5855" s="38" t="n">
        <f aca="false">ext_sh*Sens!$H$5843+Sens!$D$5854*Sens!$H$5831</f>
        <v>56.1966092719415</v>
      </c>
      <c r="I5855" s="38" t="n">
        <f aca="false">ext_sh*Sens!$I$5843+Sens!$D$5854*Sens!$I$5831</f>
        <v>82.9744039068297</v>
      </c>
      <c r="J5855" s="38" t="n">
        <f aca="false">ext_sh*Sens!$J$5843+Sens!$D$5854*Sens!$J$5831</f>
        <v>109.943252237669</v>
      </c>
      <c r="K5855" s="38" t="n">
        <f aca="false">ext_sh*Sens!$K$5843+Sens!$D$5854*Sens!$K$5831</f>
        <v>136.406703436571</v>
      </c>
      <c r="L5855" s="38" t="n">
        <f aca="false">ext_sh*Sens!$L$5843+Sens!$D$5854*Sens!$L$5831</f>
        <v>161.485870454155</v>
      </c>
      <c r="M5855" s="38" t="n">
        <f aca="false">ext_sh*Sens!$M$5843+Sens!$D$5854*Sens!$M$5831</f>
        <v>187.389846618199</v>
      </c>
      <c r="N5855" s="38" t="n">
        <f aca="false">Q!$N$31</f>
        <v>9.234</v>
      </c>
      <c r="O5855" s="38" t="n">
        <f aca="false">Q!$O$31</f>
        <v>12.216</v>
      </c>
    </row>
    <row r="5856" customFormat="false" ht="17.15" hidden="false" customHeight="false" outlineLevel="0" collapsed="false">
      <c r="A5856" s="1" t="s">
        <v>610</v>
      </c>
    </row>
    <row r="5857" customFormat="false" ht="17.15" hidden="false" customHeight="false" outlineLevel="0" collapsed="false">
      <c r="A5857" s="14" t="s">
        <v>611</v>
      </c>
      <c r="B5857" s="13" t="s">
        <v>52</v>
      </c>
      <c r="C5857" s="13"/>
      <c r="D5857" s="13"/>
      <c r="E5857" s="13"/>
      <c r="F5857" s="13"/>
      <c r="G5857" s="16" t="n">
        <f aca="false">Sens!$G$5847*(1-tax)/(ext_sh*(Sens!$D$5844+Sens!$G$5844)/2)</f>
        <v>0.0492184452944045</v>
      </c>
      <c r="H5857" s="16" t="n">
        <f aca="false">Sens!$H$5847*(1-tax)/(ext_sh*(Sens!$G$5844+Sens!$H$5844)/2)</f>
        <v>0.0619414246858107</v>
      </c>
      <c r="I5857" s="16" t="n">
        <f aca="false">Sens!$I$5847*(1-tax)/(ext_sh*(Sens!$H$5844+Sens!$I$5844)/2)</f>
        <v>0.0656831488051666</v>
      </c>
      <c r="J5857" s="16" t="n">
        <f aca="false">Sens!$J$5847*(1-tax)/(ext_sh*(Sens!$I$5844+Sens!$J$5844)/2)</f>
        <v>0.0690334849962116</v>
      </c>
      <c r="K5857" s="16" t="n">
        <f aca="false">Sens!$K$5847*(1-tax)/(ext_sh*(Sens!$J$5844+Sens!$K$5844)/2)</f>
        <v>0.0728680488295485</v>
      </c>
      <c r="L5857" s="16" t="n">
        <f aca="false">Sens!$L$5847*(1-tax)/(ext_sh*(Sens!$K$5844+Sens!$L$5844)/2)</f>
        <v>0.0785052878122331</v>
      </c>
      <c r="M5857" s="16" t="n">
        <f aca="false">Sens!$M$5847*(1-tax)/(ext_sh*(Sens!$L$5844+Sens!$M$5844)/2)</f>
        <v>0.0804526580722741</v>
      </c>
      <c r="N5857" s="13"/>
      <c r="O5857" s="13"/>
      <c r="P5857" s="8" t="s">
        <v>612</v>
      </c>
    </row>
    <row r="5858" customFormat="false" ht="17.15" hidden="false" customHeight="false" outlineLevel="0" collapsed="false">
      <c r="A5858" s="5" t="s">
        <v>613</v>
      </c>
      <c r="B5858" s="0" t="s">
        <v>57</v>
      </c>
      <c r="H5858" s="36" t="n">
        <f aca="false">Sens!$H$5827*1000/(mw_open*he_open+Sens!$H$5825*Sens!$H$5822)</f>
        <v>0.991949006767191</v>
      </c>
      <c r="I5858" s="36" t="n">
        <f aca="false">Sens!$I$5827*1000/(mw_open*he_open+Sens!$I$5825*Sens!$I$5822)</f>
        <v>0.991949006767191</v>
      </c>
      <c r="J5858" s="36" t="n">
        <f aca="false">Sens!$J$5827*1000/(mw_open*he_open+Sens!$J$5825*Sens!$J$5822)</f>
        <v>0.991949006767191</v>
      </c>
      <c r="K5858" s="36" t="n">
        <f aca="false">Sens!$K$5827*1000/(mw_open*he_open+Sens!$K$5825*Sens!$K$5822)</f>
        <v>0.991949006767191</v>
      </c>
      <c r="L5858" s="36" t="n">
        <f aca="false">Sens!$L$5827*1000/(mw_open*he_open+Sens!$L$5825*Sens!$L$5822)</f>
        <v>0.991949006767191</v>
      </c>
      <c r="M5858" s="36" t="n">
        <f aca="false">Sens!$M$5827*1000/(mw_open*he_open+Sens!$M$5825*Sens!$M$5822)</f>
        <v>0.991949006767192</v>
      </c>
    </row>
    <row r="5859" customFormat="false" ht="17.15" hidden="false" customHeight="false" outlineLevel="0" collapsed="false">
      <c r="A5859" s="5" t="s">
        <v>614</v>
      </c>
      <c r="B5859" s="0" t="s">
        <v>57</v>
      </c>
      <c r="H5859" s="36" t="n">
        <f aca="false">Sens!$H$5858*(Sens!$H$5827+wacc*ext_sh*(Sens!$G$5844+Sens!$H$5844)/2/(1-tax)-Sens!$H$5847)/Sens!$H$5827</f>
        <v>1.3149781212103</v>
      </c>
      <c r="I5859" s="36" t="n">
        <f aca="false">Sens!$I$5858*(Sens!$I$5827+wacc*ext_sh*(Sens!$H$5844+Sens!$I$5844)/2/(1-tax)-Sens!$I$5847)/Sens!$I$5827</f>
        <v>1.25742005569107</v>
      </c>
      <c r="J5859" s="36" t="n">
        <f aca="false">Sens!$J$5858*(Sens!$J$5827+wacc*ext_sh*(Sens!$I$5844+Sens!$J$5844)/2/(1-tax)-Sens!$J$5847)/Sens!$J$5827</f>
        <v>1.21838845868559</v>
      </c>
      <c r="K5859" s="36" t="n">
        <f aca="false">Sens!$K$5858*(Sens!$K$5827+wacc*ext_sh*(Sens!$J$5844+Sens!$K$5844)/2/(1-tax)-Sens!$K$5847)/Sens!$K$5827</f>
        <v>1.18402644209548</v>
      </c>
      <c r="L5859" s="36" t="n">
        <f aca="false">Sens!$L$5858*(Sens!$L$5827+wacc*ext_sh*(Sens!$K$5844+Sens!$L$5844)/2/(1-tax)-Sens!$L$5847)/Sens!$L$5827</f>
        <v>1.15111215322059</v>
      </c>
      <c r="M5859" s="36" t="n">
        <f aca="false">Sens!$M$5858*(Sens!$M$5827+wacc*ext_sh*(Sens!$L$5844+Sens!$M$5844)/2/(1-tax)-Sens!$M$5847)/Sens!$M$5827</f>
        <v>1.1397166845677</v>
      </c>
    </row>
    <row r="5860" customFormat="false" ht="17.15" hidden="false" customHeight="false" outlineLevel="0" collapsed="false">
      <c r="A5860" s="5" t="s">
        <v>615</v>
      </c>
      <c r="B5860" s="0" t="s">
        <v>52</v>
      </c>
      <c r="C5860" s="12" t="n">
        <f aca="false">Sens!$C$5828/tk_pq</f>
        <v>0.195316432429398</v>
      </c>
      <c r="D5860" s="12" t="n">
        <f aca="false">Sens!$D$5828/tk_pq</f>
        <v>0.195316432429398</v>
      </c>
      <c r="E5860" s="12" t="n">
        <f aca="false">Sens!$E$5828/tk_pq</f>
        <v>0.195316432429398</v>
      </c>
      <c r="F5860" s="12" t="n">
        <f aca="false">Sens!$F$5828/tk_pq</f>
        <v>0.202241827274866</v>
      </c>
      <c r="G5860" s="12" t="n">
        <f aca="false">Sens!$G$5828/tk_pq</f>
        <v>0.199675016194063</v>
      </c>
      <c r="H5860" s="12" t="n">
        <f aca="false">Sens!$H$5828/tk_pq</f>
        <v>0.212647947710325</v>
      </c>
      <c r="I5860" s="12" t="n">
        <f aca="false">Sens!$I$5828/tk_pq</f>
        <v>0.219285125475351</v>
      </c>
      <c r="J5860" s="12" t="n">
        <f aca="false">Sens!$J$5828/tk_pq</f>
        <v>0.222492493217189</v>
      </c>
      <c r="K5860" s="12" t="n">
        <f aca="false">Sens!$K$5828/tk_pq</f>
        <v>0.224371415939166</v>
      </c>
      <c r="L5860" s="12" t="n">
        <f aca="false">Sens!$L$5828/tk_pq</f>
        <v>0.225603749825993</v>
      </c>
      <c r="M5860" s="12" t="n">
        <f aca="false">Sens!$M$5828/tk_pq</f>
        <v>0.22647376274628</v>
      </c>
      <c r="N5860" s="12" t="n">
        <f aca="false">Sens!$N$5828/tk_pq</f>
        <v>0.195316432429398</v>
      </c>
      <c r="O5860" s="12" t="n">
        <f aca="false">Sens!$O$5828/tk_pq</f>
        <v>0.195316432429398</v>
      </c>
      <c r="P5860" s="5" t="s">
        <v>616</v>
      </c>
    </row>
    <row r="5863" customFormat="false" ht="17.15" hidden="false" customHeight="false" outlineLevel="0" collapsed="false">
      <c r="A5863" s="1" t="s">
        <v>643</v>
      </c>
    </row>
    <row r="5864" customFormat="false" ht="17.15" hidden="false" customHeight="false" outlineLevel="0" collapsed="false">
      <c r="A5864" s="0" t="s">
        <v>644</v>
      </c>
      <c r="B5864" s="0" t="s">
        <v>73</v>
      </c>
      <c r="C5864" s="38" t="n">
        <f aca="false">Sens!$C$5827</f>
        <v>2.32100535697364</v>
      </c>
      <c r="D5864" s="38" t="n">
        <f aca="false">Sens!$D$5827</f>
        <v>8.70377008865116</v>
      </c>
      <c r="E5864" s="38" t="n">
        <f aca="false">Sens!$E$5827</f>
        <v>8.51035297557002</v>
      </c>
      <c r="F5864" s="38" t="n">
        <f aca="false">Sens!$F$5827</f>
        <v>14.9634336447205</v>
      </c>
      <c r="G5864" s="38" t="n">
        <f aca="false">Sens!$G$5827</f>
        <v>23.4737866202905</v>
      </c>
      <c r="H5864" s="38" t="n">
        <f aca="false">Sens!$H$5827</f>
        <v>60.1658907497746</v>
      </c>
      <c r="I5864" s="38" t="n">
        <f aca="false">Sens!$I$5827</f>
        <v>101.503699136432</v>
      </c>
      <c r="J5864" s="38" t="n">
        <f aca="false">Sens!$J$5827</f>
        <v>143.025407151278</v>
      </c>
      <c r="K5864" s="38" t="n">
        <f aca="false">Sens!$K$5827</f>
        <v>184.608415042187</v>
      </c>
      <c r="L5864" s="38" t="n">
        <f aca="false">Sens!$L$5827</f>
        <v>226.219286513125</v>
      </c>
      <c r="M5864" s="38" t="n">
        <f aca="false">Sens!$M$5827</f>
        <v>267.845161450232</v>
      </c>
      <c r="N5864" s="38" t="n">
        <f aca="false">Sens!$N$5827</f>
        <v>3.04631953102791</v>
      </c>
      <c r="O5864" s="38" t="n">
        <f aca="false">Sens!$O$5827</f>
        <v>5.65745055762326</v>
      </c>
      <c r="P5864" s="8" t="s">
        <v>645</v>
      </c>
    </row>
    <row r="5865" customFormat="false" ht="17.15" hidden="false" customHeight="false" outlineLevel="0" collapsed="false">
      <c r="A5865" s="0" t="s">
        <v>646</v>
      </c>
      <c r="B5865" s="0" t="s">
        <v>73</v>
      </c>
      <c r="C5865" s="38" t="n">
        <f aca="false">Sens!$C$5831</f>
        <v>105.234994643026</v>
      </c>
      <c r="D5865" s="38" t="n">
        <f aca="false">Sens!$D$5831</f>
        <v>120.021229911349</v>
      </c>
      <c r="E5865" s="38" t="n">
        <f aca="false">Sens!$E$5831</f>
        <v>71.30864702443</v>
      </c>
      <c r="F5865" s="38" t="n">
        <f aca="false">Sens!$F$5831</f>
        <v>78.5950104186653</v>
      </c>
      <c r="G5865" s="38" t="n">
        <f aca="false">Sens!$G$5831</f>
        <v>149.903657443095</v>
      </c>
      <c r="H5865" s="38" t="n">
        <f aca="false">Sens!$H$5831</f>
        <v>180.893560768142</v>
      </c>
      <c r="I5865" s="38" t="n">
        <f aca="false">Sens!$I$5831</f>
        <v>210.64839721501</v>
      </c>
      <c r="J5865" s="38" t="n">
        <f aca="false">Sens!$J$5831</f>
        <v>236.398909446495</v>
      </c>
      <c r="K5865" s="38" t="n">
        <f aca="false">Sens!$K$5831</f>
        <v>255.310822202215</v>
      </c>
      <c r="L5865" s="38" t="n">
        <f aca="false">Sens!$L$5831</f>
        <v>275.735687978392</v>
      </c>
      <c r="M5865" s="38" t="n">
        <f aca="false">Sens!$M$5831</f>
        <v>297.794543016663</v>
      </c>
      <c r="N5865" s="38" t="n">
        <f aca="false">Sens!$N$5831</f>
        <v>57.0936804689721</v>
      </c>
      <c r="O5865" s="38" t="n">
        <f aca="false">Sens!$O$5831</f>
        <v>62.9275494423768</v>
      </c>
      <c r="P5865" s="8" t="s">
        <v>645</v>
      </c>
    </row>
    <row r="5866" customFormat="false" ht="17.15" hidden="false" customHeight="false" outlineLevel="0" collapsed="false">
      <c r="A5866" s="1" t="s">
        <v>476</v>
      </c>
      <c r="B5866" s="8" t="s">
        <v>73</v>
      </c>
      <c r="C5866" s="38" t="n">
        <f aca="false">Q!$D$7</f>
        <v>107.556</v>
      </c>
      <c r="D5866" s="38" t="n">
        <f aca="false">Q!$E$7</f>
        <v>128.725</v>
      </c>
      <c r="E5866" s="38" t="n">
        <f aca="false">Q!$P$7</f>
        <v>79.819</v>
      </c>
      <c r="F5866" s="38" t="n">
        <f aca="false">Sens!$F$5864+Sens!$F$5865</f>
        <v>93.5584440633857</v>
      </c>
      <c r="G5866" s="38" t="n">
        <f aca="false">Sens!$G$5864+Sens!$G$5865</f>
        <v>173.377444063386</v>
      </c>
      <c r="H5866" s="38" t="n">
        <f aca="false">Sens!$H$5864+Sens!$H$5865</f>
        <v>241.059451517916</v>
      </c>
      <c r="I5866" s="38" t="n">
        <f aca="false">Sens!$I$5864+Sens!$I$5865</f>
        <v>312.152096351442</v>
      </c>
      <c r="J5866" s="38" t="n">
        <f aca="false">Sens!$J$5864+Sens!$J$5865</f>
        <v>379.424316597773</v>
      </c>
      <c r="K5866" s="38" t="n">
        <f aca="false">Sens!$K$5864+Sens!$K$5865</f>
        <v>439.919237244402</v>
      </c>
      <c r="L5866" s="38" t="n">
        <f aca="false">Sens!$L$5864+Sens!$L$5865</f>
        <v>501.954974491517</v>
      </c>
      <c r="M5866" s="38" t="n">
        <f aca="false">Sens!$M$5864+Sens!$M$5865</f>
        <v>565.639704466895</v>
      </c>
      <c r="N5866" s="38" t="n">
        <f aca="false">Q!$N$7</f>
        <v>60.14</v>
      </c>
      <c r="O5866" s="38" t="n">
        <f aca="false">Q!$O$7</f>
        <v>68.585</v>
      </c>
      <c r="P5866" s="5" t="s">
        <v>647</v>
      </c>
    </row>
    <row r="5867" customFormat="false" ht="15" hidden="false" customHeight="false" outlineLevel="0" collapsed="false">
      <c r="A5867" s="3" t="s">
        <v>648</v>
      </c>
      <c r="B5867" s="8" t="s">
        <v>73</v>
      </c>
      <c r="C5867" s="38" t="n">
        <f aca="false">Q!$D$8</f>
        <v>637.959</v>
      </c>
      <c r="D5867" s="38" t="n">
        <f aca="false">Q!$E$8</f>
        <v>716.924</v>
      </c>
      <c r="E5867" s="38" t="n">
        <f aca="false">Q!$P$8</f>
        <v>382.125</v>
      </c>
      <c r="F5867" s="38" t="n">
        <f aca="false">Sens!$F$5800+Sens!$F$5866</f>
        <v>450.494873271816</v>
      </c>
      <c r="G5867" s="38" t="n">
        <f aca="false">Sens!$G$5800+Sens!$G$5866</f>
        <v>832.619873271816</v>
      </c>
      <c r="H5867" s="38" t="n">
        <f aca="false">Sens!$H$5800+Sens!$H$5866</f>
        <v>970.995189139617</v>
      </c>
      <c r="I5867" s="38" t="n">
        <f aca="false">Sens!$I$5800+Sens!$I$5866</f>
        <v>1110.44766604932</v>
      </c>
      <c r="J5867" s="38" t="n">
        <f aca="false">Sens!$J$5800+Sens!$J$5866</f>
        <v>1241.16113892356</v>
      </c>
      <c r="K5867" s="38" t="n">
        <f aca="false">Sens!$K$5800+Sens!$K$5866</f>
        <v>1357.47672934633</v>
      </c>
      <c r="L5867" s="38" t="n">
        <f aca="false">Sens!$L$5800+Sens!$L$5866</f>
        <v>1479.24006423468</v>
      </c>
      <c r="M5867" s="38" t="n">
        <f aca="false">Sens!$M$5800+Sens!$M$5866</f>
        <v>1606.8537230104</v>
      </c>
      <c r="N5867" s="38" t="n">
        <f aca="false">Q!$N$8</f>
        <v>323.369</v>
      </c>
      <c r="O5867" s="38" t="n">
        <f aca="false">Q!$O$8</f>
        <v>393.555</v>
      </c>
    </row>
    <row r="5868" customFormat="false" ht="17.15" hidden="false" customHeight="false" outlineLevel="0" collapsed="false">
      <c r="A5868" s="24" t="s">
        <v>656</v>
      </c>
      <c r="B5868" s="25" t="s">
        <v>73</v>
      </c>
      <c r="C5868" s="39" t="n">
        <f aca="false">Sens!$C$5800-(Sens!$C$5802+Sens!$C$5803)</f>
        <v>0</v>
      </c>
      <c r="D5868" s="39" t="n">
        <f aca="false">Sens!$D$5800-(Sens!$D$5802+Sens!$D$5803)</f>
        <v>0</v>
      </c>
      <c r="E5868" s="39" t="n">
        <f aca="false">Sens!$E$5800-(Sens!$E$5802+Sens!$E$5803)</f>
        <v>0</v>
      </c>
      <c r="F5868" s="39" t="n">
        <f aca="false">Sens!$F$5800-(Sens!$F$5802+Sens!$F$5803)</f>
        <v>0</v>
      </c>
      <c r="G5868" s="39" t="n">
        <f aca="false">Sens!$G$5800-(Sens!$G$5802+Sens!$G$5803)</f>
        <v>0</v>
      </c>
      <c r="H5868" s="39" t="n">
        <f aca="false">Sens!$H$5800-(Sens!$H$5802+Sens!$H$5803)</f>
        <v>0</v>
      </c>
      <c r="I5868" s="39" t="n">
        <f aca="false">Sens!$I$5800-(Sens!$I$5802+Sens!$I$5803)</f>
        <v>0</v>
      </c>
      <c r="J5868" s="39" t="n">
        <f aca="false">Sens!$J$5800-(Sens!$J$5802+Sens!$J$5803)</f>
        <v>0</v>
      </c>
      <c r="K5868" s="39" t="n">
        <f aca="false">Sens!$K$5800-(Sens!$K$5802+Sens!$K$5803)</f>
        <v>0</v>
      </c>
      <c r="L5868" s="39" t="n">
        <f aca="false">Sens!$L$5800-(Sens!$L$5802+Sens!$L$5803)</f>
        <v>0</v>
      </c>
      <c r="M5868" s="39" t="n">
        <f aca="false">Sens!$M$5800-(Sens!$M$5802+Sens!$M$5803)</f>
        <v>0</v>
      </c>
      <c r="N5868" s="39" t="n">
        <f aca="false">Sens!$N$5800-(Sens!$N$5802+Sens!$N$5803)</f>
        <v>0</v>
      </c>
      <c r="O5868" s="39" t="n">
        <f aca="false">Sens!$O$5800-(Sens!$O$5802+Sens!$O$5803)</f>
        <v>0</v>
      </c>
    </row>
    <row r="5869" customFormat="false" ht="17.15" hidden="false" customHeight="false" outlineLevel="0" collapsed="false">
      <c r="A5869" s="24" t="s">
        <v>657</v>
      </c>
      <c r="B5869" s="25" t="s">
        <v>73</v>
      </c>
      <c r="C5869" s="39" t="n">
        <f aca="false">Sens!$C$5864+Sens!$C$5865-Sens!$C$5866</f>
        <v>0</v>
      </c>
      <c r="D5869" s="39" t="n">
        <f aca="false">Sens!$D$5864+Sens!$D$5865-Sens!$D$5866</f>
        <v>0</v>
      </c>
      <c r="E5869" s="39" t="n">
        <f aca="false">Sens!$E$5864+Sens!$E$5865-Sens!$E$5866</f>
        <v>0</v>
      </c>
      <c r="F5869" s="39" t="n">
        <f aca="false">Sens!$F$5864+Sens!$F$5865-Sens!$F$5866</f>
        <v>0</v>
      </c>
      <c r="G5869" s="39" t="n">
        <f aca="false">Sens!$G$5864+Sens!$G$5865-Sens!$G$5866</f>
        <v>0</v>
      </c>
      <c r="H5869" s="39" t="n">
        <f aca="false">Sens!$H$5864+Sens!$H$5865-Sens!$H$5866</f>
        <v>0</v>
      </c>
      <c r="I5869" s="39" t="n">
        <f aca="false">Sens!$I$5864+Sens!$I$5865-Sens!$I$5866</f>
        <v>0</v>
      </c>
      <c r="J5869" s="39" t="n">
        <f aca="false">Sens!$J$5864+Sens!$J$5865-Sens!$J$5866</f>
        <v>0</v>
      </c>
      <c r="K5869" s="39" t="n">
        <f aca="false">Sens!$K$5864+Sens!$K$5865-Sens!$K$5866</f>
        <v>0</v>
      </c>
      <c r="L5869" s="39" t="n">
        <f aca="false">Sens!$L$5864+Sens!$L$5865-Sens!$L$5866</f>
        <v>0</v>
      </c>
      <c r="M5869" s="39" t="n">
        <f aca="false">Sens!$M$5864+Sens!$M$5865-Sens!$M$5866</f>
        <v>0</v>
      </c>
      <c r="N5869" s="39" t="n">
        <f aca="false">Sens!$N$5864+Sens!$N$5865-Sens!$N$5866</f>
        <v>0</v>
      </c>
      <c r="O5869" s="39" t="n">
        <f aca="false">Sens!$O$5864+Sens!$O$5865-Sens!$O$5866</f>
        <v>0</v>
      </c>
    </row>
    <row r="5870" customFormat="false" ht="17.15" hidden="false" customHeight="false" outlineLevel="0" collapsed="false">
      <c r="A5870" s="24" t="s">
        <v>658</v>
      </c>
      <c r="B5870" s="25" t="s">
        <v>73</v>
      </c>
      <c r="C5870" s="39" t="n">
        <f aca="false">Sens!$C$5802+Sens!$C$5803+Sens!$C$5866-Sens!$C$5867</f>
        <v>0</v>
      </c>
      <c r="D5870" s="39" t="n">
        <f aca="false">Sens!$D$5802+Sens!$D$5803+Sens!$D$5866-Sens!$D$5867</f>
        <v>0</v>
      </c>
      <c r="E5870" s="39" t="n">
        <f aca="false">Sens!$E$5802+Sens!$E$5803+Sens!$E$5866-Sens!$E$5867</f>
        <v>0</v>
      </c>
      <c r="F5870" s="39" t="n">
        <f aca="false">Sens!$F$5802+Sens!$F$5803+Sens!$F$5866-Sens!$F$5867</f>
        <v>0</v>
      </c>
      <c r="G5870" s="39" t="n">
        <f aca="false">Sens!$G$5802+Sens!$G$5803+Sens!$G$5866-Sens!$G$5867</f>
        <v>0</v>
      </c>
      <c r="H5870" s="39" t="n">
        <f aca="false">Sens!$H$5802+Sens!$H$5803+Sens!$H$5866-Sens!$H$5867</f>
        <v>0</v>
      </c>
      <c r="I5870" s="39" t="n">
        <f aca="false">Sens!$I$5802+Sens!$I$5803+Sens!$I$5866-Sens!$I$5867</f>
        <v>0</v>
      </c>
      <c r="J5870" s="39" t="n">
        <f aca="false">Sens!$J$5802+Sens!$J$5803+Sens!$J$5866-Sens!$J$5867</f>
        <v>0</v>
      </c>
      <c r="K5870" s="39" t="n">
        <f aca="false">Sens!$K$5802+Sens!$K$5803+Sens!$K$5866-Sens!$K$5867</f>
        <v>0</v>
      </c>
      <c r="L5870" s="39" t="n">
        <f aca="false">Sens!$L$5802+Sens!$L$5803+Sens!$L$5866-Sens!$L$5867</f>
        <v>0</v>
      </c>
      <c r="M5870" s="39" t="n">
        <f aca="false">Sens!$M$5802+Sens!$M$5803+Sens!$M$5866-Sens!$M$5867</f>
        <v>0</v>
      </c>
      <c r="N5870" s="39" t="n">
        <f aca="false">Sens!$N$5802+Sens!$N$5803+Sens!$N$5866-Sens!$N$5867</f>
        <v>0</v>
      </c>
      <c r="O5870" s="39" t="n">
        <f aca="false">Sens!$O$5802+Sens!$O$5803+Sens!$O$5866-Sens!$O$5867</f>
        <v>0</v>
      </c>
    </row>
    <row r="5871" customFormat="false" ht="15" hidden="false" customHeight="false" outlineLevel="0" collapsed="false">
      <c r="A5871" s="5" t="s">
        <v>652</v>
      </c>
      <c r="B5871" s="0" t="s">
        <v>52</v>
      </c>
      <c r="G5871" s="12" t="n">
        <f aca="false">Sens!$G$5867/Sens!$D$5867-1</f>
        <v>0.161378156222718</v>
      </c>
      <c r="H5871" s="12" t="n">
        <f aca="false">Sens!$H$5867/Sens!$G$5867-1</f>
        <v>0.166192665236357</v>
      </c>
      <c r="I5871" s="12" t="n">
        <f aca="false">Sens!$I$5867/Sens!$H$5867-1</f>
        <v>0.143618092519351</v>
      </c>
      <c r="J5871" s="12" t="n">
        <f aca="false">Sens!$J$5867/Sens!$I$5867-1</f>
        <v>0.117712411733268</v>
      </c>
      <c r="K5871" s="12" t="n">
        <f aca="false">Sens!$K$5867/Sens!$J$5867-1</f>
        <v>0.0937151404237868</v>
      </c>
      <c r="L5871" s="12" t="n">
        <f aca="false">Sens!$L$5867/Sens!$K$5867-1</f>
        <v>0.0896982852494186</v>
      </c>
      <c r="M5871" s="12" t="n">
        <f aca="false">Sens!$M$5867/Sens!$L$5867-1</f>
        <v>0.0862697420528154</v>
      </c>
    </row>
    <row r="5872" customFormat="false" ht="17.15" hidden="false" customHeight="false" outlineLevel="0" collapsed="false">
      <c r="A5872" s="0" t="s">
        <v>653</v>
      </c>
      <c r="B5872" s="0" t="s">
        <v>52</v>
      </c>
      <c r="C5872" s="12" t="n">
        <f aca="false">Sens!$C$5866/Sens!$C$5867</f>
        <v>0.168593906504964</v>
      </c>
      <c r="D5872" s="12" t="n">
        <f aca="false">Sens!$D$5866/Sens!$D$5867</f>
        <v>0.179551807444025</v>
      </c>
      <c r="E5872" s="12" t="n">
        <f aca="false">Sens!$E$5866/Sens!$E$5867</f>
        <v>0.208881910369643</v>
      </c>
      <c r="F5872" s="12" t="n">
        <f aca="false">Sens!$F$5866/Sens!$F$5867</f>
        <v>0.207679264769203</v>
      </c>
      <c r="G5872" s="12" t="n">
        <f aca="false">Sens!$G$5866/Sens!$G$5867</f>
        <v>0.208231210458731</v>
      </c>
      <c r="H5872" s="12" t="n">
        <f aca="false">Sens!$H$5866/Sens!$H$5867</f>
        <v>0.248260191414043</v>
      </c>
      <c r="I5872" s="12" t="n">
        <f aca="false">Sens!$I$5866/Sens!$I$5867</f>
        <v>0.28110473450946</v>
      </c>
      <c r="J5872" s="12" t="n">
        <f aca="false">Sens!$J$5866/Sens!$J$5867</f>
        <v>0.30570109287086</v>
      </c>
      <c r="K5872" s="12" t="n">
        <f aca="false">Sens!$K$5866/Sens!$K$5867</f>
        <v>0.324071291782835</v>
      </c>
      <c r="L5872" s="12" t="n">
        <f aca="false">Sens!$L$5866/Sens!$L$5867</f>
        <v>0.339333003903741</v>
      </c>
      <c r="M5872" s="12" t="n">
        <f aca="false">Sens!$M$5866/Sens!$M$5867</f>
        <v>0.3520169237354</v>
      </c>
      <c r="N5872" s="12" t="n">
        <f aca="false">Sens!$N$5866/Sens!$N$5867</f>
        <v>0.185979484737251</v>
      </c>
      <c r="O5872" s="12" t="n">
        <f aca="false">Sens!$O$5866/Sens!$O$5867</f>
        <v>0.174270432341096</v>
      </c>
    </row>
    <row r="5873" customFormat="false" ht="17.15" hidden="false" customHeight="false" outlineLevel="0" collapsed="false">
      <c r="A5873" s="0" t="s">
        <v>654</v>
      </c>
      <c r="B5873" s="0" t="s">
        <v>52</v>
      </c>
      <c r="C5873" s="12" t="n">
        <f aca="false">Sens!$C$5864/Sens!$C$5866</f>
        <v>0.0215795060896058</v>
      </c>
      <c r="D5873" s="12" t="n">
        <f aca="false">Sens!$D$5864/Sens!$D$5866</f>
        <v>0.0676152269462122</v>
      </c>
      <c r="E5873" s="12" t="n">
        <f aca="false">Sens!$E$5864/Sens!$E$5866</f>
        <v>0.106620641395783</v>
      </c>
      <c r="F5873" s="12" t="n">
        <f aca="false">Sens!$F$5864/Sens!$F$5866</f>
        <v>0.159936751776064</v>
      </c>
      <c r="G5873" s="12" t="n">
        <f aca="false">Sens!$G$5864/Sens!$G$5866</f>
        <v>0.135391237003751</v>
      </c>
      <c r="H5873" s="12" t="n">
        <f aca="false">Sens!$H$5864/Sens!$H$5866</f>
        <v>0.249589428545194</v>
      </c>
      <c r="I5873" s="12" t="n">
        <f aca="false">Sens!$I$5864/Sens!$I$5866</f>
        <v>0.325173850577483</v>
      </c>
      <c r="J5873" s="12" t="n">
        <f aca="false">Sens!$J$5864/Sens!$J$5866</f>
        <v>0.376953718817392</v>
      </c>
      <c r="K5873" s="12" t="n">
        <f aca="false">Sens!$K$5864/Sens!$K$5866</f>
        <v>0.419641605578676</v>
      </c>
      <c r="L5873" s="12" t="n">
        <f aca="false">Sens!$L$5864/Sens!$L$5866</f>
        <v>0.450676451094615</v>
      </c>
      <c r="M5873" s="12" t="n">
        <f aca="false">Sens!$M$5864/Sens!$M$5866</f>
        <v>0.473526096798086</v>
      </c>
      <c r="N5873" s="12" t="n">
        <f aca="false">Sens!$N$5864/Sens!$N$5866</f>
        <v>0.0506537999838362</v>
      </c>
      <c r="O5873" s="12" t="n">
        <f aca="false">Sens!$O$5864/Sens!$O$5866</f>
        <v>0.0824881615167056</v>
      </c>
    </row>
    <row r="5876" customFormat="false" ht="19.4" hidden="false" customHeight="false" outlineLevel="0" collapsed="false">
      <c r="A5876" s="31" t="s">
        <v>1172</v>
      </c>
    </row>
    <row r="5877" customFormat="false" ht="17.15" hidden="false" customHeight="false" outlineLevel="0" collapsed="false">
      <c r="A5877" s="6" t="s">
        <v>16</v>
      </c>
      <c r="B5877" s="6" t="s">
        <v>17</v>
      </c>
      <c r="C5877" s="20" t="s">
        <v>457</v>
      </c>
      <c r="D5877" s="20" t="s">
        <v>458</v>
      </c>
      <c r="E5877" s="20" t="s">
        <v>540</v>
      </c>
      <c r="F5877" s="20" t="s">
        <v>541</v>
      </c>
      <c r="G5877" s="20" t="s">
        <v>542</v>
      </c>
      <c r="H5877" s="20" t="s">
        <v>543</v>
      </c>
      <c r="I5877" s="20" t="s">
        <v>544</v>
      </c>
      <c r="J5877" s="20" t="s">
        <v>545</v>
      </c>
      <c r="K5877" s="20" t="s">
        <v>546</v>
      </c>
      <c r="L5877" s="20" t="s">
        <v>547</v>
      </c>
      <c r="M5877" s="20" t="s">
        <v>548</v>
      </c>
      <c r="N5877" s="20" t="s">
        <v>549</v>
      </c>
      <c r="O5877" s="20" t="s">
        <v>550</v>
      </c>
      <c r="P5877" s="6" t="s">
        <v>23</v>
      </c>
      <c r="R5877" s="20" t="n">
        <v>2023</v>
      </c>
      <c r="S5877" s="20" t="n">
        <v>2024</v>
      </c>
      <c r="T5877" s="20" t="n">
        <v>2025</v>
      </c>
      <c r="U5877" s="20" t="n">
        <v>2026</v>
      </c>
      <c r="V5877" s="20" t="n">
        <v>2027</v>
      </c>
      <c r="W5877" s="20" t="n">
        <v>2028</v>
      </c>
      <c r="X5877" s="20" t="n">
        <v>2029</v>
      </c>
      <c r="Y5877" s="20" t="n">
        <v>2030</v>
      </c>
      <c r="Z5877" s="20" t="n">
        <v>2031</v>
      </c>
      <c r="AA5877" s="20" t="n">
        <v>2032</v>
      </c>
    </row>
    <row r="5878" customFormat="false" ht="17.15" hidden="false" customHeight="false" outlineLevel="0" collapsed="false">
      <c r="A5878" s="1" t="s">
        <v>669</v>
      </c>
    </row>
    <row r="5879" customFormat="false" ht="15" hidden="false" customHeight="false" outlineLevel="0" collapsed="false">
      <c r="A5879" s="0" t="s">
        <v>479</v>
      </c>
      <c r="B5879" s="0" t="s">
        <v>73</v>
      </c>
      <c r="C5879" s="38" t="n">
        <f aca="false">Sens!$C$5788</f>
        <v>247.029</v>
      </c>
      <c r="D5879" s="38" t="n">
        <f aca="false">Sens!$D$5788</f>
        <v>269.287</v>
      </c>
      <c r="E5879" s="38" t="n">
        <f aca="false">Sens!$E$5788</f>
        <v>134.686</v>
      </c>
      <c r="F5879" s="38" t="n">
        <f aca="false">Sens!$F$5788</f>
        <v>160.728085930082</v>
      </c>
      <c r="G5879" s="38" t="n">
        <f aca="false">Sens!$G$5788</f>
        <v>295.414085930082</v>
      </c>
      <c r="H5879" s="38" t="n">
        <f aca="false">Sens!$H$5788</f>
        <v>320.828163943375</v>
      </c>
      <c r="I5879" s="38" t="n">
        <f aca="false">Sens!$I$5788</f>
        <v>344.575578072228</v>
      </c>
      <c r="J5879" s="38" t="n">
        <f aca="false">Sens!$J$5788</f>
        <v>365.942555779681</v>
      </c>
      <c r="K5879" s="38" t="n">
        <f aca="false">Sens!$K$5788</f>
        <v>384.239683568665</v>
      </c>
      <c r="L5879" s="38" t="n">
        <f aca="false">Sens!$L$5788</f>
        <v>403.451667747098</v>
      </c>
      <c r="M5879" s="38" t="n">
        <f aca="false">Sens!$M$5788</f>
        <v>423.624251134453</v>
      </c>
      <c r="N5879" s="38" t="n">
        <f aca="false">Sens!$N$5788</f>
        <v>118.892</v>
      </c>
      <c r="O5879" s="38" t="n">
        <f aca="false">Sens!$O$5788</f>
        <v>150.395</v>
      </c>
    </row>
    <row r="5880" customFormat="false" ht="15" hidden="false" customHeight="false" outlineLevel="0" collapsed="false">
      <c r="A5880" s="0" t="s">
        <v>480</v>
      </c>
      <c r="B5880" s="0" t="s">
        <v>73</v>
      </c>
      <c r="C5880" s="38" t="n">
        <f aca="false">Sens!$C$5790</f>
        <v>21.215</v>
      </c>
      <c r="D5880" s="38" t="n">
        <f aca="false">Sens!$D$5790</f>
        <v>22.561</v>
      </c>
      <c r="E5880" s="38" t="n">
        <f aca="false">Sens!$E$5790</f>
        <v>11.579</v>
      </c>
      <c r="F5880" s="38" t="n">
        <f aca="false">Sens!$F$5790</f>
        <v>12.0952613121125</v>
      </c>
      <c r="G5880" s="38" t="n">
        <f aca="false">Sens!$G$5790</f>
        <v>23.6742613121125</v>
      </c>
      <c r="H5880" s="38" t="n">
        <f aca="false">Sens!$H$5790</f>
        <v>24.8803243963206</v>
      </c>
      <c r="I5880" s="38" t="n">
        <f aca="false">Sens!$I$5790</f>
        <v>25.9741308664154</v>
      </c>
      <c r="J5880" s="38" t="n">
        <f aca="false">Sens!$J$5790</f>
        <v>26.9346894124267</v>
      </c>
      <c r="K5880" s="38" t="n">
        <f aca="false">Sens!$K$5790</f>
        <v>27.7427300947995</v>
      </c>
      <c r="L5880" s="38" t="n">
        <f aca="false">Sens!$L$5790</f>
        <v>28.5750119976435</v>
      </c>
      <c r="M5880" s="38" t="n">
        <f aca="false">Sens!$M$5790</f>
        <v>29.4322623575728</v>
      </c>
      <c r="N5880" s="38" t="n">
        <f aca="false">Sens!$N$5790</f>
        <v>11.128</v>
      </c>
      <c r="O5880" s="38" t="n">
        <f aca="false">Sens!$O$5790</f>
        <v>11.433</v>
      </c>
    </row>
    <row r="5881" customFormat="false" ht="15" hidden="false" customHeight="false" outlineLevel="0" collapsed="false">
      <c r="A5881" s="0" t="s">
        <v>481</v>
      </c>
      <c r="B5881" s="0" t="s">
        <v>73</v>
      </c>
      <c r="C5881" s="38" t="n">
        <f aca="false">Sens!$C$5792</f>
        <v>156.146</v>
      </c>
      <c r="D5881" s="38" t="n">
        <f aca="false">Sens!$D$5792</f>
        <v>172.162</v>
      </c>
      <c r="E5881" s="38" t="n">
        <f aca="false">Sens!$E$5792</f>
        <v>88.358</v>
      </c>
      <c r="F5881" s="38" t="n">
        <f aca="false">Sens!$F$5792</f>
        <v>103.62028337149</v>
      </c>
      <c r="G5881" s="38" t="n">
        <f aca="false">Sens!$G$5792</f>
        <v>191.97828337149</v>
      </c>
      <c r="H5881" s="38" t="n">
        <f aca="false">Sens!$H$5792</f>
        <v>212.128608444755</v>
      </c>
      <c r="I5881" s="38" t="n">
        <f aca="false">Sens!$I$5792</f>
        <v>231.92183134134</v>
      </c>
      <c r="J5881" s="38" t="n">
        <f aca="false">Sens!$J$5792</f>
        <v>250.859136487863</v>
      </c>
      <c r="K5881" s="38" t="n">
        <f aca="false">Sens!$K$5792</f>
        <v>268.419276042014</v>
      </c>
      <c r="L5881" s="38" t="n">
        <f aca="false">Sens!$L$5792</f>
        <v>287.208625364954</v>
      </c>
      <c r="M5881" s="38" t="n">
        <f aca="false">Sens!$M$5792</f>
        <v>307.313229140501</v>
      </c>
      <c r="N5881" s="38" t="n">
        <f aca="false">Sens!$N$5792</f>
        <v>76.86</v>
      </c>
      <c r="O5881" s="38" t="n">
        <f aca="false">Sens!$O$5792</f>
        <v>95.302</v>
      </c>
    </row>
    <row r="5882" customFormat="false" ht="15" hidden="false" customHeight="false" outlineLevel="0" collapsed="false">
      <c r="A5882" s="0" t="s">
        <v>482</v>
      </c>
      <c r="B5882" s="0" t="s">
        <v>73</v>
      </c>
      <c r="C5882" s="38" t="n">
        <f aca="false">Sens!$C$5794</f>
        <v>56.214</v>
      </c>
      <c r="D5882" s="38" t="n">
        <f aca="false">Sens!$D$5794</f>
        <v>68.635</v>
      </c>
      <c r="E5882" s="38" t="n">
        <f aca="false">Sens!$E$5794</f>
        <v>37.052</v>
      </c>
      <c r="F5882" s="38" t="n">
        <f aca="false">Sens!$F$5794</f>
        <v>48.1533381827382</v>
      </c>
      <c r="G5882" s="38" t="n">
        <f aca="false">Sens!$G$5794</f>
        <v>85.2053381827382</v>
      </c>
      <c r="H5882" s="38" t="n">
        <f aca="false">Sens!$H$5794</f>
        <v>102.29336185894</v>
      </c>
      <c r="I5882" s="38" t="n">
        <f aca="false">Sens!$I$5794</f>
        <v>119.379837585241</v>
      </c>
      <c r="J5882" s="38" t="n">
        <f aca="false">Sens!$J$5794</f>
        <v>135.319079048844</v>
      </c>
      <c r="K5882" s="38" t="n">
        <f aca="false">Sens!$K$5794</f>
        <v>148.850986953729</v>
      </c>
      <c r="L5882" s="38" t="n">
        <f aca="false">Sens!$L$5794</f>
        <v>163.736085649102</v>
      </c>
      <c r="M5882" s="38" t="n">
        <f aca="false">Sens!$M$5794</f>
        <v>180.109694214012</v>
      </c>
      <c r="N5882" s="38" t="n">
        <f aca="false">Sens!$N$5794</f>
        <v>29.615</v>
      </c>
      <c r="O5882" s="38" t="n">
        <f aca="false">Sens!$O$5794</f>
        <v>39.02</v>
      </c>
    </row>
    <row r="5883" customFormat="false" ht="15" hidden="false" customHeight="false" outlineLevel="0" collapsed="false">
      <c r="A5883" s="0" t="s">
        <v>483</v>
      </c>
      <c r="B5883" s="0" t="s">
        <v>73</v>
      </c>
      <c r="C5883" s="38" t="n">
        <f aca="false">Sens!$C$5796</f>
        <v>44.374</v>
      </c>
      <c r="D5883" s="38" t="n">
        <f aca="false">Sens!$D$5796</f>
        <v>49.619</v>
      </c>
      <c r="E5883" s="38" t="n">
        <f aca="false">Sens!$E$5796</f>
        <v>27.157</v>
      </c>
      <c r="F5883" s="38" t="n">
        <f aca="false">Sens!$F$5796</f>
        <v>28.9776360923374</v>
      </c>
      <c r="G5883" s="38" t="n">
        <f aca="false">Sens!$G$5796</f>
        <v>56.1346360923374</v>
      </c>
      <c r="H5883" s="38" t="n">
        <f aca="false">Sens!$H$5796</f>
        <v>62.4937078946075</v>
      </c>
      <c r="I5883" s="38" t="n">
        <f aca="false">Sens!$I$5796</f>
        <v>68.6715233062498</v>
      </c>
      <c r="J5883" s="38" t="n">
        <f aca="false">Sens!$J$5796</f>
        <v>74.4692882949818</v>
      </c>
      <c r="K5883" s="38" t="n">
        <f aca="false">Sens!$K$5796</f>
        <v>79.6821384756306</v>
      </c>
      <c r="L5883" s="38" t="n">
        <f aca="false">Sens!$L$5796</f>
        <v>85.2598881689247</v>
      </c>
      <c r="M5883" s="38" t="n">
        <f aca="false">Sens!$M$5796</f>
        <v>91.2280803407494</v>
      </c>
      <c r="N5883" s="38" t="n">
        <f aca="false">Sens!$N$5796</f>
        <v>23.923</v>
      </c>
      <c r="O5883" s="38" t="n">
        <f aca="false">Sens!$O$5796</f>
        <v>25.696</v>
      </c>
    </row>
    <row r="5884" customFormat="false" ht="15" hidden="false" customHeight="false" outlineLevel="0" collapsed="false">
      <c r="A5884" s="0" t="s">
        <v>484</v>
      </c>
      <c r="B5884" s="0" t="s">
        <v>73</v>
      </c>
      <c r="C5884" s="38" t="n">
        <f aca="false">Sens!$C$5798</f>
        <v>5.425</v>
      </c>
      <c r="D5884" s="38" t="n">
        <f aca="false">Sens!$D$5798</f>
        <v>5.935</v>
      </c>
      <c r="E5884" s="38" t="n">
        <f aca="false">Sens!$E$5798</f>
        <v>3.474</v>
      </c>
      <c r="F5884" s="38" t="n">
        <f aca="false">Sens!$F$5798</f>
        <v>3.36182431966931</v>
      </c>
      <c r="G5884" s="38" t="n">
        <f aca="false">Sens!$G$5798</f>
        <v>6.83582431966931</v>
      </c>
      <c r="H5884" s="38" t="n">
        <f aca="false">Sens!$H$5798</f>
        <v>7.31157108370141</v>
      </c>
      <c r="I5884" s="38" t="n">
        <f aca="false">Sens!$I$5798</f>
        <v>7.77266852639815</v>
      </c>
      <c r="J5884" s="38" t="n">
        <f aca="false">Sens!$J$5798</f>
        <v>8.2120733019884</v>
      </c>
      <c r="K5884" s="38" t="n">
        <f aca="false">Sens!$K$5798</f>
        <v>8.62267696708783</v>
      </c>
      <c r="L5884" s="38" t="n">
        <f aca="false">Sens!$L$5798</f>
        <v>9.05381081544222</v>
      </c>
      <c r="M5884" s="38" t="n">
        <f aca="false">Sens!$M$5798</f>
        <v>9.50650135621433</v>
      </c>
      <c r="N5884" s="38" t="n">
        <f aca="false">Sens!$N$5798</f>
        <v>2.811</v>
      </c>
      <c r="O5884" s="38" t="n">
        <f aca="false">Sens!$O$5798</f>
        <v>3.124</v>
      </c>
    </row>
    <row r="5885" customFormat="false" ht="17.15" hidden="false" customHeight="false" outlineLevel="0" collapsed="false">
      <c r="A5885" s="0" t="s">
        <v>670</v>
      </c>
      <c r="B5885" s="0" t="s">
        <v>73</v>
      </c>
      <c r="C5885" s="38" t="n">
        <f aca="false">Sens!$C$5866</f>
        <v>107.556</v>
      </c>
      <c r="D5885" s="38" t="n">
        <f aca="false">Sens!$D$5866</f>
        <v>128.725</v>
      </c>
      <c r="E5885" s="38" t="n">
        <f aca="false">Sens!$E$5866</f>
        <v>79.819</v>
      </c>
      <c r="F5885" s="38" t="n">
        <f aca="false">Sens!$F$5866</f>
        <v>93.5584440633857</v>
      </c>
      <c r="G5885" s="38" t="n">
        <f aca="false">Sens!$G$5866</f>
        <v>173.377444063386</v>
      </c>
      <c r="H5885" s="38" t="n">
        <f aca="false">Sens!$H$5866</f>
        <v>241.059451517916</v>
      </c>
      <c r="I5885" s="38" t="n">
        <f aca="false">Sens!$I$5866</f>
        <v>312.152096351442</v>
      </c>
      <c r="J5885" s="38" t="n">
        <f aca="false">Sens!$J$5866</f>
        <v>379.424316597773</v>
      </c>
      <c r="K5885" s="38" t="n">
        <f aca="false">Sens!$K$5866</f>
        <v>439.919237244402</v>
      </c>
      <c r="L5885" s="38" t="n">
        <f aca="false">Sens!$L$5866</f>
        <v>501.954974491517</v>
      </c>
      <c r="M5885" s="38" t="n">
        <f aca="false">Sens!$M$5866</f>
        <v>565.639704466895</v>
      </c>
      <c r="N5885" s="38" t="n">
        <f aca="false">Sens!$N$5866</f>
        <v>60.14</v>
      </c>
      <c r="O5885" s="38" t="n">
        <f aca="false">Sens!$O$5866</f>
        <v>68.585</v>
      </c>
    </row>
    <row r="5886" customFormat="false" ht="15" hidden="false" customHeight="false" outlineLevel="0" collapsed="false">
      <c r="A5886" s="1" t="s">
        <v>472</v>
      </c>
      <c r="B5886" s="8" t="s">
        <v>73</v>
      </c>
      <c r="C5886" s="38" t="n">
        <f aca="false">Sens!$C$5802</f>
        <v>387.497</v>
      </c>
      <c r="D5886" s="38" t="n">
        <f aca="false">Sens!$D$5802</f>
        <v>426.305</v>
      </c>
      <c r="E5886" s="38" t="n">
        <f aca="false">Sens!$E$5802</f>
        <v>220.32</v>
      </c>
      <c r="F5886" s="38" t="n">
        <f aca="false">Sens!$F$5802</f>
        <v>256.304015003807</v>
      </c>
      <c r="G5886" s="38" t="n">
        <f aca="false">Sens!$G$5802</f>
        <v>476.624015003807</v>
      </c>
      <c r="H5886" s="38" t="n">
        <f aca="false">Sens!$H$5802</f>
        <v>527.734391091543</v>
      </c>
      <c r="I5886" s="38" t="n">
        <f aca="false">Sens!$I$5802</f>
        <v>577.157693029577</v>
      </c>
      <c r="J5886" s="38" t="n">
        <f aca="false">Sens!$J$5802</f>
        <v>623.024923663827</v>
      </c>
      <c r="K5886" s="38" t="n">
        <f aca="false">Sens!$K$5802</f>
        <v>663.382568393781</v>
      </c>
      <c r="L5886" s="38" t="n">
        <f aca="false">Sens!$L$5802</f>
        <v>706.564873010432</v>
      </c>
      <c r="M5886" s="38" t="n">
        <f aca="false">Sens!$M$5802</f>
        <v>752.784687406019</v>
      </c>
      <c r="N5886" s="38" t="n">
        <f aca="false">Sens!$N$5802</f>
        <v>192.955</v>
      </c>
      <c r="O5886" s="38" t="n">
        <f aca="false">Sens!$O$5802</f>
        <v>233.35</v>
      </c>
    </row>
    <row r="5887" customFormat="false" ht="15" hidden="false" customHeight="false" outlineLevel="0" collapsed="false">
      <c r="A5887" s="1" t="s">
        <v>475</v>
      </c>
      <c r="B5887" s="8" t="s">
        <v>73</v>
      </c>
      <c r="C5887" s="38" t="n">
        <f aca="false">Sens!$C$5803</f>
        <v>142.906</v>
      </c>
      <c r="D5887" s="38" t="n">
        <f aca="false">Sens!$D$5803</f>
        <v>161.894</v>
      </c>
      <c r="E5887" s="38" t="n">
        <f aca="false">Sens!$E$5803</f>
        <v>81.986</v>
      </c>
      <c r="F5887" s="38" t="n">
        <f aca="false">Sens!$F$5803</f>
        <v>100.632414204623</v>
      </c>
      <c r="G5887" s="38" t="n">
        <f aca="false">Sens!$G$5803</f>
        <v>182.618414204623</v>
      </c>
      <c r="H5887" s="38" t="n">
        <f aca="false">Sens!$H$5803</f>
        <v>202.201346530158</v>
      </c>
      <c r="I5887" s="38" t="n">
        <f aca="false">Sens!$I$5803</f>
        <v>221.137876668296</v>
      </c>
      <c r="J5887" s="38" t="n">
        <f aca="false">Sens!$J$5803</f>
        <v>238.711898661958</v>
      </c>
      <c r="K5887" s="38" t="n">
        <f aca="false">Sens!$K$5803</f>
        <v>254.174923708144</v>
      </c>
      <c r="L5887" s="38" t="n">
        <f aca="false">Sens!$L$5803</f>
        <v>270.720216732733</v>
      </c>
      <c r="M5887" s="38" t="n">
        <f aca="false">Sens!$M$5803</f>
        <v>288.429331137484</v>
      </c>
      <c r="N5887" s="38" t="n">
        <f aca="false">Sens!$N$5803</f>
        <v>70.274</v>
      </c>
      <c r="O5887" s="38" t="n">
        <f aca="false">Sens!$O$5803</f>
        <v>91.62</v>
      </c>
    </row>
    <row r="5888" customFormat="false" ht="15" hidden="false" customHeight="false" outlineLevel="0" collapsed="false">
      <c r="A5888" s="1" t="s">
        <v>476</v>
      </c>
      <c r="B5888" s="8" t="s">
        <v>73</v>
      </c>
      <c r="C5888" s="38" t="n">
        <f aca="false">Sens!$C$5866</f>
        <v>107.556</v>
      </c>
      <c r="D5888" s="38" t="n">
        <f aca="false">Sens!$D$5866</f>
        <v>128.725</v>
      </c>
      <c r="E5888" s="38" t="n">
        <f aca="false">Sens!$E$5866</f>
        <v>79.819</v>
      </c>
      <c r="F5888" s="38" t="n">
        <f aca="false">Sens!$F$5866</f>
        <v>93.5584440633857</v>
      </c>
      <c r="G5888" s="38" t="n">
        <f aca="false">Sens!$G$5866</f>
        <v>173.377444063386</v>
      </c>
      <c r="H5888" s="38" t="n">
        <f aca="false">Sens!$H$5866</f>
        <v>241.059451517916</v>
      </c>
      <c r="I5888" s="38" t="n">
        <f aca="false">Sens!$I$5866</f>
        <v>312.152096351442</v>
      </c>
      <c r="J5888" s="38" t="n">
        <f aca="false">Sens!$J$5866</f>
        <v>379.424316597773</v>
      </c>
      <c r="K5888" s="38" t="n">
        <f aca="false">Sens!$K$5866</f>
        <v>439.919237244402</v>
      </c>
      <c r="L5888" s="38" t="n">
        <f aca="false">Sens!$L$5866</f>
        <v>501.954974491517</v>
      </c>
      <c r="M5888" s="38" t="n">
        <f aca="false">Sens!$M$5866</f>
        <v>565.639704466895</v>
      </c>
      <c r="N5888" s="38" t="n">
        <f aca="false">Sens!$N$5866</f>
        <v>60.14</v>
      </c>
      <c r="O5888" s="38" t="n">
        <f aca="false">Sens!$O$5866</f>
        <v>68.585</v>
      </c>
    </row>
    <row r="5889" customFormat="false" ht="17.15" hidden="false" customHeight="false" outlineLevel="0" collapsed="false">
      <c r="A5889" s="0" t="s">
        <v>644</v>
      </c>
      <c r="B5889" s="0" t="s">
        <v>73</v>
      </c>
      <c r="C5889" s="38" t="n">
        <f aca="false">Sens!$C$5864</f>
        <v>2.32100535697364</v>
      </c>
      <c r="D5889" s="38" t="n">
        <f aca="false">Sens!$D$5864</f>
        <v>8.70377008865116</v>
      </c>
      <c r="E5889" s="38" t="n">
        <f aca="false">Sens!$E$5864</f>
        <v>8.51035297557002</v>
      </c>
      <c r="F5889" s="38" t="n">
        <f aca="false">Sens!$F$5864</f>
        <v>14.9634336447205</v>
      </c>
      <c r="G5889" s="38" t="n">
        <f aca="false">Sens!$G$5864</f>
        <v>23.4737866202905</v>
      </c>
      <c r="H5889" s="38" t="n">
        <f aca="false">Sens!$H$5864</f>
        <v>60.1658907497746</v>
      </c>
      <c r="I5889" s="38" t="n">
        <f aca="false">Sens!$I$5864</f>
        <v>101.503699136432</v>
      </c>
      <c r="J5889" s="38" t="n">
        <f aca="false">Sens!$J$5864</f>
        <v>143.025407151278</v>
      </c>
      <c r="K5889" s="38" t="n">
        <f aca="false">Sens!$K$5864</f>
        <v>184.608415042187</v>
      </c>
      <c r="L5889" s="38" t="n">
        <f aca="false">Sens!$L$5864</f>
        <v>226.219286513125</v>
      </c>
      <c r="M5889" s="38" t="n">
        <f aca="false">Sens!$M$5864</f>
        <v>267.845161450232</v>
      </c>
      <c r="N5889" s="38" t="n">
        <f aca="false">Sens!$N$5864</f>
        <v>3.04631953102791</v>
      </c>
      <c r="O5889" s="38" t="n">
        <f aca="false">Sens!$O$5864</f>
        <v>5.65745055762326</v>
      </c>
    </row>
    <row r="5890" customFormat="false" ht="17.15" hidden="false" customHeight="false" outlineLevel="0" collapsed="false">
      <c r="A5890" s="0" t="s">
        <v>646</v>
      </c>
      <c r="B5890" s="0" t="s">
        <v>73</v>
      </c>
      <c r="C5890" s="38" t="n">
        <f aca="false">Sens!$C$5865</f>
        <v>105.234994643026</v>
      </c>
      <c r="D5890" s="38" t="n">
        <f aca="false">Sens!$D$5865</f>
        <v>120.021229911349</v>
      </c>
      <c r="E5890" s="38" t="n">
        <f aca="false">Sens!$E$5865</f>
        <v>71.30864702443</v>
      </c>
      <c r="F5890" s="38" t="n">
        <f aca="false">Sens!$F$5865</f>
        <v>78.5950104186653</v>
      </c>
      <c r="G5890" s="38" t="n">
        <f aca="false">Sens!$G$5865</f>
        <v>149.903657443095</v>
      </c>
      <c r="H5890" s="38" t="n">
        <f aca="false">Sens!$H$5865</f>
        <v>180.893560768142</v>
      </c>
      <c r="I5890" s="38" t="n">
        <f aca="false">Sens!$I$5865</f>
        <v>210.64839721501</v>
      </c>
      <c r="J5890" s="38" t="n">
        <f aca="false">Sens!$J$5865</f>
        <v>236.398909446495</v>
      </c>
      <c r="K5890" s="38" t="n">
        <f aca="false">Sens!$K$5865</f>
        <v>255.310822202215</v>
      </c>
      <c r="L5890" s="38" t="n">
        <f aca="false">Sens!$L$5865</f>
        <v>275.735687978392</v>
      </c>
      <c r="M5890" s="38" t="n">
        <f aca="false">Sens!$M$5865</f>
        <v>297.794543016663</v>
      </c>
      <c r="N5890" s="38" t="n">
        <f aca="false">Sens!$N$5865</f>
        <v>57.0936804689721</v>
      </c>
      <c r="O5890" s="38" t="n">
        <f aca="false">Sens!$O$5865</f>
        <v>62.9275494423768</v>
      </c>
    </row>
    <row r="5891" customFormat="false" ht="15" hidden="false" customHeight="false" outlineLevel="0" collapsed="false">
      <c r="A5891" s="3" t="s">
        <v>477</v>
      </c>
      <c r="B5891" s="8" t="s">
        <v>73</v>
      </c>
      <c r="C5891" s="38" t="n">
        <f aca="false">Sens!$C$5867</f>
        <v>637.959</v>
      </c>
      <c r="D5891" s="38" t="n">
        <f aca="false">Sens!$D$5867</f>
        <v>716.924</v>
      </c>
      <c r="E5891" s="38" t="n">
        <f aca="false">Sens!$E$5867</f>
        <v>382.125</v>
      </c>
      <c r="F5891" s="38" t="n">
        <f aca="false">Sens!$F$5867</f>
        <v>450.494873271816</v>
      </c>
      <c r="G5891" s="38" t="n">
        <f aca="false">Sens!$G$5867</f>
        <v>832.619873271816</v>
      </c>
      <c r="H5891" s="38" t="n">
        <f aca="false">Sens!$H$5867</f>
        <v>970.995189139617</v>
      </c>
      <c r="I5891" s="38" t="n">
        <f aca="false">Sens!$I$5867</f>
        <v>1110.44766604932</v>
      </c>
      <c r="J5891" s="38" t="n">
        <f aca="false">Sens!$J$5867</f>
        <v>1241.16113892356</v>
      </c>
      <c r="K5891" s="38" t="n">
        <f aca="false">Sens!$K$5867</f>
        <v>1357.47672934633</v>
      </c>
      <c r="L5891" s="38" t="n">
        <f aca="false">Sens!$L$5867</f>
        <v>1479.24006423468</v>
      </c>
      <c r="M5891" s="38" t="n">
        <f aca="false">Sens!$M$5867</f>
        <v>1606.8537230104</v>
      </c>
      <c r="N5891" s="38" t="n">
        <f aca="false">Sens!$N$5867</f>
        <v>323.369</v>
      </c>
      <c r="O5891" s="38" t="n">
        <f aca="false">Sens!$O$5867</f>
        <v>393.555</v>
      </c>
    </row>
    <row r="5892" customFormat="false" ht="17.15" hidden="false" customHeight="false" outlineLevel="0" collapsed="false">
      <c r="A5892" s="24" t="s">
        <v>656</v>
      </c>
      <c r="B5892" s="25" t="s">
        <v>73</v>
      </c>
      <c r="C5892" s="39" t="n">
        <f aca="false">Sens!$C$5879+Sens!$C$5880+Sens!$C$5881+Sens!$C$5882+Sens!$C$5883+Sens!$C$5884-(Sens!$C$5886+Sens!$C$5887)</f>
        <v>0</v>
      </c>
      <c r="D5892" s="39" t="n">
        <f aca="false">Sens!$D$5879+Sens!$D$5880+Sens!$D$5881+Sens!$D$5882+Sens!$D$5883+Sens!$D$5884-(Sens!$D$5886+Sens!$D$5887)</f>
        <v>0</v>
      </c>
      <c r="E5892" s="39" t="n">
        <f aca="false">Sens!$E$5879+Sens!$E$5880+Sens!$E$5881+Sens!$E$5882+Sens!$E$5883+Sens!$E$5884-(Sens!$E$5886+Sens!$E$5887)</f>
        <v>0</v>
      </c>
      <c r="F5892" s="39" t="n">
        <f aca="false">Sens!$F$5879+Sens!$F$5880+Sens!$F$5881+Sens!$F$5882+Sens!$F$5883+Sens!$F$5884-(Sens!$F$5886+Sens!$F$5887)</f>
        <v>0</v>
      </c>
      <c r="G5892" s="39" t="n">
        <f aca="false">Sens!$G$5879+Sens!$G$5880+Sens!$G$5881+Sens!$G$5882+Sens!$G$5883+Sens!$G$5884-(Sens!$G$5886+Sens!$G$5887)</f>
        <v>0</v>
      </c>
      <c r="H5892" s="39" t="n">
        <f aca="false">Sens!$H$5879+Sens!$H$5880+Sens!$H$5881+Sens!$H$5882+Sens!$H$5883+Sens!$H$5884-(Sens!$H$5886+Sens!$H$5887)</f>
        <v>0</v>
      </c>
      <c r="I5892" s="39" t="n">
        <f aca="false">Sens!$I$5879+Sens!$I$5880+Sens!$I$5881+Sens!$I$5882+Sens!$I$5883+Sens!$I$5884-(Sens!$I$5886+Sens!$I$5887)</f>
        <v>0</v>
      </c>
      <c r="J5892" s="39" t="n">
        <f aca="false">Sens!$J$5879+Sens!$J$5880+Sens!$J$5881+Sens!$J$5882+Sens!$J$5883+Sens!$J$5884-(Sens!$J$5886+Sens!$J$5887)</f>
        <v>0</v>
      </c>
      <c r="K5892" s="39" t="n">
        <f aca="false">Sens!$K$5879+Sens!$K$5880+Sens!$K$5881+Sens!$K$5882+Sens!$K$5883+Sens!$K$5884-(Sens!$K$5886+Sens!$K$5887)</f>
        <v>0</v>
      </c>
      <c r="L5892" s="39" t="n">
        <f aca="false">Sens!$L$5879+Sens!$L$5880+Sens!$L$5881+Sens!$L$5882+Sens!$L$5883+Sens!$L$5884-(Sens!$L$5886+Sens!$L$5887)</f>
        <v>0</v>
      </c>
      <c r="M5892" s="39" t="n">
        <f aca="false">Sens!$M$5879+Sens!$M$5880+Sens!$M$5881+Sens!$M$5882+Sens!$M$5883+Sens!$M$5884-(Sens!$M$5886+Sens!$M$5887)</f>
        <v>0</v>
      </c>
      <c r="N5892" s="39" t="n">
        <f aca="false">Sens!$N$5879+Sens!$N$5880+Sens!$N$5881+Sens!$N$5882+Sens!$N$5883+Sens!$N$5884-(Sens!$N$5886+Sens!$N$5887)</f>
        <v>0</v>
      </c>
      <c r="O5892" s="39" t="n">
        <f aca="false">Sens!$O$5879+Sens!$O$5880+Sens!$O$5881+Sens!$O$5882+Sens!$O$5883+Sens!$O$5884-(Sens!$O$5886+Sens!$O$5887)</f>
        <v>0</v>
      </c>
    </row>
    <row r="5893" customFormat="false" ht="17.15" hidden="false" customHeight="false" outlineLevel="0" collapsed="false">
      <c r="A5893" s="24" t="s">
        <v>657</v>
      </c>
      <c r="B5893" s="25" t="s">
        <v>73</v>
      </c>
      <c r="C5893" s="39" t="n">
        <f aca="false">Sens!$C$5889+Sens!$C$5890-Sens!$C$5888</f>
        <v>0</v>
      </c>
      <c r="D5893" s="39" t="n">
        <f aca="false">Sens!$D$5889+Sens!$D$5890-Sens!$D$5888</f>
        <v>0</v>
      </c>
      <c r="E5893" s="39" t="n">
        <f aca="false">Sens!$E$5889+Sens!$E$5890-Sens!$E$5888</f>
        <v>0</v>
      </c>
      <c r="F5893" s="39" t="n">
        <f aca="false">Sens!$F$5889+Sens!$F$5890-Sens!$F$5888</f>
        <v>0</v>
      </c>
      <c r="G5893" s="39" t="n">
        <f aca="false">Sens!$G$5889+Sens!$G$5890-Sens!$G$5888</f>
        <v>0</v>
      </c>
      <c r="H5893" s="39" t="n">
        <f aca="false">Sens!$H$5889+Sens!$H$5890-Sens!$H$5888</f>
        <v>0</v>
      </c>
      <c r="I5893" s="39" t="n">
        <f aca="false">Sens!$I$5889+Sens!$I$5890-Sens!$I$5888</f>
        <v>0</v>
      </c>
      <c r="J5893" s="39" t="n">
        <f aca="false">Sens!$J$5889+Sens!$J$5890-Sens!$J$5888</f>
        <v>0</v>
      </c>
      <c r="K5893" s="39" t="n">
        <f aca="false">Sens!$K$5889+Sens!$K$5890-Sens!$K$5888</f>
        <v>0</v>
      </c>
      <c r="L5893" s="39" t="n">
        <f aca="false">Sens!$L$5889+Sens!$L$5890-Sens!$L$5888</f>
        <v>0</v>
      </c>
      <c r="M5893" s="39" t="n">
        <f aca="false">Sens!$M$5889+Sens!$M$5890-Sens!$M$5888</f>
        <v>0</v>
      </c>
      <c r="N5893" s="39" t="n">
        <f aca="false">Sens!$N$5889+Sens!$N$5890-Sens!$N$5888</f>
        <v>0</v>
      </c>
      <c r="O5893" s="39" t="n">
        <f aca="false">Sens!$O$5889+Sens!$O$5890-Sens!$O$5888</f>
        <v>0</v>
      </c>
    </row>
    <row r="5894" customFormat="false" ht="17.15" hidden="false" customHeight="false" outlineLevel="0" collapsed="false">
      <c r="A5894" s="24" t="s">
        <v>711</v>
      </c>
      <c r="B5894" s="25" t="s">
        <v>73</v>
      </c>
      <c r="C5894" s="39" t="n">
        <f aca="false">Sens!$C$5879+Sens!$C$5880+Sens!$C$5881+Sens!$C$5882+Sens!$C$5883+Sens!$C$5884+Sens!$C$5885-Sens!$C$5891</f>
        <v>0</v>
      </c>
      <c r="D5894" s="39" t="n">
        <f aca="false">Sens!$D$5879+Sens!$D$5880+Sens!$D$5881+Sens!$D$5882+Sens!$D$5883+Sens!$D$5884+Sens!$D$5885-Sens!$D$5891</f>
        <v>0</v>
      </c>
      <c r="E5894" s="39" t="n">
        <f aca="false">Sens!$E$5879+Sens!$E$5880+Sens!$E$5881+Sens!$E$5882+Sens!$E$5883+Sens!$E$5884+Sens!$E$5885-Sens!$E$5891</f>
        <v>0</v>
      </c>
      <c r="F5894" s="39" t="n">
        <f aca="false">Sens!$F$5879+Sens!$F$5880+Sens!$F$5881+Sens!$F$5882+Sens!$F$5883+Sens!$F$5884+Sens!$F$5885-Sens!$F$5891</f>
        <v>0</v>
      </c>
      <c r="G5894" s="39" t="n">
        <f aca="false">Sens!$G$5879+Sens!$G$5880+Sens!$G$5881+Sens!$G$5882+Sens!$G$5883+Sens!$G$5884+Sens!$G$5885-Sens!$G$5891</f>
        <v>0</v>
      </c>
      <c r="H5894" s="39" t="n">
        <f aca="false">Sens!$H$5879+Sens!$H$5880+Sens!$H$5881+Sens!$H$5882+Sens!$H$5883+Sens!$H$5884+Sens!$H$5885-Sens!$H$5891</f>
        <v>0</v>
      </c>
      <c r="I5894" s="39" t="n">
        <f aca="false">Sens!$I$5879+Sens!$I$5880+Sens!$I$5881+Sens!$I$5882+Sens!$I$5883+Sens!$I$5884+Sens!$I$5885-Sens!$I$5891</f>
        <v>0</v>
      </c>
      <c r="J5894" s="39" t="n">
        <f aca="false">Sens!$J$5879+Sens!$J$5880+Sens!$J$5881+Sens!$J$5882+Sens!$J$5883+Sens!$J$5884+Sens!$J$5885-Sens!$J$5891</f>
        <v>0</v>
      </c>
      <c r="K5894" s="39" t="n">
        <f aca="false">Sens!$K$5879+Sens!$K$5880+Sens!$K$5881+Sens!$K$5882+Sens!$K$5883+Sens!$K$5884+Sens!$K$5885-Sens!$K$5891</f>
        <v>0</v>
      </c>
      <c r="L5894" s="39" t="n">
        <f aca="false">Sens!$L$5879+Sens!$L$5880+Sens!$L$5881+Sens!$L$5882+Sens!$L$5883+Sens!$L$5884+Sens!$L$5885-Sens!$L$5891</f>
        <v>0</v>
      </c>
      <c r="M5894" s="39" t="n">
        <f aca="false">Sens!$M$5879+Sens!$M$5880+Sens!$M$5881+Sens!$M$5882+Sens!$M$5883+Sens!$M$5884+Sens!$M$5885-Sens!$M$5891</f>
        <v>0</v>
      </c>
      <c r="N5894" s="39" t="n">
        <f aca="false">Sens!$N$5879+Sens!$N$5880+Sens!$N$5881+Sens!$N$5882+Sens!$N$5883+Sens!$N$5884+Sens!$N$5885-Sens!$N$5891</f>
        <v>0</v>
      </c>
      <c r="O5894" s="39" t="n">
        <f aca="false">Sens!$O$5879+Sens!$O$5880+Sens!$O$5881+Sens!$O$5882+Sens!$O$5883+Sens!$O$5884+Sens!$O$5885-Sens!$O$5891</f>
        <v>0</v>
      </c>
    </row>
    <row r="5895" customFormat="false" ht="17.15" hidden="false" customHeight="false" outlineLevel="0" collapsed="false">
      <c r="A5895" s="24" t="s">
        <v>658</v>
      </c>
      <c r="B5895" s="25" t="s">
        <v>73</v>
      </c>
      <c r="C5895" s="39" t="n">
        <f aca="false">Sens!$C$5886+Sens!$C$5887+Sens!$C$5888-Sens!$C$5891</f>
        <v>0</v>
      </c>
      <c r="D5895" s="39" t="n">
        <f aca="false">Sens!$D$5886+Sens!$D$5887+Sens!$D$5888-Sens!$D$5891</f>
        <v>0</v>
      </c>
      <c r="E5895" s="39" t="n">
        <f aca="false">Sens!$E$5886+Sens!$E$5887+Sens!$E$5888-Sens!$E$5891</f>
        <v>0</v>
      </c>
      <c r="F5895" s="39" t="n">
        <f aca="false">Sens!$F$5886+Sens!$F$5887+Sens!$F$5888-Sens!$F$5891</f>
        <v>0</v>
      </c>
      <c r="G5895" s="39" t="n">
        <f aca="false">Sens!$G$5886+Sens!$G$5887+Sens!$G$5888-Sens!$G$5891</f>
        <v>0</v>
      </c>
      <c r="H5895" s="39" t="n">
        <f aca="false">Sens!$H$5886+Sens!$H$5887+Sens!$H$5888-Sens!$H$5891</f>
        <v>0</v>
      </c>
      <c r="I5895" s="39" t="n">
        <f aca="false">Sens!$I$5886+Sens!$I$5887+Sens!$I$5888-Sens!$I$5891</f>
        <v>0</v>
      </c>
      <c r="J5895" s="39" t="n">
        <f aca="false">Sens!$J$5886+Sens!$J$5887+Sens!$J$5888-Sens!$J$5891</f>
        <v>0</v>
      </c>
      <c r="K5895" s="39" t="n">
        <f aca="false">Sens!$K$5886+Sens!$K$5887+Sens!$K$5888-Sens!$K$5891</f>
        <v>0</v>
      </c>
      <c r="L5895" s="39" t="n">
        <f aca="false">Sens!$L$5886+Sens!$L$5887+Sens!$L$5888-Sens!$L$5891</f>
        <v>0</v>
      </c>
      <c r="M5895" s="39" t="n">
        <f aca="false">Sens!$M$5886+Sens!$M$5887+Sens!$M$5888-Sens!$M$5891</f>
        <v>0</v>
      </c>
      <c r="N5895" s="39" t="n">
        <f aca="false">Sens!$N$5886+Sens!$N$5887+Sens!$N$5888-Sens!$N$5891</f>
        <v>0</v>
      </c>
      <c r="O5895" s="39" t="n">
        <f aca="false">Sens!$O$5886+Sens!$O$5887+Sens!$O$5888-Sens!$O$5891</f>
        <v>0</v>
      </c>
    </row>
    <row r="5896" customFormat="false" ht="17.15" hidden="false" customHeight="false" outlineLevel="0" collapsed="false">
      <c r="A5896" s="1" t="s">
        <v>672</v>
      </c>
    </row>
    <row r="5897" customFormat="false" ht="17.15" hidden="false" customHeight="false" outlineLevel="0" collapsed="false">
      <c r="A5897" s="0" t="s">
        <v>673</v>
      </c>
      <c r="B5897" s="0" t="s">
        <v>73</v>
      </c>
      <c r="C5897" s="38" t="n">
        <f aca="false">Sens!$C$5804*m_ad</f>
        <v>20.5341564414228</v>
      </c>
      <c r="D5897" s="38" t="n">
        <f aca="false">Sens!$D$5804*m_ad</f>
        <v>24.8720617299587</v>
      </c>
      <c r="E5897" s="38" t="n">
        <f aca="false">Sens!$E$5804*m_ad</f>
        <v>13.5017112462207</v>
      </c>
      <c r="F5897" s="38" t="n">
        <f aca="false">Sens!$F$5804*m_ad</f>
        <v>17.2886442824599</v>
      </c>
      <c r="G5897" s="38" t="n">
        <f aca="false">Sens!$G$5804*m_ad</f>
        <v>30.8011958765886</v>
      </c>
      <c r="H5897" s="38" t="n">
        <f aca="false">Sens!$H$5804*m_ad</f>
        <v>36.978409366026</v>
      </c>
      <c r="I5897" s="38" t="n">
        <f aca="false">Sens!$I$5804*m_ad</f>
        <v>43.155063281273</v>
      </c>
      <c r="J5897" s="38" t="n">
        <f aca="false">Sens!$J$5804*m_ad</f>
        <v>48.9169991988532</v>
      </c>
      <c r="K5897" s="38" t="n">
        <f aca="false">Sens!$K$5804*m_ad</f>
        <v>53.8086991187386</v>
      </c>
      <c r="L5897" s="38" t="n">
        <f aca="false">Sens!$L$5804*m_ad</f>
        <v>59.1895690306124</v>
      </c>
      <c r="M5897" s="38" t="n">
        <f aca="false">Sens!$M$5804*m_ad</f>
        <v>65.1085259336737</v>
      </c>
      <c r="N5897" s="38" t="n">
        <f aca="false">Sens!$N$5804*m_ad</f>
        <v>10.8543555706248</v>
      </c>
      <c r="O5897" s="38" t="n">
        <f aca="false">Sens!$O$5804*m_ad</f>
        <v>14.0094731821399</v>
      </c>
    </row>
    <row r="5898" customFormat="false" ht="17.15" hidden="false" customHeight="false" outlineLevel="0" collapsed="false">
      <c r="A5898" s="0" t="s">
        <v>674</v>
      </c>
      <c r="B5898" s="0" t="s">
        <v>73</v>
      </c>
      <c r="C5898" s="38" t="n">
        <f aca="false">Sens!$C$5802-Sens!$C$5804</f>
        <v>346.428687117154</v>
      </c>
      <c r="D5898" s="38" t="n">
        <f aca="false">Sens!$D$5802-Sens!$D$5804</f>
        <v>376.560876540083</v>
      </c>
      <c r="E5898" s="38" t="n">
        <f aca="false">Sens!$E$5802-Sens!$E$5804</f>
        <v>193.316577507559</v>
      </c>
      <c r="F5898" s="38" t="n">
        <f aca="false">Sens!$F$5802-Sens!$F$5804</f>
        <v>221.726726438887</v>
      </c>
      <c r="G5898" s="38" t="n">
        <f aca="false">Sens!$G$5802-Sens!$G$5804</f>
        <v>415.02162325063</v>
      </c>
      <c r="H5898" s="38" t="n">
        <f aca="false">Sens!$H$5802-Sens!$H$5804</f>
        <v>453.777572359491</v>
      </c>
      <c r="I5898" s="38" t="n">
        <f aca="false">Sens!$I$5802-Sens!$I$5804</f>
        <v>490.847566467031</v>
      </c>
      <c r="J5898" s="38" t="n">
        <f aca="false">Sens!$J$5802-Sens!$J$5804</f>
        <v>525.190925266121</v>
      </c>
      <c r="K5898" s="38" t="n">
        <f aca="false">Sens!$K$5802-Sens!$K$5804</f>
        <v>555.765170156304</v>
      </c>
      <c r="L5898" s="38" t="n">
        <f aca="false">Sens!$L$5802-Sens!$L$5804</f>
        <v>588.185734949207</v>
      </c>
      <c r="M5898" s="38" t="n">
        <f aca="false">Sens!$M$5802-Sens!$M$5804</f>
        <v>622.567635538672</v>
      </c>
      <c r="N5898" s="38" t="n">
        <f aca="false">Sens!$N$5802-Sens!$N$5804</f>
        <v>171.24628885875</v>
      </c>
      <c r="O5898" s="38" t="n">
        <f aca="false">Sens!$O$5802-Sens!$O$5804</f>
        <v>205.33105363572</v>
      </c>
    </row>
    <row r="5899" customFormat="false" ht="17.15" hidden="false" customHeight="false" outlineLevel="0" collapsed="false">
      <c r="A5899" s="0" t="s">
        <v>675</v>
      </c>
      <c r="B5899" s="0" t="s">
        <v>73</v>
      </c>
      <c r="C5899" s="38" t="n">
        <f aca="false">Sens!$C$5850*Sens!$C$5801</f>
        <v>0.123617442257179</v>
      </c>
      <c r="D5899" s="38" t="n">
        <f aca="false">Sens!$D$5850*Sens!$D$5801</f>
        <v>0.874366899302609</v>
      </c>
      <c r="E5899" s="38" t="n">
        <f aca="false">Sens!$E$5850*Sens!$E$5801</f>
        <v>1.29318830502574</v>
      </c>
      <c r="F5899" s="38" t="n">
        <f aca="false">Sens!$F$5850*Sens!$F$5801</f>
        <v>1.51802024162534</v>
      </c>
      <c r="G5899" s="38" t="n">
        <f aca="false">Sens!$G$5850*Sens!$G$5801</f>
        <v>2.81130189308167</v>
      </c>
      <c r="H5899" s="38" t="n">
        <f aca="false">Sens!$H$5850*Sens!$H$5801</f>
        <v>7.38966789318209</v>
      </c>
      <c r="I5899" s="38" t="n">
        <f aca="false">Sens!$I$5850*Sens!$I$5801</f>
        <v>12.8987443661473</v>
      </c>
      <c r="J5899" s="38" t="n">
        <f aca="false">Sens!$J$5850*Sens!$J$5801</f>
        <v>18.5570025453645</v>
      </c>
      <c r="K5899" s="38" t="n">
        <f aca="false">Sens!$K$5850*Sens!$K$5801</f>
        <v>24.3158972773405</v>
      </c>
      <c r="L5899" s="38" t="n">
        <f aca="false">Sens!$L$5850*Sens!$L$5801</f>
        <v>29.7827375558674</v>
      </c>
      <c r="M5899" s="38" t="n">
        <f aca="false">Sens!$M$5850*Sens!$M$5801</f>
        <v>35.3532344973194</v>
      </c>
      <c r="N5899" s="38" t="n">
        <f aca="false">Sens!$N$5850*Sens!$N$5801</f>
        <v>0.389180508437431</v>
      </c>
      <c r="O5899" s="38" t="n">
        <f aca="false">Sens!$O$5850*Sens!$O$5801</f>
        <v>0.485052120082802</v>
      </c>
    </row>
    <row r="5900" customFormat="false" ht="17.15" hidden="false" customHeight="false" outlineLevel="0" collapsed="false">
      <c r="A5900" s="0" t="s">
        <v>676</v>
      </c>
      <c r="B5900" s="0" t="s">
        <v>52</v>
      </c>
      <c r="C5900" s="28" t="n">
        <f aca="false">(Sens!$C$5901-Sens!$C$5897+Sens!$C$5899)/Sens!$C$5898</f>
        <v>0.0131526665379575</v>
      </c>
      <c r="D5900" s="28" t="n">
        <f aca="false">(Sens!$D$5901-Sens!$D$5897+Sens!$D$5899)/Sens!$D$5898</f>
        <v>0.0149280116962589</v>
      </c>
      <c r="E5900" s="28" t="n">
        <f aca="false">(Sens!$E$5901-Sens!$E$5897+Sens!$E$5899)/Sens!$E$5898</f>
        <v>0.0268030663774938</v>
      </c>
      <c r="F5900" s="28" t="n">
        <f aca="false">Sens!$O$5900+(Sens!$E$5900-Sens!$N$5900)</f>
        <v>0.0232379346966962</v>
      </c>
      <c r="G5900" s="28" t="n">
        <f aca="false">(Sens!$G$5901-Sens!$G$5897+Sens!$G$5899)/Sens!$G$5898</f>
        <v>0.0248738876928168</v>
      </c>
      <c r="H5900" s="28" t="n">
        <f aca="false">Sens!$G$5900+step_na</f>
        <v>0.0278738876928168</v>
      </c>
      <c r="I5900" s="28" t="n">
        <f aca="false">Sens!$H$5900+step_na</f>
        <v>0.0308738876928168</v>
      </c>
      <c r="J5900" s="28" t="n">
        <f aca="false">Sens!$I$5900+step_na</f>
        <v>0.0338738876928168</v>
      </c>
      <c r="K5900" s="28" t="n">
        <f aca="false">Sens!$J$5900+step_na</f>
        <v>0.0368738876928168</v>
      </c>
      <c r="L5900" s="28" t="n">
        <f aca="false">Sens!$K$5900</f>
        <v>0.0368738876928168</v>
      </c>
      <c r="M5900" s="28" t="n">
        <f aca="false">Sens!$L$5900</f>
        <v>0.0368738876928168</v>
      </c>
      <c r="N5900" s="28" t="n">
        <f aca="false">(Sens!$N$5901-Sens!$N$5897+Sens!$N$5899)/Sens!$N$5898</f>
        <v>0.0168927744775755</v>
      </c>
      <c r="O5900" s="28" t="n">
        <f aca="false">(Sens!$O$5901-Sens!$O$5897+Sens!$O$5899)/Sens!$O$5898</f>
        <v>0.0133276427967779</v>
      </c>
      <c r="P5900" s="8" t="s">
        <v>677</v>
      </c>
    </row>
    <row r="5901" customFormat="false" ht="17.15" hidden="false" customHeight="false" outlineLevel="0" collapsed="false">
      <c r="A5901" s="1" t="s">
        <v>678</v>
      </c>
      <c r="B5901" s="8" t="s">
        <v>73</v>
      </c>
      <c r="C5901" s="38" t="n">
        <f aca="false">Q!$D$22</f>
        <v>24.967</v>
      </c>
      <c r="D5901" s="38" t="n">
        <f aca="false">Q!$E$22</f>
        <v>29.619</v>
      </c>
      <c r="E5901" s="38" t="n">
        <f aca="false">Q!$P$22</f>
        <v>17.39</v>
      </c>
      <c r="F5901" s="38" t="n">
        <f aca="false">Sens!$F$5897+Sens!$F$5898*Sens!$F$5900-Sens!$F$5899</f>
        <v>20.9230952303336</v>
      </c>
      <c r="G5901" s="38" t="n">
        <f aca="false">Sens!$E$5901+Sens!$F$5901</f>
        <v>38.3130952303336</v>
      </c>
      <c r="H5901" s="38" t="n">
        <f aca="false">Sens!$H$5897+Sens!$H$5898*Sens!$H$5900-Sens!$H$5899</f>
        <v>42.2372865623114</v>
      </c>
      <c r="I5901" s="38" t="n">
        <f aca="false">Sens!$I$5897+Sens!$I$5898*Sens!$I$5900-Sens!$I$5899</f>
        <v>45.4106915565213</v>
      </c>
      <c r="J5901" s="38" t="n">
        <f aca="false">Sens!$J$5897+Sens!$J$5898*Sens!$J$5900-Sens!$J$5899</f>
        <v>48.1502550732398</v>
      </c>
      <c r="K5901" s="38" t="n">
        <f aca="false">Sens!$K$5897+Sens!$K$5898*Sens!$K$5900-Sens!$K$5899</f>
        <v>49.9860243093208</v>
      </c>
      <c r="L5901" s="38" t="n">
        <f aca="false">Sens!$L$5897+Sens!$L$5898*Sens!$L$5900-Sens!$L$5899</f>
        <v>51.095526207779</v>
      </c>
      <c r="M5901" s="38" t="n">
        <f aca="false">Sens!$M$5897+Sens!$M$5898*Sens!$M$5900-Sens!$M$5899</f>
        <v>52.7117805103898</v>
      </c>
      <c r="N5901" s="38" t="n">
        <f aca="false">Q!$N$22</f>
        <v>13.358</v>
      </c>
      <c r="O5901" s="38" t="n">
        <f aca="false">Q!$O$22</f>
        <v>16.261</v>
      </c>
    </row>
    <row r="5902" customFormat="false" ht="17.15" hidden="false" customHeight="false" outlineLevel="0" collapsed="false">
      <c r="A5902" s="0" t="s">
        <v>679</v>
      </c>
      <c r="B5902" s="0" t="s">
        <v>73</v>
      </c>
      <c r="C5902" s="38" t="n">
        <f aca="false">Sens!$C$5805*m_ad</f>
        <v>7.57284355857716</v>
      </c>
      <c r="D5902" s="38" t="n">
        <f aca="false">Sens!$D$5805*m_ad</f>
        <v>9.44543827004127</v>
      </c>
      <c r="E5902" s="38" t="n">
        <f aca="false">Sens!$E$5805*m_ad</f>
        <v>5.02428875377928</v>
      </c>
      <c r="F5902" s="38" t="n">
        <f aca="false">Sens!$F$5805*m_ad</f>
        <v>6.78802480890925</v>
      </c>
      <c r="G5902" s="38" t="n">
        <f aca="false">Sens!$G$5805*m_ad</f>
        <v>11.8014732147805</v>
      </c>
      <c r="H5902" s="38" t="n">
        <f aca="false">Sens!$H$5805*m_ad</f>
        <v>14.1682715634442</v>
      </c>
      <c r="I5902" s="38" t="n">
        <f aca="false">Sens!$I$5805*m_ad</f>
        <v>16.5348555113474</v>
      </c>
      <c r="J5902" s="38" t="n">
        <f aca="false">Sens!$J$5805*m_ad</f>
        <v>18.7425403255689</v>
      </c>
      <c r="K5902" s="38" t="n">
        <f aca="false">Sens!$K$5805*m_ad</f>
        <v>20.6167943581258</v>
      </c>
      <c r="L5902" s="38" t="n">
        <f aca="false">Sens!$L$5805*m_ad</f>
        <v>22.6784737939383</v>
      </c>
      <c r="M5902" s="38" t="n">
        <f aca="false">Sens!$M$5805*m_ad</f>
        <v>24.9463211733322</v>
      </c>
      <c r="N5902" s="38" t="n">
        <f aca="false">Sens!$N$5805*m_ad</f>
        <v>3.95314442937518</v>
      </c>
      <c r="O5902" s="38" t="n">
        <f aca="false">Sens!$O$5805*m_ad</f>
        <v>5.50052681786011</v>
      </c>
    </row>
    <row r="5903" customFormat="false" ht="17.15" hidden="false" customHeight="false" outlineLevel="0" collapsed="false">
      <c r="A5903" s="0" t="s">
        <v>680</v>
      </c>
      <c r="B5903" s="0" t="s">
        <v>73</v>
      </c>
      <c r="C5903" s="38" t="n">
        <f aca="false">Sens!$C$5803-Sens!$C$5805</f>
        <v>127.760312882846</v>
      </c>
      <c r="D5903" s="38" t="n">
        <f aca="false">Sens!$D$5803-Sens!$D$5805</f>
        <v>143.003123459917</v>
      </c>
      <c r="E5903" s="38" t="n">
        <f aca="false">Sens!$E$5803-Sens!$E$5805</f>
        <v>71.9374224924414</v>
      </c>
      <c r="F5903" s="38" t="n">
        <f aca="false">Sens!$F$5803-Sens!$F$5805</f>
        <v>87.0563645868046</v>
      </c>
      <c r="G5903" s="38" t="n">
        <f aca="false">Sens!$G$5803-Sens!$G$5805</f>
        <v>159.015467775062</v>
      </c>
      <c r="H5903" s="38" t="n">
        <f aca="false">Sens!$H$5803-Sens!$H$5805</f>
        <v>173.864803403269</v>
      </c>
      <c r="I5903" s="38" t="n">
        <f aca="false">Sens!$I$5803-Sens!$I$5805</f>
        <v>188.068165645601</v>
      </c>
      <c r="J5903" s="38" t="n">
        <f aca="false">Sens!$J$5803-Sens!$J$5805</f>
        <v>201.22681801082</v>
      </c>
      <c r="K5903" s="38" t="n">
        <f aca="false">Sens!$K$5803-Sens!$K$5805</f>
        <v>212.941334991893</v>
      </c>
      <c r="L5903" s="38" t="n">
        <f aca="false">Sens!$L$5803-Sens!$L$5805</f>
        <v>225.363269144856</v>
      </c>
      <c r="M5903" s="38" t="n">
        <f aca="false">Sens!$M$5803-Sens!$M$5805</f>
        <v>238.536688790819</v>
      </c>
      <c r="N5903" s="38" t="n">
        <f aca="false">Sens!$N$5803-Sens!$N$5805</f>
        <v>62.3677111412496</v>
      </c>
      <c r="O5903" s="38" t="n">
        <f aca="false">Sens!$O$5803-Sens!$O$5805</f>
        <v>80.6189463642798</v>
      </c>
    </row>
    <row r="5904" customFormat="false" ht="17.15" hidden="false" customHeight="false" outlineLevel="0" collapsed="false">
      <c r="A5904" s="0" t="s">
        <v>681</v>
      </c>
      <c r="B5904" s="0" t="s">
        <v>73</v>
      </c>
      <c r="C5904" s="38" t="n">
        <f aca="false">Sens!$C$5850*(1-Sens!$C$5801)</f>
        <v>0.0455891896019953</v>
      </c>
      <c r="D5904" s="38" t="n">
        <f aca="false">Sens!$D$5850*(1-Sens!$D$5801)</f>
        <v>0.332050421167231</v>
      </c>
      <c r="E5904" s="38" t="n">
        <f aca="false">Sens!$E$5850*(1-Sens!$E$5801)</f>
        <v>0.481224293644882</v>
      </c>
      <c r="F5904" s="38" t="n">
        <f aca="false">Sens!$F$5850*(1-Sens!$F$5801)</f>
        <v>0.596018918096053</v>
      </c>
      <c r="G5904" s="38" t="n">
        <f aca="false">Sens!$G$5850*(1-Sens!$G$5801)</f>
        <v>1.07714986531035</v>
      </c>
      <c r="H5904" s="38" t="n">
        <f aca="false">Sens!$H$5850*(1-Sens!$H$5801)</f>
        <v>2.83135005721638</v>
      </c>
      <c r="I5904" s="38" t="n">
        <f aca="false">Sens!$I$5850*(1-Sens!$I$5801)</f>
        <v>4.9421518161602</v>
      </c>
      <c r="J5904" s="38" t="n">
        <f aca="false">Sens!$J$5850*(1-Sens!$J$5801)</f>
        <v>7.11011252170866</v>
      </c>
      <c r="K5904" s="38" t="n">
        <f aca="false">Sens!$K$5850*(1-Sens!$K$5801)</f>
        <v>9.31663210615807</v>
      </c>
      <c r="L5904" s="38" t="n">
        <f aca="false">Sens!$L$5850*(1-Sens!$L$5801)</f>
        <v>11.411251074039</v>
      </c>
      <c r="M5904" s="38" t="n">
        <f aca="false">Sens!$M$5850*(1-Sens!$M$5801)</f>
        <v>13.5455860755423</v>
      </c>
      <c r="N5904" s="38" t="n">
        <f aca="false">Sens!$N$5850*(1-Sens!$N$5801)</f>
        <v>0.141739115596548</v>
      </c>
      <c r="O5904" s="38" t="n">
        <f aca="false">Sens!$O$5850*(1-Sens!$O$5801)</f>
        <v>0.190445576353059</v>
      </c>
    </row>
    <row r="5905" customFormat="false" ht="17.15" hidden="false" customHeight="false" outlineLevel="0" collapsed="false">
      <c r="A5905" s="0" t="s">
        <v>682</v>
      </c>
      <c r="B5905" s="0" t="s">
        <v>52</v>
      </c>
      <c r="C5905" s="28" t="n">
        <f aca="false">(Sens!$C$5906-Sens!$C$5902+Sens!$C$5904)/Sens!$C$5903</f>
        <v>-0.0292364215826579</v>
      </c>
      <c r="D5905" s="28" t="n">
        <f aca="false">(Sens!$D$5906-Sens!$D$5902+Sens!$D$5904)/Sens!$D$5903</f>
        <v>-0.0305125352740778</v>
      </c>
      <c r="E5905" s="28" t="n">
        <f aca="false">(Sens!$E$5906-Sens!$E$5902+Sens!$E$5904)/Sens!$E$5903</f>
        <v>-0.019490056934994</v>
      </c>
      <c r="F5905" s="28" t="n">
        <f aca="false">Sens!$O$5905+(Sens!$E$5905-Sens!$N$5905)</f>
        <v>-0.0367332293992226</v>
      </c>
      <c r="G5905" s="28" t="n">
        <f aca="false">(Sens!$G$5906-Sens!$G$5902+Sens!$G$5904)/Sens!$G$5903</f>
        <v>-0.0288599526442178</v>
      </c>
      <c r="H5905" s="28" t="n">
        <f aca="false">Sens!$G$5905+step_in</f>
        <v>-0.0288599526442178</v>
      </c>
      <c r="I5905" s="28" t="n">
        <f aca="false">Sens!$H$5905+step_in</f>
        <v>-0.0288599526442178</v>
      </c>
      <c r="J5905" s="28" t="n">
        <f aca="false">Sens!$I$5905+step_in</f>
        <v>-0.0288599526442178</v>
      </c>
      <c r="K5905" s="28" t="n">
        <f aca="false">Sens!$J$5905+step_in</f>
        <v>-0.0288599526442178</v>
      </c>
      <c r="L5905" s="28" t="n">
        <f aca="false">Sens!$K$5905</f>
        <v>-0.0288599526442178</v>
      </c>
      <c r="M5905" s="28" t="n">
        <f aca="false">Sens!$L$5905</f>
        <v>-0.0288599526442178</v>
      </c>
      <c r="N5905" s="28" t="n">
        <f aca="false">(Sens!$N$5906-Sens!$N$5902+Sens!$N$5904)/Sens!$N$5903</f>
        <v>-0.02085061789158</v>
      </c>
      <c r="O5905" s="28" t="n">
        <f aca="false">(Sens!$O$5906-Sens!$O$5902+Sens!$O$5904)/Sens!$O$5903</f>
        <v>-0.0380937903558086</v>
      </c>
      <c r="P5905" s="8" t="s">
        <v>677</v>
      </c>
    </row>
    <row r="5906" customFormat="false" ht="17.15" hidden="false" customHeight="false" outlineLevel="0" collapsed="false">
      <c r="A5906" s="1" t="s">
        <v>683</v>
      </c>
      <c r="B5906" s="8" t="s">
        <v>73</v>
      </c>
      <c r="C5906" s="38" t="n">
        <f aca="false">Q!$D$23</f>
        <v>3.792</v>
      </c>
      <c r="D5906" s="38" t="n">
        <f aca="false">Q!$E$23</f>
        <v>4.75</v>
      </c>
      <c r="E5906" s="38" t="n">
        <f aca="false">Q!$P$23</f>
        <v>3.141</v>
      </c>
      <c r="F5906" s="38" t="n">
        <f aca="false">Sens!$F$5902+Sens!$F$5903*Sens!$F$5905-Sens!$F$5904</f>
        <v>2.99414447978375</v>
      </c>
      <c r="G5906" s="38" t="n">
        <f aca="false">Sens!$E$5906+Sens!$F$5906</f>
        <v>6.13514447978375</v>
      </c>
      <c r="H5906" s="38" t="n">
        <f aca="false">Sens!$H$5902+Sens!$H$5903*Sens!$H$5905-Sens!$H$5904</f>
        <v>6.31919151351322</v>
      </c>
      <c r="I5906" s="38" t="n">
        <f aca="false">Sens!$I$5902+Sens!$I$5903*Sens!$I$5905-Sens!$I$5904</f>
        <v>6.16506534077027</v>
      </c>
      <c r="J5906" s="38" t="n">
        <f aca="false">Sens!$J$5902+Sens!$J$5903*Sens!$J$5905-Sens!$J$5904</f>
        <v>5.8250313653213</v>
      </c>
      <c r="K5906" s="38" t="n">
        <f aca="false">Sens!$K$5902+Sens!$K$5903*Sens!$K$5905-Sens!$K$5904</f>
        <v>5.15468540810514</v>
      </c>
      <c r="L5906" s="38" t="n">
        <f aca="false">Sens!$L$5902+Sens!$L$5903*Sens!$L$5905-Sens!$L$5904</f>
        <v>4.76324944463266</v>
      </c>
      <c r="M5906" s="38" t="n">
        <f aca="false">Sens!$M$5902+Sens!$M$5903*Sens!$M$5905-Sens!$M$5904</f>
        <v>4.51657755537829</v>
      </c>
      <c r="N5906" s="38" t="n">
        <f aca="false">Q!$N$23</f>
        <v>2.511</v>
      </c>
      <c r="O5906" s="38" t="n">
        <f aca="false">Q!$O$23</f>
        <v>2.239</v>
      </c>
    </row>
    <row r="5907" customFormat="false" ht="17.15" hidden="false" customHeight="false" outlineLevel="0" collapsed="false">
      <c r="A5907" s="0" t="s">
        <v>684</v>
      </c>
      <c r="B5907" s="0" t="s">
        <v>73</v>
      </c>
      <c r="C5907" s="38" t="n">
        <f aca="false">Sens!$C$5847</f>
        <v>1.64417882953695</v>
      </c>
      <c r="D5907" s="38" t="n">
        <f aca="false">Sens!$D$5847</f>
        <v>3.8781008067718</v>
      </c>
      <c r="E5907" s="38" t="n">
        <f aca="false">Sens!$E$5847</f>
        <v>1.41270258088753</v>
      </c>
      <c r="F5907" s="38" t="n">
        <f aca="false">Sens!$F$5847</f>
        <v>6.50727700583486</v>
      </c>
      <c r="G5907" s="38" t="n">
        <f aca="false">Sens!$G$5847</f>
        <v>7.9199795867224</v>
      </c>
      <c r="H5907" s="38" t="n">
        <f aca="false">Sens!$H$5847</f>
        <v>19.2818189481807</v>
      </c>
      <c r="I5907" s="38" t="n">
        <f aca="false">Sens!$I$5847</f>
        <v>30.140114407202</v>
      </c>
      <c r="J5907" s="38" t="n">
        <f aca="false">Sens!$J$5847</f>
        <v>40.3569468829854</v>
      </c>
      <c r="K5907" s="38" t="n">
        <f aca="false">Sens!$K$5847</f>
        <v>50.0782975081929</v>
      </c>
      <c r="L5907" s="38" t="n">
        <f aca="false">Sens!$L$5847</f>
        <v>61.443331993499</v>
      </c>
      <c r="M5907" s="38" t="n">
        <f aca="false">Sens!$M$5847</f>
        <v>72.2498791587849</v>
      </c>
      <c r="N5907" s="38" t="n">
        <f aca="false">Sens!$N$5847</f>
        <v>0.92264103489199</v>
      </c>
      <c r="O5907" s="38" t="n">
        <f aca="false">Sens!$O$5847</f>
        <v>2.95545977187981</v>
      </c>
    </row>
    <row r="5908" customFormat="false" ht="17.15" hidden="false" customHeight="false" outlineLevel="0" collapsed="false">
      <c r="A5908" s="0" t="s">
        <v>604</v>
      </c>
      <c r="B5908" s="0" t="s">
        <v>73</v>
      </c>
      <c r="C5908" s="38" t="n">
        <f aca="false">Sens!$C$5852</f>
        <v>38.1898211704631</v>
      </c>
      <c r="D5908" s="38" t="n">
        <f aca="false">Sens!$D$5852</f>
        <v>41.7278991932282</v>
      </c>
      <c r="E5908" s="38" t="n">
        <f aca="false">Sens!$E$5852</f>
        <v>29.3692974191125</v>
      </c>
      <c r="F5908" s="38" t="n">
        <f aca="false">Sens!$F$5852</f>
        <v>29.458060516894</v>
      </c>
      <c r="G5908" s="38" t="n">
        <f aca="false">Sens!$G$5852</f>
        <v>58.8273579360065</v>
      </c>
      <c r="H5908" s="38" t="n">
        <f aca="false">Sens!$H$5852</f>
        <v>67.8004040185081</v>
      </c>
      <c r="I5908" s="38" t="n">
        <f aca="false">Sens!$I$5852</f>
        <v>78.9527630302702</v>
      </c>
      <c r="J5908" s="38" t="n">
        <f aca="false">Sens!$J$5852</f>
        <v>88.6042681781841</v>
      </c>
      <c r="K5908" s="38" t="n">
        <f aca="false">Sens!$K$5852</f>
        <v>95.6926096324389</v>
      </c>
      <c r="L5908" s="38" t="n">
        <f aca="false">Sens!$L$5852</f>
        <v>103.348018403034</v>
      </c>
      <c r="M5908" s="38" t="n">
        <f aca="false">Sens!$M$5852</f>
        <v>111.615859875277</v>
      </c>
      <c r="N5908" s="38" t="n">
        <f aca="false">Sens!$N$5852</f>
        <v>20.784358965108</v>
      </c>
      <c r="O5908" s="38" t="n">
        <f aca="false">Sens!$O$5852</f>
        <v>20.9435402281202</v>
      </c>
    </row>
    <row r="5909" customFormat="false" ht="17.15" hidden="false" customHeight="false" outlineLevel="0" collapsed="false">
      <c r="A5909" s="1" t="s">
        <v>685</v>
      </c>
      <c r="B5909" s="8" t="s">
        <v>73</v>
      </c>
      <c r="C5909" s="38" t="n">
        <f aca="false">Q!$D$24</f>
        <v>39.834</v>
      </c>
      <c r="D5909" s="38" t="n">
        <f aca="false">Q!$E$24</f>
        <v>45.606</v>
      </c>
      <c r="E5909" s="38" t="n">
        <f aca="false">Q!$P$24</f>
        <v>30.782</v>
      </c>
      <c r="F5909" s="38" t="n">
        <f aca="false">Sens!$F$5907+Sens!$F$5908</f>
        <v>35.9653375227289</v>
      </c>
      <c r="G5909" s="38" t="n">
        <f aca="false">Sens!$G$5907+Sens!$G$5908</f>
        <v>66.7473375227289</v>
      </c>
      <c r="H5909" s="38" t="n">
        <f aca="false">Sens!$H$5907+Sens!$H$5908</f>
        <v>87.0822229666888</v>
      </c>
      <c r="I5909" s="38" t="n">
        <f aca="false">Sens!$I$5907+Sens!$I$5908</f>
        <v>109.092877437472</v>
      </c>
      <c r="J5909" s="38" t="n">
        <f aca="false">Sens!$J$5907+Sens!$J$5908</f>
        <v>128.96121506117</v>
      </c>
      <c r="K5909" s="38" t="n">
        <f aca="false">Sens!$K$5907+Sens!$K$5908</f>
        <v>145.770907140632</v>
      </c>
      <c r="L5909" s="38" t="n">
        <f aca="false">Sens!$L$5907+Sens!$L$5908</f>
        <v>164.791350396533</v>
      </c>
      <c r="M5909" s="38" t="n">
        <f aca="false">Sens!$M$5907+Sens!$M$5908</f>
        <v>183.865739034062</v>
      </c>
      <c r="N5909" s="38" t="n">
        <f aca="false">Q!$N$24</f>
        <v>21.707</v>
      </c>
      <c r="O5909" s="38" t="n">
        <f aca="false">Q!$O$24</f>
        <v>23.899</v>
      </c>
    </row>
    <row r="5910" customFormat="false" ht="17.15" hidden="false" customHeight="false" outlineLevel="0" collapsed="false">
      <c r="A5910" s="5" t="s">
        <v>686</v>
      </c>
      <c r="B5910" s="0" t="s">
        <v>73</v>
      </c>
      <c r="C5910" s="38" t="n">
        <f aca="false">Q!$D$26</f>
        <v>0</v>
      </c>
      <c r="D5910" s="38" t="n">
        <f aca="false">Q!$E$26</f>
        <v>0</v>
      </c>
      <c r="E5910" s="38" t="n">
        <f aca="false">Q!$P$26</f>
        <v>0</v>
      </c>
      <c r="F5910" s="41" t="n">
        <v>0</v>
      </c>
      <c r="G5910" s="38" t="n">
        <f aca="false">Sens!$E$5910+Sens!$F$5910</f>
        <v>0</v>
      </c>
      <c r="H5910" s="41" t="n">
        <v>0</v>
      </c>
      <c r="I5910" s="41" t="n">
        <v>0</v>
      </c>
      <c r="J5910" s="41" t="n">
        <v>0</v>
      </c>
      <c r="K5910" s="41" t="n">
        <v>0</v>
      </c>
      <c r="L5910" s="41" t="n">
        <v>0</v>
      </c>
      <c r="M5910" s="41" t="n">
        <v>0</v>
      </c>
      <c r="N5910" s="38" t="n">
        <f aca="false">Q!$N$26</f>
        <v>0</v>
      </c>
      <c r="O5910" s="38" t="n">
        <f aca="false">Q!$O$26</f>
        <v>0</v>
      </c>
    </row>
    <row r="5911" customFormat="false" ht="15" hidden="false" customHeight="false" outlineLevel="0" collapsed="false">
      <c r="A5911" s="3" t="s">
        <v>494</v>
      </c>
      <c r="B5911" s="8" t="s">
        <v>73</v>
      </c>
      <c r="C5911" s="38" t="n">
        <f aca="false">Q!$D$25</f>
        <v>68.593</v>
      </c>
      <c r="D5911" s="38" t="n">
        <f aca="false">Q!$E$25</f>
        <v>79.975</v>
      </c>
      <c r="E5911" s="38" t="n">
        <f aca="false">Q!$P$25</f>
        <v>51.313</v>
      </c>
      <c r="F5911" s="38" t="n">
        <f aca="false">Sens!$F$5901+Sens!$F$5906+Sens!$F$5909+Sens!$F$5910</f>
        <v>59.8825772328462</v>
      </c>
      <c r="G5911" s="38" t="n">
        <f aca="false">Sens!$G$5901+Sens!$G$5906+Sens!$G$5909+Sens!$G$5910</f>
        <v>111.195577232846</v>
      </c>
      <c r="H5911" s="38" t="n">
        <f aca="false">Sens!$H$5901+Sens!$H$5906+Sens!$H$5909+Sens!$H$5910</f>
        <v>135.638701042513</v>
      </c>
      <c r="I5911" s="38" t="n">
        <f aca="false">Sens!$I$5901+Sens!$I$5906+Sens!$I$5909+Sens!$I$5910</f>
        <v>160.668634334764</v>
      </c>
      <c r="J5911" s="38" t="n">
        <f aca="false">Sens!$J$5901+Sens!$J$5906+Sens!$J$5909+Sens!$J$5910</f>
        <v>182.936501499731</v>
      </c>
      <c r="K5911" s="38" t="n">
        <f aca="false">Sens!$K$5901+Sens!$K$5906+Sens!$K$5909+Sens!$K$5910</f>
        <v>200.911616858058</v>
      </c>
      <c r="L5911" s="38" t="n">
        <f aca="false">Sens!$L$5901+Sens!$L$5906+Sens!$L$5909+Sens!$L$5910</f>
        <v>220.650126048945</v>
      </c>
      <c r="M5911" s="38" t="n">
        <f aca="false">Sens!$M$5901+Sens!$M$5906+Sens!$M$5909+Sens!$M$5910</f>
        <v>241.09409709983</v>
      </c>
      <c r="N5911" s="38" t="n">
        <f aca="false">Q!$N$25</f>
        <v>37.576</v>
      </c>
      <c r="O5911" s="38" t="n">
        <f aca="false">Q!$O$25</f>
        <v>42.399</v>
      </c>
    </row>
    <row r="5912" customFormat="false" ht="17.15" hidden="false" customHeight="false" outlineLevel="0" collapsed="false">
      <c r="A5912" s="24" t="s">
        <v>712</v>
      </c>
      <c r="B5912" s="25" t="s">
        <v>73</v>
      </c>
      <c r="C5912" s="39" t="n">
        <f aca="false">Sens!$C$5901+Sens!$C$5906+Sens!$C$5909+Sens!$C$5910-Sens!$C$5911</f>
        <v>0</v>
      </c>
      <c r="D5912" s="39" t="n">
        <f aca="false">Sens!$D$5901+Sens!$D$5906+Sens!$D$5909+Sens!$D$5910-Sens!$D$5911</f>
        <v>0</v>
      </c>
      <c r="E5912" s="39" t="n">
        <f aca="false">Sens!$E$5901+Sens!$E$5906+Sens!$E$5909+Sens!$E$5910-Sens!$E$5911</f>
        <v>0</v>
      </c>
      <c r="F5912" s="39" t="n">
        <f aca="false">Sens!$F$5901+Sens!$F$5906+Sens!$F$5909+Sens!$F$5910-Sens!$F$5911</f>
        <v>0</v>
      </c>
      <c r="G5912" s="39" t="n">
        <f aca="false">Sens!$G$5901+Sens!$G$5906+Sens!$G$5909+Sens!$G$5910-Sens!$G$5911</f>
        <v>0</v>
      </c>
      <c r="H5912" s="39" t="n">
        <f aca="false">Sens!$H$5901+Sens!$H$5906+Sens!$H$5909+Sens!$H$5910-Sens!$H$5911</f>
        <v>0</v>
      </c>
      <c r="I5912" s="39" t="n">
        <f aca="false">Sens!$I$5901+Sens!$I$5906+Sens!$I$5909+Sens!$I$5910-Sens!$I$5911</f>
        <v>0</v>
      </c>
      <c r="J5912" s="39" t="n">
        <f aca="false">Sens!$J$5901+Sens!$J$5906+Sens!$J$5909+Sens!$J$5910-Sens!$J$5911</f>
        <v>0</v>
      </c>
      <c r="K5912" s="39" t="n">
        <f aca="false">Sens!$K$5901+Sens!$K$5906+Sens!$K$5909+Sens!$K$5910-Sens!$K$5911</f>
        <v>0</v>
      </c>
      <c r="L5912" s="39" t="n">
        <f aca="false">Sens!$L$5901+Sens!$L$5906+Sens!$L$5909+Sens!$L$5910-Sens!$L$5911</f>
        <v>0</v>
      </c>
      <c r="M5912" s="39" t="n">
        <f aca="false">Sens!$M$5901+Sens!$M$5906+Sens!$M$5909+Sens!$M$5910-Sens!$M$5911</f>
        <v>0</v>
      </c>
      <c r="N5912" s="39" t="n">
        <f aca="false">Sens!$N$5901+Sens!$N$5906+Sens!$N$5909+Sens!$N$5910-Sens!$N$5911</f>
        <v>0</v>
      </c>
      <c r="O5912" s="39" t="n">
        <f aca="false">Sens!$O$5901+Sens!$O$5906+Sens!$O$5909+Sens!$O$5910-Sens!$O$5911</f>
        <v>0</v>
      </c>
    </row>
    <row r="5913" customFormat="false" ht="17.15" hidden="false" customHeight="false" outlineLevel="0" collapsed="false">
      <c r="A5913" s="0" t="s">
        <v>688</v>
      </c>
      <c r="B5913" s="0" t="s">
        <v>52</v>
      </c>
      <c r="C5913" s="12" t="n">
        <f aca="false">Sens!$C$5901/Sens!$C$5886</f>
        <v>0.0644314665661928</v>
      </c>
      <c r="D5913" s="12" t="n">
        <f aca="false">Sens!$D$5901/Sens!$D$5886</f>
        <v>0.0694784250712518</v>
      </c>
      <c r="E5913" s="12" t="n">
        <f aca="false">Sens!$E$5901/Sens!$E$5886</f>
        <v>0.0789306463326071</v>
      </c>
      <c r="F5913" s="12" t="n">
        <f aca="false">Sens!$F$5901/Sens!$F$5886</f>
        <v>0.0816338957078875</v>
      </c>
      <c r="G5913" s="12" t="n">
        <f aca="false">Sens!$G$5901/Sens!$G$5886</f>
        <v>0.080384315570057</v>
      </c>
      <c r="H5913" s="12" t="n">
        <f aca="false">Sens!$H$5901/Sens!$H$5886</f>
        <v>0.080035122355679</v>
      </c>
      <c r="I5913" s="12" t="n">
        <f aca="false">Sens!$I$5901/Sens!$I$5886</f>
        <v>0.0786798687862144</v>
      </c>
      <c r="J5913" s="12" t="n">
        <f aca="false">Sens!$J$5901/Sens!$J$5886</f>
        <v>0.0772846370095153</v>
      </c>
      <c r="K5913" s="12" t="n">
        <f aca="false">Sens!$K$5901/Sens!$K$5886</f>
        <v>0.0753502227686655</v>
      </c>
      <c r="L5913" s="12" t="n">
        <f aca="false">Sens!$L$5901/Sens!$L$5886</f>
        <v>0.0723154067793922</v>
      </c>
      <c r="M5913" s="12" t="n">
        <f aca="false">Sens!$M$5901/Sens!$M$5886</f>
        <v>0.070022386735876</v>
      </c>
      <c r="N5913" s="12" t="n">
        <f aca="false">Sens!$N$5901/Sens!$N$5886</f>
        <v>0.069228576611127</v>
      </c>
      <c r="O5913" s="12" t="n">
        <f aca="false">Sens!$O$5901/Sens!$O$5886</f>
        <v>0.069685022498393</v>
      </c>
    </row>
    <row r="5914" customFormat="false" ht="17.15" hidden="false" customHeight="false" outlineLevel="0" collapsed="false">
      <c r="A5914" s="0" t="s">
        <v>689</v>
      </c>
      <c r="B5914" s="0" t="s">
        <v>52</v>
      </c>
      <c r="C5914" s="12" t="n">
        <f aca="false">Sens!$C$5906/Sens!$C$5887</f>
        <v>0.026534925055631</v>
      </c>
      <c r="D5914" s="12" t="n">
        <f aca="false">Sens!$D$5906/Sens!$D$5887</f>
        <v>0.0293401855535103</v>
      </c>
      <c r="E5914" s="12" t="n">
        <f aca="false">Sens!$E$5906/Sens!$E$5887</f>
        <v>0.03831141902276</v>
      </c>
      <c r="F5914" s="12" t="n">
        <f aca="false">Sens!$F$5906/Sens!$F$5887</f>
        <v>0.0297532808235678</v>
      </c>
      <c r="G5914" s="12" t="n">
        <f aca="false">Sens!$G$5906/Sens!$G$5887</f>
        <v>0.0335954317997163</v>
      </c>
      <c r="H5914" s="12" t="n">
        <f aca="false">Sens!$H$5906/Sens!$H$5887</f>
        <v>0.0312519754292078</v>
      </c>
      <c r="I5914" s="12" t="n">
        <f aca="false">Sens!$I$5906/Sens!$I$5887</f>
        <v>0.0278788303191397</v>
      </c>
      <c r="J5914" s="12" t="n">
        <f aca="false">Sens!$J$5906/Sens!$J$5887</f>
        <v>0.0244019313573061</v>
      </c>
      <c r="K5914" s="12" t="n">
        <f aca="false">Sens!$K$5906/Sens!$K$5887</f>
        <v>0.020280070641524</v>
      </c>
      <c r="L5914" s="12" t="n">
        <f aca="false">Sens!$L$5906/Sens!$L$5887</f>
        <v>0.0175947312030086</v>
      </c>
      <c r="M5914" s="12" t="n">
        <f aca="false">Sens!$M$5906/Sens!$M$5887</f>
        <v>0.0156592172424565</v>
      </c>
      <c r="N5914" s="12" t="n">
        <f aca="false">Sens!$N$5906/Sens!$N$5887</f>
        <v>0.0357315650169337</v>
      </c>
      <c r="O5914" s="12" t="n">
        <f aca="false">Sens!$O$5906/Sens!$O$5887</f>
        <v>0.0244378956559703</v>
      </c>
    </row>
    <row r="5915" customFormat="false" ht="17.15" hidden="false" customHeight="false" outlineLevel="0" collapsed="false">
      <c r="A5915" s="13" t="s">
        <v>690</v>
      </c>
      <c r="B5915" s="13" t="s">
        <v>52</v>
      </c>
      <c r="C5915" s="16" t="n">
        <f aca="false">Sens!$C$5909/Sens!$C$5888</f>
        <v>0.370355907620217</v>
      </c>
      <c r="D5915" s="16" t="n">
        <f aca="false">Sens!$D$5909/Sens!$D$5888</f>
        <v>0.35429015342785</v>
      </c>
      <c r="E5915" s="16" t="n">
        <f aca="false">Sens!$E$5909/Sens!$E$5888</f>
        <v>0.385647527531039</v>
      </c>
      <c r="F5915" s="16" t="n">
        <f aca="false">Sens!$F$5909/Sens!$F$5888</f>
        <v>0.384415729470259</v>
      </c>
      <c r="G5915" s="16" t="n">
        <f aca="false">Sens!$G$5909/Sens!$G$5888</f>
        <v>0.38498282105443</v>
      </c>
      <c r="H5915" s="16" t="n">
        <f aca="false">Sens!$H$5909/Sens!$H$5888</f>
        <v>0.361247909668527</v>
      </c>
      <c r="I5915" s="16" t="n">
        <f aca="false">Sens!$I$5909/Sens!$I$5888</f>
        <v>0.349486287974975</v>
      </c>
      <c r="J5915" s="16" t="n">
        <f aca="false">Sens!$J$5909/Sens!$J$5888</f>
        <v>0.339886531832068</v>
      </c>
      <c r="K5915" s="16" t="n">
        <f aca="false">Sens!$K$5909/Sens!$K$5888</f>
        <v>0.33135833762061</v>
      </c>
      <c r="L5915" s="16" t="n">
        <f aca="false">Sens!$L$5909/Sens!$L$5888</f>
        <v>0.328299068185284</v>
      </c>
      <c r="M5915" s="16" t="n">
        <f aca="false">Sens!$M$5909/Sens!$M$5888</f>
        <v>0.325058049465166</v>
      </c>
      <c r="N5915" s="16" t="n">
        <f aca="false">Sens!$N$5909/Sens!$N$5888</f>
        <v>0.360941137346192</v>
      </c>
      <c r="O5915" s="16" t="n">
        <f aca="false">Sens!$O$5909/Sens!$O$5888</f>
        <v>0.348458117664212</v>
      </c>
    </row>
    <row r="5916" customFormat="false" ht="17.15" hidden="false" customHeight="false" outlineLevel="0" collapsed="false">
      <c r="A5916" s="0" t="s">
        <v>691</v>
      </c>
      <c r="B5916" s="0" t="s">
        <v>52</v>
      </c>
      <c r="C5916" s="12" t="n">
        <f aca="false">Sens!$C$5907/Sens!$C$5889</f>
        <v>0.708390794789371</v>
      </c>
      <c r="D5916" s="12" t="n">
        <f aca="false">Sens!$D$5907/Sens!$D$5889</f>
        <v>0.445565630441968</v>
      </c>
      <c r="E5916" s="12" t="n">
        <f aca="false">Sens!$E$5907/Sens!$E$5889</f>
        <v>0.165998118402711</v>
      </c>
      <c r="F5916" s="12" t="n">
        <f aca="false">Sens!$F$5907/Sens!$F$5889</f>
        <v>0.434878595403858</v>
      </c>
      <c r="G5916" s="12" t="n">
        <f aca="false">Sens!$G$5907/Sens!$G$5889</f>
        <v>0.3373967615381</v>
      </c>
      <c r="H5916" s="12" t="n">
        <f aca="false">Sens!$H$5907/Sens!$H$5889</f>
        <v>0.320477578041224</v>
      </c>
      <c r="I5916" s="12" t="n">
        <f aca="false">Sens!$I$5907/Sens!$I$5889</f>
        <v>0.296936118226494</v>
      </c>
      <c r="J5916" s="12" t="n">
        <f aca="false">Sens!$J$5907/Sens!$J$5889</f>
        <v>0.282166278613001</v>
      </c>
      <c r="K5916" s="12" t="n">
        <f aca="false">Sens!$K$5907/Sens!$K$5889</f>
        <v>0.271267685694333</v>
      </c>
      <c r="L5916" s="12" t="n">
        <f aca="false">Sens!$L$5907/Sens!$L$5889</f>
        <v>0.27160960915653</v>
      </c>
      <c r="M5916" s="12" t="n">
        <f aca="false">Sens!$M$5907/Sens!$M$5889</f>
        <v>0.26974494804234</v>
      </c>
      <c r="N5916" s="12" t="n">
        <f aca="false">Sens!$N$5907/Sens!$N$5889</f>
        <v>0.302870734830849</v>
      </c>
      <c r="O5916" s="12" t="n">
        <f aca="false">Sens!$O$5907/Sens!$O$5889</f>
        <v>0.52240134346334</v>
      </c>
    </row>
    <row r="5917" customFormat="false" ht="15" hidden="false" customHeight="false" outlineLevel="0" collapsed="false">
      <c r="A5917" s="5" t="s">
        <v>692</v>
      </c>
      <c r="B5917" s="0" t="s">
        <v>52</v>
      </c>
      <c r="C5917" s="12" t="n">
        <f aca="false">Sens!$C$5911/Sens!$C$5891</f>
        <v>0.107519448742004</v>
      </c>
      <c r="D5917" s="12" t="n">
        <f aca="false">Sens!$D$5911/Sens!$D$5891</f>
        <v>0.111552967957552</v>
      </c>
      <c r="E5917" s="12" t="n">
        <f aca="false">Sens!$E$5911/Sens!$E$5891</f>
        <v>0.13428328426562</v>
      </c>
      <c r="F5917" s="12" t="n">
        <f aca="false">Sens!$F$5911/Sens!$F$5891</f>
        <v>0.132926212451512</v>
      </c>
      <c r="G5917" s="12" t="n">
        <f aca="false">Sens!$G$5911/Sens!$G$5891</f>
        <v>0.133549030959228</v>
      </c>
      <c r="H5917" s="12" t="n">
        <f aca="false">Sens!$H$5911/Sens!$H$5891</f>
        <v>0.139690394514416</v>
      </c>
      <c r="I5917" s="12" t="n">
        <f aca="false">Sens!$I$5911/Sens!$I$5891</f>
        <v>0.144688164284573</v>
      </c>
      <c r="J5917" s="12" t="n">
        <f aca="false">Sens!$J$5911/Sens!$J$5891</f>
        <v>0.147391419021054</v>
      </c>
      <c r="K5917" s="12" t="n">
        <f aca="false">Sens!$K$5911/Sens!$K$5891</f>
        <v>0.148003728177944</v>
      </c>
      <c r="L5917" s="12" t="n">
        <f aca="false">Sens!$L$5911/Sens!$L$5891</f>
        <v>0.149164514525979</v>
      </c>
      <c r="M5917" s="12" t="n">
        <f aca="false">Sens!$M$5911/Sens!$M$5891</f>
        <v>0.150041098108262</v>
      </c>
      <c r="N5917" s="12" t="n">
        <f aca="false">Sens!$N$5911/Sens!$N$5891</f>
        <v>0.116201614873411</v>
      </c>
      <c r="O5917" s="12" t="n">
        <f aca="false">Sens!$O$5911/Sens!$O$5891</f>
        <v>0.107733353660861</v>
      </c>
    </row>
    <row r="5918" customFormat="false" ht="17.15" hidden="false" customHeight="false" outlineLevel="0" collapsed="false">
      <c r="A5918" s="1" t="s">
        <v>693</v>
      </c>
    </row>
    <row r="5919" customFormat="false" ht="17.15" hidden="false" customHeight="false" outlineLevel="0" collapsed="false">
      <c r="A5919" s="5" t="s">
        <v>694</v>
      </c>
      <c r="B5919" s="0" t="s">
        <v>52</v>
      </c>
      <c r="D5919" s="28" t="n">
        <f aca="false">(Q!$E$29+Q!$E$30-(1-ext_sh)*Sens!$D$5843)/Sens!$D$5800</f>
        <v>0.0334674312393194</v>
      </c>
    </row>
    <row r="5920" customFormat="false" ht="17.15" hidden="false" customHeight="false" outlineLevel="0" collapsed="false">
      <c r="A5920" s="0" t="s">
        <v>498</v>
      </c>
      <c r="B5920" s="0" t="s">
        <v>73</v>
      </c>
      <c r="C5920" s="38" t="n">
        <f aca="false">Q!$D$29</f>
        <v>14.285</v>
      </c>
      <c r="D5920" s="38" t="n">
        <f aca="false">Q!$E$29</f>
        <v>15.503</v>
      </c>
      <c r="E5920" s="38" t="n">
        <f aca="false">Q!$P$29</f>
        <v>8.78</v>
      </c>
      <c r="F5920" s="38" t="n">
        <f aca="false">(Sens!$D$5919*Sens!$F$5800+(1-ext_sh)*Sens!$F$5843)*Sens!$F$5801</f>
        <v>9.51361751569285</v>
      </c>
      <c r="G5920" s="38" t="n">
        <f aca="false">Sens!$E$5920+Sens!$F$5920</f>
        <v>18.2936175156929</v>
      </c>
      <c r="H5920" s="38" t="n">
        <f aca="false">(Sens!$D$5919*Sens!$H$5800+(1-ext_sh)*Sens!$H$5843)*Sens!$H$5801</f>
        <v>22.7653661801943</v>
      </c>
      <c r="I5920" s="38" t="n">
        <f aca="false">(Sens!$D$5919*Sens!$I$5800+(1-ext_sh)*Sens!$I$5843)*Sens!$I$5801</f>
        <v>28.4281317305062</v>
      </c>
      <c r="J5920" s="38" t="n">
        <f aca="false">(Sens!$D$5919*Sens!$J$5800+(1-ext_sh)*Sens!$J$5843)*Sens!$J$5801</f>
        <v>34.1182922009732</v>
      </c>
      <c r="K5920" s="38" t="n">
        <f aca="false">(Sens!$D$5919*Sens!$K$5800+(1-ext_sh)*Sens!$K$5843)*Sens!$K$5801</f>
        <v>39.7237727987046</v>
      </c>
      <c r="L5920" s="38" t="n">
        <f aca="false">(Sens!$D$5919*Sens!$L$5800+(1-ext_sh)*Sens!$L$5843)*Sens!$L$5801</f>
        <v>45.1313127180263</v>
      </c>
      <c r="M5920" s="38" t="n">
        <f aca="false">(Sens!$D$5919*Sens!$M$5800+(1-ext_sh)*Sens!$M$5843)*Sens!$M$5801</f>
        <v>50.743940615442</v>
      </c>
      <c r="N5920" s="38" t="n">
        <f aca="false">Q!$N$29</f>
        <v>7.272</v>
      </c>
      <c r="O5920" s="38" t="n">
        <f aca="false">Q!$O$29</f>
        <v>8.231</v>
      </c>
    </row>
    <row r="5921" customFormat="false" ht="17.15" hidden="false" customHeight="false" outlineLevel="0" collapsed="false">
      <c r="A5921" s="0" t="s">
        <v>500</v>
      </c>
      <c r="B5921" s="0" t="s">
        <v>73</v>
      </c>
      <c r="C5921" s="38" t="n">
        <f aca="false">Q!$D$30</f>
        <v>4.462</v>
      </c>
      <c r="D5921" s="38" t="n">
        <f aca="false">Q!$E$30</f>
        <v>4.907</v>
      </c>
      <c r="E5921" s="38" t="n">
        <f aca="false">Q!$P$30</f>
        <v>2.57</v>
      </c>
      <c r="F5921" s="38" t="n">
        <f aca="false">(Sens!$D$5919*Sens!$F$5800+(1-ext_sh)*Sens!$F$5843)*(1-Sens!$F$5801)</f>
        <v>3.7353230631574</v>
      </c>
      <c r="G5921" s="38" t="n">
        <f aca="false">Sens!$E$5921+Sens!$F$5921</f>
        <v>6.3053230631574</v>
      </c>
      <c r="H5921" s="38" t="n">
        <f aca="false">(Sens!$D$5919*Sens!$H$5800+(1-ext_sh)*Sens!$H$5843)*(1-Sens!$H$5801)</f>
        <v>8.72254636724805</v>
      </c>
      <c r="I5921" s="38" t="n">
        <f aca="false">(Sens!$D$5919*Sens!$I$5800+(1-ext_sh)*Sens!$I$5843)*(1-Sens!$I$5801)</f>
        <v>10.8922340713019</v>
      </c>
      <c r="J5921" s="38" t="n">
        <f aca="false">(Sens!$D$5919*Sens!$J$5800+(1-ext_sh)*Sens!$J$5843)*(1-Sens!$J$5801)</f>
        <v>13.0724181345791</v>
      </c>
      <c r="K5921" s="38" t="n">
        <f aca="false">(Sens!$D$5919*Sens!$K$5800+(1-ext_sh)*Sens!$K$5843)*(1-Sens!$K$5801)</f>
        <v>15.2201571183236</v>
      </c>
      <c r="L5921" s="38" t="n">
        <f aca="false">(Sens!$D$5919*Sens!$L$5800+(1-ext_sh)*Sens!$L$5843)*(1-Sens!$L$5801)</f>
        <v>17.2920551631732</v>
      </c>
      <c r="M5921" s="38" t="n">
        <f aca="false">(Sens!$D$5919*Sens!$M$5800+(1-ext_sh)*Sens!$M$5843)*(1-Sens!$M$5801)</f>
        <v>19.4425326336348</v>
      </c>
      <c r="N5921" s="38" t="n">
        <f aca="false">Q!$N$30</f>
        <v>2.316</v>
      </c>
      <c r="O5921" s="38" t="n">
        <f aca="false">Q!$O$30</f>
        <v>2.591</v>
      </c>
    </row>
    <row r="5922" customFormat="false" ht="17.15" hidden="false" customHeight="false" outlineLevel="0" collapsed="false">
      <c r="A5922" s="0" t="s">
        <v>501</v>
      </c>
      <c r="B5922" s="0" t="s">
        <v>73</v>
      </c>
      <c r="C5922" s="38" t="n">
        <f aca="false">Sens!$C$5855</f>
        <v>13.32</v>
      </c>
      <c r="D5922" s="38" t="n">
        <f aca="false">Sens!$D$5855</f>
        <v>21.45</v>
      </c>
      <c r="E5922" s="38" t="n">
        <f aca="false">Sens!$E$5855</f>
        <v>15.353</v>
      </c>
      <c r="F5922" s="38" t="n">
        <f aca="false">Sens!$F$5855</f>
        <v>17.3614451462707</v>
      </c>
      <c r="G5922" s="38" t="n">
        <f aca="false">Sens!$G$5855</f>
        <v>32.7144451462707</v>
      </c>
      <c r="H5922" s="38" t="n">
        <f aca="false">Sens!$H$5855</f>
        <v>56.1966092719415</v>
      </c>
      <c r="I5922" s="38" t="n">
        <f aca="false">Sens!$I$5855</f>
        <v>82.9744039068297</v>
      </c>
      <c r="J5922" s="38" t="n">
        <f aca="false">Sens!$J$5855</f>
        <v>109.943252237669</v>
      </c>
      <c r="K5922" s="38" t="n">
        <f aca="false">Sens!$K$5855</f>
        <v>136.406703436571</v>
      </c>
      <c r="L5922" s="38" t="n">
        <f aca="false">Sens!$L$5855</f>
        <v>161.485870454155</v>
      </c>
      <c r="M5922" s="38" t="n">
        <f aca="false">Sens!$M$5855</f>
        <v>187.389846618199</v>
      </c>
      <c r="N5922" s="38" t="n">
        <f aca="false">Sens!$N$5855</f>
        <v>9.234</v>
      </c>
      <c r="O5922" s="38" t="n">
        <f aca="false">Sens!$O$5855</f>
        <v>12.216</v>
      </c>
    </row>
    <row r="5923" customFormat="false" ht="17.15" hidden="false" customHeight="false" outlineLevel="0" collapsed="false">
      <c r="A5923" s="5" t="s">
        <v>695</v>
      </c>
      <c r="B5923" s="0" t="s">
        <v>73</v>
      </c>
      <c r="C5923" s="38" t="n">
        <f aca="false">Sens!$C$5920+Sens!$C$5921+Sens!$C$5922</f>
        <v>32.067</v>
      </c>
      <c r="D5923" s="38" t="n">
        <f aca="false">Sens!$D$5920+Sens!$D$5921+Sens!$D$5922</f>
        <v>41.86</v>
      </c>
      <c r="E5923" s="38" t="n">
        <f aca="false">Sens!$E$5920+Sens!$E$5921+Sens!$E$5922</f>
        <v>26.703</v>
      </c>
      <c r="F5923" s="38" t="n">
        <f aca="false">Sens!$F$5920+Sens!$F$5921+Sens!$F$5922</f>
        <v>30.6103857251209</v>
      </c>
      <c r="G5923" s="38" t="n">
        <f aca="false">Sens!$G$5920+Sens!$G$5921+Sens!$G$5922</f>
        <v>57.3133857251209</v>
      </c>
      <c r="H5923" s="38" t="n">
        <f aca="false">Sens!$H$5920+Sens!$H$5921+Sens!$H$5922</f>
        <v>87.6845218193838</v>
      </c>
      <c r="I5923" s="38" t="n">
        <f aca="false">Sens!$I$5920+Sens!$I$5921+Sens!$I$5922</f>
        <v>122.294769708638</v>
      </c>
      <c r="J5923" s="38" t="n">
        <f aca="false">Sens!$J$5920+Sens!$J$5921+Sens!$J$5922</f>
        <v>157.133962573221</v>
      </c>
      <c r="K5923" s="38" t="n">
        <f aca="false">Sens!$K$5920+Sens!$K$5921+Sens!$K$5922</f>
        <v>191.350633353599</v>
      </c>
      <c r="L5923" s="38" t="n">
        <f aca="false">Sens!$L$5920+Sens!$L$5921+Sens!$L$5922</f>
        <v>223.909238335354</v>
      </c>
      <c r="M5923" s="38" t="n">
        <f aca="false">Sens!$M$5920+Sens!$M$5921+Sens!$M$5922</f>
        <v>257.576319867276</v>
      </c>
      <c r="N5923" s="38" t="n">
        <f aca="false">Sens!$N$5920+Sens!$N$5921+Sens!$N$5922</f>
        <v>18.822</v>
      </c>
      <c r="O5923" s="38" t="n">
        <f aca="false">Sens!$O$5920+Sens!$O$5921+Sens!$O$5922</f>
        <v>23.038</v>
      </c>
    </row>
    <row r="5924" customFormat="false" ht="17.15" hidden="false" customHeight="false" outlineLevel="0" collapsed="false">
      <c r="A5924" s="0" t="s">
        <v>696</v>
      </c>
      <c r="B5924" s="0" t="s">
        <v>73</v>
      </c>
      <c r="C5924" s="38" t="n">
        <f aca="false">Sens!$C$5897+Sens!$C$5902</f>
        <v>28.107</v>
      </c>
      <c r="D5924" s="38" t="n">
        <f aca="false">Sens!$D$5897+Sens!$D$5902</f>
        <v>34.3175</v>
      </c>
      <c r="E5924" s="38" t="n">
        <f aca="false">Sens!$E$5897+Sens!$E$5902</f>
        <v>18.526</v>
      </c>
      <c r="F5924" s="38" t="n">
        <f aca="false">Sens!$F$5897+Sens!$F$5902</f>
        <v>24.0766690913691</v>
      </c>
      <c r="G5924" s="38" t="n">
        <f aca="false">Sens!$G$5897+Sens!$G$5902</f>
        <v>42.6026690913691</v>
      </c>
      <c r="H5924" s="38" t="n">
        <f aca="false">Sens!$H$5897+Sens!$H$5902</f>
        <v>51.1466809294702</v>
      </c>
      <c r="I5924" s="38" t="n">
        <f aca="false">Sens!$I$5897+Sens!$I$5902</f>
        <v>59.6899187926205</v>
      </c>
      <c r="J5924" s="38" t="n">
        <f aca="false">Sens!$J$5897+Sens!$J$5902</f>
        <v>67.6595395244221</v>
      </c>
      <c r="K5924" s="38" t="n">
        <f aca="false">Sens!$K$5897+Sens!$K$5902</f>
        <v>74.4254934768643</v>
      </c>
      <c r="L5924" s="38" t="n">
        <f aca="false">Sens!$L$5897+Sens!$L$5902</f>
        <v>81.8680428245508</v>
      </c>
      <c r="M5924" s="38" t="n">
        <f aca="false">Sens!$M$5897+Sens!$M$5902</f>
        <v>90.0548471070059</v>
      </c>
      <c r="N5924" s="38" t="n">
        <f aca="false">Sens!$N$5897+Sens!$N$5902</f>
        <v>14.8075</v>
      </c>
      <c r="O5924" s="38" t="n">
        <f aca="false">Sens!$O$5897+Sens!$O$5902</f>
        <v>19.51</v>
      </c>
    </row>
    <row r="5925" customFormat="false" ht="17.15" hidden="false" customHeight="false" outlineLevel="0" collapsed="false">
      <c r="A5925" s="0" t="s">
        <v>697</v>
      </c>
      <c r="B5925" s="0" t="s">
        <v>73</v>
      </c>
      <c r="C5925" s="38" t="n">
        <f aca="false">Sens!$C$5901+Sens!$C$5906+Sens!$C$5920+Sens!$C$5921-Sens!$C$5924</f>
        <v>19.399</v>
      </c>
      <c r="D5925" s="38" t="n">
        <f aca="false">Sens!$D$5901+Sens!$D$5906+Sens!$D$5920+Sens!$D$5921-Sens!$D$5924</f>
        <v>20.4615</v>
      </c>
      <c r="E5925" s="38" t="n">
        <f aca="false">Sens!$E$5901+Sens!$E$5906+Sens!$E$5920+Sens!$E$5921-Sens!$E$5924</f>
        <v>13.355</v>
      </c>
      <c r="F5925" s="38" t="n">
        <f aca="false">Sens!$F$5901+Sens!$F$5906+Sens!$F$5920+Sens!$F$5921-Sens!$F$5924</f>
        <v>13.0895111975985</v>
      </c>
      <c r="G5925" s="38" t="n">
        <f aca="false">Sens!$G$5901+Sens!$G$5906+Sens!$G$5920+Sens!$G$5921-Sens!$G$5924</f>
        <v>26.4445111975985</v>
      </c>
      <c r="H5925" s="38" t="n">
        <f aca="false">Sens!$H$5901+Sens!$H$5906+Sens!$H$5920+Sens!$H$5921-Sens!$H$5924</f>
        <v>28.8977096937968</v>
      </c>
      <c r="I5925" s="38" t="n">
        <f aca="false">Sens!$I$5901+Sens!$I$5906+Sens!$I$5920+Sens!$I$5921-Sens!$I$5924</f>
        <v>31.2062039064791</v>
      </c>
      <c r="J5925" s="38" t="n">
        <f aca="false">Sens!$J$5901+Sens!$J$5906+Sens!$J$5920+Sens!$J$5921-Sens!$J$5924</f>
        <v>33.5064572496913</v>
      </c>
      <c r="K5925" s="38" t="n">
        <f aca="false">Sens!$K$5901+Sens!$K$5906+Sens!$K$5920+Sens!$K$5921-Sens!$K$5924</f>
        <v>35.6591461575899</v>
      </c>
      <c r="L5925" s="38" t="n">
        <f aca="false">Sens!$L$5901+Sens!$L$5906+Sens!$L$5920+Sens!$L$5921-Sens!$L$5924</f>
        <v>36.4141007090604</v>
      </c>
      <c r="M5925" s="38" t="n">
        <f aca="false">Sens!$M$5901+Sens!$M$5906+Sens!$M$5920+Sens!$M$5921-Sens!$M$5924</f>
        <v>37.359984207839</v>
      </c>
      <c r="N5925" s="38" t="n">
        <f aca="false">Sens!$N$5901+Sens!$N$5906+Sens!$N$5920+Sens!$N$5921-Sens!$N$5924</f>
        <v>10.6495</v>
      </c>
      <c r="O5925" s="38" t="n">
        <f aca="false">Sens!$O$5901+Sens!$O$5906+Sens!$O$5920+Sens!$O$5921-Sens!$O$5924</f>
        <v>9.81200000000001</v>
      </c>
    </row>
    <row r="5926" customFormat="false" ht="17.15" hidden="false" customHeight="false" outlineLevel="0" collapsed="false">
      <c r="A5926" s="0" t="s">
        <v>698</v>
      </c>
      <c r="B5926" s="0" t="s">
        <v>73</v>
      </c>
      <c r="C5926" s="38" t="n">
        <f aca="false">Sens!$C$5908+Sens!$C$5922-ext_sh*Sens!$C$5843</f>
        <v>51.3470500115664</v>
      </c>
      <c r="D5926" s="38" t="n">
        <f aca="false">Sens!$D$5908+Sens!$D$5922-ext_sh*Sens!$D$5843</f>
        <v>60.2799375433739</v>
      </c>
      <c r="E5926" s="38" t="n">
        <f aca="false">Sens!$E$5908+Sens!$E$5922-ext_sh*Sens!$E$5843</f>
        <v>39.5095167090767</v>
      </c>
      <c r="F5926" s="38" t="n">
        <f aca="false">Sens!$F$5908+Sens!$F$5922-ext_sh*Sens!$F$5843</f>
        <v>41.606724953129</v>
      </c>
      <c r="G5926" s="38" t="n">
        <f aca="false">Sens!$G$5908+Sens!$G$5922-ext_sh*Sens!$G$5843</f>
        <v>81.1162416622057</v>
      </c>
      <c r="H5926" s="38" t="n">
        <f aca="false">Sens!$H$5908+Sens!$H$5922-ext_sh*Sens!$H$5843</f>
        <v>95.7616595325849</v>
      </c>
      <c r="I5926" s="38" t="n">
        <f aca="false">Sens!$I$5908+Sens!$I$5922-ext_sh*Sens!$I$5843</f>
        <v>111.513312079935</v>
      </c>
      <c r="J5926" s="38" t="n">
        <f aca="false">Sens!$J$5908+Sens!$J$5922-ext_sh*Sens!$J$5843</f>
        <v>125.145150463955</v>
      </c>
      <c r="K5926" s="38" t="n">
        <f aca="false">Sens!$K$5908+Sens!$K$5922-ext_sh*Sens!$K$5843</f>
        <v>135.156762501071</v>
      </c>
      <c r="L5926" s="38" t="n">
        <f aca="false">Sens!$L$5908+Sens!$L$5922-ext_sh*Sens!$L$5843</f>
        <v>145.969303501157</v>
      </c>
      <c r="M5926" s="38" t="n">
        <f aca="false">Sens!$M$5908+Sens!$M$5922-ext_sh*Sens!$M$5843</f>
        <v>157.646847781249</v>
      </c>
      <c r="N5926" s="38" t="n">
        <f aca="false">Sens!$N$5908+Sens!$N$5922-ext_sh*Sens!$N$5843</f>
        <v>28.5693781401809</v>
      </c>
      <c r="O5926" s="38" t="n">
        <f aca="false">Sens!$O$5908+Sens!$O$5922-ext_sh*Sens!$O$5843</f>
        <v>31.7105594031931</v>
      </c>
    </row>
    <row r="5927" customFormat="false" ht="17.15" hidden="false" customHeight="false" outlineLevel="0" collapsed="false">
      <c r="A5927" s="0" t="s">
        <v>699</v>
      </c>
      <c r="B5927" s="0" t="s">
        <v>73</v>
      </c>
      <c r="C5927" s="38" t="n">
        <f aca="false">Sens!$C$5846</f>
        <v>1.80694998843362</v>
      </c>
      <c r="D5927" s="38" t="n">
        <f aca="false">Sens!$D$5846</f>
        <v>6.77606245662607</v>
      </c>
      <c r="E5927" s="38" t="n">
        <f aca="false">Sens!$E$5846</f>
        <v>6.62548329092326</v>
      </c>
      <c r="F5927" s="38" t="n">
        <f aca="false">Sens!$F$5846</f>
        <v>11.7200577158706</v>
      </c>
      <c r="G5927" s="38" t="n">
        <f aca="false">Sens!$G$5846</f>
        <v>18.3455410067939</v>
      </c>
      <c r="H5927" s="38" t="n">
        <f aca="false">Sens!$H$5846</f>
        <v>47.5171727060453</v>
      </c>
      <c r="I5927" s="38" t="n">
        <f aca="false">Sens!$I$5846</f>
        <v>80.5539692643667</v>
      </c>
      <c r="J5927" s="38" t="n">
        <f aca="false">Sens!$J$5846</f>
        <v>113.759316834883</v>
      </c>
      <c r="K5927" s="38" t="n">
        <f aca="false">Sens!$K$5846</f>
        <v>147.020848076132</v>
      </c>
      <c r="L5927" s="38" t="n">
        <f aca="false">Sens!$L$5846</f>
        <v>180.307917349531</v>
      </c>
      <c r="M5927" s="38" t="n">
        <f aca="false">Sens!$M$5846</f>
        <v>213.608737871012</v>
      </c>
      <c r="N5927" s="38" t="n">
        <f aca="false">Sens!$N$5846</f>
        <v>2.37162185981912</v>
      </c>
      <c r="O5927" s="38" t="n">
        <f aca="false">Sens!$O$5846</f>
        <v>4.40444059680694</v>
      </c>
    </row>
    <row r="5928" customFormat="false" ht="17.15" hidden="false" customHeight="false" outlineLevel="0" collapsed="false">
      <c r="A5928" s="0" t="s">
        <v>700</v>
      </c>
      <c r="B5928" s="0" t="s">
        <v>73</v>
      </c>
      <c r="C5928" s="38" t="n">
        <f aca="false">Sens!$C$5911+Sens!$C$5923</f>
        <v>100.66</v>
      </c>
      <c r="D5928" s="38" t="n">
        <f aca="false">Sens!$D$5911+Sens!$D$5923</f>
        <v>121.835</v>
      </c>
      <c r="E5928" s="38" t="n">
        <f aca="false">Sens!$E$5911+Sens!$E$5923</f>
        <v>78.016</v>
      </c>
      <c r="F5928" s="38" t="n">
        <f aca="false">Sens!$F$5911+Sens!$F$5923</f>
        <v>90.4929629579672</v>
      </c>
      <c r="G5928" s="38" t="n">
        <f aca="false">Sens!$G$5911+Sens!$G$5923</f>
        <v>168.508962957967</v>
      </c>
      <c r="H5928" s="38" t="n">
        <f aca="false">Sens!$H$5911+Sens!$H$5923</f>
        <v>223.323222861897</v>
      </c>
      <c r="I5928" s="38" t="n">
        <f aca="false">Sens!$I$5911+Sens!$I$5923</f>
        <v>282.963404043402</v>
      </c>
      <c r="J5928" s="38" t="n">
        <f aca="false">Sens!$J$5911+Sens!$J$5923</f>
        <v>340.070464072952</v>
      </c>
      <c r="K5928" s="38" t="n">
        <f aca="false">Sens!$K$5911+Sens!$K$5923</f>
        <v>392.262250211657</v>
      </c>
      <c r="L5928" s="38" t="n">
        <f aca="false">Sens!$L$5911+Sens!$L$5923</f>
        <v>444.559364384299</v>
      </c>
      <c r="M5928" s="38" t="n">
        <f aca="false">Sens!$M$5911+Sens!$M$5923</f>
        <v>498.670416967106</v>
      </c>
      <c r="N5928" s="38" t="n">
        <f aca="false">Sens!$N$5911+Sens!$N$5923</f>
        <v>56.398</v>
      </c>
      <c r="O5928" s="38" t="n">
        <f aca="false">Sens!$O$5911+Sens!$O$5923</f>
        <v>65.437</v>
      </c>
    </row>
    <row r="5929" customFormat="false" ht="17.15" hidden="false" customHeight="false" outlineLevel="0" collapsed="false">
      <c r="A5929" s="1" t="s">
        <v>701</v>
      </c>
    </row>
    <row r="5930" customFormat="false" ht="15" hidden="false" customHeight="false" outlineLevel="0" collapsed="false">
      <c r="A5930" s="5" t="s">
        <v>504</v>
      </c>
      <c r="B5930" s="0" t="s">
        <v>73</v>
      </c>
      <c r="C5930" s="38" t="n">
        <f aca="false">Q!$D$34</f>
        <v>2.406</v>
      </c>
      <c r="D5930" s="38" t="n">
        <f aca="false">Q!$E$34</f>
        <v>2.274</v>
      </c>
      <c r="E5930" s="38" t="n">
        <f aca="false">Q!$P$34</f>
        <v>2.114</v>
      </c>
      <c r="F5930" s="38" t="n">
        <f aca="false">Sens!$F$5966</f>
        <v>3.24888964316061</v>
      </c>
      <c r="G5930" s="38" t="n">
        <f aca="false">Sens!$E$5930+Sens!$F$5930</f>
        <v>5.36288964316061</v>
      </c>
      <c r="H5930" s="38" t="n">
        <f aca="false">Sens!$H$5966</f>
        <v>7.42354178632123</v>
      </c>
      <c r="I5930" s="38" t="n">
        <f aca="false">Sens!$I$5966</f>
        <v>7.51827597635917</v>
      </c>
      <c r="J5930" s="38" t="n">
        <f aca="false">Sens!$J$5966</f>
        <v>7.76994062068418</v>
      </c>
      <c r="K5930" s="38" t="n">
        <f aca="false">Sens!$K$5966</f>
        <v>7.76994062068418</v>
      </c>
      <c r="L5930" s="38" t="n">
        <f aca="false">Sens!$L$5966</f>
        <v>7.76994062068418</v>
      </c>
      <c r="M5930" s="38" t="n">
        <f aca="false">Sens!$M$5966</f>
        <v>7.76994062068418</v>
      </c>
      <c r="N5930" s="38" t="n">
        <f aca="false">Q!$N$34</f>
        <v>1.057</v>
      </c>
      <c r="O5930" s="38" t="n">
        <f aca="false">Q!$O$34</f>
        <v>1.217</v>
      </c>
    </row>
    <row r="5931" customFormat="false" ht="15" hidden="false" customHeight="false" outlineLevel="0" collapsed="false">
      <c r="A5931" s="5" t="s">
        <v>702</v>
      </c>
      <c r="B5931" s="0" t="s">
        <v>73</v>
      </c>
      <c r="F5931" s="38" t="n">
        <f aca="false">Sens!$F$5967</f>
        <v>2.59</v>
      </c>
      <c r="H5931" s="38" t="n">
        <f aca="false">Sens!$H$5967</f>
        <v>4.00971603121774</v>
      </c>
      <c r="I5931" s="38" t="n">
        <f aca="false">Sens!$I$5967</f>
        <v>2.10589651022864</v>
      </c>
      <c r="J5931" s="38" t="n">
        <f aca="false">Sens!$J$5967</f>
        <v>2.10589651022864</v>
      </c>
      <c r="K5931" s="38" t="n">
        <f aca="false">Sens!$K$5967</f>
        <v>3.77985822695893</v>
      </c>
      <c r="L5931" s="38" t="n">
        <f aca="false">Sens!$L$5967</f>
        <v>7.24081936505971</v>
      </c>
      <c r="M5931" s="38" t="n">
        <f aca="false">Sens!$M$5967</f>
        <v>11.205150593419</v>
      </c>
    </row>
    <row r="5932" customFormat="false" ht="17.15" hidden="false" customHeight="false" outlineLevel="0" collapsed="false">
      <c r="A5932" s="5" t="s">
        <v>703</v>
      </c>
      <c r="B5932" s="0" t="s">
        <v>73</v>
      </c>
      <c r="C5932" s="38" t="n">
        <f aca="false">Q!$D$39</f>
        <v>2.427</v>
      </c>
      <c r="D5932" s="38" t="n">
        <f aca="false">Q!$E$39</f>
        <v>19.61</v>
      </c>
      <c r="E5932" s="38" t="n">
        <f aca="false">Q!$P$39</f>
        <v>71.492</v>
      </c>
      <c r="F5932" s="41" t="n">
        <v>0</v>
      </c>
      <c r="G5932" s="38" t="n">
        <f aca="false">Sens!$E$5932+Sens!$F$5932</f>
        <v>71.492</v>
      </c>
      <c r="H5932" s="41" t="n">
        <v>0</v>
      </c>
      <c r="I5932" s="41" t="n">
        <v>0</v>
      </c>
      <c r="J5932" s="41" t="n">
        <v>0</v>
      </c>
      <c r="K5932" s="41" t="n">
        <v>0</v>
      </c>
      <c r="L5932" s="41" t="n">
        <v>0</v>
      </c>
      <c r="M5932" s="41" t="n">
        <v>0</v>
      </c>
      <c r="N5932" s="38" t="n">
        <f aca="false">Q!$N$39</f>
        <v>6.017</v>
      </c>
      <c r="O5932" s="38" t="n">
        <f aca="false">Q!$O$39</f>
        <v>13.593</v>
      </c>
      <c r="P5932" s="5" t="s">
        <v>704</v>
      </c>
    </row>
    <row r="5933" customFormat="false" ht="15" hidden="false" customHeight="false" outlineLevel="0" collapsed="false">
      <c r="A5933" s="5" t="s">
        <v>507</v>
      </c>
      <c r="B5933" s="0" t="s">
        <v>73</v>
      </c>
      <c r="C5933" s="38" t="n">
        <f aca="false">Q!$D$36</f>
        <v>68.614</v>
      </c>
      <c r="D5933" s="38" t="n">
        <f aca="false">Q!$E$36</f>
        <v>97.311</v>
      </c>
      <c r="E5933" s="38" t="n">
        <f aca="false">Q!$P$36</f>
        <v>120.691</v>
      </c>
      <c r="F5933" s="38" t="n">
        <f aca="false">Sens!$F$5911-Sens!$F$5930+Sens!$F$5931+Sens!$F$5932</f>
        <v>59.2236875896856</v>
      </c>
      <c r="G5933" s="38" t="n">
        <f aca="false">Sens!$E$5933+Sens!$F$5933</f>
        <v>179.914687589686</v>
      </c>
      <c r="H5933" s="38" t="n">
        <f aca="false">Sens!$H$5911-Sens!$H$5930+Sens!$H$5931+Sens!$H$5932</f>
        <v>132.22487528741</v>
      </c>
      <c r="I5933" s="38" t="n">
        <f aca="false">Sens!$I$5911-Sens!$I$5930+Sens!$I$5931+Sens!$I$5932</f>
        <v>155.256254868633</v>
      </c>
      <c r="J5933" s="38" t="n">
        <f aca="false">Sens!$J$5911-Sens!$J$5930+Sens!$J$5931+Sens!$J$5932</f>
        <v>177.272457389275</v>
      </c>
      <c r="K5933" s="38" t="n">
        <f aca="false">Sens!$K$5911-Sens!$K$5930+Sens!$K$5931+Sens!$K$5932</f>
        <v>196.921534464333</v>
      </c>
      <c r="L5933" s="38" t="n">
        <f aca="false">Sens!$L$5911-Sens!$L$5930+Sens!$L$5931+Sens!$L$5932</f>
        <v>220.12100479332</v>
      </c>
      <c r="M5933" s="38" t="n">
        <f aca="false">Sens!$M$5911-Sens!$M$5930+Sens!$M$5931+Sens!$M$5932</f>
        <v>244.529307072564</v>
      </c>
      <c r="N5933" s="38" t="n">
        <f aca="false">Q!$N$36</f>
        <v>42.536</v>
      </c>
      <c r="O5933" s="38" t="n">
        <f aca="false">Q!$O$36</f>
        <v>54.775</v>
      </c>
    </row>
    <row r="5934" customFormat="false" ht="15" hidden="false" customHeight="false" outlineLevel="0" collapsed="false">
      <c r="A5934" s="5" t="s">
        <v>508</v>
      </c>
      <c r="B5934" s="0" t="s">
        <v>73</v>
      </c>
      <c r="C5934" s="38" t="n">
        <f aca="false">Q!$D$37</f>
        <v>9.265</v>
      </c>
      <c r="D5934" s="38" t="n">
        <f aca="false">Q!$E$37</f>
        <v>19.087</v>
      </c>
      <c r="E5934" s="38" t="n">
        <f aca="false">Q!$P$37</f>
        <v>27.759</v>
      </c>
      <c r="F5934" s="38" t="n">
        <f aca="false">Sens!$F$5933*tax</f>
        <v>10.2803157750071</v>
      </c>
      <c r="G5934" s="38" t="n">
        <f aca="false">Sens!$E$5934+Sens!$F$5934</f>
        <v>38.0393157750071</v>
      </c>
      <c r="H5934" s="38" t="n">
        <f aca="false">Sens!$H$5933*tax</f>
        <v>22.9521923842892</v>
      </c>
      <c r="I5934" s="38" t="n">
        <f aca="false">Sens!$I$5933*tax</f>
        <v>26.9500835063251</v>
      </c>
      <c r="J5934" s="38" t="n">
        <f aca="false">Sens!$J$5933*tax</f>
        <v>30.7717555988633</v>
      </c>
      <c r="K5934" s="38" t="n">
        <f aca="false">Sens!$K$5933*tax</f>
        <v>34.1825313414772</v>
      </c>
      <c r="L5934" s="38" t="n">
        <f aca="false">Sens!$L$5933*tax</f>
        <v>38.209600416393</v>
      </c>
      <c r="M5934" s="38" t="n">
        <f aca="false">Sens!$M$5933*tax</f>
        <v>42.4465040131586</v>
      </c>
      <c r="N5934" s="38" t="n">
        <f aca="false">Q!$N$37</f>
        <v>7.231</v>
      </c>
      <c r="O5934" s="38" t="n">
        <f aca="false">Q!$O$37</f>
        <v>11.856</v>
      </c>
    </row>
    <row r="5935" customFormat="false" ht="15" hidden="false" customHeight="false" outlineLevel="0" collapsed="false">
      <c r="A5935" s="3" t="s">
        <v>509</v>
      </c>
      <c r="B5935" s="8" t="s">
        <v>73</v>
      </c>
      <c r="C5935" s="38" t="n">
        <f aca="false">Q!$D$38</f>
        <v>59.248</v>
      </c>
      <c r="D5935" s="38" t="n">
        <f aca="false">Q!$E$38</f>
        <v>77.67</v>
      </c>
      <c r="E5935" s="38" t="n">
        <f aca="false">Q!$P$38</f>
        <v>92.902</v>
      </c>
      <c r="F5935" s="38" t="n">
        <f aca="false">Sens!$F$5933-Sens!$F$5934</f>
        <v>48.9433718146785</v>
      </c>
      <c r="G5935" s="38" t="n">
        <f aca="false">Sens!$E$5935+Sens!$F$5935</f>
        <v>141.845371814679</v>
      </c>
      <c r="H5935" s="38" t="n">
        <f aca="false">Sens!$H$5933-Sens!$H$5934</f>
        <v>109.272682903121</v>
      </c>
      <c r="I5935" s="38" t="n">
        <f aca="false">Sens!$I$5933-Sens!$I$5934</f>
        <v>128.306171362308</v>
      </c>
      <c r="J5935" s="38" t="n">
        <f aca="false">Sens!$J$5933-Sens!$J$5934</f>
        <v>146.500701790412</v>
      </c>
      <c r="K5935" s="38" t="n">
        <f aca="false">Sens!$K$5933-Sens!$K$5934</f>
        <v>162.739003122855</v>
      </c>
      <c r="L5935" s="38" t="n">
        <f aca="false">Sens!$L$5933-Sens!$L$5934</f>
        <v>181.911404376927</v>
      </c>
      <c r="M5935" s="38" t="n">
        <f aca="false">Sens!$M$5933-Sens!$M$5934</f>
        <v>202.082803059406</v>
      </c>
      <c r="N5935" s="38" t="n">
        <f aca="false">Q!$N$38</f>
        <v>35.291</v>
      </c>
      <c r="O5935" s="38" t="n">
        <f aca="false">Q!$O$38</f>
        <v>42.379</v>
      </c>
    </row>
    <row r="5936" customFormat="false" ht="17.15" hidden="false" customHeight="false" outlineLevel="0" collapsed="false">
      <c r="A5936" s="5" t="s">
        <v>512</v>
      </c>
      <c r="B5936" s="5" t="s">
        <v>33</v>
      </c>
      <c r="C5936" s="22" t="n">
        <f aca="false">Q!$D$41</f>
        <v>10.721</v>
      </c>
      <c r="D5936" s="22" t="n">
        <f aca="false">Q!$E$41</f>
        <v>10.827</v>
      </c>
      <c r="E5936" s="22" t="n">
        <f aca="false">(Q!$L$41+Q!$M$41)/2</f>
        <v>10.8885</v>
      </c>
      <c r="F5936" s="22" t="n">
        <f aca="false">Sens!$G$5936</f>
        <v>10.924806</v>
      </c>
      <c r="G5936" s="22" t="n">
        <f aca="false">Q!$M$41*(1+sh_g*0.25)</f>
        <v>10.924806</v>
      </c>
      <c r="H5936" s="22" t="n">
        <f aca="false">Sens!$G$5936*(1+sh_g)</f>
        <v>11.012204448</v>
      </c>
      <c r="I5936" s="22" t="n">
        <f aca="false">Sens!$H$5936*(1+sh_g)</f>
        <v>11.100302083584</v>
      </c>
      <c r="J5936" s="22" t="n">
        <f aca="false">Sens!$I$5936*(1+sh_g)</f>
        <v>11.1891045002527</v>
      </c>
      <c r="K5936" s="22" t="n">
        <f aca="false">Sens!$J$5936*(1+sh_g)</f>
        <v>11.2786173362547</v>
      </c>
      <c r="L5936" s="22" t="n">
        <f aca="false">Sens!$K$5936*(1+sh_g)</f>
        <v>11.3688462749447</v>
      </c>
      <c r="M5936" s="22" t="n">
        <f aca="false">Sens!$L$5936*(1+sh_g)</f>
        <v>11.4597970451443</v>
      </c>
      <c r="P5936" s="5" t="s">
        <v>705</v>
      </c>
    </row>
    <row r="5937" customFormat="false" ht="17.15" hidden="false" customHeight="false" outlineLevel="0" collapsed="false">
      <c r="A5937" s="42" t="s">
        <v>706</v>
      </c>
      <c r="B5937" s="13" t="s">
        <v>27</v>
      </c>
      <c r="C5937" s="43" t="n">
        <f aca="false">Sens!$C$5935/Sens!$C$5936</f>
        <v>5.52635015390355</v>
      </c>
      <c r="D5937" s="43" t="n">
        <f aca="false">Sens!$D$5935/Sens!$D$5936</f>
        <v>7.1737323358271</v>
      </c>
      <c r="E5937" s="43" t="n">
        <f aca="false">Sens!$E$5935/Sens!$E$5936</f>
        <v>8.53212104513937</v>
      </c>
      <c r="F5937" s="13"/>
      <c r="G5937" s="43" t="n">
        <f aca="false">Sens!$G$5935/Sens!$G$5936</f>
        <v>12.9837886196495</v>
      </c>
      <c r="H5937" s="43" t="n">
        <f aca="false">Sens!$H$5935/Sens!$H$5936</f>
        <v>9.92287088558062</v>
      </c>
      <c r="I5937" s="43" t="n">
        <f aca="false">Sens!$I$5935/Sens!$I$5936</f>
        <v>11.5587999674403</v>
      </c>
      <c r="J5937" s="43" t="n">
        <f aca="false">Sens!$J$5935/Sens!$J$5936</f>
        <v>13.0931569892035</v>
      </c>
      <c r="K5937" s="43" t="n">
        <f aca="false">Sens!$K$5935/Sens!$K$5936</f>
        <v>14.4289852444711</v>
      </c>
      <c r="L5937" s="43" t="n">
        <f aca="false">Sens!$L$5935/Sens!$L$5936</f>
        <v>16.0008676322621</v>
      </c>
      <c r="M5937" s="43" t="n">
        <f aca="false">Sens!$M$5935/Sens!$M$5936</f>
        <v>17.6340647450673</v>
      </c>
      <c r="N5937" s="13"/>
      <c r="O5937" s="13"/>
    </row>
    <row r="5938" customFormat="false" ht="17.15" hidden="false" customHeight="false" outlineLevel="0" collapsed="false">
      <c r="A5938" s="0" t="s">
        <v>707</v>
      </c>
      <c r="B5938" s="0" t="s">
        <v>27</v>
      </c>
      <c r="C5938" s="30" t="n">
        <f aca="false">(Sens!$C$5935-Sens!$C$5932*(1-tax))/Sens!$C$5936</f>
        <v>5.33926775917445</v>
      </c>
      <c r="D5938" s="30" t="n">
        <f aca="false">(Sens!$D$5935-Sens!$D$5932*(1-tax))/Sens!$D$5936</f>
        <v>5.67691812755503</v>
      </c>
      <c r="E5938" s="30" t="n">
        <f aca="false">(Sens!$E$5935-Sens!$E$5932*(1-tax))/Sens!$E$5936</f>
        <v>3.10602057006846</v>
      </c>
      <c r="G5938" s="30" t="n">
        <f aca="false">(Sens!$G$5935-Sens!$G$5932*(1-tax))/Sens!$G$5936</f>
        <v>7.57572050175252</v>
      </c>
      <c r="H5938" s="30" t="n">
        <f aca="false">(Sens!$H$5935-Sens!$H$5932*(1-tax))/Sens!$H$5936</f>
        <v>9.92287088558062</v>
      </c>
      <c r="I5938" s="30" t="n">
        <f aca="false">(Sens!$I$5935-Sens!$I$5932*(1-tax))/Sens!$I$5936</f>
        <v>11.5587999674403</v>
      </c>
      <c r="J5938" s="30" t="n">
        <f aca="false">(Sens!$J$5935-Sens!$J$5932*(1-tax))/Sens!$J$5936</f>
        <v>13.0931569892035</v>
      </c>
      <c r="K5938" s="30" t="n">
        <f aca="false">(Sens!$K$5935-Sens!$K$5932*(1-tax))/Sens!$K$5936</f>
        <v>14.4289852444711</v>
      </c>
      <c r="L5938" s="30" t="n">
        <f aca="false">(Sens!$L$5935-Sens!$L$5932*(1-tax))/Sens!$L$5936</f>
        <v>16.0008676322621</v>
      </c>
      <c r="M5938" s="30" t="n">
        <f aca="false">(Sens!$M$5935-Sens!$M$5932*(1-tax))/Sens!$M$5936</f>
        <v>17.6340647450673</v>
      </c>
      <c r="P5938" s="5" t="s">
        <v>708</v>
      </c>
    </row>
    <row r="5939" customFormat="false" ht="17.15" hidden="false" customHeight="false" outlineLevel="0" collapsed="false">
      <c r="A5939" s="0" t="s">
        <v>709</v>
      </c>
      <c r="B5939" s="0" t="s">
        <v>52</v>
      </c>
      <c r="H5939" s="12" t="n">
        <f aca="false">Sens!$H$5937/Sens!$G$5937-1</f>
        <v>-0.23574919645846</v>
      </c>
      <c r="I5939" s="12" t="n">
        <f aca="false">Sens!$I$5937/Sens!$H$5937-1</f>
        <v>0.164864493423664</v>
      </c>
      <c r="J5939" s="12" t="n">
        <f aca="false">Sens!$J$5937/Sens!$I$5937-1</f>
        <v>0.132743626162345</v>
      </c>
      <c r="K5939" s="12" t="n">
        <f aca="false">Sens!$K$5937/Sens!$J$5937-1</f>
        <v>0.102024917013454</v>
      </c>
      <c r="L5939" s="12" t="n">
        <f aca="false">Sens!$L$5937/Sens!$K$5937-1</f>
        <v>0.108939219297719</v>
      </c>
      <c r="M5939" s="12" t="n">
        <f aca="false">Sens!$M$5937/Sens!$L$5937-1</f>
        <v>0.102069284637555</v>
      </c>
    </row>
    <row r="5942" customFormat="false" ht="19.4" hidden="false" customHeight="false" outlineLevel="0" collapsed="false">
      <c r="A5942" s="31" t="s">
        <v>1173</v>
      </c>
    </row>
    <row r="5943" customFormat="false" ht="17.15" hidden="false" customHeight="false" outlineLevel="0" collapsed="false">
      <c r="A5943" s="6" t="s">
        <v>16</v>
      </c>
      <c r="B5943" s="6" t="s">
        <v>17</v>
      </c>
      <c r="C5943" s="20" t="s">
        <v>457</v>
      </c>
      <c r="D5943" s="20" t="s">
        <v>458</v>
      </c>
      <c r="E5943" s="20" t="s">
        <v>540</v>
      </c>
      <c r="F5943" s="20" t="s">
        <v>541</v>
      </c>
      <c r="G5943" s="20" t="s">
        <v>542</v>
      </c>
      <c r="H5943" s="20" t="s">
        <v>543</v>
      </c>
      <c r="I5943" s="20" t="s">
        <v>544</v>
      </c>
      <c r="J5943" s="20" t="s">
        <v>545</v>
      </c>
      <c r="K5943" s="20" t="s">
        <v>546</v>
      </c>
      <c r="L5943" s="20" t="s">
        <v>547</v>
      </c>
      <c r="M5943" s="20" t="s">
        <v>548</v>
      </c>
      <c r="N5943" s="20" t="s">
        <v>549</v>
      </c>
      <c r="O5943" s="20" t="s">
        <v>550</v>
      </c>
      <c r="P5943" s="6" t="s">
        <v>23</v>
      </c>
      <c r="R5943" s="20" t="n">
        <v>2023</v>
      </c>
      <c r="S5943" s="20" t="n">
        <v>2024</v>
      </c>
      <c r="T5943" s="20" t="n">
        <v>2025</v>
      </c>
      <c r="U5943" s="20" t="n">
        <v>2026</v>
      </c>
      <c r="V5943" s="20" t="n">
        <v>2027</v>
      </c>
      <c r="W5943" s="20" t="n">
        <v>2028</v>
      </c>
      <c r="X5943" s="20" t="n">
        <v>2029</v>
      </c>
      <c r="Y5943" s="20" t="n">
        <v>2030</v>
      </c>
      <c r="Z5943" s="20" t="n">
        <v>2031</v>
      </c>
      <c r="AA5943" s="20" t="n">
        <v>2032</v>
      </c>
    </row>
    <row r="5944" customFormat="false" ht="15" hidden="false" customHeight="false" outlineLevel="0" collapsed="false">
      <c r="A5944" s="5" t="s">
        <v>509</v>
      </c>
      <c r="B5944" s="0" t="s">
        <v>73</v>
      </c>
      <c r="C5944" s="38" t="n">
        <f aca="false">Sens!$C$5935</f>
        <v>59.248</v>
      </c>
      <c r="D5944" s="38" t="n">
        <f aca="false">Sens!$D$5935</f>
        <v>77.67</v>
      </c>
      <c r="E5944" s="38" t="n">
        <f aca="false">Sens!$E$5935</f>
        <v>92.902</v>
      </c>
      <c r="F5944" s="38" t="n">
        <f aca="false">Sens!$F$5935</f>
        <v>48.9433718146785</v>
      </c>
      <c r="G5944" s="38" t="n">
        <f aca="false">Sens!$G$5935</f>
        <v>141.845371814679</v>
      </c>
      <c r="H5944" s="38" t="n">
        <f aca="false">Sens!$H$5935</f>
        <v>109.272682903121</v>
      </c>
      <c r="I5944" s="38" t="n">
        <f aca="false">Sens!$I$5935</f>
        <v>128.306171362308</v>
      </c>
      <c r="J5944" s="38" t="n">
        <f aca="false">Sens!$J$5935</f>
        <v>146.500701790412</v>
      </c>
      <c r="K5944" s="38" t="n">
        <f aca="false">Sens!$K$5935</f>
        <v>162.739003122855</v>
      </c>
      <c r="L5944" s="38" t="n">
        <f aca="false">Sens!$L$5935</f>
        <v>181.911404376927</v>
      </c>
      <c r="M5944" s="38" t="n">
        <f aca="false">Sens!$M$5935</f>
        <v>202.082803059406</v>
      </c>
    </row>
    <row r="5945" customFormat="false" ht="17.15" hidden="false" customHeight="false" outlineLevel="0" collapsed="false">
      <c r="A5945" s="5" t="s">
        <v>731</v>
      </c>
      <c r="B5945" s="0" t="s">
        <v>73</v>
      </c>
      <c r="C5945" s="38" t="n">
        <f aca="false">Sens!$C$5923</f>
        <v>32.067</v>
      </c>
      <c r="D5945" s="38" t="n">
        <f aca="false">Sens!$D$5923</f>
        <v>41.86</v>
      </c>
      <c r="E5945" s="38" t="n">
        <f aca="false">Sens!$E$5923</f>
        <v>26.703</v>
      </c>
      <c r="F5945" s="38" t="n">
        <f aca="false">Sens!$F$5923</f>
        <v>30.6103857251209</v>
      </c>
      <c r="G5945" s="38" t="n">
        <f aca="false">Sens!$G$5923</f>
        <v>57.3133857251209</v>
      </c>
      <c r="H5945" s="38" t="n">
        <f aca="false">Sens!$H$5923</f>
        <v>87.6845218193838</v>
      </c>
      <c r="I5945" s="38" t="n">
        <f aca="false">Sens!$I$5923</f>
        <v>122.294769708638</v>
      </c>
      <c r="J5945" s="38" t="n">
        <f aca="false">Sens!$J$5923</f>
        <v>157.133962573221</v>
      </c>
      <c r="K5945" s="38" t="n">
        <f aca="false">Sens!$K$5923</f>
        <v>191.350633353599</v>
      </c>
      <c r="L5945" s="38" t="n">
        <f aca="false">Sens!$L$5923</f>
        <v>223.909238335354</v>
      </c>
      <c r="M5945" s="38" t="n">
        <f aca="false">Sens!$M$5923</f>
        <v>257.576319867276</v>
      </c>
    </row>
    <row r="5946" customFormat="false" ht="15" hidden="false" customHeight="false" outlineLevel="0" collapsed="false">
      <c r="A5946" s="5" t="s">
        <v>732</v>
      </c>
      <c r="B5946" s="0" t="s">
        <v>73</v>
      </c>
      <c r="C5946" s="38" t="n">
        <f aca="false">Q!$D$48</f>
        <v>22.011</v>
      </c>
      <c r="D5946" s="38" t="n">
        <f aca="false">Q!$E$48</f>
        <v>19.467</v>
      </c>
      <c r="E5946" s="38" t="n">
        <f aca="false">Q!$P$48</f>
        <v>10.07</v>
      </c>
      <c r="F5946" s="38" t="n">
        <f aca="false">sbc_r*Sens!$F$5867</f>
        <v>11.2170714500462</v>
      </c>
      <c r="G5946" s="38" t="n">
        <f aca="false">Sens!$E$5946+Sens!$F$5946</f>
        <v>21.2870714500462</v>
      </c>
      <c r="H5946" s="38" t="n">
        <f aca="false">sbc_r*Sens!$H$5867</f>
        <v>24.1772394325528</v>
      </c>
      <c r="I5946" s="38" t="n">
        <f aca="false">sbc_r*Sens!$I$5867</f>
        <v>27.6495284422397</v>
      </c>
      <c r="J5946" s="38" t="n">
        <f aca="false">sbc_r*Sens!$J$5867</f>
        <v>30.9042211184633</v>
      </c>
      <c r="K5946" s="38" t="n">
        <f aca="false">sbc_r*Sens!$K$5867</f>
        <v>33.8004145402678</v>
      </c>
      <c r="L5946" s="38" t="n">
        <f aca="false">sbc_r*Sens!$L$5867</f>
        <v>36.8322537652494</v>
      </c>
      <c r="M5946" s="38" t="n">
        <f aca="false">sbc_r*Sens!$M$5867</f>
        <v>40.0097627968013</v>
      </c>
    </row>
    <row r="5947" customFormat="false" ht="17.15" hidden="false" customHeight="false" outlineLevel="0" collapsed="false">
      <c r="A5947" s="5" t="s">
        <v>733</v>
      </c>
      <c r="B5947" s="0" t="s">
        <v>73</v>
      </c>
      <c r="C5947" s="38" t="n">
        <f aca="false">Q!$D$44-Sens!$C$5944-Sens!$C$5945-Sens!$C$5946</f>
        <v>2.551</v>
      </c>
      <c r="D5947" s="38" t="n">
        <f aca="false">Q!$E$44-Sens!$D$5944-Sens!$D$5945-Sens!$D$5946</f>
        <v>0.51700000000001</v>
      </c>
      <c r="E5947" s="38" t="n">
        <f aca="false">Q!$P$44-Sens!$E$5944-Sens!$E$5945-Sens!$E$5946</f>
        <v>-58.256</v>
      </c>
      <c r="F5947" s="38" t="n">
        <f aca="false">wc_2h26+oth_r*Sens!$F$5867</f>
        <v>7.34599241893378</v>
      </c>
      <c r="G5947" s="38" t="n">
        <f aca="false">Sens!$E$5947+Sens!$F$5947</f>
        <v>-50.9100075810662</v>
      </c>
      <c r="H5947" s="38" t="n">
        <f aca="false">oth_r*Sens!$H$5867</f>
        <v>11.6369707537667</v>
      </c>
      <c r="I5947" s="38" t="n">
        <f aca="false">oth_r*Sens!$I$5867</f>
        <v>13.3082502961262</v>
      </c>
      <c r="J5947" s="38" t="n">
        <f aca="false">oth_r*Sens!$J$5867</f>
        <v>14.8747965344332</v>
      </c>
      <c r="K5947" s="38" t="n">
        <f aca="false">oth_r*Sens!$K$5867</f>
        <v>16.2687901804328</v>
      </c>
      <c r="L5947" s="38" t="n">
        <f aca="false">oth_r*Sens!$L$5867</f>
        <v>17.7280727627002</v>
      </c>
      <c r="M5947" s="38" t="n">
        <f aca="false">oth_r*Sens!$M$5867</f>
        <v>19.2574690270319</v>
      </c>
      <c r="P5947" s="8" t="s">
        <v>734</v>
      </c>
    </row>
    <row r="5948" customFormat="false" ht="15" hidden="false" customHeight="false" outlineLevel="0" collapsed="false">
      <c r="A5948" s="3" t="s">
        <v>515</v>
      </c>
      <c r="B5948" s="8" t="s">
        <v>73</v>
      </c>
      <c r="C5948" s="38" t="n">
        <f aca="false">Q!$D$44</f>
        <v>115.877</v>
      </c>
      <c r="D5948" s="38" t="n">
        <f aca="false">Q!$E$44</f>
        <v>139.514</v>
      </c>
      <c r="E5948" s="38" t="n">
        <f aca="false">Q!$P$44</f>
        <v>71.419</v>
      </c>
      <c r="F5948" s="38" t="n">
        <f aca="false">Sens!$F$5944+Sens!$F$5945+Sens!$F$5946+Sens!$F$5947</f>
        <v>98.1168214087795</v>
      </c>
      <c r="G5948" s="38" t="n">
        <f aca="false">Sens!$E$5948+Sens!$F$5948</f>
        <v>169.535821408779</v>
      </c>
      <c r="H5948" s="38" t="n">
        <f aca="false">Sens!$H$5944+Sens!$H$5945+Sens!$H$5946+Sens!$H$5947</f>
        <v>232.771414908824</v>
      </c>
      <c r="I5948" s="38" t="n">
        <f aca="false">Sens!$I$5944+Sens!$I$5945+Sens!$I$5946+Sens!$I$5947</f>
        <v>291.558719809312</v>
      </c>
      <c r="J5948" s="38" t="n">
        <f aca="false">Sens!$J$5944+Sens!$J$5945+Sens!$J$5946+Sens!$J$5947</f>
        <v>349.413682016529</v>
      </c>
      <c r="K5948" s="38" t="n">
        <f aca="false">Sens!$K$5944+Sens!$K$5945+Sens!$K$5946+Sens!$K$5947</f>
        <v>404.158841197156</v>
      </c>
      <c r="L5948" s="38" t="n">
        <f aca="false">Sens!$L$5944+Sens!$L$5945+Sens!$L$5946+Sens!$L$5947</f>
        <v>460.380969240231</v>
      </c>
      <c r="M5948" s="38" t="n">
        <f aca="false">Sens!$M$5944+Sens!$M$5945+Sens!$M$5946+Sens!$M$5947</f>
        <v>518.926354750515</v>
      </c>
    </row>
    <row r="5949" customFormat="false" ht="17.15" hidden="false" customHeight="false" outlineLevel="0" collapsed="false">
      <c r="A5949" s="5" t="s">
        <v>735</v>
      </c>
      <c r="B5949" s="0" t="s">
        <v>73</v>
      </c>
      <c r="C5949" s="38" t="n">
        <f aca="false">Sens!$C$5836</f>
        <v>25.2781053077374</v>
      </c>
      <c r="D5949" s="38" t="n">
        <f aca="false">Sens!$D$5836</f>
        <v>69.5686316310026</v>
      </c>
      <c r="E5949" s="38" t="n">
        <f aca="false">Sens!$E$5836</f>
        <v>64.1899206485108</v>
      </c>
      <c r="F5949" s="38" t="n">
        <f aca="false">Sens!$F$5836</f>
        <v>96.2481299895</v>
      </c>
      <c r="G5949" s="38" t="n">
        <f aca="false">Sens!$G$5836</f>
        <v>160.438050638011</v>
      </c>
      <c r="H5949" s="38" t="n">
        <f aca="false">Sens!$H$5836</f>
        <v>198.57136494475</v>
      </c>
      <c r="I5949" s="38" t="n">
        <f aca="false">Sens!$I$5836</f>
        <v>204.6464699105</v>
      </c>
      <c r="J5949" s="38" t="n">
        <f aca="false">Sens!$J$5836</f>
        <v>209.8832381105</v>
      </c>
      <c r="K5949" s="38" t="n">
        <f aca="false">Sens!$K$5836</f>
        <v>215.1200063105</v>
      </c>
      <c r="L5949" s="38" t="n">
        <f aca="false">Sens!$L$5836</f>
        <v>251.7773837105</v>
      </c>
      <c r="M5949" s="38" t="n">
        <f aca="false">Sens!$M$5836</f>
        <v>311.87584476575</v>
      </c>
    </row>
    <row r="5950" customFormat="false" ht="17.15" hidden="false" customHeight="false" outlineLevel="0" collapsed="false">
      <c r="A5950" s="5" t="s">
        <v>736</v>
      </c>
      <c r="B5950" s="0" t="s">
        <v>73</v>
      </c>
      <c r="C5950" s="38" t="n">
        <f aca="false">cx_awso*Sens!$C$5865</f>
        <v>21.0469989286053</v>
      </c>
      <c r="D5950" s="38" t="n">
        <f aca="false">cx_awso*Sens!$D$5865</f>
        <v>24.0042459822698</v>
      </c>
      <c r="E5950" s="38" t="n">
        <f aca="false">cx_awso*Sens!$E$5865</f>
        <v>14.261729404886</v>
      </c>
      <c r="F5950" s="38" t="n">
        <f aca="false">cx_awso*Sens!$F$5865</f>
        <v>15.7190020837331</v>
      </c>
      <c r="G5950" s="38" t="n">
        <f aca="false">Sens!$E$5950+Sens!$F$5950</f>
        <v>29.9807314886191</v>
      </c>
      <c r="H5950" s="38" t="n">
        <f aca="false">cx_awso*Sens!$H$5865</f>
        <v>36.1787121536283</v>
      </c>
      <c r="I5950" s="38" t="n">
        <f aca="false">cx_awso*Sens!$I$5865</f>
        <v>42.1296794430021</v>
      </c>
      <c r="J5950" s="38" t="n">
        <f aca="false">cx_awso*Sens!$J$5865</f>
        <v>47.279781889299</v>
      </c>
      <c r="K5950" s="38" t="n">
        <f aca="false">cx_awso*Sens!$K$5865</f>
        <v>51.0621644404429</v>
      </c>
      <c r="L5950" s="38" t="n">
        <f aca="false">cx_awso*Sens!$L$5865</f>
        <v>55.1471375956783</v>
      </c>
      <c r="M5950" s="38" t="n">
        <f aca="false">cx_awso*Sens!$M$5865</f>
        <v>59.5589086033326</v>
      </c>
    </row>
    <row r="5951" customFormat="false" ht="17.15" hidden="false" customHeight="false" outlineLevel="0" collapsed="false">
      <c r="A5951" s="5" t="s">
        <v>737</v>
      </c>
      <c r="B5951" s="0" t="s">
        <v>73</v>
      </c>
      <c r="C5951" s="38" t="n">
        <f aca="false">Q!$D$46-Sens!$C$5949-Sens!$C$5950</f>
        <v>31.3328957636573</v>
      </c>
      <c r="D5951" s="38" t="n">
        <f aca="false">Q!$E$46-Sens!$D$5949-Sens!$D$5950</f>
        <v>34.7471223867276</v>
      </c>
      <c r="E5951" s="38" t="n">
        <f aca="false">Q!$P$46-Sens!$E$5949-Sens!$E$5950</f>
        <v>17.8583499466032</v>
      </c>
      <c r="F5951" s="38" t="n">
        <f aca="false">cx_rt*Sens!$F$5800</f>
        <v>21.0855744229195</v>
      </c>
      <c r="G5951" s="38" t="n">
        <f aca="false">Sens!$E$5951+Sens!$F$5951</f>
        <v>38.9439243695228</v>
      </c>
      <c r="H5951" s="38" t="n">
        <f aca="false">cx_rt*Sens!$H$5800</f>
        <v>43.1200434029767</v>
      </c>
      <c r="I5951" s="38" t="n">
        <f aca="false">cx_rt*Sens!$I$5800</f>
        <v>47.1583152318763</v>
      </c>
      <c r="J5951" s="38" t="n">
        <f aca="false">cx_rt*Sens!$J$5800</f>
        <v>50.9060281137911</v>
      </c>
      <c r="K5951" s="38" t="n">
        <f aca="false">cx_rt*Sens!$K$5800</f>
        <v>54.2035645673053</v>
      </c>
      <c r="L5951" s="38" t="n">
        <f aca="false">cx_rt*Sens!$L$5800</f>
        <v>57.7318979121519</v>
      </c>
      <c r="M5951" s="38" t="n">
        <f aca="false">cx_rt*Sens!$M$5800</f>
        <v>61.5084196557756</v>
      </c>
    </row>
    <row r="5952" customFormat="false" ht="15" hidden="false" customHeight="false" outlineLevel="0" collapsed="false">
      <c r="A5952" s="3" t="s">
        <v>738</v>
      </c>
      <c r="B5952" s="8" t="s">
        <v>73</v>
      </c>
      <c r="C5952" s="38" t="n">
        <f aca="false">Q!$D$46</f>
        <v>77.658</v>
      </c>
      <c r="D5952" s="38" t="n">
        <f aca="false">Q!$E$46</f>
        <v>128.32</v>
      </c>
      <c r="E5952" s="38" t="n">
        <f aca="false">Q!$P$46</f>
        <v>96.31</v>
      </c>
      <c r="F5952" s="38" t="n">
        <f aca="false">Sens!$F$5949+Sens!$F$5950+Sens!$F$5951</f>
        <v>133.052706496153</v>
      </c>
      <c r="G5952" s="38" t="n">
        <f aca="false">Sens!$E$5952+Sens!$F$5952</f>
        <v>229.362706496153</v>
      </c>
      <c r="H5952" s="38" t="n">
        <f aca="false">Sens!$H$5949+Sens!$H$5950+Sens!$H$5951</f>
        <v>277.870120501355</v>
      </c>
      <c r="I5952" s="38" t="n">
        <f aca="false">Sens!$I$5949+Sens!$I$5950+Sens!$I$5951</f>
        <v>293.934464585378</v>
      </c>
      <c r="J5952" s="38" t="n">
        <f aca="false">Sens!$J$5949+Sens!$J$5950+Sens!$J$5951</f>
        <v>308.06904811359</v>
      </c>
      <c r="K5952" s="38" t="n">
        <f aca="false">Sens!$K$5949+Sens!$K$5950+Sens!$K$5951</f>
        <v>320.385735318248</v>
      </c>
      <c r="L5952" s="38" t="n">
        <f aca="false">Sens!$L$5949+Sens!$L$5950+Sens!$L$5951</f>
        <v>364.65641921833</v>
      </c>
      <c r="M5952" s="38" t="n">
        <f aca="false">Sens!$M$5949+Sens!$M$5950+Sens!$M$5951</f>
        <v>432.943173024858</v>
      </c>
    </row>
    <row r="5953" customFormat="false" ht="17.15" hidden="false" customHeight="false" outlineLevel="0" collapsed="false">
      <c r="A5953" s="5" t="s">
        <v>523</v>
      </c>
      <c r="B5953" s="0" t="s">
        <v>73</v>
      </c>
      <c r="C5953" s="38" t="n">
        <f aca="false">Q!$D$50</f>
        <v>2.043</v>
      </c>
      <c r="D5953" s="38" t="n">
        <f aca="false">Q!$E$50</f>
        <v>1.557</v>
      </c>
      <c r="E5953" s="38" t="n">
        <f aca="false">lease_pr/2</f>
        <v>0.8</v>
      </c>
      <c r="F5953" s="38" t="n">
        <f aca="false">lease_pr/2</f>
        <v>0.8</v>
      </c>
      <c r="G5953" s="38" t="n">
        <f aca="false">Sens!$E$5953+Sens!$F$5953</f>
        <v>1.6</v>
      </c>
      <c r="H5953" s="38" t="n">
        <f aca="false">lease_pr</f>
        <v>1.6</v>
      </c>
      <c r="I5953" s="38" t="n">
        <f aca="false">lease_pr</f>
        <v>1.6</v>
      </c>
      <c r="J5953" s="38" t="n">
        <f aca="false">lease_pr</f>
        <v>1.6</v>
      </c>
      <c r="K5953" s="38" t="n">
        <f aca="false">lease_pr</f>
        <v>1.6</v>
      </c>
      <c r="L5953" s="38" t="n">
        <f aca="false">lease_pr</f>
        <v>1.6</v>
      </c>
      <c r="M5953" s="38" t="n">
        <f aca="false">lease_pr</f>
        <v>1.6</v>
      </c>
      <c r="P5953" s="8" t="s">
        <v>739</v>
      </c>
    </row>
    <row r="5954" customFormat="false" ht="15" hidden="false" customHeight="false" outlineLevel="0" collapsed="false">
      <c r="A5954" s="46" t="s">
        <v>740</v>
      </c>
      <c r="B5954" s="13" t="s">
        <v>73</v>
      </c>
      <c r="C5954" s="47" t="n">
        <f aca="false">Sens!$C$5948-Sens!$C$5952-Sens!$C$5953</f>
        <v>36.176</v>
      </c>
      <c r="D5954" s="47" t="n">
        <f aca="false">Sens!$D$5948-Sens!$D$5952-Sens!$D$5953</f>
        <v>9.63700000000002</v>
      </c>
      <c r="E5954" s="47" t="n">
        <f aca="false">Sens!$E$5948-Sens!$E$5952-Sens!$E$5953</f>
        <v>-25.691</v>
      </c>
      <c r="F5954" s="47" t="n">
        <f aca="false">Sens!$F$5948-Sens!$F$5952-Sens!$F$5953</f>
        <v>-35.7358850873731</v>
      </c>
      <c r="G5954" s="47" t="n">
        <f aca="false">Sens!$G$5948-Sens!$G$5952-Sens!$G$5953</f>
        <v>-61.4268850873731</v>
      </c>
      <c r="H5954" s="47" t="n">
        <f aca="false">Sens!$H$5948-Sens!$H$5952-Sens!$H$5953</f>
        <v>-46.6987055925312</v>
      </c>
      <c r="I5954" s="47" t="n">
        <f aca="false">Sens!$I$5948-Sens!$I$5952-Sens!$I$5953</f>
        <v>-3.97574477606648</v>
      </c>
      <c r="J5954" s="47" t="n">
        <f aca="false">Sens!$J$5948-Sens!$J$5952-Sens!$J$5953</f>
        <v>39.7446339029391</v>
      </c>
      <c r="K5954" s="47" t="n">
        <f aca="false">Sens!$K$5948-Sens!$K$5952-Sens!$K$5953</f>
        <v>82.1731058789073</v>
      </c>
      <c r="L5954" s="47" t="n">
        <f aca="false">Sens!$L$5948-Sens!$L$5952-Sens!$L$5953</f>
        <v>94.1245500219009</v>
      </c>
      <c r="M5954" s="47" t="n">
        <f aca="false">Sens!$M$5948-Sens!$M$5952-Sens!$M$5953</f>
        <v>84.3831817256571</v>
      </c>
      <c r="N5954" s="13"/>
      <c r="O5954" s="13"/>
    </row>
    <row r="5955" customFormat="false" ht="17.15" hidden="false" customHeight="false" outlineLevel="0" collapsed="false">
      <c r="A5955" s="5" t="s">
        <v>741</v>
      </c>
      <c r="B5955" s="0" t="s">
        <v>73</v>
      </c>
      <c r="C5955" s="38" t="n">
        <f aca="false">dps*Sens!$C$5936</f>
        <v>0</v>
      </c>
      <c r="D5955" s="38" t="n">
        <f aca="false">dps*Sens!$D$5936</f>
        <v>0</v>
      </c>
      <c r="E5955" s="38" t="n">
        <f aca="false">dps*Sens!$E$5936</f>
        <v>0</v>
      </c>
      <c r="F5955" s="38" t="n">
        <f aca="false">0</f>
        <v>0</v>
      </c>
      <c r="G5955" s="38" t="n">
        <f aca="false">dps*Sens!$G$5936</f>
        <v>0</v>
      </c>
      <c r="H5955" s="38" t="n">
        <f aca="false">dps*Sens!$H$5936</f>
        <v>0</v>
      </c>
      <c r="I5955" s="38" t="n">
        <f aca="false">dps*Sens!$I$5936</f>
        <v>0</v>
      </c>
      <c r="J5955" s="38" t="n">
        <f aca="false">dps*Sens!$J$5936</f>
        <v>0</v>
      </c>
      <c r="K5955" s="38" t="n">
        <f aca="false">dps*Sens!$K$5936</f>
        <v>0</v>
      </c>
      <c r="L5955" s="38" t="n">
        <f aca="false">dps*Sens!$L$5936</f>
        <v>0</v>
      </c>
      <c r="M5955" s="38" t="n">
        <f aca="false">dps*Sens!$M$5936</f>
        <v>0</v>
      </c>
      <c r="P5955" s="8" t="s">
        <v>742</v>
      </c>
    </row>
    <row r="5956" customFormat="false" ht="17.15" hidden="false" customHeight="false" outlineLevel="0" collapsed="false">
      <c r="A5956" s="5" t="s">
        <v>743</v>
      </c>
      <c r="B5956" s="0" t="s">
        <v>73</v>
      </c>
      <c r="C5956" s="38" t="n">
        <f aca="false">0</f>
        <v>0</v>
      </c>
      <c r="D5956" s="38" t="n">
        <f aca="false">0</f>
        <v>0</v>
      </c>
      <c r="E5956" s="38" t="n">
        <f aca="false">0</f>
        <v>0</v>
      </c>
      <c r="F5956" s="38" t="n">
        <f aca="false">0</f>
        <v>0</v>
      </c>
      <c r="G5956" s="38" t="n">
        <f aca="false">0</f>
        <v>0</v>
      </c>
      <c r="H5956" s="38" t="n">
        <f aca="false">0</f>
        <v>0</v>
      </c>
      <c r="I5956" s="38" t="n">
        <f aca="false">0</f>
        <v>0</v>
      </c>
      <c r="J5956" s="38" t="n">
        <f aca="false">0</f>
        <v>0</v>
      </c>
      <c r="K5956" s="38" t="n">
        <f aca="false">0</f>
        <v>0</v>
      </c>
      <c r="L5956" s="38" t="n">
        <f aca="false">0</f>
        <v>0</v>
      </c>
      <c r="M5956" s="38" t="n">
        <f aca="false">0</f>
        <v>0</v>
      </c>
      <c r="P5956" s="8" t="s">
        <v>744</v>
      </c>
    </row>
    <row r="5957" customFormat="false" ht="15" hidden="false" customHeight="false" outlineLevel="0" collapsed="false">
      <c r="A5957" s="3" t="s">
        <v>745</v>
      </c>
      <c r="B5957" s="8" t="s">
        <v>73</v>
      </c>
      <c r="C5957" s="38" t="n">
        <f aca="false">Sens!$C$5954-Sens!$C$5955</f>
        <v>36.176</v>
      </c>
      <c r="D5957" s="38" t="n">
        <f aca="false">Sens!$D$5954-Sens!$D$5955</f>
        <v>9.63700000000002</v>
      </c>
      <c r="E5957" s="38" t="n">
        <f aca="false">Sens!$E$5954-Sens!$E$5955</f>
        <v>-25.691</v>
      </c>
      <c r="F5957" s="38" t="n">
        <f aca="false">Sens!$F$5954-Sens!$F$5955</f>
        <v>-35.7358850873731</v>
      </c>
      <c r="G5957" s="38" t="n">
        <f aca="false">Sens!$G$5954-Sens!$G$5955</f>
        <v>-61.4268850873731</v>
      </c>
      <c r="H5957" s="38" t="n">
        <f aca="false">Sens!$H$5954-Sens!$H$5955</f>
        <v>-46.6987055925312</v>
      </c>
      <c r="I5957" s="38" t="n">
        <f aca="false">Sens!$I$5954-Sens!$I$5955</f>
        <v>-3.97574477606648</v>
      </c>
      <c r="J5957" s="38" t="n">
        <f aca="false">Sens!$J$5954-Sens!$J$5955</f>
        <v>39.7446339029391</v>
      </c>
      <c r="K5957" s="38" t="n">
        <f aca="false">Sens!$K$5954-Sens!$K$5955</f>
        <v>82.1731058789073</v>
      </c>
      <c r="L5957" s="38" t="n">
        <f aca="false">Sens!$L$5954-Sens!$L$5955</f>
        <v>94.1245500219009</v>
      </c>
      <c r="M5957" s="38" t="n">
        <f aca="false">Sens!$M$5954-Sens!$M$5955</f>
        <v>84.3831817256571</v>
      </c>
    </row>
    <row r="5958" customFormat="false" ht="17.15" hidden="false" customHeight="false" outlineLevel="0" collapsed="false">
      <c r="A5958" s="5" t="s">
        <v>746</v>
      </c>
      <c r="B5958" s="0" t="s">
        <v>73</v>
      </c>
      <c r="E5958" s="38" t="n">
        <f aca="false">Q!$P$53</f>
        <v>39.767</v>
      </c>
      <c r="F5958" s="38" t="n">
        <f aca="false">inv_2h26</f>
        <v>21.3</v>
      </c>
      <c r="G5958" s="38" t="n">
        <f aca="false">Sens!$E$5958+Sens!$F$5958</f>
        <v>61.067</v>
      </c>
      <c r="H5958" s="41" t="n">
        <v>0</v>
      </c>
      <c r="I5958" s="41" t="n">
        <v>0</v>
      </c>
      <c r="J5958" s="41" t="n">
        <v>0</v>
      </c>
      <c r="K5958" s="41" t="n">
        <v>0</v>
      </c>
      <c r="L5958" s="41" t="n">
        <v>0</v>
      </c>
      <c r="M5958" s="41" t="n">
        <v>0</v>
      </c>
    </row>
    <row r="5959" customFormat="false" ht="17.15" hidden="false" customHeight="false" outlineLevel="0" collapsed="false">
      <c r="A5959" s="5" t="s">
        <v>747</v>
      </c>
      <c r="B5959" s="0" t="s">
        <v>73</v>
      </c>
      <c r="F5959" s="38" t="n">
        <f aca="false">iss_2h26</f>
        <v>29.25</v>
      </c>
      <c r="G5959" s="38" t="n">
        <f aca="false">Sens!$F$5959</f>
        <v>29.25</v>
      </c>
      <c r="H5959" s="41" t="n">
        <v>0</v>
      </c>
      <c r="I5959" s="41" t="n">
        <v>0</v>
      </c>
      <c r="J5959" s="41" t="n">
        <v>0</v>
      </c>
      <c r="K5959" s="41" t="n">
        <v>0</v>
      </c>
      <c r="L5959" s="41" t="n">
        <v>0</v>
      </c>
      <c r="M5959" s="41" t="n">
        <v>0</v>
      </c>
    </row>
    <row r="5960" customFormat="false" ht="17.15" hidden="false" customHeight="false" outlineLevel="0" collapsed="false">
      <c r="A5960" s="5" t="s">
        <v>748</v>
      </c>
      <c r="B5960" s="0" t="s">
        <v>73</v>
      </c>
      <c r="F5960" s="38" t="n">
        <f aca="false">cash_q2</f>
        <v>122.988</v>
      </c>
      <c r="G5960" s="38" t="n">
        <f aca="false">cash_q2</f>
        <v>122.988</v>
      </c>
      <c r="H5960" s="38" t="n">
        <f aca="false">Sens!$G$5963</f>
        <v>95.2021149126269</v>
      </c>
      <c r="I5960" s="38" t="n">
        <f aca="false">Sens!$H$5963</f>
        <v>50</v>
      </c>
      <c r="J5960" s="38" t="n">
        <f aca="false">Sens!$I$5963</f>
        <v>50</v>
      </c>
      <c r="K5960" s="38" t="n">
        <f aca="false">Sens!$J$5963</f>
        <v>89.7446339029391</v>
      </c>
      <c r="L5960" s="38" t="n">
        <f aca="false">Sens!$K$5963</f>
        <v>171.917739781846</v>
      </c>
      <c r="M5960" s="38" t="n">
        <f aca="false">Sens!$L$5963</f>
        <v>266.042289803747</v>
      </c>
    </row>
    <row r="5961" customFormat="false" ht="15" hidden="false" customHeight="false" outlineLevel="0" collapsed="false">
      <c r="A5961" s="5" t="s">
        <v>749</v>
      </c>
      <c r="B5961" s="0" t="s">
        <v>73</v>
      </c>
      <c r="F5961" s="38" t="n">
        <f aca="false">Sens!$F$5960+Sens!$F$5957-Sens!$F$5956-Sens!$F$5958+Sens!$F$5959</f>
        <v>95.2021149126269</v>
      </c>
      <c r="H5961" s="38" t="n">
        <f aca="false">Sens!$H$5960+Sens!$H$5957-Sens!$H$5956-Sens!$H$5958+Sens!$H$5959</f>
        <v>48.5034093200957</v>
      </c>
      <c r="I5961" s="38" t="n">
        <f aca="false">Sens!$I$5960+Sens!$I$5957-Sens!$I$5956-Sens!$I$5958+Sens!$I$5959</f>
        <v>46.0242552239335</v>
      </c>
      <c r="J5961" s="38" t="n">
        <f aca="false">Sens!$J$5960+Sens!$J$5957-Sens!$J$5956-Sens!$J$5958+Sens!$J$5959</f>
        <v>89.7446339029391</v>
      </c>
      <c r="K5961" s="38" t="n">
        <f aca="false">Sens!$K$5960+Sens!$K$5957-Sens!$K$5956-Sens!$K$5958+Sens!$K$5959</f>
        <v>171.917739781846</v>
      </c>
      <c r="L5961" s="38" t="n">
        <f aca="false">Sens!$L$5960+Sens!$L$5957-Sens!$L$5956-Sens!$L$5958+Sens!$L$5959</f>
        <v>266.042289803747</v>
      </c>
      <c r="M5961" s="38" t="n">
        <f aca="false">Sens!$M$5960+Sens!$M$5957-Sens!$M$5956-Sens!$M$5958+Sens!$M$5959</f>
        <v>350.425471529404</v>
      </c>
    </row>
    <row r="5962" customFormat="false" ht="17.15" hidden="false" customHeight="false" outlineLevel="0" collapsed="false">
      <c r="A5962" s="5" t="s">
        <v>750</v>
      </c>
      <c r="B5962" s="0" t="s">
        <v>73</v>
      </c>
      <c r="F5962" s="38" t="n">
        <f aca="false">MAX(0,min_cash-Sens!$F$5961)</f>
        <v>0</v>
      </c>
      <c r="G5962" s="38" t="n">
        <f aca="false">Sens!$F$5962</f>
        <v>0</v>
      </c>
      <c r="H5962" s="38" t="n">
        <f aca="false">MAX(0,min_cash-Sens!$H$5961)</f>
        <v>1.49659067990431</v>
      </c>
      <c r="I5962" s="38" t="n">
        <f aca="false">MAX(0,min_cash-Sens!$I$5961)</f>
        <v>3.97574477606648</v>
      </c>
      <c r="J5962" s="38" t="n">
        <f aca="false">MAX(0,min_cash-Sens!$J$5961)</f>
        <v>0</v>
      </c>
      <c r="K5962" s="38" t="n">
        <f aca="false">MAX(0,min_cash-Sens!$K$5961)</f>
        <v>0</v>
      </c>
      <c r="L5962" s="38" t="n">
        <f aca="false">MAX(0,min_cash-Sens!$L$5961)</f>
        <v>0</v>
      </c>
      <c r="M5962" s="38" t="n">
        <f aca="false">MAX(0,min_cash-Sens!$M$5961)</f>
        <v>0</v>
      </c>
      <c r="P5962" s="5" t="s">
        <v>751</v>
      </c>
    </row>
    <row r="5963" customFormat="false" ht="15" hidden="false" customHeight="false" outlineLevel="0" collapsed="false">
      <c r="A5963" s="5" t="s">
        <v>752</v>
      </c>
      <c r="B5963" s="0" t="s">
        <v>73</v>
      </c>
      <c r="D5963" s="38" t="n">
        <f aca="false">Q!$E$61</f>
        <v>123.029</v>
      </c>
      <c r="E5963" s="38" t="n">
        <f aca="false">Q!$M$61</f>
        <v>122.988</v>
      </c>
      <c r="F5963" s="38" t="n">
        <f aca="false">Sens!$F$5961+Sens!$F$5962</f>
        <v>95.2021149126269</v>
      </c>
      <c r="G5963" s="38" t="n">
        <f aca="false">Sens!$F$5963</f>
        <v>95.2021149126269</v>
      </c>
      <c r="H5963" s="38" t="n">
        <f aca="false">Sens!$H$5961+Sens!$H$5962</f>
        <v>50</v>
      </c>
      <c r="I5963" s="38" t="n">
        <f aca="false">Sens!$I$5961+Sens!$I$5962</f>
        <v>50</v>
      </c>
      <c r="J5963" s="38" t="n">
        <f aca="false">Sens!$J$5961+Sens!$J$5962</f>
        <v>89.7446339029391</v>
      </c>
      <c r="K5963" s="38" t="n">
        <f aca="false">Sens!$K$5961+Sens!$K$5962</f>
        <v>171.917739781846</v>
      </c>
      <c r="L5963" s="38" t="n">
        <f aca="false">Sens!$L$5961+Sens!$L$5962</f>
        <v>266.042289803747</v>
      </c>
      <c r="M5963" s="38" t="n">
        <f aca="false">Sens!$M$5961+Sens!$M$5962</f>
        <v>350.425471529404</v>
      </c>
    </row>
    <row r="5964" customFormat="false" ht="15" hidden="false" customHeight="false" outlineLevel="0" collapsed="false">
      <c r="A5964" s="5" t="s">
        <v>753</v>
      </c>
      <c r="B5964" s="0" t="s">
        <v>73</v>
      </c>
      <c r="D5964" s="38" t="n">
        <f aca="false">Q!$E$62</f>
        <v>68.836</v>
      </c>
      <c r="E5964" s="38" t="n">
        <f aca="false">Q!$M$62</f>
        <v>132.995</v>
      </c>
      <c r="F5964" s="38" t="n">
        <f aca="false">debt_q2+Sens!$F$5959+Sens!$F$5962</f>
        <v>162.245</v>
      </c>
      <c r="G5964" s="38" t="n">
        <f aca="false">Sens!$F$5964</f>
        <v>162.245</v>
      </c>
      <c r="H5964" s="38" t="n">
        <f aca="false">Sens!$G$5964+Sens!$H$5962</f>
        <v>163.741590679904</v>
      </c>
      <c r="I5964" s="38" t="n">
        <f aca="false">Sens!$H$5964+Sens!$I$5962</f>
        <v>167.717335455971</v>
      </c>
      <c r="J5964" s="38" t="n">
        <f aca="false">Sens!$I$5964+Sens!$J$5962</f>
        <v>167.717335455971</v>
      </c>
      <c r="K5964" s="38" t="n">
        <f aca="false">Sens!$J$5964+Sens!$K$5962</f>
        <v>167.717335455971</v>
      </c>
      <c r="L5964" s="38" t="n">
        <f aca="false">Sens!$K$5964+Sens!$L$5962</f>
        <v>167.717335455971</v>
      </c>
      <c r="M5964" s="38" t="n">
        <f aca="false">Sens!$L$5964+Sens!$M$5962</f>
        <v>167.717335455971</v>
      </c>
    </row>
    <row r="5965" customFormat="false" ht="15" hidden="false" customHeight="false" outlineLevel="0" collapsed="false">
      <c r="A5965" s="5" t="s">
        <v>754</v>
      </c>
      <c r="B5965" s="0" t="s">
        <v>73</v>
      </c>
      <c r="D5965" s="38" t="n">
        <f aca="false">Sens!$D$5964-Sens!$D$5963</f>
        <v>-54.193</v>
      </c>
      <c r="E5965" s="38" t="n">
        <f aca="false">Sens!$E$5964-Sens!$E$5963</f>
        <v>10.007</v>
      </c>
      <c r="F5965" s="38" t="n">
        <f aca="false">Sens!$F$5964-Sens!$F$5963</f>
        <v>67.0428850873731</v>
      </c>
      <c r="G5965" s="38" t="n">
        <f aca="false">Sens!$G$5964-Sens!$G$5963</f>
        <v>67.0428850873731</v>
      </c>
      <c r="H5965" s="38" t="n">
        <f aca="false">Sens!$H$5964-Sens!$H$5963</f>
        <v>113.741590679904</v>
      </c>
      <c r="I5965" s="38" t="n">
        <f aca="false">Sens!$I$5964-Sens!$I$5963</f>
        <v>117.717335455971</v>
      </c>
      <c r="J5965" s="38" t="n">
        <f aca="false">Sens!$J$5964-Sens!$J$5963</f>
        <v>77.9727015530317</v>
      </c>
      <c r="K5965" s="38" t="n">
        <f aca="false">Sens!$K$5964-Sens!$K$5963</f>
        <v>-4.20040432587558</v>
      </c>
      <c r="L5965" s="38" t="n">
        <f aca="false">Sens!$L$5964-Sens!$L$5963</f>
        <v>-98.3249543477765</v>
      </c>
      <c r="M5965" s="38" t="n">
        <f aca="false">Sens!$M$5964-Sens!$M$5963</f>
        <v>-182.708136073434</v>
      </c>
    </row>
    <row r="5966" customFormat="false" ht="17.15" hidden="false" customHeight="false" outlineLevel="0" collapsed="false">
      <c r="A5966" s="5" t="s">
        <v>755</v>
      </c>
      <c r="B5966" s="0" t="s">
        <v>73</v>
      </c>
      <c r="F5966" s="38" t="n">
        <f aca="false">debt_q2*kd_book*0.5+iss_2h26*kd_new*0.25</f>
        <v>3.24888964316061</v>
      </c>
      <c r="H5966" s="38" t="n">
        <f aca="false">debt_q2*kd_book+(Sens!$G$5964-debt_q2)*kd_new</f>
        <v>7.42354178632123</v>
      </c>
      <c r="I5966" s="38" t="n">
        <f aca="false">debt_q2*kd_book+(Sens!$H$5964-debt_q2)*kd_new</f>
        <v>7.51827597635917</v>
      </c>
      <c r="J5966" s="38" t="n">
        <f aca="false">debt_q2*kd_book+(Sens!$I$5964-debt_q2)*kd_new</f>
        <v>7.76994062068418</v>
      </c>
      <c r="K5966" s="38" t="n">
        <f aca="false">debt_q2*kd_book+(Sens!$J$5964-debt_q2)*kd_new</f>
        <v>7.76994062068418</v>
      </c>
      <c r="L5966" s="38" t="n">
        <f aca="false">debt_q2*kd_book+(Sens!$K$5964-debt_q2)*kd_new</f>
        <v>7.76994062068418</v>
      </c>
      <c r="M5966" s="38" t="n">
        <f aca="false">debt_q2*kd_book+(Sens!$L$5964-debt_q2)*kd_new</f>
        <v>7.76994062068418</v>
      </c>
    </row>
    <row r="5967" customFormat="false" ht="17.15" hidden="false" customHeight="false" outlineLevel="0" collapsed="false">
      <c r="A5967" s="5" t="s">
        <v>756</v>
      </c>
      <c r="B5967" s="0" t="s">
        <v>73</v>
      </c>
      <c r="F5967" s="38" t="n">
        <f aca="false">cash_q2*y_cash*0.5</f>
        <v>2.59</v>
      </c>
      <c r="H5967" s="38" t="n">
        <f aca="false">Sens!$G$5963*y_cash</f>
        <v>4.00971603121774</v>
      </c>
      <c r="I5967" s="38" t="n">
        <f aca="false">Sens!$H$5963*y_cash</f>
        <v>2.10589651022864</v>
      </c>
      <c r="J5967" s="38" t="n">
        <f aca="false">Sens!$I$5963*y_cash</f>
        <v>2.10589651022864</v>
      </c>
      <c r="K5967" s="38" t="n">
        <f aca="false">Sens!$J$5963*y_cash</f>
        <v>3.77985822695893</v>
      </c>
      <c r="L5967" s="38" t="n">
        <f aca="false">Sens!$K$5963*y_cash</f>
        <v>7.24081936505971</v>
      </c>
      <c r="M5967" s="38" t="n">
        <f aca="false">Sens!$L$5963*y_cash</f>
        <v>11.205150593419</v>
      </c>
    </row>
    <row r="5968" customFormat="false" ht="17.15" hidden="false" customHeight="false" outlineLevel="0" collapsed="false">
      <c r="A5968" s="46" t="s">
        <v>757</v>
      </c>
      <c r="B5968" s="13" t="s">
        <v>73</v>
      </c>
      <c r="C5968" s="13"/>
      <c r="D5968" s="13"/>
      <c r="E5968" s="13"/>
      <c r="F5968" s="13"/>
      <c r="G5968" s="47" t="n">
        <f aca="false">SUM(Sens!$G$5957:$K$5957)</f>
        <v>9.81640432587554</v>
      </c>
      <c r="H5968" s="13"/>
      <c r="I5968" s="13"/>
      <c r="J5968" s="13"/>
      <c r="K5968" s="13"/>
      <c r="L5968" s="13"/>
      <c r="M5968" s="13"/>
      <c r="N5968" s="13"/>
      <c r="O5968" s="13"/>
    </row>
    <row r="5969" customFormat="false" ht="17.15" hidden="false" customHeight="false" outlineLevel="0" collapsed="false">
      <c r="A5969" s="0" t="s">
        <v>724</v>
      </c>
      <c r="B5969" s="0" t="s">
        <v>73</v>
      </c>
      <c r="G5969" s="38" t="n">
        <f aca="false">SUM(Sens!$G$5962:$K$5962)</f>
        <v>5.47233545597079</v>
      </c>
    </row>
    <row r="5972" customFormat="false" ht="19.4" hidden="false" customHeight="false" outlineLevel="0" collapsed="false">
      <c r="A5972" s="31" t="s">
        <v>1174</v>
      </c>
    </row>
    <row r="5973" customFormat="false" ht="17.15" hidden="false" customHeight="false" outlineLevel="0" collapsed="false">
      <c r="A5973" s="6" t="s">
        <v>16</v>
      </c>
      <c r="B5973" s="6" t="s">
        <v>17</v>
      </c>
      <c r="C5973" s="20" t="s">
        <v>457</v>
      </c>
      <c r="D5973" s="20" t="s">
        <v>458</v>
      </c>
      <c r="E5973" s="20" t="s">
        <v>540</v>
      </c>
      <c r="F5973" s="20" t="s">
        <v>541</v>
      </c>
      <c r="G5973" s="20" t="s">
        <v>542</v>
      </c>
      <c r="H5973" s="20" t="s">
        <v>543</v>
      </c>
      <c r="I5973" s="20" t="s">
        <v>544</v>
      </c>
      <c r="J5973" s="20" t="s">
        <v>545</v>
      </c>
      <c r="K5973" s="20" t="s">
        <v>546</v>
      </c>
      <c r="L5973" s="20" t="s">
        <v>547</v>
      </c>
      <c r="M5973" s="20" t="s">
        <v>548</v>
      </c>
      <c r="N5973" s="20" t="s">
        <v>549</v>
      </c>
      <c r="O5973" s="20" t="s">
        <v>550</v>
      </c>
      <c r="P5973" s="6" t="s">
        <v>23</v>
      </c>
      <c r="R5973" s="20" t="n">
        <v>2023</v>
      </c>
      <c r="S5973" s="20" t="n">
        <v>2024</v>
      </c>
      <c r="T5973" s="20" t="n">
        <v>2025</v>
      </c>
      <c r="U5973" s="20" t="n">
        <v>2026</v>
      </c>
      <c r="V5973" s="20" t="n">
        <v>2027</v>
      </c>
      <c r="W5973" s="20" t="n">
        <v>2028</v>
      </c>
      <c r="X5973" s="20" t="n">
        <v>2029</v>
      </c>
      <c r="Y5973" s="20" t="n">
        <v>2030</v>
      </c>
      <c r="Z5973" s="20" t="n">
        <v>2031</v>
      </c>
      <c r="AA5973" s="20" t="n">
        <v>2032</v>
      </c>
    </row>
    <row r="5974" customFormat="false" ht="17.15" hidden="false" customHeight="false" outlineLevel="0" collapsed="false">
      <c r="A5974" s="1" t="s">
        <v>852</v>
      </c>
    </row>
    <row r="5975" customFormat="false" ht="17.15" hidden="false" customHeight="false" outlineLevel="0" collapsed="false">
      <c r="A5975" s="0" t="s">
        <v>853</v>
      </c>
      <c r="B5975" s="0" t="s">
        <v>73</v>
      </c>
      <c r="H5975" s="38" t="n">
        <f aca="false">Sens!$H$5911*(1-tax)</f>
        <v>112.093921330558</v>
      </c>
      <c r="I5975" s="38" t="n">
        <f aca="false">Sens!$I$5911*(1-tax)</f>
        <v>132.779045500917</v>
      </c>
      <c r="J5975" s="38" t="n">
        <f aca="false">Sens!$J$5911*(1-tax)</f>
        <v>151.181555485193</v>
      </c>
      <c r="K5975" s="38" t="n">
        <f aca="false">Sens!$K$5911*(1-tax)</f>
        <v>166.036468953087</v>
      </c>
      <c r="L5975" s="38" t="n">
        <f aca="false">Sens!$L$5911*(1-tax)</f>
        <v>182.348678369869</v>
      </c>
      <c r="M5975" s="38" t="n">
        <f aca="false">Sens!$M$5911*(1-tax)</f>
        <v>199.243892383632</v>
      </c>
    </row>
    <row r="5976" customFormat="false" ht="15" hidden="false" customHeight="false" outlineLevel="0" collapsed="false">
      <c r="A5976" s="5" t="s">
        <v>854</v>
      </c>
      <c r="B5976" s="0" t="s">
        <v>73</v>
      </c>
      <c r="H5976" s="38" t="n">
        <f aca="false">Sens!$H$5923</f>
        <v>87.6845218193838</v>
      </c>
      <c r="I5976" s="38" t="n">
        <f aca="false">Sens!$I$5923</f>
        <v>122.294769708638</v>
      </c>
      <c r="J5976" s="38" t="n">
        <f aca="false">Sens!$J$5923</f>
        <v>157.133962573221</v>
      </c>
      <c r="K5976" s="38" t="n">
        <f aca="false">Sens!$K$5923</f>
        <v>191.350633353599</v>
      </c>
      <c r="L5976" s="38" t="n">
        <f aca="false">Sens!$L$5923</f>
        <v>223.909238335354</v>
      </c>
      <c r="M5976" s="38" t="n">
        <f aca="false">Sens!$M$5923</f>
        <v>257.576319867276</v>
      </c>
    </row>
    <row r="5977" customFormat="false" ht="15" hidden="false" customHeight="false" outlineLevel="0" collapsed="false">
      <c r="A5977" s="5" t="s">
        <v>855</v>
      </c>
      <c r="B5977" s="0" t="s">
        <v>73</v>
      </c>
      <c r="H5977" s="38" t="n">
        <f aca="false">Sens!$H$5952</f>
        <v>277.870120501355</v>
      </c>
      <c r="I5977" s="38" t="n">
        <f aca="false">Sens!$I$5952</f>
        <v>293.934464585378</v>
      </c>
      <c r="J5977" s="38" t="n">
        <f aca="false">Sens!$J$5952</f>
        <v>308.06904811359</v>
      </c>
      <c r="K5977" s="38" t="n">
        <f aca="false">Sens!$K$5952</f>
        <v>320.385735318248</v>
      </c>
      <c r="L5977" s="38" t="n">
        <f aca="false">Sens!$L$5952</f>
        <v>364.65641921833</v>
      </c>
      <c r="M5977" s="38" t="n">
        <f aca="false">Sens!$M$5952</f>
        <v>432.943173024858</v>
      </c>
    </row>
    <row r="5978" customFormat="false" ht="15" hidden="false" customHeight="false" outlineLevel="0" collapsed="false">
      <c r="A5978" s="5" t="s">
        <v>856</v>
      </c>
      <c r="B5978" s="0" t="s">
        <v>73</v>
      </c>
      <c r="H5978" s="38" t="n">
        <f aca="false">Sens!$H$5953</f>
        <v>1.6</v>
      </c>
      <c r="I5978" s="38" t="n">
        <f aca="false">Sens!$I$5953</f>
        <v>1.6</v>
      </c>
      <c r="J5978" s="38" t="n">
        <f aca="false">Sens!$J$5953</f>
        <v>1.6</v>
      </c>
      <c r="K5978" s="38" t="n">
        <f aca="false">Sens!$K$5953</f>
        <v>1.6</v>
      </c>
      <c r="L5978" s="38" t="n">
        <f aca="false">Sens!$L$5953</f>
        <v>1.6</v>
      </c>
      <c r="M5978" s="38" t="n">
        <f aca="false">Sens!$M$5953</f>
        <v>1.6</v>
      </c>
    </row>
    <row r="5979" customFormat="false" ht="15" hidden="false" customHeight="false" outlineLevel="0" collapsed="false">
      <c r="A5979" s="5" t="s">
        <v>857</v>
      </c>
      <c r="B5979" s="0" t="s">
        <v>73</v>
      </c>
      <c r="H5979" s="38" t="n">
        <f aca="false">Sens!$H$5947</f>
        <v>11.6369707537667</v>
      </c>
      <c r="I5979" s="38" t="n">
        <f aca="false">Sens!$I$5947</f>
        <v>13.3082502961262</v>
      </c>
      <c r="J5979" s="38" t="n">
        <f aca="false">Sens!$J$5947</f>
        <v>14.8747965344332</v>
      </c>
      <c r="K5979" s="38" t="n">
        <f aca="false">Sens!$K$5947</f>
        <v>16.2687901804328</v>
      </c>
      <c r="L5979" s="38" t="n">
        <f aca="false">Sens!$L$5947</f>
        <v>17.7280727627002</v>
      </c>
      <c r="M5979" s="38" t="n">
        <f aca="false">Sens!$M$5947</f>
        <v>19.2574690270319</v>
      </c>
    </row>
    <row r="5980" customFormat="false" ht="17.15" hidden="false" customHeight="false" outlineLevel="0" collapsed="false">
      <c r="A5980" s="1" t="s">
        <v>858</v>
      </c>
      <c r="B5980" s="8" t="s">
        <v>73</v>
      </c>
      <c r="H5980" s="38" t="n">
        <f aca="false">Sens!$H$5975+Sens!$H$5976-Sens!$H$5977-Sens!$H$5978+Sens!$H$5979</f>
        <v>-68.0547065976468</v>
      </c>
      <c r="I5980" s="38" t="n">
        <f aca="false">Sens!$I$5975+Sens!$I$5976-Sens!$I$5977-Sens!$I$5978+Sens!$I$5979</f>
        <v>-27.1523990796972</v>
      </c>
      <c r="J5980" s="38" t="n">
        <f aca="false">Sens!$J$5975+Sens!$J$5976-Sens!$J$5977-Sens!$J$5978+Sens!$J$5979</f>
        <v>13.5212664792573</v>
      </c>
      <c r="K5980" s="38" t="n">
        <f aca="false">Sens!$K$5975+Sens!$K$5976-Sens!$K$5977-Sens!$K$5978+Sens!$K$5979</f>
        <v>51.6701571688709</v>
      </c>
      <c r="L5980" s="38" t="n">
        <f aca="false">Sens!$L$5975+Sens!$L$5976-Sens!$L$5977-Sens!$L$5978+Sens!$L$5979</f>
        <v>57.7295702495933</v>
      </c>
      <c r="M5980" s="38" t="n">
        <f aca="false">Sens!$M$5975+Sens!$M$5976-Sens!$M$5977-Sens!$M$5978+Sens!$M$5979</f>
        <v>41.534508253082</v>
      </c>
    </row>
    <row r="5981" customFormat="false" ht="15" hidden="false" customHeight="false" outlineLevel="0" collapsed="false">
      <c r="A5981" s="5" t="s">
        <v>859</v>
      </c>
      <c r="B5981" s="0" t="s">
        <v>57</v>
      </c>
      <c r="H5981" s="51" t="n">
        <f aca="false">1/(1+wacc)^(2027-2026-0.5)</f>
        <v>0.942858177653364</v>
      </c>
      <c r="I5981" s="51" t="n">
        <f aca="false">1/(1+wacc)^(2028-2026-0.5)</f>
        <v>0.838183517758688</v>
      </c>
      <c r="J5981" s="51" t="n">
        <f aca="false">1/(1+wacc)^(2029-2026-0.5)</f>
        <v>0.745129677074952</v>
      </c>
      <c r="K5981" s="51" t="n">
        <f aca="false">1/(1+wacc)^(2030-2026-0.5)</f>
        <v>0.662406530186232</v>
      </c>
      <c r="L5981" s="51" t="n">
        <f aca="false">1/(1+wacc)^(2031-2026-0.5)</f>
        <v>0.588867179409399</v>
      </c>
      <c r="M5981" s="51" t="n">
        <f aca="false">1/(1+wacc)^(2032-2026-0.5)</f>
        <v>0.52349205387225</v>
      </c>
    </row>
    <row r="5982" customFormat="false" ht="15" hidden="false" customHeight="false" outlineLevel="0" collapsed="false">
      <c r="A5982" s="5" t="s">
        <v>860</v>
      </c>
      <c r="B5982" s="0" t="s">
        <v>73</v>
      </c>
      <c r="H5982" s="38" t="n">
        <f aca="false">Sens!$H$5980*Sens!$H$5981</f>
        <v>-64.1659366433916</v>
      </c>
      <c r="I5982" s="38" t="n">
        <f aca="false">Sens!$I$5980*Sens!$I$5981</f>
        <v>-22.7586933762084</v>
      </c>
      <c r="J5982" s="38" t="n">
        <f aca="false">Sens!$J$5980*Sens!$J$5981</f>
        <v>10.0750969253334</v>
      </c>
      <c r="K5982" s="38" t="n">
        <f aca="false">Sens!$K$5980*Sens!$K$5981</f>
        <v>34.226649524409</v>
      </c>
      <c r="L5982" s="38" t="n">
        <f aca="false">Sens!$L$5980*Sens!$L$5981</f>
        <v>33.9950492013948</v>
      </c>
      <c r="M5982" s="38" t="n">
        <f aca="false">Sens!$M$5980*Sens!$M$5981</f>
        <v>21.7429850319798</v>
      </c>
    </row>
    <row r="5983" customFormat="false" ht="15" hidden="false" customHeight="false" outlineLevel="0" collapsed="false">
      <c r="A5983" s="5" t="s">
        <v>861</v>
      </c>
      <c r="B5983" s="0" t="s">
        <v>73</v>
      </c>
      <c r="C5983" s="38" t="n">
        <f aca="false">SUM(Sens!$H$5982:$M$5982)</f>
        <v>13.115150663517</v>
      </c>
    </row>
    <row r="5984" customFormat="false" ht="17.15" hidden="false" customHeight="false" outlineLevel="0" collapsed="false">
      <c r="A5984" s="5" t="s">
        <v>862</v>
      </c>
      <c r="B5984" s="0" t="s">
        <v>73</v>
      </c>
      <c r="C5984" s="38" t="n">
        <f aca="false">Sens!$M$5975*(1+tg)*(1-tg/ronic)/(wacc-tg)</f>
        <v>1643.3111431308</v>
      </c>
    </row>
    <row r="5985" customFormat="false" ht="15" hidden="false" customHeight="false" outlineLevel="0" collapsed="false">
      <c r="A5985" s="5" t="s">
        <v>863</v>
      </c>
      <c r="B5985" s="0" t="s">
        <v>73</v>
      </c>
      <c r="C5985" s="38" t="n">
        <f aca="false">Sens!$C$5984/(1+wacc)^6</f>
        <v>811.103482778908</v>
      </c>
    </row>
    <row r="5986" customFormat="false" ht="17.15" hidden="false" customHeight="false" outlineLevel="0" collapsed="false">
      <c r="A5986" s="5" t="s">
        <v>864</v>
      </c>
      <c r="B5986" s="0" t="s">
        <v>73</v>
      </c>
      <c r="C5986" s="38" t="n">
        <f aca="false">Sens!$C$5983+Sens!$C$5985</f>
        <v>824.218633442425</v>
      </c>
    </row>
    <row r="5987" customFormat="false" ht="17.15" hidden="false" customHeight="false" outlineLevel="0" collapsed="false">
      <c r="A5987" s="5" t="s">
        <v>865</v>
      </c>
      <c r="B5987" s="0" t="s">
        <v>52</v>
      </c>
      <c r="C5987" s="12" t="n">
        <f aca="false">Sens!$C$5985/Sens!$C$5986</f>
        <v>0.984087777039521</v>
      </c>
    </row>
    <row r="5988" customFormat="false" ht="17.15" hidden="false" customHeight="false" outlineLevel="0" collapsed="false">
      <c r="A5988" s="5" t="s">
        <v>866</v>
      </c>
      <c r="B5988" s="0" t="s">
        <v>73</v>
      </c>
      <c r="C5988" s="38" t="n">
        <f aca="false">Sens!$G$5965</f>
        <v>67.0428850873731</v>
      </c>
    </row>
    <row r="5989" customFormat="false" ht="17.15" hidden="false" customHeight="false" outlineLevel="0" collapsed="false">
      <c r="A5989" s="5" t="s">
        <v>867</v>
      </c>
      <c r="B5989" s="0" t="s">
        <v>73</v>
      </c>
      <c r="C5989" s="38" t="n">
        <f aca="false">(ant_val*ant_sh+oai_val*oai_sh)*(1-liq_disc)</f>
        <v>178.944</v>
      </c>
    </row>
    <row r="5990" customFormat="false" ht="15" hidden="false" customHeight="false" outlineLevel="0" collapsed="false">
      <c r="A5990" s="5" t="s">
        <v>868</v>
      </c>
      <c r="B5990" s="0" t="s">
        <v>73</v>
      </c>
      <c r="C5990" s="38" t="n">
        <f aca="false">Sens!$C$5986-Sens!$C$5988+Sens!$C$5989</f>
        <v>936.119748355051</v>
      </c>
    </row>
    <row r="5991" customFormat="false" ht="17.15" hidden="false" customHeight="false" outlineLevel="0" collapsed="false">
      <c r="A5991" s="5" t="s">
        <v>869</v>
      </c>
      <c r="B5991" s="0" t="s">
        <v>27</v>
      </c>
      <c r="C5991" s="30" t="n">
        <f aca="false">Sens!$C$5990/sh_val</f>
        <v>84.8679147624493</v>
      </c>
    </row>
    <row r="5992" customFormat="false" ht="17.15" hidden="false" customHeight="false" outlineLevel="0" collapsed="false">
      <c r="A5992" s="1" t="s">
        <v>870</v>
      </c>
      <c r="B5992" s="8" t="s">
        <v>27</v>
      </c>
      <c r="C5992" s="30" t="n">
        <f aca="false">Sens!$C$5991*(1+ke)^tp_yf</f>
        <v>93.7319373662158</v>
      </c>
    </row>
    <row r="5993" customFormat="false" ht="17.15" hidden="false" customHeight="false" outlineLevel="0" collapsed="false">
      <c r="A5993" s="3" t="s">
        <v>871</v>
      </c>
    </row>
    <row r="5994" customFormat="false" ht="17.15" hidden="false" customHeight="false" outlineLevel="0" collapsed="false">
      <c r="A5994" s="5" t="s">
        <v>872</v>
      </c>
      <c r="B5994" s="0" t="s">
        <v>73</v>
      </c>
      <c r="C5994" s="38" t="n">
        <f aca="false">0.25*Sens!$H$5924+0.75*Sens!$I$5924</f>
        <v>57.5541093268329</v>
      </c>
    </row>
    <row r="5995" customFormat="false" ht="15" hidden="false" customHeight="false" outlineLevel="0" collapsed="false">
      <c r="A5995" s="5" t="s">
        <v>873</v>
      </c>
      <c r="B5995" s="0" t="s">
        <v>57</v>
      </c>
      <c r="C5995" s="30" t="n">
        <f aca="false">m_ads*m_x_hi</f>
        <v>10.932</v>
      </c>
    </row>
    <row r="5996" customFormat="false" ht="17.15" hidden="false" customHeight="false" outlineLevel="0" collapsed="false">
      <c r="A5996" s="5" t="s">
        <v>874</v>
      </c>
      <c r="B5996" s="0" t="s">
        <v>73</v>
      </c>
      <c r="C5996" s="38" t="n">
        <f aca="false">Sens!$C$5994*Sens!$C$5995</f>
        <v>629.181523160937</v>
      </c>
    </row>
    <row r="5997" customFormat="false" ht="17.15" hidden="false" customHeight="false" outlineLevel="0" collapsed="false">
      <c r="A5997" s="5" t="s">
        <v>875</v>
      </c>
      <c r="B5997" s="0" t="s">
        <v>73</v>
      </c>
      <c r="C5997" s="38" t="n">
        <f aca="false">0.25*Sens!$H$5925+0.75*Sens!$I$5925</f>
        <v>30.6290803533085</v>
      </c>
    </row>
    <row r="5998" customFormat="false" ht="15" hidden="false" customHeight="false" outlineLevel="0" collapsed="false">
      <c r="A5998" s="5" t="s">
        <v>876</v>
      </c>
      <c r="B5998" s="0" t="s">
        <v>57</v>
      </c>
      <c r="C5998" s="30" t="n">
        <f aca="false">m_retail*m_x_hi</f>
        <v>21.264</v>
      </c>
    </row>
    <row r="5999" customFormat="false" ht="17.15" hidden="false" customHeight="false" outlineLevel="0" collapsed="false">
      <c r="A5999" s="5" t="s">
        <v>877</v>
      </c>
      <c r="B5999" s="0" t="s">
        <v>73</v>
      </c>
      <c r="C5999" s="38" t="n">
        <f aca="false">Sens!$C$5997*Sens!$C$5998</f>
        <v>651.296764632753</v>
      </c>
    </row>
    <row r="6000" customFormat="false" ht="17.15" hidden="false" customHeight="false" outlineLevel="0" collapsed="false">
      <c r="A6000" s="0" t="s">
        <v>878</v>
      </c>
      <c r="B6000" s="0" t="s">
        <v>73</v>
      </c>
      <c r="C6000" s="38" t="n">
        <f aca="false">0.25*Sens!$H$5926+0.75*Sens!$I$5926</f>
        <v>107.575398943098</v>
      </c>
    </row>
    <row r="6001" customFormat="false" ht="17.15" hidden="false" customHeight="false" outlineLevel="0" collapsed="false">
      <c r="A6001" s="0" t="s">
        <v>879</v>
      </c>
      <c r="B6001" s="0" t="s">
        <v>57</v>
      </c>
      <c r="C6001" s="30" t="n">
        <f aca="false">m_cloud*m_x_hi</f>
        <v>16.584</v>
      </c>
    </row>
    <row r="6002" customFormat="false" ht="17.15" hidden="false" customHeight="false" outlineLevel="0" collapsed="false">
      <c r="A6002" s="0" t="s">
        <v>880</v>
      </c>
      <c r="B6002" s="0" t="s">
        <v>73</v>
      </c>
      <c r="C6002" s="38" t="n">
        <f aca="false">Sens!$C$6000*Sens!$C$6001</f>
        <v>1784.03041607233</v>
      </c>
    </row>
    <row r="6003" customFormat="false" ht="17.15" hidden="false" customHeight="false" outlineLevel="0" collapsed="false">
      <c r="A6003" s="0" t="s">
        <v>881</v>
      </c>
      <c r="B6003" s="0" t="s">
        <v>73</v>
      </c>
      <c r="C6003" s="38" t="n">
        <f aca="false">0.25*Sens!$H$5927+0.75*Sens!$I$5927</f>
        <v>72.2947701247864</v>
      </c>
    </row>
    <row r="6004" customFormat="false" ht="17.15" hidden="false" customHeight="false" outlineLevel="0" collapsed="false">
      <c r="A6004" s="0" t="s">
        <v>882</v>
      </c>
      <c r="B6004" s="0" t="s">
        <v>57</v>
      </c>
      <c r="C6004" s="30" t="n">
        <f aca="false">m_ai</f>
        <v>6</v>
      </c>
    </row>
    <row r="6005" customFormat="false" ht="17.15" hidden="false" customHeight="false" outlineLevel="0" collapsed="false">
      <c r="A6005" s="0" t="s">
        <v>883</v>
      </c>
      <c r="B6005" s="0" t="s">
        <v>73</v>
      </c>
      <c r="C6005" s="38" t="n">
        <f aca="false">Sens!$C$6003*Sens!$C$6004</f>
        <v>433.768620748718</v>
      </c>
    </row>
    <row r="6006" customFormat="false" ht="17.15" hidden="false" customHeight="false" outlineLevel="0" collapsed="false">
      <c r="A6006" s="5" t="s">
        <v>884</v>
      </c>
      <c r="B6006" s="0" t="s">
        <v>73</v>
      </c>
      <c r="C6006" s="38" t="n">
        <f aca="false">Sens!$C$5996+Sens!$C$5999+Sens!$C$6002+Sens!$C$6005</f>
        <v>3498.27732461474</v>
      </c>
    </row>
    <row r="6007" customFormat="false" ht="17.15" hidden="false" customHeight="false" outlineLevel="0" collapsed="false">
      <c r="A6007" s="5" t="s">
        <v>885</v>
      </c>
      <c r="B6007" s="0" t="s">
        <v>73</v>
      </c>
      <c r="C6007" s="38" t="n">
        <f aca="false">Sens!$H$5965</f>
        <v>113.741590679904</v>
      </c>
    </row>
    <row r="6008" customFormat="false" ht="15" hidden="false" customHeight="false" outlineLevel="0" collapsed="false">
      <c r="A6008" s="5" t="s">
        <v>886</v>
      </c>
      <c r="B6008" s="0" t="s">
        <v>73</v>
      </c>
      <c r="C6008" s="38" t="n">
        <f aca="false">Sens!$C$6006-Sens!$C$6007+Sens!$C$5989</f>
        <v>3563.47973393484</v>
      </c>
    </row>
    <row r="6009" customFormat="false" ht="15" hidden="false" customHeight="false" outlineLevel="0" collapsed="false">
      <c r="A6009" s="3" t="s">
        <v>887</v>
      </c>
      <c r="B6009" s="8" t="s">
        <v>27</v>
      </c>
      <c r="C6009" s="30" t="n">
        <f aca="false">Sens!$C$6008/sh_val</f>
        <v>323.062401844121</v>
      </c>
    </row>
    <row r="6010" customFormat="false" ht="17.15" hidden="false" customHeight="false" outlineLevel="0" collapsed="false">
      <c r="A6010" s="46" t="s">
        <v>888</v>
      </c>
      <c r="B6010" s="13" t="s">
        <v>27</v>
      </c>
      <c r="C6010" s="43" t="n">
        <f aca="false">w_dcf*Sens!$C$5992+(1-w_dcf)*Sens!$C$6009</f>
        <v>208.397169605168</v>
      </c>
      <c r="D6010" s="13"/>
      <c r="E6010" s="13"/>
      <c r="F6010" s="13"/>
      <c r="G6010" s="13"/>
      <c r="H6010" s="13"/>
      <c r="I6010" s="13"/>
      <c r="J6010" s="13"/>
      <c r="K6010" s="13"/>
      <c r="L6010" s="13"/>
      <c r="M6010" s="13"/>
      <c r="N6010" s="13"/>
      <c r="O6010" s="13"/>
    </row>
    <row r="6011" customFormat="false" ht="17.15" hidden="false" customHeight="false" outlineLevel="0" collapsed="false">
      <c r="A6011" s="5" t="s">
        <v>889</v>
      </c>
      <c r="B6011" s="0" t="s">
        <v>27</v>
      </c>
      <c r="C6011" s="30" t="n">
        <f aca="false">0.45*Sens!$C$5992+0.55*Sens!$C$6009</f>
        <v>219.863692829064</v>
      </c>
    </row>
    <row r="6014" customFormat="false" ht="19.4" hidden="false" customHeight="false" outlineLevel="0" collapsed="false">
      <c r="A6014" s="31" t="s">
        <v>1175</v>
      </c>
    </row>
    <row r="6015" customFormat="false" ht="17.15" hidden="false" customHeight="false" outlineLevel="0" collapsed="false">
      <c r="A6015" s="6" t="s">
        <v>16</v>
      </c>
      <c r="B6015" s="6" t="s">
        <v>17</v>
      </c>
      <c r="C6015" s="20" t="s">
        <v>457</v>
      </c>
      <c r="D6015" s="20" t="s">
        <v>458</v>
      </c>
      <c r="E6015" s="20" t="s">
        <v>540</v>
      </c>
      <c r="F6015" s="20" t="s">
        <v>541</v>
      </c>
      <c r="G6015" s="20" t="s">
        <v>542</v>
      </c>
      <c r="H6015" s="20" t="s">
        <v>543</v>
      </c>
      <c r="I6015" s="20" t="s">
        <v>544</v>
      </c>
      <c r="J6015" s="20" t="s">
        <v>545</v>
      </c>
      <c r="K6015" s="20" t="s">
        <v>546</v>
      </c>
      <c r="L6015" s="20" t="s">
        <v>547</v>
      </c>
      <c r="M6015" s="20" t="s">
        <v>548</v>
      </c>
      <c r="N6015" s="20" t="s">
        <v>549</v>
      </c>
      <c r="O6015" s="20" t="s">
        <v>550</v>
      </c>
      <c r="P6015" s="6" t="s">
        <v>23</v>
      </c>
      <c r="R6015" s="20" t="n">
        <v>2023</v>
      </c>
      <c r="S6015" s="20" t="n">
        <v>2024</v>
      </c>
      <c r="T6015" s="20" t="n">
        <v>2025</v>
      </c>
      <c r="U6015" s="20" t="n">
        <v>2026</v>
      </c>
      <c r="V6015" s="20" t="n">
        <v>2027</v>
      </c>
      <c r="W6015" s="20" t="n">
        <v>2028</v>
      </c>
      <c r="X6015" s="20" t="n">
        <v>2029</v>
      </c>
      <c r="Y6015" s="20" t="n">
        <v>2030</v>
      </c>
      <c r="Z6015" s="20" t="n">
        <v>2031</v>
      </c>
      <c r="AA6015" s="20" t="n">
        <v>2032</v>
      </c>
    </row>
    <row r="6016" customFormat="false" ht="17.15" hidden="false" customHeight="false" outlineLevel="0" collapsed="false">
      <c r="A6016" s="1" t="s">
        <v>621</v>
      </c>
    </row>
    <row r="6017" customFormat="false" ht="17.15" hidden="false" customHeight="false" outlineLevel="0" collapsed="false">
      <c r="A6017" s="0" t="s">
        <v>479</v>
      </c>
      <c r="B6017" s="0" t="s">
        <v>73</v>
      </c>
      <c r="C6017" s="38" t="n">
        <f aca="false">Q!$D$10</f>
        <v>247.029</v>
      </c>
      <c r="D6017" s="38" t="n">
        <f aca="false">Q!$E$10</f>
        <v>269.287</v>
      </c>
      <c r="E6017" s="38" t="n">
        <f aca="false">Q!$P$10</f>
        <v>134.686</v>
      </c>
      <c r="F6017" s="38" t="n">
        <f aca="false">Sens!$O$6017*(1+Sens!$F$6018)-pd_amt*Q!$O$10/(Q!$O$10+Q!$O$12)</f>
        <v>160.728085930082</v>
      </c>
      <c r="G6017" s="38" t="n">
        <f aca="false">Sens!$E$6017+Sens!$F$6017</f>
        <v>295.414085930082</v>
      </c>
      <c r="H6017" s="38" t="n">
        <f aca="false">Sens!$G$6017*(1+Sens!$H$6018)</f>
        <v>320.828163943375</v>
      </c>
      <c r="I6017" s="38" t="n">
        <f aca="false">Sens!$H$6017*(1+Sens!$I$6018)</f>
        <v>344.575578072228</v>
      </c>
      <c r="J6017" s="38" t="n">
        <f aca="false">Sens!$I$6017*(1+Sens!$J$6018)</f>
        <v>365.942555779681</v>
      </c>
      <c r="K6017" s="38" t="n">
        <f aca="false">Sens!$J$6017*(1+Sens!$K$6018)</f>
        <v>384.239683568665</v>
      </c>
      <c r="L6017" s="38" t="n">
        <f aca="false">Sens!$K$6017*(1+Sens!$L$6018)</f>
        <v>403.451667747098</v>
      </c>
      <c r="M6017" s="38" t="n">
        <f aca="false">Sens!$L$6017*(1+Sens!$M$6018)</f>
        <v>423.624251134453</v>
      </c>
      <c r="N6017" s="38" t="n">
        <f aca="false">Q!$N$10</f>
        <v>118.892</v>
      </c>
      <c r="O6017" s="38" t="n">
        <f aca="false">Q!$O$10</f>
        <v>150.395</v>
      </c>
      <c r="P6017" s="8" t="s">
        <v>622</v>
      </c>
    </row>
    <row r="6018" customFormat="false" ht="17.15" hidden="false" customHeight="false" outlineLevel="0" collapsed="false">
      <c r="A6018" s="0" t="s">
        <v>623</v>
      </c>
      <c r="B6018" s="0" t="s">
        <v>52</v>
      </c>
      <c r="E6018" s="12" t="n">
        <f aca="false">Sens!$E$6017/Sens!$N$6017-1</f>
        <v>0.132843252699929</v>
      </c>
      <c r="F6018" s="12" t="n">
        <f aca="false">Sens!$O$6017/(Q!$F$10+Q!$G$10)-1</f>
        <v>0.0980382135842941</v>
      </c>
      <c r="G6018" s="12" t="n">
        <f aca="false">Sens!$G$6017/Sens!$D$6017-1</f>
        <v>0.0970231980380869</v>
      </c>
      <c r="H6018" s="12" t="n">
        <f aca="false">Sens!$F$6018+(g_os-Sens!$F$6018)*1/4</f>
        <v>0.0860286601882206</v>
      </c>
      <c r="I6018" s="12" t="n">
        <f aca="false">Sens!$F$6018+(g_os-Sens!$F$6018)*2/4</f>
        <v>0.074019106792147</v>
      </c>
      <c r="J6018" s="12" t="n">
        <f aca="false">Sens!$F$6018+(g_os-Sens!$F$6018)*3/4</f>
        <v>0.0620095533960735</v>
      </c>
      <c r="K6018" s="12" t="n">
        <f aca="false">Sens!$F$6018+(g_os-Sens!$F$6018)*4/4</f>
        <v>0.05</v>
      </c>
      <c r="L6018" s="12" t="n">
        <f aca="false">g_os</f>
        <v>0.05</v>
      </c>
      <c r="M6018" s="12" t="n">
        <f aca="false">g_os</f>
        <v>0.05</v>
      </c>
      <c r="P6018" s="8" t="s">
        <v>624</v>
      </c>
    </row>
    <row r="6019" customFormat="false" ht="17.15" hidden="false" customHeight="false" outlineLevel="0" collapsed="false">
      <c r="A6019" s="0" t="s">
        <v>480</v>
      </c>
      <c r="B6019" s="0" t="s">
        <v>73</v>
      </c>
      <c r="C6019" s="38" t="n">
        <f aca="false">Q!$D$11</f>
        <v>21.215</v>
      </c>
      <c r="D6019" s="38" t="n">
        <f aca="false">Q!$E$11</f>
        <v>22.561</v>
      </c>
      <c r="E6019" s="38" t="n">
        <f aca="false">Q!$P$11</f>
        <v>11.579</v>
      </c>
      <c r="F6019" s="38" t="n">
        <f aca="false">Sens!$O$6019*(1+Sens!$F$6020)</f>
        <v>12.0952613121125</v>
      </c>
      <c r="G6019" s="38" t="n">
        <f aca="false">Sens!$E$6019+Sens!$F$6019</f>
        <v>23.6742613121125</v>
      </c>
      <c r="H6019" s="38" t="n">
        <f aca="false">Sens!$G$6019*(1+Sens!$H$6020)</f>
        <v>24.8803243963206</v>
      </c>
      <c r="I6019" s="38" t="n">
        <f aca="false">Sens!$H$6019*(1+Sens!$I$6020)</f>
        <v>25.9741308664154</v>
      </c>
      <c r="J6019" s="38" t="n">
        <f aca="false">Sens!$I$6019*(1+Sens!$J$6020)</f>
        <v>26.9346894124267</v>
      </c>
      <c r="K6019" s="38" t="n">
        <f aca="false">Sens!$J$6019*(1+Sens!$K$6020)</f>
        <v>27.7427300947995</v>
      </c>
      <c r="L6019" s="38" t="n">
        <f aca="false">Sens!$K$6019*(1+Sens!$L$6020)</f>
        <v>28.5750119976435</v>
      </c>
      <c r="M6019" s="38" t="n">
        <f aca="false">Sens!$L$6019*(1+Sens!$M$6020)</f>
        <v>29.4322623575728</v>
      </c>
      <c r="N6019" s="38" t="n">
        <f aca="false">Q!$N$11</f>
        <v>11.128</v>
      </c>
      <c r="O6019" s="38" t="n">
        <f aca="false">Q!$O$11</f>
        <v>11.433</v>
      </c>
      <c r="P6019" s="8" t="s">
        <v>622</v>
      </c>
    </row>
    <row r="6020" customFormat="false" ht="17.15" hidden="false" customHeight="false" outlineLevel="0" collapsed="false">
      <c r="A6020" s="0" t="s">
        <v>625</v>
      </c>
      <c r="B6020" s="0" t="s">
        <v>52</v>
      </c>
      <c r="E6020" s="12" t="n">
        <f aca="false">Sens!$E$6019/Sens!$N$6019-1</f>
        <v>0.0405283968368082</v>
      </c>
      <c r="F6020" s="12" t="n">
        <f aca="false">Sens!$O$6019/(Q!$F$11+Q!$G$11)-1</f>
        <v>0.0579254187100955</v>
      </c>
      <c r="G6020" s="12" t="n">
        <f aca="false">Sens!$G$6019/Sens!$D$6019-1</f>
        <v>0.0493445021103904</v>
      </c>
      <c r="H6020" s="12" t="n">
        <f aca="false">Sens!$F$6020+(g_ps-Sens!$F$6020)*1/4</f>
        <v>0.0509440640325716</v>
      </c>
      <c r="I6020" s="12" t="n">
        <f aca="false">Sens!$F$6020+(g_ps-Sens!$F$6020)*2/4</f>
        <v>0.0439627093550477</v>
      </c>
      <c r="J6020" s="12" t="n">
        <f aca="false">Sens!$F$6020+(g_ps-Sens!$F$6020)*3/4</f>
        <v>0.0369813546775239</v>
      </c>
      <c r="K6020" s="12" t="n">
        <f aca="false">Sens!$F$6020+(g_ps-Sens!$F$6020)*4/4</f>
        <v>0.03</v>
      </c>
      <c r="L6020" s="12" t="n">
        <f aca="false">g_ps</f>
        <v>0.03</v>
      </c>
      <c r="M6020" s="12" t="n">
        <f aca="false">g_ps</f>
        <v>0.03</v>
      </c>
      <c r="P6020" s="8" t="s">
        <v>626</v>
      </c>
    </row>
    <row r="6021" customFormat="false" ht="17.15" hidden="false" customHeight="false" outlineLevel="0" collapsed="false">
      <c r="A6021" s="0" t="s">
        <v>481</v>
      </c>
      <c r="B6021" s="0" t="s">
        <v>73</v>
      </c>
      <c r="C6021" s="38" t="n">
        <f aca="false">Q!$D$12</f>
        <v>156.146</v>
      </c>
      <c r="D6021" s="38" t="n">
        <f aca="false">Q!$E$12</f>
        <v>172.162</v>
      </c>
      <c r="E6021" s="38" t="n">
        <f aca="false">Q!$P$12</f>
        <v>88.358</v>
      </c>
      <c r="F6021" s="38" t="n">
        <f aca="false">Sens!$O$6021*(1+Sens!$F$6022)-pd_amt*Q!$O$12/(Q!$O$10+Q!$O$12)</f>
        <v>103.62028337149</v>
      </c>
      <c r="G6021" s="38" t="n">
        <f aca="false">Sens!$E$6021+Sens!$F$6021</f>
        <v>191.97828337149</v>
      </c>
      <c r="H6021" s="38" t="n">
        <f aca="false">Sens!$G$6021*(1+Sens!$H$6022)</f>
        <v>212.128608444755</v>
      </c>
      <c r="I6021" s="38" t="n">
        <f aca="false">Sens!$H$6021*(1+Sens!$I$6022)</f>
        <v>231.92183134134</v>
      </c>
      <c r="J6021" s="38" t="n">
        <f aca="false">Sens!$I$6021*(1+Sens!$J$6022)</f>
        <v>250.859136487863</v>
      </c>
      <c r="K6021" s="38" t="n">
        <f aca="false">Sens!$J$6021*(1+Sens!$K$6022)</f>
        <v>268.419276042014</v>
      </c>
      <c r="L6021" s="38" t="n">
        <f aca="false">Sens!$K$6021*(1+Sens!$L$6022)</f>
        <v>287.208625364954</v>
      </c>
      <c r="M6021" s="38" t="n">
        <f aca="false">Sens!$L$6021*(1+Sens!$M$6022)</f>
        <v>307.313229140501</v>
      </c>
      <c r="N6021" s="38" t="n">
        <f aca="false">Q!$N$12</f>
        <v>76.86</v>
      </c>
      <c r="O6021" s="38" t="n">
        <f aca="false">Q!$O$12</f>
        <v>95.302</v>
      </c>
      <c r="P6021" s="8" t="s">
        <v>622</v>
      </c>
    </row>
    <row r="6022" customFormat="false" ht="17.15" hidden="false" customHeight="false" outlineLevel="0" collapsed="false">
      <c r="A6022" s="0" t="s">
        <v>627</v>
      </c>
      <c r="B6022" s="0" t="s">
        <v>52</v>
      </c>
      <c r="E6022" s="12" t="n">
        <f aca="false">Sens!$E$6021/Sens!$N$6021-1</f>
        <v>0.1495966692688</v>
      </c>
      <c r="F6022" s="12" t="n">
        <f aca="false">Sens!$O$6021/(Q!$F$12+Q!$G$12)-1</f>
        <v>0.11661530890813</v>
      </c>
      <c r="G6022" s="12" t="n">
        <f aca="false">Sens!$G$6021/Sens!$D$6021-1</f>
        <v>0.115102539303041</v>
      </c>
      <c r="H6022" s="12" t="n">
        <f aca="false">Sens!$F$6022+(g_sp-Sens!$F$6022)*1/4</f>
        <v>0.104961481681098</v>
      </c>
      <c r="I6022" s="12" t="n">
        <f aca="false">Sens!$F$6022+(g_sp-Sens!$F$6022)*2/4</f>
        <v>0.0933076544540651</v>
      </c>
      <c r="J6022" s="12" t="n">
        <f aca="false">Sens!$F$6022+(g_sp-Sens!$F$6022)*3/4</f>
        <v>0.0816538272270325</v>
      </c>
      <c r="K6022" s="12" t="n">
        <f aca="false">Sens!$F$6022+(g_sp-Sens!$F$6022)*4/4</f>
        <v>0.07</v>
      </c>
      <c r="L6022" s="12" t="n">
        <f aca="false">g_sp</f>
        <v>0.07</v>
      </c>
      <c r="M6022" s="12" t="n">
        <f aca="false">g_sp</f>
        <v>0.07</v>
      </c>
      <c r="P6022" s="8" t="s">
        <v>628</v>
      </c>
    </row>
    <row r="6023" customFormat="false" ht="17.15" hidden="false" customHeight="false" outlineLevel="0" collapsed="false">
      <c r="A6023" s="0" t="s">
        <v>482</v>
      </c>
      <c r="B6023" s="0" t="s">
        <v>73</v>
      </c>
      <c r="C6023" s="38" t="n">
        <f aca="false">Q!$D$13</f>
        <v>56.214</v>
      </c>
      <c r="D6023" s="38" t="n">
        <f aca="false">Q!$E$13</f>
        <v>68.635</v>
      </c>
      <c r="E6023" s="38" t="n">
        <f aca="false">Q!$P$13</f>
        <v>37.052</v>
      </c>
      <c r="F6023" s="38" t="n">
        <f aca="false">Sens!$O$6023*(1+Sens!$F$6024)</f>
        <v>48.1533381827382</v>
      </c>
      <c r="G6023" s="38" t="n">
        <f aca="false">Sens!$E$6023+Sens!$F$6023</f>
        <v>85.2053381827382</v>
      </c>
      <c r="H6023" s="38" t="n">
        <f aca="false">Sens!$G$6023*(1+Sens!$H$6024)</f>
        <v>102.29336185894</v>
      </c>
      <c r="I6023" s="38" t="n">
        <f aca="false">Sens!$H$6023*(1+Sens!$I$6024)</f>
        <v>119.379837585241</v>
      </c>
      <c r="J6023" s="38" t="n">
        <f aca="false">Sens!$I$6023*(1+Sens!$J$6024)</f>
        <v>135.319079048844</v>
      </c>
      <c r="K6023" s="38" t="n">
        <f aca="false">Sens!$J$6023*(1+Sens!$K$6024)</f>
        <v>148.850986953729</v>
      </c>
      <c r="L6023" s="38" t="n">
        <f aca="false">Sens!$K$6023*(1+Sens!$L$6024)</f>
        <v>163.736085649102</v>
      </c>
      <c r="M6023" s="38" t="n">
        <f aca="false">Sens!$L$6023*(1+Sens!$M$6024)</f>
        <v>180.109694214012</v>
      </c>
      <c r="N6023" s="38" t="n">
        <f aca="false">Q!$N$13</f>
        <v>29.615</v>
      </c>
      <c r="O6023" s="38" t="n">
        <f aca="false">Q!$O$13</f>
        <v>39.02</v>
      </c>
      <c r="P6023" s="8" t="s">
        <v>622</v>
      </c>
    </row>
    <row r="6024" customFormat="false" ht="17.15" hidden="false" customHeight="false" outlineLevel="0" collapsed="false">
      <c r="A6024" s="0" t="s">
        <v>629</v>
      </c>
      <c r="B6024" s="0" t="s">
        <v>52</v>
      </c>
      <c r="E6024" s="12" t="n">
        <f aca="false">Sens!$E$6023/Sens!$N$6023-1</f>
        <v>0.25112274185379</v>
      </c>
      <c r="F6024" s="12" t="n">
        <f aca="false">Sens!$O$6023/(Q!$F$13+Q!$G$13)-1</f>
        <v>0.234068123596572</v>
      </c>
      <c r="G6024" s="12" t="n">
        <f aca="false">Sens!$G$6023/Sens!$D$6023-1</f>
        <v>0.241426942270536</v>
      </c>
      <c r="H6024" s="12" t="n">
        <f aca="false">Sens!$F$6024+(g_ad-Sens!$F$6024)*1/4</f>
        <v>0.200551092697429</v>
      </c>
      <c r="I6024" s="12" t="n">
        <f aca="false">Sens!$F$6024+(g_ad-Sens!$F$6024)*2/4</f>
        <v>0.167034061798286</v>
      </c>
      <c r="J6024" s="12" t="n">
        <f aca="false">Sens!$F$6024+(g_ad-Sens!$F$6024)*3/4</f>
        <v>0.133517030899143</v>
      </c>
      <c r="K6024" s="12" t="n">
        <f aca="false">Sens!$F$6024+(g_ad-Sens!$F$6024)*4/4</f>
        <v>0.1</v>
      </c>
      <c r="L6024" s="12" t="n">
        <f aca="false">g_ad</f>
        <v>0.1</v>
      </c>
      <c r="M6024" s="12" t="n">
        <f aca="false">g_ad</f>
        <v>0.1</v>
      </c>
      <c r="P6024" s="8" t="s">
        <v>630</v>
      </c>
    </row>
    <row r="6025" customFormat="false" ht="17.15" hidden="false" customHeight="false" outlineLevel="0" collapsed="false">
      <c r="A6025" s="0" t="s">
        <v>483</v>
      </c>
      <c r="B6025" s="0" t="s">
        <v>73</v>
      </c>
      <c r="C6025" s="38" t="n">
        <f aca="false">Q!$D$14</f>
        <v>44.374</v>
      </c>
      <c r="D6025" s="38" t="n">
        <f aca="false">Q!$E$14</f>
        <v>49.619</v>
      </c>
      <c r="E6025" s="38" t="n">
        <f aca="false">Q!$P$14</f>
        <v>27.157</v>
      </c>
      <c r="F6025" s="38" t="n">
        <f aca="false">Sens!$O$6025*(1+Sens!$F$6026)</f>
        <v>28.9776360923374</v>
      </c>
      <c r="G6025" s="38" t="n">
        <f aca="false">Sens!$E$6025+Sens!$F$6025</f>
        <v>56.1346360923374</v>
      </c>
      <c r="H6025" s="38" t="n">
        <f aca="false">Sens!$G$6025*(1+Sens!$H$6026)</f>
        <v>62.4937078946075</v>
      </c>
      <c r="I6025" s="38" t="n">
        <f aca="false">Sens!$H$6025*(1+Sens!$I$6026)</f>
        <v>68.6715233062498</v>
      </c>
      <c r="J6025" s="38" t="n">
        <f aca="false">Sens!$I$6025*(1+Sens!$J$6026)</f>
        <v>74.4692882949818</v>
      </c>
      <c r="K6025" s="38" t="n">
        <f aca="false">Sens!$J$6025*(1+Sens!$K$6026)</f>
        <v>79.6821384756306</v>
      </c>
      <c r="L6025" s="38" t="n">
        <f aca="false">Sens!$K$6025*(1+Sens!$L$6026)</f>
        <v>85.2598881689247</v>
      </c>
      <c r="M6025" s="38" t="n">
        <f aca="false">Sens!$L$6025*(1+Sens!$M$6026)</f>
        <v>91.2280803407494</v>
      </c>
      <c r="N6025" s="38" t="n">
        <f aca="false">Q!$N$14</f>
        <v>23.923</v>
      </c>
      <c r="O6025" s="38" t="n">
        <f aca="false">Q!$O$14</f>
        <v>25.696</v>
      </c>
      <c r="P6025" s="8" t="s">
        <v>622</v>
      </c>
    </row>
    <row r="6026" customFormat="false" ht="17.15" hidden="false" customHeight="false" outlineLevel="0" collapsed="false">
      <c r="A6026" s="0" t="s">
        <v>631</v>
      </c>
      <c r="B6026" s="0" t="s">
        <v>52</v>
      </c>
      <c r="E6026" s="12" t="n">
        <f aca="false">Sens!$E$6025/Sens!$N$6025-1</f>
        <v>0.135183714417088</v>
      </c>
      <c r="F6026" s="12" t="n">
        <f aca="false">Sens!$O$6025/(Q!$F$14+Q!$G$14)-1</f>
        <v>0.127709997366804</v>
      </c>
      <c r="G6026" s="12" t="n">
        <f aca="false">Sens!$G$6025/Sens!$D$6025-1</f>
        <v>0.131313329416905</v>
      </c>
      <c r="H6026" s="12" t="n">
        <f aca="false">Sens!$F$6026+(g_sub-Sens!$F$6026)*1/4</f>
        <v>0.113282498025103</v>
      </c>
      <c r="I6026" s="12" t="n">
        <f aca="false">Sens!$F$6026+(g_sub-Sens!$F$6026)*2/4</f>
        <v>0.0988549986834021</v>
      </c>
      <c r="J6026" s="12" t="n">
        <f aca="false">Sens!$F$6026+(g_sub-Sens!$F$6026)*3/4</f>
        <v>0.084427499341701</v>
      </c>
      <c r="K6026" s="12" t="n">
        <f aca="false">Sens!$F$6026+(g_sub-Sens!$F$6026)*4/4</f>
        <v>0.07</v>
      </c>
      <c r="L6026" s="12" t="n">
        <f aca="false">g_sub</f>
        <v>0.07</v>
      </c>
      <c r="M6026" s="12" t="n">
        <f aca="false">g_sub</f>
        <v>0.07</v>
      </c>
      <c r="P6026" s="8" t="s">
        <v>632</v>
      </c>
    </row>
    <row r="6027" customFormat="false" ht="17.15" hidden="false" customHeight="false" outlineLevel="0" collapsed="false">
      <c r="A6027" s="0" t="s">
        <v>484</v>
      </c>
      <c r="B6027" s="0" t="s">
        <v>73</v>
      </c>
      <c r="C6027" s="38" t="n">
        <f aca="false">Q!$D$15</f>
        <v>5.425</v>
      </c>
      <c r="D6027" s="38" t="n">
        <f aca="false">Q!$E$15</f>
        <v>5.935</v>
      </c>
      <c r="E6027" s="38" t="n">
        <f aca="false">Q!$P$15</f>
        <v>3.474</v>
      </c>
      <c r="F6027" s="38" t="n">
        <f aca="false">Sens!$O$6027*(1+Sens!$F$6028)</f>
        <v>3.36182431966931</v>
      </c>
      <c r="G6027" s="38" t="n">
        <f aca="false">Sens!$E$6027+Sens!$F$6027</f>
        <v>6.83582431966931</v>
      </c>
      <c r="H6027" s="38" t="n">
        <f aca="false">Sens!$G$6027*(1+Sens!$H$6028)</f>
        <v>7.31157108370141</v>
      </c>
      <c r="I6027" s="38" t="n">
        <f aca="false">Sens!$H$6027*(1+Sens!$I$6028)</f>
        <v>7.77266852639815</v>
      </c>
      <c r="J6027" s="38" t="n">
        <f aca="false">Sens!$I$6027*(1+Sens!$J$6028)</f>
        <v>8.2120733019884</v>
      </c>
      <c r="K6027" s="38" t="n">
        <f aca="false">Sens!$J$6027*(1+Sens!$K$6028)</f>
        <v>8.62267696708783</v>
      </c>
      <c r="L6027" s="38" t="n">
        <f aca="false">Sens!$K$6027*(1+Sens!$L$6028)</f>
        <v>9.05381081544222</v>
      </c>
      <c r="M6027" s="38" t="n">
        <f aca="false">Sens!$L$6027*(1+Sens!$M$6028)</f>
        <v>9.50650135621433</v>
      </c>
      <c r="N6027" s="38" t="n">
        <f aca="false">Q!$N$15</f>
        <v>2.811</v>
      </c>
      <c r="O6027" s="38" t="n">
        <f aca="false">Q!$O$15</f>
        <v>3.124</v>
      </c>
      <c r="P6027" s="8" t="s">
        <v>622</v>
      </c>
    </row>
    <row r="6028" customFormat="false" ht="17.15" hidden="false" customHeight="false" outlineLevel="0" collapsed="false">
      <c r="A6028" s="0" t="s">
        <v>633</v>
      </c>
      <c r="B6028" s="0" t="s">
        <v>52</v>
      </c>
      <c r="E6028" s="12" t="n">
        <f aca="false">Sens!$E$6027/Sens!$N$6027-1</f>
        <v>0.235859124866596</v>
      </c>
      <c r="F6028" s="12" t="n">
        <f aca="false">Sens!$O$6027/(Q!$F$15+Q!$G$15)-1</f>
        <v>0.0761281433000345</v>
      </c>
      <c r="G6028" s="12" t="n">
        <f aca="false">Sens!$G$6027/Sens!$D$6027-1</f>
        <v>0.151781688234087</v>
      </c>
      <c r="H6028" s="12" t="n">
        <f aca="false">Sens!$F$6028+(g_ot-Sens!$F$6028)*1/4</f>
        <v>0.0695961074750259</v>
      </c>
      <c r="I6028" s="12" t="n">
        <f aca="false">Sens!$F$6028+(g_ot-Sens!$F$6028)*2/4</f>
        <v>0.0630640716500172</v>
      </c>
      <c r="J6028" s="12" t="n">
        <f aca="false">Sens!$F$6028+(g_ot-Sens!$F$6028)*3/4</f>
        <v>0.0565320358250086</v>
      </c>
      <c r="K6028" s="12" t="n">
        <f aca="false">Sens!$F$6028+(g_ot-Sens!$F$6028)*4/4</f>
        <v>0.05</v>
      </c>
      <c r="L6028" s="12" t="n">
        <f aca="false">g_ot</f>
        <v>0.05</v>
      </c>
      <c r="M6028" s="12" t="n">
        <f aca="false">g_ot</f>
        <v>0.05</v>
      </c>
      <c r="P6028" s="8" t="s">
        <v>634</v>
      </c>
    </row>
    <row r="6029" customFormat="false" ht="17.15" hidden="false" customHeight="false" outlineLevel="0" collapsed="false">
      <c r="A6029" s="3" t="s">
        <v>635</v>
      </c>
      <c r="B6029" s="8" t="s">
        <v>73</v>
      </c>
      <c r="C6029" s="38" t="n">
        <f aca="false">Sens!$C$6017+Sens!$C$6019+Sens!$C$6021+Sens!$C$6023+Sens!$C$6025+Sens!$C$6027</f>
        <v>530.403</v>
      </c>
      <c r="D6029" s="38" t="n">
        <f aca="false">Sens!$D$6017+Sens!$D$6019+Sens!$D$6021+Sens!$D$6023+Sens!$D$6025+Sens!$D$6027</f>
        <v>588.199</v>
      </c>
      <c r="E6029" s="38" t="n">
        <f aca="false">Sens!$E$6017+Sens!$E$6019+Sens!$E$6021+Sens!$E$6023+Sens!$E$6025+Sens!$E$6027</f>
        <v>302.306</v>
      </c>
      <c r="F6029" s="38" t="n">
        <f aca="false">Sens!$F$6017+Sens!$F$6019+Sens!$F$6021+Sens!$F$6023+Sens!$F$6025+Sens!$F$6027</f>
        <v>356.93642920843</v>
      </c>
      <c r="G6029" s="38" t="n">
        <f aca="false">Sens!$G$6017+Sens!$G$6019+Sens!$G$6021+Sens!$G$6023+Sens!$G$6025+Sens!$G$6027</f>
        <v>659.24242920843</v>
      </c>
      <c r="H6029" s="38" t="n">
        <f aca="false">Sens!$H$6017+Sens!$H$6019+Sens!$H$6021+Sens!$H$6023+Sens!$H$6025+Sens!$H$6027</f>
        <v>729.935737621701</v>
      </c>
      <c r="I6029" s="38" t="n">
        <f aca="false">Sens!$I$6017+Sens!$I$6019+Sens!$I$6021+Sens!$I$6023+Sens!$I$6025+Sens!$I$6027</f>
        <v>798.295569697873</v>
      </c>
      <c r="J6029" s="38" t="n">
        <f aca="false">Sens!$J$6017+Sens!$J$6019+Sens!$J$6021+Sens!$J$6023+Sens!$J$6025+Sens!$J$6027</f>
        <v>861.736822325785</v>
      </c>
      <c r="K6029" s="38" t="n">
        <f aca="false">Sens!$K$6017+Sens!$K$6019+Sens!$K$6021+Sens!$K$6023+Sens!$K$6025+Sens!$K$6027</f>
        <v>917.557492101925</v>
      </c>
      <c r="L6029" s="38" t="n">
        <f aca="false">Sens!$L$6017+Sens!$L$6019+Sens!$L$6021+Sens!$L$6023+Sens!$L$6025+Sens!$L$6027</f>
        <v>977.285089743165</v>
      </c>
      <c r="M6029" s="38" t="n">
        <f aca="false">Sens!$M$6017+Sens!$M$6019+Sens!$M$6021+Sens!$M$6023+Sens!$M$6025+Sens!$M$6027</f>
        <v>1041.2140185435</v>
      </c>
      <c r="N6029" s="38" t="n">
        <f aca="false">Sens!$N$6017+Sens!$N$6019+Sens!$N$6021+Sens!$N$6023+Sens!$N$6025+Sens!$N$6027</f>
        <v>263.229</v>
      </c>
      <c r="O6029" s="38" t="n">
        <f aca="false">Sens!$O$6017+Sens!$O$6019+Sens!$O$6021+Sens!$O$6023+Sens!$O$6025+Sens!$O$6027</f>
        <v>324.97</v>
      </c>
    </row>
    <row r="6030" customFormat="false" ht="17.15" hidden="false" customHeight="false" outlineLevel="0" collapsed="false">
      <c r="A6030" s="5" t="s">
        <v>636</v>
      </c>
      <c r="B6030" s="0" t="s">
        <v>52</v>
      </c>
      <c r="C6030" s="12" t="n">
        <f aca="false">Q!$D$5/(Q!$D$5+Q!$D$6)</f>
        <v>0.730570905519011</v>
      </c>
      <c r="D6030" s="12" t="n">
        <f aca="false">Q!$E$5/(Q!$E$5+Q!$E$6)</f>
        <v>0.724763217890544</v>
      </c>
      <c r="E6030" s="12" t="n">
        <f aca="false">Q!$P$5/(Q!$P$5+Q!$P$6)</f>
        <v>0.728797972914861</v>
      </c>
      <c r="F6030" s="12" t="n">
        <f aca="false">Sens!$O$6030</f>
        <v>0.718066283041511</v>
      </c>
      <c r="G6030" s="12" t="n">
        <f aca="false">Sens!$G$6031/Sens!$G$6029</f>
        <v>0.722987468473627</v>
      </c>
      <c r="H6030" s="12" t="n">
        <f aca="false">Sens!$G$6030</f>
        <v>0.722987468473627</v>
      </c>
      <c r="I6030" s="12" t="n">
        <f aca="false">Sens!$G$6030</f>
        <v>0.722987468473627</v>
      </c>
      <c r="J6030" s="12" t="n">
        <f aca="false">Sens!$G$6030</f>
        <v>0.722987468473627</v>
      </c>
      <c r="K6030" s="12" t="n">
        <f aca="false">Sens!$G$6030</f>
        <v>0.722987468473627</v>
      </c>
      <c r="L6030" s="12" t="n">
        <f aca="false">Sens!$G$6030</f>
        <v>0.722987468473627</v>
      </c>
      <c r="M6030" s="12" t="n">
        <f aca="false">Sens!$G$6030</f>
        <v>0.722987468473627</v>
      </c>
      <c r="N6030" s="12" t="n">
        <f aca="false">Q!$N$5/(Q!$N$5+Q!$N$6)</f>
        <v>0.733030935041352</v>
      </c>
      <c r="O6030" s="12" t="n">
        <f aca="false">Q!$O$5/(Q!$O$5+Q!$O$6)</f>
        <v>0.718066283041511</v>
      </c>
      <c r="P6030" s="8" t="s">
        <v>637</v>
      </c>
    </row>
    <row r="6031" customFormat="false" ht="17.15" hidden="false" customHeight="false" outlineLevel="0" collapsed="false">
      <c r="A6031" s="1" t="s">
        <v>472</v>
      </c>
      <c r="B6031" s="8" t="s">
        <v>73</v>
      </c>
      <c r="C6031" s="38" t="n">
        <f aca="false">Q!$D$5</f>
        <v>387.497</v>
      </c>
      <c r="D6031" s="38" t="n">
        <f aca="false">Q!$E$5</f>
        <v>426.305</v>
      </c>
      <c r="E6031" s="38" t="n">
        <f aca="false">Q!$P$5</f>
        <v>220.32</v>
      </c>
      <c r="F6031" s="38" t="n">
        <f aca="false">Sens!$F$6029*Sens!$F$6030</f>
        <v>256.304015003807</v>
      </c>
      <c r="G6031" s="38" t="n">
        <f aca="false">Sens!$E$6031+Sens!$F$6031</f>
        <v>476.624015003807</v>
      </c>
      <c r="H6031" s="38" t="n">
        <f aca="false">Sens!$H$6029*Sens!$H$6030</f>
        <v>527.734391091543</v>
      </c>
      <c r="I6031" s="38" t="n">
        <f aca="false">Sens!$I$6029*Sens!$I$6030</f>
        <v>577.157693029577</v>
      </c>
      <c r="J6031" s="38" t="n">
        <f aca="false">Sens!$J$6029*Sens!$J$6030</f>
        <v>623.024923663827</v>
      </c>
      <c r="K6031" s="38" t="n">
        <f aca="false">Sens!$K$6029*Sens!$K$6030</f>
        <v>663.382568393781</v>
      </c>
      <c r="L6031" s="38" t="n">
        <f aca="false">Sens!$L$6029*Sens!$L$6030</f>
        <v>706.564873010432</v>
      </c>
      <c r="M6031" s="38" t="n">
        <f aca="false">Sens!$M$6029*Sens!$M$6030</f>
        <v>752.784687406019</v>
      </c>
      <c r="N6031" s="38" t="n">
        <f aca="false">Q!$N$5</f>
        <v>192.955</v>
      </c>
      <c r="O6031" s="38" t="n">
        <f aca="false">Q!$O$5</f>
        <v>233.35</v>
      </c>
      <c r="P6031" s="5" t="s">
        <v>638</v>
      </c>
    </row>
    <row r="6032" customFormat="false" ht="17.15" hidden="false" customHeight="false" outlineLevel="0" collapsed="false">
      <c r="A6032" s="1" t="s">
        <v>475</v>
      </c>
      <c r="B6032" s="8" t="s">
        <v>73</v>
      </c>
      <c r="C6032" s="38" t="n">
        <f aca="false">Q!$D$6</f>
        <v>142.906</v>
      </c>
      <c r="D6032" s="38" t="n">
        <f aca="false">Q!$E$6</f>
        <v>161.894</v>
      </c>
      <c r="E6032" s="38" t="n">
        <f aca="false">Q!$P$6</f>
        <v>81.986</v>
      </c>
      <c r="F6032" s="38" t="n">
        <f aca="false">Sens!$F$6029*(1-Sens!$F$6030)</f>
        <v>100.632414204623</v>
      </c>
      <c r="G6032" s="38" t="n">
        <f aca="false">Sens!$E$6032+Sens!$F$6032</f>
        <v>182.618414204623</v>
      </c>
      <c r="H6032" s="38" t="n">
        <f aca="false">Sens!$H$6029*(1-Sens!$H$6030)</f>
        <v>202.201346530158</v>
      </c>
      <c r="I6032" s="38" t="n">
        <f aca="false">Sens!$I$6029*(1-Sens!$I$6030)</f>
        <v>221.137876668296</v>
      </c>
      <c r="J6032" s="38" t="n">
        <f aca="false">Sens!$J$6029*(1-Sens!$J$6030)</f>
        <v>238.711898661958</v>
      </c>
      <c r="K6032" s="38" t="n">
        <f aca="false">Sens!$K$6029*(1-Sens!$K$6030)</f>
        <v>254.174923708144</v>
      </c>
      <c r="L6032" s="38" t="n">
        <f aca="false">Sens!$L$6029*(1-Sens!$L$6030)</f>
        <v>270.720216732733</v>
      </c>
      <c r="M6032" s="38" t="n">
        <f aca="false">Sens!$M$6029*(1-Sens!$M$6030)</f>
        <v>288.429331137484</v>
      </c>
      <c r="N6032" s="38" t="n">
        <f aca="false">Q!$N$6</f>
        <v>70.274</v>
      </c>
      <c r="O6032" s="38" t="n">
        <f aca="false">Q!$O$6</f>
        <v>91.62</v>
      </c>
      <c r="P6032" s="5" t="s">
        <v>639</v>
      </c>
    </row>
    <row r="6033" customFormat="false" ht="17.15" hidden="false" customHeight="false" outlineLevel="0" collapsed="false">
      <c r="A6033" s="5" t="s">
        <v>640</v>
      </c>
      <c r="B6033" s="0" t="s">
        <v>73</v>
      </c>
      <c r="C6033" s="38" t="n">
        <f aca="false">Sens!$C$6023*Sens!$C$6030</f>
        <v>41.0683128828457</v>
      </c>
      <c r="D6033" s="38" t="n">
        <f aca="false">Sens!$D$6023*Sens!$D$6030</f>
        <v>49.7441234599175</v>
      </c>
      <c r="E6033" s="38" t="n">
        <f aca="false">Sens!$E$6023*Sens!$E$6030</f>
        <v>27.0034224924414</v>
      </c>
      <c r="F6033" s="38" t="n">
        <f aca="false">Sens!$F$6023*Sens!$F$6030</f>
        <v>34.5772885649197</v>
      </c>
      <c r="G6033" s="38" t="n">
        <f aca="false">Sens!$G$6023*Sens!$G$6030</f>
        <v>61.6023917531772</v>
      </c>
      <c r="H6033" s="38" t="n">
        <f aca="false">Sens!$H$6023*Sens!$H$6030</f>
        <v>73.9568187320519</v>
      </c>
      <c r="I6033" s="38" t="n">
        <f aca="false">Sens!$I$6023*Sens!$I$6030</f>
        <v>86.3101265625461</v>
      </c>
      <c r="J6033" s="38" t="n">
        <f aca="false">Sens!$J$6023*Sens!$J$6030</f>
        <v>97.8339983977065</v>
      </c>
      <c r="K6033" s="38" t="n">
        <f aca="false">Sens!$K$6023*Sens!$K$6030</f>
        <v>107.617398237477</v>
      </c>
      <c r="L6033" s="38" t="n">
        <f aca="false">Sens!$L$6023*Sens!$L$6030</f>
        <v>118.379138061225</v>
      </c>
      <c r="M6033" s="38" t="n">
        <f aca="false">Sens!$M$6023*Sens!$M$6030</f>
        <v>130.217051867347</v>
      </c>
      <c r="N6033" s="38" t="n">
        <f aca="false">Sens!$N$6023*Sens!$N$6030</f>
        <v>21.7087111412496</v>
      </c>
      <c r="O6033" s="38" t="n">
        <f aca="false">Sens!$O$6023*Sens!$O$6030</f>
        <v>28.0189463642798</v>
      </c>
      <c r="P6033" s="5" t="s">
        <v>641</v>
      </c>
    </row>
    <row r="6034" customFormat="false" ht="15" hidden="false" customHeight="false" outlineLevel="0" collapsed="false">
      <c r="A6034" s="5" t="s">
        <v>642</v>
      </c>
      <c r="B6034" s="0" t="s">
        <v>73</v>
      </c>
      <c r="C6034" s="38" t="n">
        <f aca="false">Sens!$C$6023-Sens!$C$6033</f>
        <v>15.1456871171543</v>
      </c>
      <c r="D6034" s="38" t="n">
        <f aca="false">Sens!$D$6023-Sens!$D$6033</f>
        <v>18.8908765400825</v>
      </c>
      <c r="E6034" s="38" t="n">
        <f aca="false">Sens!$E$6023-Sens!$E$6033</f>
        <v>10.0485775075586</v>
      </c>
      <c r="F6034" s="38" t="n">
        <f aca="false">Sens!$F$6023-Sens!$F$6033</f>
        <v>13.5760496178185</v>
      </c>
      <c r="G6034" s="38" t="n">
        <f aca="false">Sens!$G$6023-Sens!$G$6033</f>
        <v>23.6029464295611</v>
      </c>
      <c r="H6034" s="38" t="n">
        <f aca="false">Sens!$H$6023-Sens!$H$6033</f>
        <v>28.3365431268884</v>
      </c>
      <c r="I6034" s="38" t="n">
        <f aca="false">Sens!$I$6023-Sens!$I$6033</f>
        <v>33.0697110226949</v>
      </c>
      <c r="J6034" s="38" t="n">
        <f aca="false">Sens!$J$6023-Sens!$J$6033</f>
        <v>37.4850806511378</v>
      </c>
      <c r="K6034" s="38" t="n">
        <f aca="false">Sens!$K$6023-Sens!$K$6033</f>
        <v>41.2335887162515</v>
      </c>
      <c r="L6034" s="38" t="n">
        <f aca="false">Sens!$L$6023-Sens!$L$6033</f>
        <v>45.3569475878767</v>
      </c>
      <c r="M6034" s="38" t="n">
        <f aca="false">Sens!$M$6023-Sens!$M$6033</f>
        <v>49.8926423466644</v>
      </c>
      <c r="N6034" s="38" t="n">
        <f aca="false">Sens!$N$6023-Sens!$N$6033</f>
        <v>7.90628885875037</v>
      </c>
      <c r="O6034" s="38" t="n">
        <f aca="false">Sens!$O$6023-Sens!$O$6033</f>
        <v>11.0010536357202</v>
      </c>
    </row>
    <row r="6035" customFormat="false" ht="19.4" hidden="false" customHeight="false" outlineLevel="0" collapsed="false">
      <c r="A6035" s="31" t="s">
        <v>1176</v>
      </c>
    </row>
    <row r="6036" customFormat="false" ht="17.15" hidden="false" customHeight="false" outlineLevel="0" collapsed="false">
      <c r="A6036" s="6" t="s">
        <v>16</v>
      </c>
      <c r="B6036" s="6" t="s">
        <v>17</v>
      </c>
      <c r="C6036" s="20" t="s">
        <v>457</v>
      </c>
      <c r="D6036" s="20" t="s">
        <v>458</v>
      </c>
      <c r="E6036" s="20" t="s">
        <v>540</v>
      </c>
      <c r="F6036" s="20" t="s">
        <v>541</v>
      </c>
      <c r="G6036" s="20" t="s">
        <v>542</v>
      </c>
      <c r="H6036" s="20" t="s">
        <v>543</v>
      </c>
      <c r="I6036" s="20" t="s">
        <v>544</v>
      </c>
      <c r="J6036" s="20" t="s">
        <v>545</v>
      </c>
      <c r="K6036" s="20" t="s">
        <v>546</v>
      </c>
      <c r="L6036" s="20" t="s">
        <v>547</v>
      </c>
      <c r="M6036" s="20" t="s">
        <v>548</v>
      </c>
      <c r="N6036" s="20" t="s">
        <v>549</v>
      </c>
      <c r="O6036" s="20" t="s">
        <v>550</v>
      </c>
      <c r="P6036" s="6" t="s">
        <v>23</v>
      </c>
      <c r="R6036" s="20" t="n">
        <v>2023</v>
      </c>
      <c r="S6036" s="20" t="n">
        <v>2024</v>
      </c>
      <c r="T6036" s="20" t="n">
        <v>2025</v>
      </c>
      <c r="U6036" s="20" t="n">
        <v>2026</v>
      </c>
      <c r="V6036" s="20" t="n">
        <v>2027</v>
      </c>
      <c r="W6036" s="20" t="n">
        <v>2028</v>
      </c>
      <c r="X6036" s="20" t="n">
        <v>2029</v>
      </c>
      <c r="Y6036" s="20" t="n">
        <v>2030</v>
      </c>
      <c r="Z6036" s="20" t="n">
        <v>2031</v>
      </c>
      <c r="AA6036" s="20" t="n">
        <v>2032</v>
      </c>
    </row>
    <row r="6037" customFormat="false" ht="17.15" hidden="false" customHeight="false" outlineLevel="0" collapsed="false">
      <c r="A6037" s="1" t="s">
        <v>551</v>
      </c>
    </row>
    <row r="6038" customFormat="false" ht="17.15" hidden="false" customHeight="false" outlineLevel="0" collapsed="false">
      <c r="A6038" s="14" t="s">
        <v>552</v>
      </c>
      <c r="B6038" s="13" t="s">
        <v>108</v>
      </c>
      <c r="C6038" s="32" t="n">
        <f aca="false">mw_ye24</f>
        <v>360</v>
      </c>
      <c r="D6038" s="32" t="n">
        <f aca="false">mw_ye25</f>
        <v>1440</v>
      </c>
      <c r="E6038" s="32" t="n">
        <f aca="false">mw_open</f>
        <v>2080</v>
      </c>
      <c r="F6038" s="32" t="n">
        <f aca="false">Sens!$E$6038+pace_B*0.5</f>
        <v>3897.15</v>
      </c>
      <c r="G6038" s="32" t="n">
        <f aca="false">Sens!$F$6038</f>
        <v>3897.15</v>
      </c>
      <c r="H6038" s="32" t="n">
        <f aca="false">Sens!$G$6038+pace_B</f>
        <v>7531.45</v>
      </c>
      <c r="I6038" s="32" t="n">
        <f aca="false">Sens!$H$6038+pace_B</f>
        <v>11165.75</v>
      </c>
      <c r="J6038" s="32" t="n">
        <f aca="false">Sens!$I$6038+pace_B</f>
        <v>14800.05</v>
      </c>
      <c r="K6038" s="32" t="n">
        <f aca="false">Sens!$J$6038+pace_B</f>
        <v>18434.35</v>
      </c>
      <c r="L6038" s="32" t="n">
        <f aca="false">Sens!$K$6038+pace_B</f>
        <v>22068.65</v>
      </c>
      <c r="M6038" s="32" t="n">
        <f aca="false">Sens!$L$6038+pace_B</f>
        <v>25702.95</v>
      </c>
      <c r="N6038" s="32" t="n">
        <f aca="false">(mw_ye24+mw_ye25)/2</f>
        <v>900</v>
      </c>
      <c r="O6038" s="32" t="n">
        <f aca="false">mw_ye25</f>
        <v>1440</v>
      </c>
      <c r="P6038" s="5" t="s">
        <v>553</v>
      </c>
    </row>
    <row r="6039" customFormat="false" ht="17.15" hidden="false" customHeight="false" outlineLevel="0" collapsed="false">
      <c r="A6039" s="5" t="s">
        <v>554</v>
      </c>
      <c r="B6039" s="0" t="s">
        <v>108</v>
      </c>
      <c r="C6039" s="33" t="n">
        <f aca="false">(mw_ye23+mw_ye24)/2</f>
        <v>240</v>
      </c>
      <c r="D6039" s="33" t="n">
        <f aca="false">(Sens!$C$6038+Sens!$D$6038)/2</f>
        <v>900</v>
      </c>
      <c r="E6039" s="33" t="n">
        <f aca="false">(Sens!$D$6038+Sens!$E$6038)/2</f>
        <v>1760</v>
      </c>
      <c r="F6039" s="33" t="n">
        <f aca="false">(Sens!$E$6038+Sens!$F$6038)/2</f>
        <v>2988.575</v>
      </c>
      <c r="G6039" s="33" t="n">
        <f aca="false">(Sens!$E$6039+Sens!$F$6039)/2</f>
        <v>2374.2875</v>
      </c>
      <c r="H6039" s="33" t="n">
        <f aca="false">(Sens!$G$6038+Sens!$H$6038)/2</f>
        <v>5714.3</v>
      </c>
      <c r="I6039" s="33" t="n">
        <f aca="false">(Sens!$H$6038+Sens!$I$6038)/2</f>
        <v>9348.6</v>
      </c>
      <c r="J6039" s="33" t="n">
        <f aca="false">(Sens!$I$6038+Sens!$J$6038)/2</f>
        <v>12982.9</v>
      </c>
      <c r="K6039" s="33" t="n">
        <f aca="false">(Sens!$J$6038+Sens!$K$6038)/2</f>
        <v>16617.2</v>
      </c>
      <c r="L6039" s="33" t="n">
        <f aca="false">(Sens!$K$6038+Sens!$L$6038)/2</f>
        <v>20251.5</v>
      </c>
      <c r="M6039" s="33" t="n">
        <f aca="false">(Sens!$L$6038+Sens!$M$6038)/2</f>
        <v>23885.8</v>
      </c>
      <c r="N6039" s="33" t="n">
        <f aca="false">(Sens!$C$6038+Sens!$N$6038)/2</f>
        <v>630</v>
      </c>
      <c r="O6039" s="33" t="n">
        <f aca="false">(Sens!$N$6038+Sens!$O$6038)/2</f>
        <v>1170</v>
      </c>
    </row>
    <row r="6040" customFormat="false" ht="15" hidden="false" customHeight="false" outlineLevel="0" collapsed="false">
      <c r="A6040" s="5" t="s">
        <v>555</v>
      </c>
      <c r="B6040" s="5" t="s">
        <v>102</v>
      </c>
      <c r="C6040" s="34" t="n">
        <v>1</v>
      </c>
      <c r="D6040" s="34" t="n">
        <v>1</v>
      </c>
      <c r="E6040" s="34" t="n">
        <v>0.5</v>
      </c>
      <c r="F6040" s="34" t="n">
        <v>0.5</v>
      </c>
      <c r="G6040" s="34" t="n">
        <v>1</v>
      </c>
      <c r="H6040" s="34" t="n">
        <v>1</v>
      </c>
      <c r="I6040" s="34" t="n">
        <v>1</v>
      </c>
      <c r="J6040" s="34" t="n">
        <v>1</v>
      </c>
      <c r="K6040" s="34" t="n">
        <v>1</v>
      </c>
      <c r="L6040" s="34" t="n">
        <v>1</v>
      </c>
      <c r="M6040" s="34" t="n">
        <v>1</v>
      </c>
      <c r="N6040" s="34" t="n">
        <v>0.5</v>
      </c>
      <c r="O6040" s="34" t="n">
        <v>0.5</v>
      </c>
    </row>
    <row r="6041" customFormat="false" ht="17.15" hidden="false" customHeight="false" outlineLevel="0" collapsed="false">
      <c r="A6041" s="5" t="s">
        <v>556</v>
      </c>
      <c r="B6041" s="0" t="s">
        <v>108</v>
      </c>
      <c r="C6041" s="33" t="n">
        <f aca="false">Sens!$C$6038-mw_ye23</f>
        <v>240</v>
      </c>
      <c r="D6041" s="33" t="n">
        <f aca="false">Sens!$D$6038-Sens!$C$6038</f>
        <v>1080</v>
      </c>
      <c r="E6041" s="33" t="n">
        <f aca="false">Sens!$E$6038-Sens!$D$6038</f>
        <v>640</v>
      </c>
      <c r="F6041" s="33" t="n">
        <f aca="false">Sens!$F$6038-Sens!$E$6038</f>
        <v>1817.15</v>
      </c>
      <c r="G6041" s="33" t="n">
        <f aca="false">Sens!$E$6041+Sens!$F$6041</f>
        <v>2457.15</v>
      </c>
      <c r="H6041" s="33" t="n">
        <f aca="false">Sens!$H$6038-Sens!$G$6038</f>
        <v>3634.3</v>
      </c>
      <c r="I6041" s="33" t="n">
        <f aca="false">Sens!$I$6038-Sens!$H$6038</f>
        <v>3634.3</v>
      </c>
      <c r="J6041" s="33" t="n">
        <f aca="false">Sens!$J$6038-Sens!$I$6038</f>
        <v>3634.3</v>
      </c>
      <c r="K6041" s="33" t="n">
        <f aca="false">Sens!$K$6038-Sens!$J$6038</f>
        <v>3634.3</v>
      </c>
      <c r="L6041" s="33" t="n">
        <f aca="false">Sens!$L$6038-Sens!$K$6038</f>
        <v>3634.3</v>
      </c>
      <c r="M6041" s="33" t="n">
        <f aca="false">Sens!$M$6038-Sens!$L$6038</f>
        <v>3634.3</v>
      </c>
      <c r="N6041" s="33" t="n">
        <f aca="false">Sens!$N$6038-Sens!$C$6038</f>
        <v>540</v>
      </c>
      <c r="O6041" s="33" t="n">
        <f aca="false">Sens!$O$6038-Sens!$N$6038</f>
        <v>540</v>
      </c>
    </row>
    <row r="6042" customFormat="false" ht="17.15" hidden="false" customHeight="false" outlineLevel="0" collapsed="false">
      <c r="A6042" s="5" t="s">
        <v>557</v>
      </c>
      <c r="B6042" s="0" t="s">
        <v>108</v>
      </c>
      <c r="C6042" s="33" t="n">
        <f aca="false">Sens!$C$6041/ext_sh</f>
        <v>300</v>
      </c>
      <c r="D6042" s="33" t="n">
        <f aca="false">Sens!$D$6041/ext_sh</f>
        <v>1350</v>
      </c>
      <c r="E6042" s="33" t="n">
        <f aca="false">Sens!$E$6041/ext_sh</f>
        <v>800</v>
      </c>
      <c r="F6042" s="33" t="n">
        <f aca="false">Sens!$F$6041/ext_sh</f>
        <v>2271.4375</v>
      </c>
      <c r="G6042" s="33" t="n">
        <f aca="false">Sens!$G$6041/ext_sh</f>
        <v>3071.4375</v>
      </c>
      <c r="H6042" s="33" t="n">
        <f aca="false">Sens!$H$6041/ext_sh</f>
        <v>4542.875</v>
      </c>
      <c r="I6042" s="33" t="n">
        <f aca="false">Sens!$I$6041/ext_sh</f>
        <v>4542.875</v>
      </c>
      <c r="J6042" s="33" t="n">
        <f aca="false">Sens!$J$6041/ext_sh</f>
        <v>4542.875</v>
      </c>
      <c r="K6042" s="33" t="n">
        <f aca="false">Sens!$K$6041/ext_sh</f>
        <v>4542.875</v>
      </c>
      <c r="L6042" s="33" t="n">
        <f aca="false">Sens!$L$6041/ext_sh</f>
        <v>4542.875</v>
      </c>
      <c r="M6042" s="33" t="n">
        <f aca="false">Sens!$M$6041/ext_sh</f>
        <v>4542.875</v>
      </c>
      <c r="N6042" s="33" t="n">
        <f aca="false">Sens!$N$6041/ext_sh</f>
        <v>675</v>
      </c>
      <c r="O6042" s="33" t="n">
        <f aca="false">Sens!$O$6041/ext_sh</f>
        <v>675</v>
      </c>
      <c r="P6042" s="8" t="s">
        <v>558</v>
      </c>
      <c r="R6042" s="33" t="n">
        <f aca="false">mw_ye23/ext_sh</f>
        <v>150</v>
      </c>
      <c r="S6042" s="33" t="n">
        <f aca="false">Sens!$C$6042</f>
        <v>300</v>
      </c>
      <c r="T6042" s="33" t="n">
        <f aca="false">Sens!$D$6042</f>
        <v>1350</v>
      </c>
      <c r="U6042" s="33" t="n">
        <f aca="false">Sens!$G$6042</f>
        <v>3071.4375</v>
      </c>
      <c r="V6042" s="33" t="n">
        <f aca="false">Sens!$H$6042</f>
        <v>4542.875</v>
      </c>
      <c r="W6042" s="33" t="n">
        <f aca="false">Sens!$I$6042</f>
        <v>4542.875</v>
      </c>
      <c r="X6042" s="33" t="n">
        <f aca="false">Sens!$J$6042</f>
        <v>4542.875</v>
      </c>
      <c r="Y6042" s="33" t="n">
        <f aca="false">Sens!$K$6042</f>
        <v>4542.875</v>
      </c>
      <c r="Z6042" s="33" t="n">
        <f aca="false">Sens!$L$6042</f>
        <v>4542.875</v>
      </c>
      <c r="AA6042" s="33" t="n">
        <f aca="false">Sens!$M$6042</f>
        <v>4542.875</v>
      </c>
    </row>
    <row r="6043" customFormat="false" ht="17.15" hidden="false" customHeight="false" outlineLevel="0" collapsed="false">
      <c r="A6043" s="1" t="s">
        <v>559</v>
      </c>
    </row>
    <row r="6044" customFormat="false" ht="17.15" hidden="false" customHeight="false" outlineLevel="0" collapsed="false">
      <c r="A6044" s="0" t="s">
        <v>560</v>
      </c>
      <c r="B6044" s="0" t="s">
        <v>52</v>
      </c>
      <c r="F6044" s="35" t="n">
        <f aca="false">na_vr26</f>
        <v>0</v>
      </c>
      <c r="G6044" s="35" t="n">
        <f aca="false">na_vr26</f>
        <v>0</v>
      </c>
      <c r="H6044" s="35" t="n">
        <f aca="false">na_vr27</f>
        <v>0.5</v>
      </c>
      <c r="I6044" s="35" t="n">
        <f aca="false">na_vr28</f>
        <v>1</v>
      </c>
      <c r="J6044" s="35" t="n">
        <f aca="false">na_vr28</f>
        <v>1</v>
      </c>
      <c r="K6044" s="35" t="n">
        <f aca="false">na_vr28</f>
        <v>1</v>
      </c>
      <c r="L6044" s="35" t="n">
        <f aca="false">na_vr28</f>
        <v>1</v>
      </c>
      <c r="M6044" s="35" t="n">
        <f aca="false">na_vr28</f>
        <v>1</v>
      </c>
    </row>
    <row r="6045" customFormat="false" ht="17.15" hidden="false" customHeight="false" outlineLevel="0" collapsed="false">
      <c r="A6045" s="5" t="s">
        <v>561</v>
      </c>
      <c r="B6045" s="0" t="s">
        <v>151</v>
      </c>
      <c r="F6045" s="36" t="n">
        <f aca="false">cust_sh*tk_he_gb300*cf_chip+(1-cust_sh)*((1-Sens!$F$6044)*tk_he_gb300+Sens!$F$6044*tk_he_vr200)</f>
        <v>10.8864110021101</v>
      </c>
      <c r="G6045" s="36" t="n">
        <f aca="false">cust_sh*tk_he_gb300*cf_chip+(1-cust_sh)*((1-Sens!$G$6044)*tk_he_gb300+Sens!$G$6044*tk_he_vr200)</f>
        <v>10.8864110021101</v>
      </c>
      <c r="H6045" s="36" t="n">
        <f aca="false">cust_sh*tk_he_gb300*cf_chip+(1-cust_sh)*((1-Sens!$H$6044)*tk_he_gb300+Sens!$H$6044*tk_he_vr200)</f>
        <v>11.2211760027286</v>
      </c>
      <c r="I6045" s="36" t="n">
        <f aca="false">cust_sh*tk_he_gb300*cf_chip+(1-cust_sh)*((1-Sens!$I$6044)*tk_he_gb300+Sens!$I$6044*tk_he_vr200)</f>
        <v>11.5559410033471</v>
      </c>
      <c r="J6045" s="36" t="n">
        <f aca="false">cust_sh*tk_he_gb300*cf_chip+(1-cust_sh)*((1-Sens!$J$6044)*tk_he_gb300+Sens!$J$6044*tk_he_vr200)</f>
        <v>11.5559410033471</v>
      </c>
      <c r="K6045" s="36" t="n">
        <f aca="false">cust_sh*tk_he_gb300*cf_chip+(1-cust_sh)*((1-Sens!$K$6044)*tk_he_gb300+Sens!$K$6044*tk_he_vr200)</f>
        <v>11.5559410033471</v>
      </c>
      <c r="L6045" s="36" t="n">
        <f aca="false">cust_sh*tk_he_gb300*cf_chip+(1-cust_sh)*((1-Sens!$L$6044)*tk_he_gb300+Sens!$L$6044*tk_he_vr200)</f>
        <v>11.5559410033471</v>
      </c>
      <c r="M6045" s="36" t="n">
        <f aca="false">cust_sh*tk_he_gb300*cf_chip+(1-cust_sh)*((1-Sens!$M$6044)*tk_he_gb300+Sens!$M$6044*tk_he_vr200)</f>
        <v>11.5559410033471</v>
      </c>
    </row>
    <row r="6046" customFormat="false" ht="17.15" hidden="false" customHeight="false" outlineLevel="0" collapsed="false">
      <c r="A6046" s="5" t="s">
        <v>562</v>
      </c>
      <c r="B6046" s="0" t="s">
        <v>151</v>
      </c>
      <c r="F6046" s="36" t="n">
        <f aca="false">cust_sh*tk_ox_gb300+(1-cust_sh)*((1-Sens!$F$6044)*tk_ox_gb300+Sens!$F$6044*tk_ox_vr200)</f>
        <v>1.98263481314457</v>
      </c>
      <c r="G6046" s="36" t="n">
        <f aca="false">cust_sh*tk_ox_gb300+(1-cust_sh)*((1-Sens!$G$6044)*tk_ox_gb300+Sens!$G$6044*tk_ox_vr200)</f>
        <v>1.98263481314457</v>
      </c>
      <c r="H6046" s="36" t="n">
        <f aca="false">cust_sh*tk_ox_gb300+(1-cust_sh)*((1-Sens!$H$6044)*tk_ox_gb300+Sens!$H$6044*tk_ox_vr200)</f>
        <v>2.01034999693694</v>
      </c>
      <c r="I6046" s="36" t="n">
        <f aca="false">cust_sh*tk_ox_gb300+(1-cust_sh)*((1-Sens!$I$6044)*tk_ox_gb300+Sens!$I$6044*tk_ox_vr200)</f>
        <v>2.0380651807293</v>
      </c>
      <c r="J6046" s="36" t="n">
        <f aca="false">cust_sh*tk_ox_gb300+(1-cust_sh)*((1-Sens!$J$6044)*tk_ox_gb300+Sens!$J$6044*tk_ox_vr200)</f>
        <v>2.0380651807293</v>
      </c>
      <c r="K6046" s="36" t="n">
        <f aca="false">cust_sh*tk_ox_gb300+(1-cust_sh)*((1-Sens!$K$6044)*tk_ox_gb300+Sens!$K$6044*tk_ox_vr200)</f>
        <v>2.0380651807293</v>
      </c>
      <c r="L6046" s="36" t="n">
        <f aca="false">cust_sh*tk_ox_gb300+(1-cust_sh)*((1-Sens!$L$6044)*tk_ox_gb300+Sens!$L$6044*tk_ox_vr200)</f>
        <v>2.0380651807293</v>
      </c>
      <c r="M6046" s="36" t="n">
        <f aca="false">cust_sh*tk_ox_gb300+(1-cust_sh)*((1-Sens!$M$6044)*tk_ox_gb300+Sens!$M$6044*tk_ox_vr200)</f>
        <v>2.0380651807293</v>
      </c>
    </row>
    <row r="6047" customFormat="false" ht="17.15" hidden="false" customHeight="false" outlineLevel="0" collapsed="false">
      <c r="A6047" s="5" t="s">
        <v>563</v>
      </c>
      <c r="B6047" s="0" t="s">
        <v>170</v>
      </c>
      <c r="F6047" s="36" t="n">
        <f aca="false">cust_sh*tk_cx_gb300*cf_cx+(1-cust_sh)*((1-Sens!$F$6044)*tk_cx_gb300+Sens!$F$6044*tk_cx_vr200)</f>
        <v>32.237224</v>
      </c>
      <c r="G6047" s="36" t="n">
        <f aca="false">cust_sh*tk_cx_gb300*cf_cx+(1-cust_sh)*((1-Sens!$G$6044)*tk_cx_gb300+Sens!$G$6044*tk_cx_vr200)</f>
        <v>32.237224</v>
      </c>
      <c r="H6047" s="36" t="n">
        <f aca="false">cust_sh*tk_cx_gb300*cf_cx+(1-cust_sh)*((1-Sens!$H$6044)*tk_cx_gb300+Sens!$H$6044*tk_cx_vr200)</f>
        <v>33.574506</v>
      </c>
      <c r="I6047" s="36" t="n">
        <f aca="false">cust_sh*tk_cx_gb300*cf_cx+(1-cust_sh)*((1-Sens!$I$6044)*tk_cx_gb300+Sens!$I$6044*tk_cx_vr200)</f>
        <v>34.911788</v>
      </c>
      <c r="J6047" s="36" t="n">
        <f aca="false">cust_sh*tk_cx_gb300*cf_cx+(1-cust_sh)*((1-Sens!$J$6044)*tk_cx_gb300+Sens!$J$6044*tk_cx_vr200)</f>
        <v>34.911788</v>
      </c>
      <c r="K6047" s="36" t="n">
        <f aca="false">cust_sh*tk_cx_gb300*cf_cx+(1-cust_sh)*((1-Sens!$K$6044)*tk_cx_gb300+Sens!$K$6044*tk_cx_vr200)</f>
        <v>34.911788</v>
      </c>
      <c r="L6047" s="36" t="n">
        <f aca="false">cust_sh*tk_cx_gb300*cf_cx+(1-cust_sh)*((1-Sens!$L$6044)*tk_cx_gb300+Sens!$L$6044*tk_cx_vr200)</f>
        <v>34.911788</v>
      </c>
      <c r="M6047" s="36" t="n">
        <f aca="false">cust_sh*tk_cx_gb300*cf_cx+(1-cust_sh)*((1-Sens!$M$6044)*tk_cx_gb300+Sens!$M$6044*tk_cx_vr200)</f>
        <v>34.911788</v>
      </c>
    </row>
    <row r="6048" customFormat="false" ht="17.15" hidden="false" customHeight="false" outlineLevel="0" collapsed="false">
      <c r="A6048" s="5" t="s">
        <v>564</v>
      </c>
      <c r="B6048" s="0" t="s">
        <v>108</v>
      </c>
      <c r="F6048" s="33" t="n">
        <f aca="false">Sens!$F$6038-mw_open</f>
        <v>1817.15</v>
      </c>
      <c r="G6048" s="33" t="n">
        <f aca="false">Sens!$F$6048</f>
        <v>1817.15</v>
      </c>
      <c r="H6048" s="33" t="n">
        <f aca="false">Sens!$H$6038-mw_open</f>
        <v>5451.45</v>
      </c>
      <c r="I6048" s="33" t="n">
        <f aca="false">Sens!$I$6038-mw_open</f>
        <v>9085.75</v>
      </c>
      <c r="J6048" s="33" t="n">
        <f aca="false">Sens!$J$6038-mw_open</f>
        <v>12720.05</v>
      </c>
      <c r="K6048" s="33" t="n">
        <f aca="false">Sens!$K$6038-mw_open</f>
        <v>16354.35</v>
      </c>
      <c r="L6048" s="33" t="n">
        <f aca="false">Sens!$L$6038-mw_open</f>
        <v>19988.65</v>
      </c>
      <c r="M6048" s="33" t="n">
        <f aca="false">Sens!$M$6038-mw_open</f>
        <v>23622.95</v>
      </c>
    </row>
    <row r="6049" customFormat="false" ht="17.15" hidden="false" customHeight="false" outlineLevel="0" collapsed="false">
      <c r="A6049" s="0" t="s">
        <v>565</v>
      </c>
      <c r="B6049" s="0" t="s">
        <v>566</v>
      </c>
      <c r="F6049" s="33" t="n">
        <f aca="false">Sens!$F$6041*Sens!$F$6045</f>
        <v>19782.2417524844</v>
      </c>
      <c r="G6049" s="33" t="n">
        <f aca="false">Sens!$F$6049</f>
        <v>19782.2417524844</v>
      </c>
      <c r="H6049" s="33" t="n">
        <f aca="false">Sens!$G$6049+Sens!$H$6041*Sens!$H$6045</f>
        <v>60563.3616992009</v>
      </c>
      <c r="I6049" s="33" t="n">
        <f aca="false">Sens!$H$6049+Sens!$I$6041*Sens!$I$6045</f>
        <v>102561.118087665</v>
      </c>
      <c r="J6049" s="33" t="n">
        <f aca="false">Sens!$I$6049+Sens!$J$6041*Sens!$J$6045</f>
        <v>144558.87447613</v>
      </c>
      <c r="K6049" s="33" t="n">
        <f aca="false">Sens!$J$6049+Sens!$K$6041*Sens!$K$6045</f>
        <v>186556.630864594</v>
      </c>
      <c r="L6049" s="33" t="n">
        <f aca="false">Sens!$K$6049+Sens!$L$6041*Sens!$L$6045</f>
        <v>228554.387253058</v>
      </c>
      <c r="M6049" s="33" t="n">
        <f aca="false">Sens!$L$6049+Sens!$M$6041*Sens!$M$6045</f>
        <v>270552.143641523</v>
      </c>
    </row>
    <row r="6050" customFormat="false" ht="17.15" hidden="false" customHeight="false" outlineLevel="0" collapsed="false">
      <c r="A6050" s="0" t="s">
        <v>567</v>
      </c>
      <c r="B6050" s="0" t="s">
        <v>566</v>
      </c>
      <c r="F6050" s="33" t="n">
        <f aca="false">Sens!$F$6041*Sens!$F$6046</f>
        <v>3602.74485070566</v>
      </c>
      <c r="G6050" s="33" t="n">
        <f aca="false">Sens!$F$6050</f>
        <v>3602.74485070566</v>
      </c>
      <c r="H6050" s="33" t="n">
        <f aca="false">Sens!$G$6050+Sens!$H$6041*Sens!$H$6046</f>
        <v>10908.9598445736</v>
      </c>
      <c r="I6050" s="33" t="n">
        <f aca="false">Sens!$H$6050+Sens!$I$6041*Sens!$I$6046</f>
        <v>18315.9001308981</v>
      </c>
      <c r="J6050" s="33" t="n">
        <f aca="false">Sens!$I$6050+Sens!$J$6041*Sens!$J$6046</f>
        <v>25722.8404172225</v>
      </c>
      <c r="K6050" s="33" t="n">
        <f aca="false">Sens!$J$6050+Sens!$K$6041*Sens!$K$6046</f>
        <v>33129.780703547</v>
      </c>
      <c r="L6050" s="33" t="n">
        <f aca="false">Sens!$K$6050+Sens!$L$6041*Sens!$L$6046</f>
        <v>40536.7209898715</v>
      </c>
      <c r="M6050" s="33" t="n">
        <f aca="false">Sens!$L$6050+Sens!$M$6041*Sens!$M$6046</f>
        <v>47943.661276196</v>
      </c>
    </row>
    <row r="6051" customFormat="false" ht="17.15" hidden="false" customHeight="false" outlineLevel="0" collapsed="false">
      <c r="A6051" s="5" t="s">
        <v>568</v>
      </c>
      <c r="B6051" s="0" t="s">
        <v>151</v>
      </c>
      <c r="F6051" s="36" t="n">
        <f aca="false">IF(Sens!$F$6048&gt;0,Sens!$F$6049/Sens!$F$6048,Sens!$F$6045)</f>
        <v>10.8864110021101</v>
      </c>
      <c r="G6051" s="36" t="n">
        <f aca="false">IF(Sens!$G$6048&gt;0,Sens!$G$6049/Sens!$G$6048,Sens!$G$6045)</f>
        <v>10.8864110021101</v>
      </c>
      <c r="H6051" s="36" t="n">
        <f aca="false">IF(Sens!$H$6048&gt;0,Sens!$H$6049/Sens!$H$6048,Sens!$H$6045)</f>
        <v>11.1095876691891</v>
      </c>
      <c r="I6051" s="36" t="n">
        <f aca="false">IF(Sens!$I$6048&gt;0,Sens!$I$6049/Sens!$I$6048,Sens!$I$6045)</f>
        <v>11.2881290028523</v>
      </c>
      <c r="J6051" s="36" t="n">
        <f aca="false">IF(Sens!$J$6048&gt;0,Sens!$J$6049/Sens!$J$6048,Sens!$J$6045)</f>
        <v>11.3646467172794</v>
      </c>
      <c r="K6051" s="36" t="n">
        <f aca="false">IF(Sens!$K$6048&gt;0,Sens!$K$6049/Sens!$K$6048,Sens!$K$6045)</f>
        <v>11.4071565586278</v>
      </c>
      <c r="L6051" s="36" t="n">
        <f aca="false">IF(Sens!$L$6048&gt;0,Sens!$L$6049/Sens!$L$6048,Sens!$L$6045)</f>
        <v>11.4342082758495</v>
      </c>
      <c r="M6051" s="36" t="n">
        <f aca="false">IF(Sens!$M$6048&gt;0,Sens!$M$6049/Sens!$M$6048,Sens!$M$6045)</f>
        <v>11.4529363877722</v>
      </c>
    </row>
    <row r="6052" customFormat="false" ht="17.15" hidden="false" customHeight="false" outlineLevel="0" collapsed="false">
      <c r="A6052" s="5" t="s">
        <v>569</v>
      </c>
      <c r="B6052" s="0" t="s">
        <v>151</v>
      </c>
      <c r="F6052" s="36" t="n">
        <f aca="false">IF(Sens!$F$6048&gt;0,Sens!$F$6050/Sens!$F$6048,Sens!$F$6046)</f>
        <v>1.98263481314457</v>
      </c>
      <c r="G6052" s="36" t="n">
        <f aca="false">IF(Sens!$G$6048&gt;0,Sens!$G$6050/Sens!$G$6048,Sens!$G$6046)</f>
        <v>1.98263481314457</v>
      </c>
      <c r="H6052" s="36" t="n">
        <f aca="false">IF(Sens!$H$6048&gt;0,Sens!$H$6050/Sens!$H$6048,Sens!$H$6046)</f>
        <v>2.00111160233948</v>
      </c>
      <c r="I6052" s="36" t="n">
        <f aca="false">IF(Sens!$I$6048&gt;0,Sens!$I$6050/Sens!$I$6048,Sens!$I$6046)</f>
        <v>2.01589303369541</v>
      </c>
      <c r="J6052" s="36" t="n">
        <f aca="false">IF(Sens!$J$6048&gt;0,Sens!$J$6050/Sens!$J$6048,Sens!$J$6046)</f>
        <v>2.02222793284795</v>
      </c>
      <c r="K6052" s="36" t="n">
        <f aca="false">IF(Sens!$K$6048&gt;0,Sens!$K$6050/Sens!$K$6048,Sens!$K$6046)</f>
        <v>2.02574732126603</v>
      </c>
      <c r="L6052" s="36" t="n">
        <f aca="false">IF(Sens!$L$6048&gt;0,Sens!$L$6050/Sens!$L$6048,Sens!$L$6046)</f>
        <v>2.02798693207753</v>
      </c>
      <c r="M6052" s="36" t="n">
        <f aca="false">IF(Sens!$M$6048&gt;0,Sens!$M$6050/Sens!$M$6048,Sens!$M$6046)</f>
        <v>2.02953743187011</v>
      </c>
    </row>
    <row r="6053" customFormat="false" ht="17.15" hidden="false" customHeight="false" outlineLevel="0" collapsed="false">
      <c r="A6053" s="14" t="s">
        <v>570</v>
      </c>
      <c r="B6053" s="13" t="s">
        <v>151</v>
      </c>
      <c r="C6053" s="13"/>
      <c r="D6053" s="13"/>
      <c r="E6053" s="13"/>
      <c r="F6053" s="37" t="n">
        <f aca="false">Sens!$F$6051*k_B</f>
        <v>10.7987645808025</v>
      </c>
      <c r="G6053" s="37" t="n">
        <f aca="false">Sens!$G$6051*k_B</f>
        <v>10.7987645808025</v>
      </c>
      <c r="H6053" s="37" t="n">
        <f aca="false">Sens!$H$6051*k_B</f>
        <v>11.0201444540452</v>
      </c>
      <c r="I6053" s="37" t="n">
        <f aca="false">Sens!$I$6051*k_B</f>
        <v>11.1972483526393</v>
      </c>
      <c r="J6053" s="37" t="n">
        <f aca="false">Sens!$J$6051*k_B</f>
        <v>11.2731500234653</v>
      </c>
      <c r="K6053" s="37" t="n">
        <f aca="false">Sens!$K$6051*k_B</f>
        <v>11.3153176183687</v>
      </c>
      <c r="L6053" s="37" t="n">
        <f aca="false">Sens!$L$6051*k_B</f>
        <v>11.3421515423981</v>
      </c>
      <c r="M6053" s="37" t="n">
        <f aca="false">Sens!$M$6051*k_B</f>
        <v>11.3607288744184</v>
      </c>
      <c r="N6053" s="13"/>
      <c r="O6053" s="13"/>
      <c r="P6053" s="5" t="s">
        <v>571</v>
      </c>
    </row>
    <row r="6054" customFormat="false" ht="17.15" hidden="false" customHeight="false" outlineLevel="0" collapsed="false">
      <c r="A6054" s="5" t="s">
        <v>572</v>
      </c>
      <c r="B6054" s="0" t="s">
        <v>108</v>
      </c>
      <c r="F6054" s="33" t="n">
        <f aca="false">Sens!$F$6048/2</f>
        <v>908.575</v>
      </c>
      <c r="H6054" s="33" t="n">
        <f aca="false">(Sens!$G$6048+Sens!$H$6048)/2</f>
        <v>3634.3</v>
      </c>
      <c r="I6054" s="33" t="n">
        <f aca="false">(Sens!$H$6048+Sens!$I$6048)/2</f>
        <v>7268.6</v>
      </c>
      <c r="J6054" s="33" t="n">
        <f aca="false">(Sens!$I$6048+Sens!$J$6048)/2</f>
        <v>10902.9</v>
      </c>
      <c r="K6054" s="33" t="n">
        <f aca="false">(Sens!$J$6048+Sens!$K$6048)/2</f>
        <v>14537.2</v>
      </c>
      <c r="L6054" s="33" t="n">
        <f aca="false">(Sens!$K$6048+Sens!$L$6048)/2</f>
        <v>18171.5</v>
      </c>
      <c r="M6054" s="33" t="n">
        <f aca="false">(Sens!$L$6048+Sens!$M$6048)/2</f>
        <v>21805.8</v>
      </c>
    </row>
    <row r="6055" customFormat="false" ht="17.15" hidden="false" customHeight="false" outlineLevel="0" collapsed="false">
      <c r="A6055" s="1" t="s">
        <v>573</v>
      </c>
    </row>
    <row r="6056" customFormat="false" ht="17.15" hidden="false" customHeight="false" outlineLevel="0" collapsed="false">
      <c r="A6056" s="1" t="s">
        <v>574</v>
      </c>
      <c r="B6056" s="8" t="s">
        <v>73</v>
      </c>
      <c r="C6056" s="38" t="n">
        <f aca="false">Sens!$C$6039*rpm_open*Sens!$C$6040/1000</f>
        <v>2.32100535697364</v>
      </c>
      <c r="D6056" s="38" t="n">
        <f aca="false">Sens!$D$6039*rpm_open*Sens!$D$6040/1000</f>
        <v>8.70377008865116</v>
      </c>
      <c r="E6056" s="38" t="n">
        <f aca="false">Sens!$E$6039*rpm_open*Sens!$E$6040/1000</f>
        <v>8.51035297557002</v>
      </c>
      <c r="F6056" s="38" t="n">
        <f aca="false">(mw_open*rpm_open+Sens!$F$6054*Sens!$F$6053)*Sens!$F$6040/1000</f>
        <v>14.9634336447205</v>
      </c>
      <c r="G6056" s="38" t="n">
        <f aca="false">Sens!$E$6056+Sens!$F$6056</f>
        <v>23.4737866202905</v>
      </c>
      <c r="H6056" s="38" t="n">
        <f aca="false">(mw_open*rpm_open+Sens!$H$6054*Sens!$H$6053)/1000</f>
        <v>60.1658907497746</v>
      </c>
      <c r="I6056" s="38" t="n">
        <f aca="false">(mw_open*rpm_open+Sens!$I$6054*Sens!$I$6053)/1000</f>
        <v>101.503699136432</v>
      </c>
      <c r="J6056" s="38" t="n">
        <f aca="false">(mw_open*rpm_open+Sens!$J$6054*Sens!$J$6053)/1000</f>
        <v>143.025407151278</v>
      </c>
      <c r="K6056" s="38" t="n">
        <f aca="false">(mw_open*rpm_open+Sens!$K$6054*Sens!$K$6053)/1000</f>
        <v>184.608415042187</v>
      </c>
      <c r="L6056" s="38" t="n">
        <f aca="false">(mw_open*rpm_open+Sens!$L$6054*Sens!$L$6053)/1000</f>
        <v>226.219286513125</v>
      </c>
      <c r="M6056" s="38" t="n">
        <f aca="false">(mw_open*rpm_open+Sens!$M$6054*Sens!$M$6053)/1000</f>
        <v>267.845161450232</v>
      </c>
      <c r="N6056" s="38" t="n">
        <f aca="false">Sens!$N$6039*rpm_open*Sens!$N$6040/1000</f>
        <v>3.04631953102791</v>
      </c>
      <c r="O6056" s="38" t="n">
        <f aca="false">Sens!$O$6039*rpm_open*Sens!$O$6040/1000</f>
        <v>5.65745055762326</v>
      </c>
      <c r="P6056" s="5" t="s">
        <v>575</v>
      </c>
    </row>
    <row r="6057" customFormat="false" ht="17.15" hidden="false" customHeight="false" outlineLevel="0" collapsed="false">
      <c r="A6057" s="5" t="s">
        <v>576</v>
      </c>
      <c r="B6057" s="0" t="s">
        <v>151</v>
      </c>
      <c r="C6057" s="36" t="n">
        <f aca="false">Sens!$C$6056*1000/(Sens!$C$6039*Sens!$C$6040)</f>
        <v>9.67085565405685</v>
      </c>
      <c r="D6057" s="36" t="n">
        <f aca="false">Sens!$D$6056*1000/(Sens!$D$6039*Sens!$D$6040)</f>
        <v>9.67085565405685</v>
      </c>
      <c r="E6057" s="36" t="n">
        <f aca="false">Sens!$E$6056*1000/(Sens!$E$6039*Sens!$E$6040)</f>
        <v>9.67085565405685</v>
      </c>
      <c r="F6057" s="36" t="n">
        <f aca="false">Sens!$F$6056*1000/(Sens!$F$6039*Sens!$F$6040)</f>
        <v>10.0137581588017</v>
      </c>
      <c r="G6057" s="36" t="n">
        <f aca="false">Sens!$G$6056*1000/(Sens!$G$6039*Sens!$G$6040)</f>
        <v>9.88666562928478</v>
      </c>
      <c r="H6057" s="36" t="n">
        <f aca="false">Sens!$H$6056*1000/(Sens!$H$6039*Sens!$H$6040)</f>
        <v>10.5290045586992</v>
      </c>
      <c r="I6057" s="36" t="n">
        <f aca="false">Sens!$I$6056*1000/(Sens!$I$6039*Sens!$I$6040)</f>
        <v>10.8576363451674</v>
      </c>
      <c r="J6057" s="36" t="n">
        <f aca="false">Sens!$J$6056*1000/(Sens!$J$6039*Sens!$J$6040)</f>
        <v>11.0164452588619</v>
      </c>
      <c r="K6057" s="36" t="n">
        <f aca="false">Sens!$K$6056*1000/(Sens!$K$6039*Sens!$K$6040)</f>
        <v>11.1094778327388</v>
      </c>
      <c r="L6057" s="36" t="n">
        <f aca="false">Sens!$L$6056*1000/(Sens!$L$6039*Sens!$L$6040)</f>
        <v>11.1704953466718</v>
      </c>
      <c r="M6057" s="36" t="n">
        <f aca="false">Sens!$M$6056*1000/(Sens!$M$6039*Sens!$M$6040)</f>
        <v>11.2135729785158</v>
      </c>
      <c r="N6057" s="36" t="n">
        <f aca="false">Sens!$N$6056*1000/(Sens!$N$6039*Sens!$N$6040)</f>
        <v>9.67085565405685</v>
      </c>
      <c r="O6057" s="36" t="n">
        <f aca="false">Sens!$O$6056*1000/(Sens!$O$6039*Sens!$O$6040)</f>
        <v>9.67085565405685</v>
      </c>
    </row>
    <row r="6058" customFormat="false" ht="17.15" hidden="false" customHeight="false" outlineLevel="0" collapsed="false">
      <c r="A6058" s="0" t="s">
        <v>577</v>
      </c>
      <c r="B6058" s="0" t="s">
        <v>73</v>
      </c>
      <c r="C6058" s="38" t="n">
        <f aca="false">Sens!$C$6039/ext_sh*(ox_open+rent_mw)*Sens!$C$6040/1000</f>
        <v>0.642569210675032</v>
      </c>
      <c r="D6058" s="38" t="n">
        <f aca="false">Sens!$D$6039/ext_sh*(ox_open+rent_mw)*Sens!$D$6040/1000</f>
        <v>2.40963454003137</v>
      </c>
      <c r="E6058" s="38" t="n">
        <f aca="false">Sens!$E$6039/ext_sh*(ox_open+rent_mw)*Sens!$E$6040/1000</f>
        <v>2.35608710580845</v>
      </c>
      <c r="F6058" s="38" t="n">
        <f aca="false">((mw_open*ox_open+Sens!$F$6054*Sens!$F$6052)/ext_sh+Sens!$F$6039/ext_sh*rent_mw)*Sens!$F$6040/1000</f>
        <v>4.05421991106232</v>
      </c>
      <c r="G6058" s="38" t="n">
        <f aca="false">Sens!$E$6058+Sens!$F$6058</f>
        <v>6.41030701687077</v>
      </c>
      <c r="H6058" s="38" t="n">
        <f aca="false">((mw_open*ox_open+Sens!$H$6054*Sens!$H$6052)/ext_sh+Sens!$H$6039/ext_sh*rent_mw)*Sens!$H$6040/1000</f>
        <v>15.8108975546616</v>
      </c>
      <c r="I6058" s="38" t="n">
        <f aca="false">((mw_open*ox_open+Sens!$I$6054*Sens!$I$6052)/ext_sh+Sens!$I$6039/ext_sh*rent_mw)*Sens!$I$6040/1000</f>
        <v>26.1871623400817</v>
      </c>
      <c r="J6058" s="38" t="n">
        <f aca="false">((mw_open*ox_open+Sens!$J$6054*Sens!$J$6052)/ext_sh+Sens!$J$6039/ext_sh*rent_mw)*Sens!$J$6040/1000</f>
        <v>36.5826128954935</v>
      </c>
      <c r="K6058" s="38" t="n">
        <f aca="false">((mw_open*ox_open+Sens!$K$6054*Sens!$K$6052)/ext_sh+Sens!$K$6039/ext_sh*rent_mw)*Sens!$K$6040/1000</f>
        <v>46.9844587075692</v>
      </c>
      <c r="L6058" s="38" t="n">
        <f aca="false">((mw_open*ox_open+Sens!$L$6054*Sens!$L$6052)/ext_sh+Sens!$L$6039/ext_sh*rent_mw)*Sens!$L$6040/1000</f>
        <v>57.3892114544922</v>
      </c>
      <c r="M6058" s="38" t="n">
        <f aca="false">((mw_open*ox_open+Sens!$M$6054*Sens!$M$6052)/ext_sh+Sens!$M$6039/ext_sh*rent_mw)*Sens!$M$6040/1000</f>
        <v>67.7955294740252</v>
      </c>
      <c r="N6058" s="38" t="n">
        <f aca="false">Sens!$N$6039/ext_sh*(ox_open+rent_mw)*Sens!$N$6040/1000</f>
        <v>0.84337208901098</v>
      </c>
      <c r="O6058" s="38" t="n">
        <f aca="false">Sens!$O$6039/ext_sh*(ox_open+rent_mw)*Sens!$O$6040/1000</f>
        <v>1.56626245102039</v>
      </c>
    </row>
    <row r="6059" customFormat="false" ht="17.15" hidden="false" customHeight="false" outlineLevel="0" collapsed="false">
      <c r="A6059" s="0" t="s">
        <v>578</v>
      </c>
      <c r="B6059" s="0" t="s">
        <v>73</v>
      </c>
      <c r="C6059" s="38" t="n">
        <f aca="false">Q!$D$7</f>
        <v>107.556</v>
      </c>
      <c r="D6059" s="38" t="n">
        <f aca="false">Q!$E$7</f>
        <v>128.725</v>
      </c>
      <c r="E6059" s="38" t="n">
        <f aca="false">Q!$P$7</f>
        <v>79.819</v>
      </c>
      <c r="N6059" s="38" t="n">
        <f aca="false">Q!$N$7</f>
        <v>60.14</v>
      </c>
      <c r="O6059" s="38" t="n">
        <f aca="false">Q!$O$7</f>
        <v>68.585</v>
      </c>
    </row>
    <row r="6060" customFormat="false" ht="17.15" hidden="false" customHeight="false" outlineLevel="0" collapsed="false">
      <c r="A6060" s="1" t="s">
        <v>579</v>
      </c>
      <c r="B6060" s="8" t="s">
        <v>73</v>
      </c>
      <c r="C6060" s="38" t="n">
        <f aca="false">Sens!$C$6059-Sens!$C$6056</f>
        <v>105.234994643026</v>
      </c>
      <c r="D6060" s="38" t="n">
        <f aca="false">Sens!$D$6059-Sens!$D$6056</f>
        <v>120.021229911349</v>
      </c>
      <c r="E6060" s="38" t="n">
        <f aca="false">Sens!$E$6059-Sens!$E$6056</f>
        <v>71.30864702443</v>
      </c>
      <c r="F6060" s="38" t="n">
        <f aca="false">Sens!$O$6060*(1+Sens!$F$6061)</f>
        <v>78.5950104186653</v>
      </c>
      <c r="G6060" s="38" t="n">
        <f aca="false">Sens!$E$6060+Sens!$F$6060</f>
        <v>149.903657443095</v>
      </c>
      <c r="H6060" s="38" t="n">
        <f aca="false">Sens!$G$6060*(1+Sens!$H$6061)</f>
        <v>180.893560768142</v>
      </c>
      <c r="I6060" s="38" t="n">
        <f aca="false">Sens!$H$6060*(1+Sens!$I$6061)</f>
        <v>210.64839721501</v>
      </c>
      <c r="J6060" s="38" t="n">
        <f aca="false">Sens!$I$6060*(1+Sens!$J$6061)</f>
        <v>236.398909446495</v>
      </c>
      <c r="K6060" s="38" t="n">
        <f aca="false">Sens!$J$6060*(1+Sens!$K$6061)</f>
        <v>255.310822202215</v>
      </c>
      <c r="L6060" s="38" t="n">
        <f aca="false">Sens!$K$6060*(1+Sens!$L$6061)</f>
        <v>275.735687978392</v>
      </c>
      <c r="M6060" s="38" t="n">
        <f aca="false">Sens!$L$6060*(1+Sens!$M$6061)</f>
        <v>297.794543016663</v>
      </c>
      <c r="N6060" s="38" t="n">
        <f aca="false">Sens!$N$6059-Sens!$N$6056</f>
        <v>57.0936804689721</v>
      </c>
      <c r="O6060" s="38" t="n">
        <f aca="false">Sens!$O$6059-Sens!$O$6056</f>
        <v>62.9275494423768</v>
      </c>
      <c r="P6060" s="5" t="s">
        <v>580</v>
      </c>
    </row>
    <row r="6061" customFormat="false" ht="17.15" hidden="false" customHeight="false" outlineLevel="0" collapsed="false">
      <c r="A6061" s="0" t="s">
        <v>581</v>
      </c>
      <c r="B6061" s="0" t="s">
        <v>52</v>
      </c>
      <c r="E6061" s="12" t="n">
        <f aca="false">Sens!$E$6060/Sens!$N$6060-1</f>
        <v>0.248976181579029</v>
      </c>
      <c r="F6061" s="12" t="n">
        <f aca="false">Sens!$E$6061</f>
        <v>0.248976181579029</v>
      </c>
      <c r="G6061" s="12" t="n">
        <f aca="false">Sens!$G$6060/Sens!$D$6060-1</f>
        <v>0.248976181579029</v>
      </c>
      <c r="H6061" s="12" t="n">
        <f aca="false">Sens!$E$6061+(g_awso_lt-Sens!$E$6061)*1/4</f>
        <v>0.206732136184272</v>
      </c>
      <c r="I6061" s="12" t="n">
        <f aca="false">Sens!$E$6061+(g_awso_lt-Sens!$E$6061)*2/4</f>
        <v>0.164488090789515</v>
      </c>
      <c r="J6061" s="12" t="n">
        <f aca="false">Sens!$E$6061+(g_awso_lt-Sens!$E$6061)*3/4</f>
        <v>0.122244045394757</v>
      </c>
      <c r="K6061" s="12" t="n">
        <f aca="false">Sens!$E$6061+(g_awso_lt-Sens!$E$6061)*4/4</f>
        <v>0.08</v>
      </c>
      <c r="L6061" s="12" t="n">
        <f aca="false">g_awso_lt</f>
        <v>0.08</v>
      </c>
      <c r="M6061" s="12" t="n">
        <f aca="false">g_awso_lt</f>
        <v>0.08</v>
      </c>
      <c r="P6061" s="8" t="s">
        <v>582</v>
      </c>
    </row>
    <row r="6062" customFormat="false" ht="17.15" hidden="false" customHeight="false" outlineLevel="0" collapsed="false">
      <c r="A6062" s="1" t="s">
        <v>583</v>
      </c>
    </row>
    <row r="6063" customFormat="false" ht="17.15" hidden="false" customHeight="false" outlineLevel="0" collapsed="false">
      <c r="A6063" s="0" t="s">
        <v>584</v>
      </c>
      <c r="B6063" s="0" t="s">
        <v>73</v>
      </c>
      <c r="F6063" s="38" t="n">
        <f aca="false">cx_rt*Sens!$F$6029+cx_awso*Sens!$F$6060</f>
        <v>36.8045765066526</v>
      </c>
    </row>
    <row r="6064" customFormat="false" ht="17.15" hidden="false" customHeight="false" outlineLevel="0" collapsed="false">
      <c r="A6064" s="0" t="s">
        <v>585</v>
      </c>
      <c r="B6064" s="0" t="s">
        <v>52</v>
      </c>
      <c r="C6064" s="12" t="n">
        <f aca="false">tk_cx_h100/(tk_cx_h100+tk_fac*(1-colo_sh))</f>
        <v>0.730756458006641</v>
      </c>
      <c r="D6064" s="12" t="n">
        <f aca="false">tk_cx_h100/(tk_cx_h100+tk_fac*(1-colo_sh))</f>
        <v>0.730756458006641</v>
      </c>
      <c r="E6064" s="12" t="n">
        <f aca="false">Sens!$F$6064</f>
        <v>0.760792334328868</v>
      </c>
      <c r="F6064" s="12" t="n">
        <f aca="false">Sens!$F$6047/(Sens!$F$6047+tk_fac*(1-colo_sh))</f>
        <v>0.760792334328868</v>
      </c>
      <c r="G6064" s="12" t="n">
        <f aca="false">Sens!$G$6047/(Sens!$G$6047+tk_fac*(1-colo_sh))</f>
        <v>0.760792334328868</v>
      </c>
      <c r="H6064" s="12" t="n">
        <f aca="false">Sens!$H$6047/(Sens!$H$6047+tk_fac*(1-colo_sh))</f>
        <v>0.768110668862996</v>
      </c>
      <c r="I6064" s="12" t="n">
        <f aca="false">Sens!$I$6047/(Sens!$I$6047+tk_fac*(1-colo_sh))</f>
        <v>0.77499450139483</v>
      </c>
      <c r="J6064" s="12" t="n">
        <f aca="false">Sens!$J$6047/(Sens!$J$6047+tk_fac*(1-colo_sh))</f>
        <v>0.77499450139483</v>
      </c>
      <c r="K6064" s="12" t="n">
        <f aca="false">Sens!$K$6047/(Sens!$K$6047+tk_fac*(1-colo_sh))</f>
        <v>0.77499450139483</v>
      </c>
      <c r="L6064" s="12" t="n">
        <f aca="false">Sens!$L$6047/(Sens!$L$6047+tk_fac*(1-colo_sh))</f>
        <v>0.77499450139483</v>
      </c>
      <c r="M6064" s="12" t="n">
        <f aca="false">Sens!$M$6047/(Sens!$M$6047+tk_fac*(1-colo_sh))</f>
        <v>0.77499450139483</v>
      </c>
    </row>
    <row r="6065" customFormat="false" ht="17.15" hidden="false" customHeight="false" outlineLevel="0" collapsed="false">
      <c r="A6065" s="1" t="s">
        <v>586</v>
      </c>
      <c r="B6065" s="8" t="s">
        <v>73</v>
      </c>
      <c r="C6065" s="38" t="n">
        <f aca="false">Q!$D$46-cx_rt*Q!$D$16-cx_awso*Sens!$C$6060</f>
        <v>25.2781053077374</v>
      </c>
      <c r="D6065" s="38" t="n">
        <f aca="false">Q!$E$46-cx_rt*Q!$E$16-cx_awso*Sens!$D$6060</f>
        <v>69.5686316310026</v>
      </c>
      <c r="E6065" s="38" t="n">
        <f aca="false">Q!$P$46-cx_rt*Q!$P$16-cx_awso*Sens!$E$6060</f>
        <v>64.1899206485108</v>
      </c>
      <c r="F6065" s="38" t="n">
        <f aca="false">MAX(Sens!$F$6042*(Sens!$F$6047+tk_fac*(1-colo_sh))/1000,capex_g26-Q!$P$46-Sens!$F$6063)</f>
        <v>96.2481299895</v>
      </c>
      <c r="G6065" s="38" t="n">
        <f aca="false">Sens!$E$6065+Sens!$F$6065</f>
        <v>160.438050638011</v>
      </c>
      <c r="H6065" s="38" t="n">
        <f aca="false">Sens!$H$6042*(Sens!$H$6047+tk_fac*(1-colo_sh))/1000+Sens!$H$6066</f>
        <v>198.57136494475</v>
      </c>
      <c r="I6065" s="38" t="n">
        <f aca="false">Sens!$I$6042*(Sens!$I$6047+tk_fac*(1-colo_sh))/1000+Sens!$I$6066</f>
        <v>204.6464699105</v>
      </c>
      <c r="J6065" s="38" t="n">
        <f aca="false">Sens!$J$6042*(Sens!$J$6047+tk_fac*(1-colo_sh))/1000+Sens!$J$6066</f>
        <v>209.8832381105</v>
      </c>
      <c r="K6065" s="38" t="n">
        <f aca="false">Sens!$K$6042*(Sens!$K$6047+tk_fac*(1-colo_sh))/1000+Sens!$K$6066</f>
        <v>215.1200063105</v>
      </c>
      <c r="L6065" s="38" t="n">
        <f aca="false">Sens!$L$6042*(Sens!$L$6047+tk_fac*(1-colo_sh))/1000+Sens!$L$6066</f>
        <v>251.7773837105</v>
      </c>
      <c r="M6065" s="38" t="n">
        <f aca="false">Sens!$M$6042*(Sens!$M$6047+tk_fac*(1-colo_sh))/1000+Sens!$M$6066</f>
        <v>311.87584476575</v>
      </c>
      <c r="P6065" s="5" t="s">
        <v>587</v>
      </c>
      <c r="R6065" s="38" t="n">
        <f aca="false">Q!$C$46-cx_rt*Q!$C$16-cx_awso*(Q!$C$7-mw_ye23/2*rpm_open/1000)</f>
        <v>1.50429979529945</v>
      </c>
      <c r="S6065" s="38" t="n">
        <f aca="false">Sens!$C$6065</f>
        <v>25.2781053077374</v>
      </c>
      <c r="T6065" s="38" t="n">
        <f aca="false">Sens!$D$6065</f>
        <v>69.5686316310026</v>
      </c>
      <c r="U6065" s="38" t="n">
        <f aca="false">Sens!$G$6065</f>
        <v>160.438050638011</v>
      </c>
      <c r="V6065" s="38" t="n">
        <f aca="false">Sens!$H$6065</f>
        <v>198.57136494475</v>
      </c>
      <c r="W6065" s="38" t="n">
        <f aca="false">Sens!$I$6065</f>
        <v>204.6464699105</v>
      </c>
      <c r="X6065" s="38" t="n">
        <f aca="false">Sens!$J$6065</f>
        <v>209.8832381105</v>
      </c>
      <c r="Y6065" s="38" t="n">
        <f aca="false">Sens!$K$6065</f>
        <v>215.1200063105</v>
      </c>
      <c r="Z6065" s="38" t="n">
        <f aca="false">Sens!$L$6065</f>
        <v>251.7773837105</v>
      </c>
      <c r="AA6065" s="38" t="n">
        <f aca="false">Sens!$M$6065</f>
        <v>311.87584476575</v>
      </c>
    </row>
    <row r="6066" customFormat="false" ht="17.15" hidden="false" customHeight="false" outlineLevel="0" collapsed="false">
      <c r="A6066" s="0" t="s">
        <v>588</v>
      </c>
      <c r="B6066" s="0" t="s">
        <v>73</v>
      </c>
      <c r="H6066" s="38" t="n">
        <f aca="false">SUMPRODUCT(--(Sens!$R$6036:$AA$6036=2027-tk_life),Sens!$R$6042:$AA$6042)*Sens!$H$6047/1000</f>
        <v>0</v>
      </c>
      <c r="I6066" s="38" t="n">
        <f aca="false">SUMPRODUCT(--(Sens!$R$6036:$AA$6036=2028-tk_life),Sens!$R$6042:$AA$6042)*Sens!$I$6047/1000</f>
        <v>0</v>
      </c>
      <c r="J6066" s="38" t="n">
        <f aca="false">SUMPRODUCT(--(Sens!$R$6036:$AA$6036=2029-tk_life),Sens!$R$6042:$AA$6042)*Sens!$J$6047/1000</f>
        <v>5.2367682</v>
      </c>
      <c r="K6066" s="38" t="n">
        <f aca="false">SUMPRODUCT(--(Sens!$R$6036:$AA$6036=2030-tk_life),Sens!$R$6042:$AA$6042)*Sens!$K$6047/1000</f>
        <v>10.4735364</v>
      </c>
      <c r="L6066" s="38" t="n">
        <f aca="false">SUMPRODUCT(--(Sens!$R$6036:$AA$6036=2031-tk_life),Sens!$R$6042:$AA$6042)*Sens!$L$6047/1000</f>
        <v>47.1309138</v>
      </c>
      <c r="M6066" s="38" t="n">
        <f aca="false">SUMPRODUCT(--(Sens!$R$6036:$AA$6036=2032-tk_life),Sens!$R$6042:$AA$6042)*Sens!$M$6047/1000</f>
        <v>107.22937485525</v>
      </c>
    </row>
    <row r="6067" customFormat="false" ht="17.15" hidden="false" customHeight="false" outlineLevel="0" collapsed="false">
      <c r="A6067" s="5" t="s">
        <v>589</v>
      </c>
      <c r="B6067" s="0" t="s">
        <v>73</v>
      </c>
      <c r="C6067" s="38" t="n">
        <f aca="false">Sens!$C$6065*Sens!$C$6064</f>
        <v>18.472138699801</v>
      </c>
      <c r="D6067" s="38" t="n">
        <f aca="false">Sens!$D$6065*Sens!$D$6064</f>
        <v>50.8377268390402</v>
      </c>
      <c r="E6067" s="38" t="n">
        <f aca="false">Sens!$E$6065*Sens!$E$6064</f>
        <v>48.8351995705653</v>
      </c>
      <c r="F6067" s="38" t="n">
        <f aca="false">Sens!$F$6065*Sens!$F$6064</f>
        <v>73.2248394895</v>
      </c>
      <c r="G6067" s="38" t="n">
        <f aca="false">Sens!$E$6067+Sens!$F$6067</f>
        <v>122.060039060065</v>
      </c>
      <c r="H6067" s="38" t="n">
        <f aca="false">(Sens!$H$6065-Sens!$H$6066)*Sens!$H$6064+Sens!$H$6066</f>
        <v>152.52478394475</v>
      </c>
      <c r="I6067" s="38" t="n">
        <f aca="false">(Sens!$I$6065-Sens!$I$6066)*Sens!$I$6064+Sens!$I$6066</f>
        <v>158.5998889105</v>
      </c>
      <c r="J6067" s="38" t="n">
        <f aca="false">(Sens!$J$6065-Sens!$J$6066)*Sens!$J$6064+Sens!$J$6066</f>
        <v>163.8366571105</v>
      </c>
      <c r="K6067" s="38" t="n">
        <f aca="false">(Sens!$K$6065-Sens!$K$6066)*Sens!$K$6064+Sens!$K$6066</f>
        <v>169.0734253105</v>
      </c>
      <c r="L6067" s="38" t="n">
        <f aca="false">(Sens!$L$6065-Sens!$L$6066)*Sens!$L$6064+Sens!$L$6066</f>
        <v>205.7308027105</v>
      </c>
      <c r="M6067" s="38" t="n">
        <f aca="false">(Sens!$M$6065-Sens!$M$6066)*Sens!$M$6064+Sens!$M$6066</f>
        <v>265.82926376575</v>
      </c>
      <c r="R6067" s="38" t="n">
        <f aca="false">Sens!$R$6065*Sens!$C$6064</f>
        <v>1.09927679019314</v>
      </c>
      <c r="S6067" s="38" t="n">
        <f aca="false">Sens!$C$6067</f>
        <v>18.472138699801</v>
      </c>
      <c r="T6067" s="38" t="n">
        <f aca="false">Sens!$D$6067</f>
        <v>50.8377268390402</v>
      </c>
      <c r="U6067" s="38" t="n">
        <f aca="false">Sens!$G$6067</f>
        <v>122.060039060065</v>
      </c>
      <c r="V6067" s="38" t="n">
        <f aca="false">Sens!$H$6067</f>
        <v>152.52478394475</v>
      </c>
      <c r="W6067" s="38" t="n">
        <f aca="false">Sens!$I$6067</f>
        <v>158.5998889105</v>
      </c>
      <c r="X6067" s="38" t="n">
        <f aca="false">Sens!$J$6067</f>
        <v>163.8366571105</v>
      </c>
      <c r="Y6067" s="38" t="n">
        <f aca="false">Sens!$K$6067</f>
        <v>169.0734253105</v>
      </c>
      <c r="Z6067" s="38" t="n">
        <f aca="false">Sens!$L$6067</f>
        <v>205.7308027105</v>
      </c>
      <c r="AA6067" s="38" t="n">
        <f aca="false">Sens!$M$6067</f>
        <v>265.82926376575</v>
      </c>
    </row>
    <row r="6068" customFormat="false" ht="15" hidden="false" customHeight="false" outlineLevel="0" collapsed="false">
      <c r="A6068" s="5" t="s">
        <v>590</v>
      </c>
      <c r="B6068" s="0" t="s">
        <v>73</v>
      </c>
      <c r="C6068" s="38" t="n">
        <f aca="false">Sens!$C$6065-Sens!$C$6067</f>
        <v>6.80596660793636</v>
      </c>
      <c r="D6068" s="38" t="n">
        <f aca="false">Sens!$D$6065-Sens!$D$6067</f>
        <v>18.7309047919624</v>
      </c>
      <c r="E6068" s="38" t="n">
        <f aca="false">Sens!$E$6065-Sens!$E$6067</f>
        <v>15.3547210779455</v>
      </c>
      <c r="F6068" s="38" t="n">
        <f aca="false">Sens!$F$6065-Sens!$F$6067</f>
        <v>23.0232905</v>
      </c>
      <c r="G6068" s="38" t="n">
        <f aca="false">Sens!$G$6065-Sens!$G$6067</f>
        <v>38.3780115779455</v>
      </c>
      <c r="H6068" s="38" t="n">
        <f aca="false">Sens!$H$6065-Sens!$H$6067</f>
        <v>46.046581</v>
      </c>
      <c r="I6068" s="38" t="n">
        <f aca="false">Sens!$I$6065-Sens!$I$6067</f>
        <v>46.046581</v>
      </c>
      <c r="J6068" s="38" t="n">
        <f aca="false">Sens!$J$6065-Sens!$J$6067</f>
        <v>46.046581</v>
      </c>
      <c r="K6068" s="38" t="n">
        <f aca="false">Sens!$K$6065-Sens!$K$6067</f>
        <v>46.046581</v>
      </c>
      <c r="L6068" s="38" t="n">
        <f aca="false">Sens!$L$6065-Sens!$L$6067</f>
        <v>46.046581</v>
      </c>
      <c r="M6068" s="38" t="n">
        <f aca="false">Sens!$M$6065-Sens!$M$6067</f>
        <v>46.046581</v>
      </c>
      <c r="R6068" s="38" t="n">
        <f aca="false">Sens!$R$6065-Sens!$R$6067</f>
        <v>0.405023005106309</v>
      </c>
      <c r="S6068" s="38" t="n">
        <f aca="false">Sens!$S$6065-Sens!$S$6067</f>
        <v>6.80596660793636</v>
      </c>
      <c r="T6068" s="38" t="n">
        <f aca="false">Sens!$T$6065-Sens!$T$6067</f>
        <v>18.7309047919624</v>
      </c>
      <c r="U6068" s="38" t="n">
        <f aca="false">Sens!$U$6065-Sens!$U$6067</f>
        <v>38.3780115779455</v>
      </c>
      <c r="V6068" s="38" t="n">
        <f aca="false">Sens!$V$6065-Sens!$V$6067</f>
        <v>46.046581</v>
      </c>
      <c r="W6068" s="38" t="n">
        <f aca="false">Sens!$W$6065-Sens!$W$6067</f>
        <v>46.046581</v>
      </c>
      <c r="X6068" s="38" t="n">
        <f aca="false">Sens!$X$6065-Sens!$X$6067</f>
        <v>46.046581</v>
      </c>
      <c r="Y6068" s="38" t="n">
        <f aca="false">Sens!$Y$6065-Sens!$Y$6067</f>
        <v>46.046581</v>
      </c>
      <c r="Z6068" s="38" t="n">
        <f aca="false">Sens!$Z$6065-Sens!$Z$6067</f>
        <v>46.046581</v>
      </c>
      <c r="AA6068" s="38" t="n">
        <f aca="false">Sens!$AA$6065-Sens!$AA$6067</f>
        <v>46.046581</v>
      </c>
    </row>
    <row r="6069" customFormat="false" ht="17.15" hidden="false" customHeight="false" outlineLevel="0" collapsed="false">
      <c r="A6069" s="0" t="s">
        <v>591</v>
      </c>
      <c r="B6069" s="0" t="s">
        <v>52</v>
      </c>
      <c r="C6069" s="12" t="n">
        <f aca="false">Sens!$C$6065/Sens!$C$6181</f>
        <v>0.325505489553393</v>
      </c>
      <c r="D6069" s="12" t="n">
        <f aca="false">Sens!$D$6065/Sens!$D$6181</f>
        <v>0.54214956071542</v>
      </c>
      <c r="E6069" s="12" t="n">
        <f aca="false">Sens!$E$6065/Sens!$E$6181</f>
        <v>0.666492790452817</v>
      </c>
      <c r="F6069" s="12" t="n">
        <f aca="false">Sens!$F$6065/Sens!$F$6181</f>
        <v>0.723383481058938</v>
      </c>
      <c r="G6069" s="12" t="n">
        <f aca="false">Sens!$G$6065/Sens!$G$6181</f>
        <v>0.699494931364102</v>
      </c>
      <c r="H6069" s="12" t="n">
        <f aca="false">Sens!$H$6065/Sens!$H$6181</f>
        <v>0.714619350171483</v>
      </c>
      <c r="I6069" s="12" t="n">
        <f aca="false">Sens!$I$6065/Sens!$I$6181</f>
        <v>0.696231624961614</v>
      </c>
      <c r="J6069" s="12" t="n">
        <f aca="false">Sens!$J$6065/Sens!$J$6181</f>
        <v>0.681286352509885</v>
      </c>
      <c r="K6069" s="12" t="n">
        <f aca="false">Sens!$K$6065/Sens!$K$6181</f>
        <v>0.671440649805508</v>
      </c>
      <c r="L6069" s="12" t="n">
        <f aca="false">Sens!$L$6065/Sens!$L$6181</f>
        <v>0.6904509846562</v>
      </c>
      <c r="M6069" s="12" t="n">
        <f aca="false">Sens!$M$6065/Sens!$M$6181</f>
        <v>0.720362080285865</v>
      </c>
    </row>
    <row r="6070" customFormat="false" ht="17.15" hidden="false" customHeight="false" outlineLevel="0" collapsed="false">
      <c r="A6070" s="0" t="s">
        <v>592</v>
      </c>
      <c r="B6070" s="0" t="s">
        <v>73</v>
      </c>
      <c r="C6070" s="38" t="n">
        <f aca="false">Sens!$S$6070</f>
        <v>0.183212798365523</v>
      </c>
      <c r="D6070" s="38" t="n">
        <f aca="false">Sens!$T$6070</f>
        <v>3.2619025816657</v>
      </c>
      <c r="E6070" s="38" t="n">
        <f aca="false">Sens!$G$6070/2</f>
        <v>5.86742852741953</v>
      </c>
      <c r="F6070" s="38" t="n">
        <f aca="false">Sens!$G$6070/2</f>
        <v>5.86742852741953</v>
      </c>
      <c r="G6070" s="38" t="n">
        <f aca="false">Sens!$U$6070</f>
        <v>11.7348570548391</v>
      </c>
      <c r="H6070" s="38" t="n">
        <f aca="false">Sens!$V$6070</f>
        <v>32.0781968981833</v>
      </c>
      <c r="I6070" s="38" t="n">
        <f aca="false">Sens!$W$6070</f>
        <v>57.4989942223083</v>
      </c>
      <c r="J6070" s="38" t="n">
        <f aca="false">Sens!$X$6070</f>
        <v>83.932309040725</v>
      </c>
      <c r="K6070" s="38" t="n">
        <f aca="false">Sens!$Y$6070</f>
        <v>111.055205760776</v>
      </c>
      <c r="L6070" s="38" t="n">
        <f aca="false">Sens!$Z$6070</f>
        <v>136.155420195893</v>
      </c>
      <c r="M6070" s="38" t="n">
        <f aca="false">Sens!$AA$6070</f>
        <v>161.970932841136</v>
      </c>
      <c r="N6070" s="38" t="n">
        <f aca="false">Sens!$D$6070/2</f>
        <v>1.63095129083285</v>
      </c>
      <c r="O6070" s="38" t="n">
        <f aca="false">Sens!$D$6070/2</f>
        <v>1.63095129083285</v>
      </c>
      <c r="R6070" s="38" t="n">
        <f aca="false">SUMPRODUCT(--(Sens!$R$6036:$AA$6036&lt;Sens!R$6036),--(Sens!$R$6036:$AA$6036&gt;=Sens!R$6036-tk_life),Sens!$R$6067:$AA$6067)/tk_life</f>
        <v>0</v>
      </c>
      <c r="S6070" s="38" t="n">
        <f aca="false">SUMPRODUCT(--(Sens!$R$6036:$AA$6036&lt;Sens!S$6036),--(Sens!$R$6036:$AA$6036&gt;=Sens!S$6036-tk_life),Sens!$R$6067:$AA$6067)/tk_life</f>
        <v>0.183212798365523</v>
      </c>
      <c r="T6070" s="38" t="n">
        <f aca="false">SUMPRODUCT(--(Sens!$R$6036:$AA$6036&lt;Sens!T$6036),--(Sens!$R$6036:$AA$6036&gt;=Sens!T$6036-tk_life),Sens!$R$6067:$AA$6067)/tk_life</f>
        <v>3.2619025816657</v>
      </c>
      <c r="U6070" s="38" t="n">
        <f aca="false">SUMPRODUCT(--(Sens!$R$6036:$AA$6036&lt;Sens!U$6036),--(Sens!$R$6036:$AA$6036&gt;=Sens!U$6036-tk_life),Sens!$R$6067:$AA$6067)/tk_life</f>
        <v>11.7348570548391</v>
      </c>
      <c r="V6070" s="38" t="n">
        <f aca="false">SUMPRODUCT(--(Sens!$R$6036:$AA$6036&lt;Sens!V$6036),--(Sens!$R$6036:$AA$6036&gt;=Sens!V$6036-tk_life),Sens!$R$6067:$AA$6067)/tk_life</f>
        <v>32.0781968981833</v>
      </c>
      <c r="W6070" s="38" t="n">
        <f aca="false">SUMPRODUCT(--(Sens!$R$6036:$AA$6036&lt;Sens!W$6036),--(Sens!$R$6036:$AA$6036&gt;=Sens!W$6036-tk_life),Sens!$R$6067:$AA$6067)/tk_life</f>
        <v>57.4989942223083</v>
      </c>
      <c r="X6070" s="38" t="n">
        <f aca="false">SUMPRODUCT(--(Sens!$R$6036:$AA$6036&lt;Sens!X$6036),--(Sens!$R$6036:$AA$6036&gt;=Sens!X$6036-tk_life),Sens!$R$6067:$AA$6067)/tk_life</f>
        <v>83.932309040725</v>
      </c>
      <c r="Y6070" s="38" t="n">
        <f aca="false">SUMPRODUCT(--(Sens!$R$6036:$AA$6036&lt;Sens!Y$6036),--(Sens!$R$6036:$AA$6036&gt;=Sens!Y$6036-tk_life),Sens!$R$6067:$AA$6067)/tk_life</f>
        <v>111.055205760776</v>
      </c>
      <c r="Z6070" s="38" t="n">
        <f aca="false">SUMPRODUCT(--(Sens!$R$6036:$AA$6036&lt;Sens!Z$6036),--(Sens!$R$6036:$AA$6036&gt;=Sens!Z$6036-tk_life),Sens!$R$6067:$AA$6067)/tk_life</f>
        <v>136.155420195893</v>
      </c>
      <c r="AA6070" s="38" t="n">
        <f aca="false">SUMPRODUCT(--(Sens!$R$6036:$AA$6036&lt;Sens!AA$6036),--(Sens!$R$6036:$AA$6036&gt;=Sens!AA$6036-tk_life),Sens!$R$6067:$AA$6067)/tk_life</f>
        <v>161.970932841136</v>
      </c>
    </row>
    <row r="6071" customFormat="false" ht="17.15" hidden="false" customHeight="false" outlineLevel="0" collapsed="false">
      <c r="A6071" s="0" t="s">
        <v>593</v>
      </c>
      <c r="B6071" s="0" t="s">
        <v>73</v>
      </c>
      <c r="C6071" s="38" t="n">
        <f aca="false">Sens!$S$6071</f>
        <v>0.0202511502553155</v>
      </c>
      <c r="D6071" s="38" t="n">
        <f aca="false">Sens!$T$6071</f>
        <v>0.360549480652134</v>
      </c>
      <c r="E6071" s="38" t="n">
        <f aca="false">Sens!$G$6071/2</f>
        <v>0.648547360125127</v>
      </c>
      <c r="F6071" s="38" t="n">
        <f aca="false">Sens!$G$6071/2</f>
        <v>0.648547360125127</v>
      </c>
      <c r="G6071" s="38" t="n">
        <f aca="false">Sens!$U$6071</f>
        <v>1.29709472025025</v>
      </c>
      <c r="H6071" s="38" t="n">
        <f aca="false">Sens!$V$6071</f>
        <v>3.21599529914753</v>
      </c>
      <c r="I6071" s="38" t="n">
        <f aca="false">Sens!$W$6071</f>
        <v>5.51832434914753</v>
      </c>
      <c r="J6071" s="38" t="n">
        <f aca="false">Sens!$X$6071</f>
        <v>7.82065339914753</v>
      </c>
      <c r="K6071" s="38" t="n">
        <f aca="false">Sens!$Y$6071</f>
        <v>10.1229824491475</v>
      </c>
      <c r="L6071" s="38" t="n">
        <f aca="false">Sens!$Z$6071</f>
        <v>12.4253114991475</v>
      </c>
      <c r="M6071" s="38" t="n">
        <f aca="false">Sens!$AA$6071</f>
        <v>14.7276405491475</v>
      </c>
      <c r="N6071" s="38" t="n">
        <f aca="false">Sens!$D$6071/2</f>
        <v>0.180274740326067</v>
      </c>
      <c r="O6071" s="38" t="n">
        <f aca="false">Sens!$D$6071/2</f>
        <v>0.180274740326067</v>
      </c>
      <c r="R6071" s="38" t="n">
        <f aca="false">SUMPRODUCT(--(Sens!$R$6036:$AA$6036&lt;Sens!R$6036),Sens!$R$6068:$AA$6068)/fac_life</f>
        <v>0</v>
      </c>
      <c r="S6071" s="38" t="n">
        <f aca="false">SUMPRODUCT(--(Sens!$R$6036:$AA$6036&lt;Sens!S$6036),Sens!$R$6068:$AA$6068)/fac_life</f>
        <v>0.0202511502553155</v>
      </c>
      <c r="T6071" s="38" t="n">
        <f aca="false">SUMPRODUCT(--(Sens!$R$6036:$AA$6036&lt;Sens!T$6036),Sens!$R$6068:$AA$6068)/fac_life</f>
        <v>0.360549480652134</v>
      </c>
      <c r="U6071" s="38" t="n">
        <f aca="false">SUMPRODUCT(--(Sens!$R$6036:$AA$6036&lt;Sens!U$6036),Sens!$R$6068:$AA$6068)/fac_life</f>
        <v>1.29709472025025</v>
      </c>
      <c r="V6071" s="38" t="n">
        <f aca="false">SUMPRODUCT(--(Sens!$R$6036:$AA$6036&lt;Sens!V$6036),Sens!$R$6068:$AA$6068)/fac_life</f>
        <v>3.21599529914753</v>
      </c>
      <c r="W6071" s="38" t="n">
        <f aca="false">SUMPRODUCT(--(Sens!$R$6036:$AA$6036&lt;Sens!W$6036),Sens!$R$6068:$AA$6068)/fac_life</f>
        <v>5.51832434914753</v>
      </c>
      <c r="X6071" s="38" t="n">
        <f aca="false">SUMPRODUCT(--(Sens!$R$6036:$AA$6036&lt;Sens!X$6036),Sens!$R$6068:$AA$6068)/fac_life</f>
        <v>7.82065339914753</v>
      </c>
      <c r="Y6071" s="38" t="n">
        <f aca="false">SUMPRODUCT(--(Sens!$R$6036:$AA$6036&lt;Sens!Y$6036),Sens!$R$6068:$AA$6068)/fac_life</f>
        <v>10.1229824491475</v>
      </c>
      <c r="Z6071" s="38" t="n">
        <f aca="false">SUMPRODUCT(--(Sens!$R$6036:$AA$6036&lt;Sens!Z$6036),Sens!$R$6068:$AA$6068)/fac_life</f>
        <v>12.4253114991475</v>
      </c>
      <c r="AA6071" s="38" t="n">
        <f aca="false">SUMPRODUCT(--(Sens!$R$6036:$AA$6036&lt;Sens!AA$6036),Sens!$R$6068:$AA$6068)/fac_life</f>
        <v>14.7276405491475</v>
      </c>
    </row>
    <row r="6072" customFormat="false" ht="17.15" hidden="false" customHeight="false" outlineLevel="0" collapsed="false">
      <c r="A6072" s="1" t="s">
        <v>594</v>
      </c>
      <c r="B6072" s="8" t="s">
        <v>73</v>
      </c>
      <c r="C6072" s="38" t="n">
        <f aca="false">Sens!$C$6070+Sens!$C$6071</f>
        <v>0.203463948620839</v>
      </c>
      <c r="D6072" s="38" t="n">
        <f aca="false">Sens!$D$6070+Sens!$D$6071</f>
        <v>3.62245206231783</v>
      </c>
      <c r="E6072" s="38" t="n">
        <f aca="false">Sens!$E$6070+Sens!$E$6071</f>
        <v>6.51597588754466</v>
      </c>
      <c r="F6072" s="38" t="n">
        <f aca="false">Sens!$F$6070+Sens!$F$6071</f>
        <v>6.51597588754466</v>
      </c>
      <c r="G6072" s="38" t="n">
        <f aca="false">Sens!$G$6070+Sens!$G$6071</f>
        <v>13.0319517750893</v>
      </c>
      <c r="H6072" s="38" t="n">
        <f aca="false">Sens!$H$6070+Sens!$H$6071</f>
        <v>35.2941921973308</v>
      </c>
      <c r="I6072" s="38" t="n">
        <f aca="false">Sens!$I$6070+Sens!$I$6071</f>
        <v>63.0173185714558</v>
      </c>
      <c r="J6072" s="38" t="n">
        <f aca="false">Sens!$J$6070+Sens!$J$6071</f>
        <v>91.7529624398725</v>
      </c>
      <c r="K6072" s="38" t="n">
        <f aca="false">Sens!$K$6070+Sens!$K$6071</f>
        <v>121.178188209924</v>
      </c>
      <c r="L6072" s="38" t="n">
        <f aca="false">Sens!$L$6070+Sens!$L$6071</f>
        <v>148.58073169504</v>
      </c>
      <c r="M6072" s="38" t="n">
        <f aca="false">Sens!$M$6070+Sens!$M$6071</f>
        <v>176.698573390283</v>
      </c>
      <c r="N6072" s="38" t="n">
        <f aca="false">Sens!$N$6070+Sens!$N$6071</f>
        <v>1.81122603115892</v>
      </c>
      <c r="O6072" s="38" t="n">
        <f aca="false">Sens!$O$6070+Sens!$O$6071</f>
        <v>1.81122603115892</v>
      </c>
      <c r="R6072" s="38" t="n">
        <f aca="false">Sens!$R$6070+Sens!$R$6071</f>
        <v>0</v>
      </c>
      <c r="S6072" s="38" t="n">
        <f aca="false">Sens!$S$6070+Sens!$S$6071</f>
        <v>0.203463948620839</v>
      </c>
      <c r="T6072" s="38" t="n">
        <f aca="false">Sens!$T$6070+Sens!$T$6071</f>
        <v>3.62245206231783</v>
      </c>
      <c r="U6072" s="38" t="n">
        <f aca="false">Sens!$U$6070+Sens!$U$6071</f>
        <v>13.0319517750893</v>
      </c>
      <c r="V6072" s="38" t="n">
        <f aca="false">Sens!$V$6070+Sens!$V$6071</f>
        <v>35.2941921973308</v>
      </c>
      <c r="W6072" s="38" t="n">
        <f aca="false">Sens!$W$6070+Sens!$W$6071</f>
        <v>63.0173185714558</v>
      </c>
      <c r="X6072" s="38" t="n">
        <f aca="false">Sens!$X$6070+Sens!$X$6071</f>
        <v>91.7529624398725</v>
      </c>
      <c r="Y6072" s="38" t="n">
        <f aca="false">Sens!$Y$6070+Sens!$Y$6071</f>
        <v>121.178188209924</v>
      </c>
      <c r="Z6072" s="38" t="n">
        <f aca="false">Sens!$Z$6070+Sens!$Z$6071</f>
        <v>148.58073169504</v>
      </c>
      <c r="AA6072" s="38" t="n">
        <f aca="false">Sens!$AA$6070+Sens!$AA$6071</f>
        <v>176.698573390283</v>
      </c>
    </row>
    <row r="6073" customFormat="false" ht="17.15" hidden="false" customHeight="false" outlineLevel="0" collapsed="false">
      <c r="A6073" s="0" t="s">
        <v>595</v>
      </c>
      <c r="B6073" s="0" t="s">
        <v>73</v>
      </c>
      <c r="C6073" s="38" t="n">
        <f aca="false">Sens!$S$6073</f>
        <v>26.578941154416</v>
      </c>
      <c r="D6073" s="38" t="n">
        <f aca="false">Sens!$T$6073</f>
        <v>92.5251207231008</v>
      </c>
      <c r="G6073" s="38" t="n">
        <f aca="false">Sens!$U$6073</f>
        <v>239.931219586022</v>
      </c>
      <c r="H6073" s="38" t="n">
        <f aca="false">Sens!$V$6073</f>
        <v>403.208392333442</v>
      </c>
      <c r="I6073" s="38" t="n">
        <f aca="false">Sens!$W$6073</f>
        <v>544.837543672486</v>
      </c>
      <c r="J6073" s="38" t="n">
        <f aca="false">Sens!$X$6073</f>
        <v>662.967819343113</v>
      </c>
      <c r="K6073" s="38" t="n">
        <f aca="false">Sens!$Y$6073</f>
        <v>756.90963744369</v>
      </c>
      <c r="L6073" s="38" t="n">
        <f aca="false">Sens!$Z$6073</f>
        <v>860.10628945915</v>
      </c>
      <c r="M6073" s="38" t="n">
        <f aca="false">Sens!$AA$6073</f>
        <v>995.283560834616</v>
      </c>
      <c r="R6073" s="38" t="n">
        <f aca="false">SUM(Sens!$R$6065:$R$6065)-SUM(Sens!$R$6072:$R$6072)</f>
        <v>1.50429979529945</v>
      </c>
      <c r="S6073" s="38" t="n">
        <f aca="false">SUM(Sens!$R$6065:$S$6065)-SUM(Sens!$R$6072:$S$6072)</f>
        <v>26.578941154416</v>
      </c>
      <c r="T6073" s="38" t="n">
        <f aca="false">SUM(Sens!$R$6065:$T$6065)-SUM(Sens!$R$6072:$T$6072)</f>
        <v>92.5251207231008</v>
      </c>
      <c r="U6073" s="38" t="n">
        <f aca="false">SUM(Sens!$R$6065:$U$6065)-SUM(Sens!$R$6072:$U$6072)</f>
        <v>239.931219586022</v>
      </c>
      <c r="V6073" s="38" t="n">
        <f aca="false">SUM(Sens!$R$6065:$V$6065)-SUM(Sens!$R$6072:$V$6072)</f>
        <v>403.208392333442</v>
      </c>
      <c r="W6073" s="38" t="n">
        <f aca="false">SUM(Sens!$R$6065:$W$6065)-SUM(Sens!$R$6072:$W$6072)</f>
        <v>544.837543672486</v>
      </c>
      <c r="X6073" s="38" t="n">
        <f aca="false">SUM(Sens!$R$6065:$X$6065)-SUM(Sens!$R$6072:$X$6072)</f>
        <v>662.967819343113</v>
      </c>
      <c r="Y6073" s="38" t="n">
        <f aca="false">SUM(Sens!$R$6065:$Y$6065)-SUM(Sens!$R$6072:$Y$6072)</f>
        <v>756.90963744369</v>
      </c>
      <c r="Z6073" s="38" t="n">
        <f aca="false">SUM(Sens!$R$6065:$Z$6065)-SUM(Sens!$R$6072:$Z$6072)</f>
        <v>860.10628945915</v>
      </c>
      <c r="AA6073" s="38" t="n">
        <f aca="false">SUM(Sens!$R$6065:$AA$6065)-SUM(Sens!$R$6072:$AA$6072)</f>
        <v>995.283560834616</v>
      </c>
    </row>
    <row r="6074" customFormat="false" ht="17.15" hidden="false" customHeight="false" outlineLevel="0" collapsed="false">
      <c r="A6074" s="1" t="s">
        <v>596</v>
      </c>
    </row>
    <row r="6075" customFormat="false" ht="17.15" hidden="false" customHeight="false" outlineLevel="0" collapsed="false">
      <c r="A6075" s="0" t="s">
        <v>597</v>
      </c>
      <c r="B6075" s="0" t="s">
        <v>73</v>
      </c>
      <c r="C6075" s="38" t="n">
        <f aca="false">Sens!$C$6056-ext_sh*Sens!$C$6058</f>
        <v>1.80694998843362</v>
      </c>
      <c r="D6075" s="38" t="n">
        <f aca="false">Sens!$D$6056-ext_sh*Sens!$D$6058</f>
        <v>6.77606245662607</v>
      </c>
      <c r="E6075" s="38" t="n">
        <f aca="false">Sens!$E$6056-ext_sh*Sens!$E$6058</f>
        <v>6.62548329092326</v>
      </c>
      <c r="F6075" s="38" t="n">
        <f aca="false">Sens!$F$6056-ext_sh*Sens!$F$6058</f>
        <v>11.7200577158706</v>
      </c>
      <c r="G6075" s="38" t="n">
        <f aca="false">Sens!$G$6056-ext_sh*Sens!$G$6058</f>
        <v>18.3455410067939</v>
      </c>
      <c r="H6075" s="38" t="n">
        <f aca="false">Sens!$H$6056-ext_sh*Sens!$H$6058</f>
        <v>47.5171727060453</v>
      </c>
      <c r="I6075" s="38" t="n">
        <f aca="false">Sens!$I$6056-ext_sh*Sens!$I$6058</f>
        <v>80.5539692643667</v>
      </c>
      <c r="J6075" s="38" t="n">
        <f aca="false">Sens!$J$6056-ext_sh*Sens!$J$6058</f>
        <v>113.759316834883</v>
      </c>
      <c r="K6075" s="38" t="n">
        <f aca="false">Sens!$K$6056-ext_sh*Sens!$K$6058</f>
        <v>147.020848076132</v>
      </c>
      <c r="L6075" s="38" t="n">
        <f aca="false">Sens!$L$6056-ext_sh*Sens!$L$6058</f>
        <v>180.307917349531</v>
      </c>
      <c r="M6075" s="38" t="n">
        <f aca="false">Sens!$M$6056-ext_sh*Sens!$M$6058</f>
        <v>213.608737871012</v>
      </c>
      <c r="N6075" s="38" t="n">
        <f aca="false">Sens!$N$6056-ext_sh*Sens!$N$6058</f>
        <v>2.37162185981912</v>
      </c>
      <c r="O6075" s="38" t="n">
        <f aca="false">Sens!$O$6056-ext_sh*Sens!$O$6058</f>
        <v>4.40444059680694</v>
      </c>
    </row>
    <row r="6076" customFormat="false" ht="17.15" hidden="false" customHeight="false" outlineLevel="0" collapsed="false">
      <c r="A6076" s="1" t="s">
        <v>598</v>
      </c>
      <c r="B6076" s="8" t="s">
        <v>73</v>
      </c>
      <c r="C6076" s="38" t="n">
        <f aca="false">Sens!$C$6075-ext_sh*Sens!$C$6072</f>
        <v>1.64417882953695</v>
      </c>
      <c r="D6076" s="38" t="n">
        <f aca="false">Sens!$D$6075-ext_sh*Sens!$D$6072</f>
        <v>3.8781008067718</v>
      </c>
      <c r="E6076" s="38" t="n">
        <f aca="false">Sens!$E$6075-ext_sh*Sens!$E$6072</f>
        <v>1.41270258088753</v>
      </c>
      <c r="F6076" s="38" t="n">
        <f aca="false">Sens!$F$6075-ext_sh*Sens!$F$6072</f>
        <v>6.50727700583486</v>
      </c>
      <c r="G6076" s="38" t="n">
        <f aca="false">Sens!$G$6075-ext_sh*Sens!$G$6072</f>
        <v>7.9199795867224</v>
      </c>
      <c r="H6076" s="38" t="n">
        <f aca="false">Sens!$H$6075-ext_sh*Sens!$H$6072</f>
        <v>19.2818189481807</v>
      </c>
      <c r="I6076" s="38" t="n">
        <f aca="false">Sens!$I$6075-ext_sh*Sens!$I$6072</f>
        <v>30.140114407202</v>
      </c>
      <c r="J6076" s="38" t="n">
        <f aca="false">Sens!$J$6075-ext_sh*Sens!$J$6072</f>
        <v>40.3569468829854</v>
      </c>
      <c r="K6076" s="38" t="n">
        <f aca="false">Sens!$K$6075-ext_sh*Sens!$K$6072</f>
        <v>50.0782975081929</v>
      </c>
      <c r="L6076" s="38" t="n">
        <f aca="false">Sens!$L$6075-ext_sh*Sens!$L$6072</f>
        <v>61.443331993499</v>
      </c>
      <c r="M6076" s="38" t="n">
        <f aca="false">Sens!$M$6075-ext_sh*Sens!$M$6072</f>
        <v>72.2498791587849</v>
      </c>
      <c r="N6076" s="38" t="n">
        <f aca="false">Sens!$N$6075-ext_sh*Sens!$N$6072</f>
        <v>0.92264103489199</v>
      </c>
      <c r="O6076" s="38" t="n">
        <f aca="false">Sens!$O$6075-ext_sh*Sens!$O$6072</f>
        <v>2.95545977187981</v>
      </c>
    </row>
    <row r="6077" customFormat="false" ht="17.15" hidden="false" customHeight="false" outlineLevel="0" collapsed="false">
      <c r="A6077" s="0" t="s">
        <v>599</v>
      </c>
      <c r="B6077" s="0" t="s">
        <v>52</v>
      </c>
      <c r="C6077" s="12" t="n">
        <f aca="false">Sens!$C$6076/Sens!$C$6056</f>
        <v>0.708390794789371</v>
      </c>
      <c r="D6077" s="12" t="n">
        <f aca="false">Sens!$D$6076/Sens!$D$6056</f>
        <v>0.445565630441968</v>
      </c>
      <c r="E6077" s="12" t="n">
        <f aca="false">Sens!$E$6076/Sens!$E$6056</f>
        <v>0.165998118402711</v>
      </c>
      <c r="F6077" s="12" t="n">
        <f aca="false">Sens!$F$6076/Sens!$F$6056</f>
        <v>0.434878595403858</v>
      </c>
      <c r="G6077" s="12" t="n">
        <f aca="false">Sens!$G$6076/Sens!$G$6056</f>
        <v>0.3373967615381</v>
      </c>
      <c r="H6077" s="12" t="n">
        <f aca="false">Sens!$H$6076/Sens!$H$6056</f>
        <v>0.320477578041224</v>
      </c>
      <c r="I6077" s="12" t="n">
        <f aca="false">Sens!$I$6076/Sens!$I$6056</f>
        <v>0.296936118226494</v>
      </c>
      <c r="J6077" s="12" t="n">
        <f aca="false">Sens!$J$6076/Sens!$J$6056</f>
        <v>0.282166278613001</v>
      </c>
      <c r="K6077" s="12" t="n">
        <f aca="false">Sens!$K$6076/Sens!$K$6056</f>
        <v>0.271267685694333</v>
      </c>
      <c r="L6077" s="12" t="n">
        <f aca="false">Sens!$L$6076/Sens!$L$6056</f>
        <v>0.27160960915653</v>
      </c>
      <c r="M6077" s="12" t="n">
        <f aca="false">Sens!$M$6076/Sens!$M$6056</f>
        <v>0.26974494804234</v>
      </c>
      <c r="N6077" s="12" t="n">
        <f aca="false">Sens!$N$6076/Sens!$N$6056</f>
        <v>0.302870734830849</v>
      </c>
      <c r="O6077" s="12" t="n">
        <f aca="false">Sens!$O$6076/Sens!$O$6056</f>
        <v>0.52240134346334</v>
      </c>
    </row>
    <row r="6078" customFormat="false" ht="17.15" hidden="false" customHeight="false" outlineLevel="0" collapsed="false">
      <c r="A6078" s="5" t="s">
        <v>600</v>
      </c>
      <c r="B6078" s="0" t="s">
        <v>73</v>
      </c>
      <c r="C6078" s="38" t="n">
        <f aca="false">rd2*(1-ext_sh)/ext_sh*Sens!$C$6039*he_open*Sens!$C$6040/1000</f>
        <v>0</v>
      </c>
      <c r="D6078" s="38" t="n">
        <f aca="false">rd2*(1-ext_sh)/ext_sh*Sens!$D$6039*he_open*Sens!$D$6040/1000</f>
        <v>0</v>
      </c>
      <c r="E6078" s="38" t="n">
        <f aca="false">rd2*(1-ext_sh)/ext_sh*Sens!$E$6039*he_open*Sens!$E$6040/1000</f>
        <v>0</v>
      </c>
      <c r="F6078" s="38" t="n">
        <f aca="false">rd2*(1-ext_sh)/ext_sh*(mw_open*he_open+Sens!$F$6054*Sens!$F$6051)*Sens!$F$6040/1000</f>
        <v>0</v>
      </c>
      <c r="G6078" s="38" t="n">
        <f aca="false">Sens!$E$6078+Sens!$F$6078</f>
        <v>0</v>
      </c>
      <c r="H6078" s="38" t="n">
        <f aca="false">rd2*(1-ext_sh)/ext_sh*(mw_open*he_open+Sens!$H$6054*Sens!$H$6051)*Sens!$H$6040/1000</f>
        <v>0</v>
      </c>
      <c r="I6078" s="38" t="n">
        <f aca="false">rd2*(1-ext_sh)/ext_sh*(mw_open*he_open+Sens!$I$6054*Sens!$I$6051)*Sens!$I$6040/1000</f>
        <v>0</v>
      </c>
      <c r="J6078" s="38" t="n">
        <f aca="false">rd2*(1-ext_sh)/ext_sh*(mw_open*he_open+Sens!$J$6054*Sens!$J$6051)*Sens!$J$6040/1000</f>
        <v>0</v>
      </c>
      <c r="K6078" s="38" t="n">
        <f aca="false">rd2*(1-ext_sh)/ext_sh*(mw_open*he_open+Sens!$K$6054*Sens!$K$6051)*Sens!$K$6040/1000</f>
        <v>0</v>
      </c>
      <c r="L6078" s="38" t="n">
        <f aca="false">rd2*(1-ext_sh)/ext_sh*(mw_open*he_open+Sens!$L$6054*Sens!$L$6051)*Sens!$L$6040/1000</f>
        <v>0</v>
      </c>
      <c r="M6078" s="38" t="n">
        <f aca="false">rd2*(1-ext_sh)/ext_sh*(mw_open*he_open+Sens!$M$6054*Sens!$M$6051)*Sens!$M$6040/1000</f>
        <v>0</v>
      </c>
      <c r="N6078" s="38" t="n">
        <f aca="false">rd2*(1-ext_sh)/ext_sh*Sens!$N$6039*he_open*Sens!$N$6040/1000</f>
        <v>0</v>
      </c>
      <c r="O6078" s="38" t="n">
        <f aca="false">rd2*(1-ext_sh)/ext_sh*Sens!$O$6039*he_open*Sens!$O$6040/1000</f>
        <v>0</v>
      </c>
      <c r="P6078" s="8" t="s">
        <v>601</v>
      </c>
    </row>
    <row r="6079" customFormat="false" ht="17.15" hidden="false" customHeight="false" outlineLevel="0" collapsed="false">
      <c r="A6079" s="5" t="s">
        <v>602</v>
      </c>
      <c r="B6079" s="0" t="s">
        <v>73</v>
      </c>
      <c r="C6079" s="38" t="n">
        <f aca="false">(1-ext_sh)*(Sens!$C$6058+Sens!$C$6072)-Sens!$C$6078</f>
        <v>0.169206631859174</v>
      </c>
      <c r="D6079" s="38" t="n">
        <f aca="false">(1-ext_sh)*(Sens!$D$6058+Sens!$D$6072)-Sens!$D$6078</f>
        <v>1.20641732046984</v>
      </c>
      <c r="E6079" s="38" t="n">
        <f aca="false">(1-ext_sh)*(Sens!$E$6058+Sens!$E$6072)-Sens!$E$6078</f>
        <v>1.77441259867062</v>
      </c>
      <c r="F6079" s="38" t="n">
        <f aca="false">(1-ext_sh)*(Sens!$F$6058+Sens!$F$6072)-Sens!$F$6078</f>
        <v>2.1140391597214</v>
      </c>
      <c r="G6079" s="38" t="n">
        <f aca="false">(1-ext_sh)*(Sens!$G$6058+Sens!$G$6072)-Sens!$G$6078</f>
        <v>3.88845175839202</v>
      </c>
      <c r="H6079" s="38" t="n">
        <f aca="false">(1-ext_sh)*(Sens!$H$6058+Sens!$H$6072)-Sens!$H$6078</f>
        <v>10.2210179503985</v>
      </c>
      <c r="I6079" s="38" t="n">
        <f aca="false">(1-ext_sh)*(Sens!$I$6058+Sens!$I$6072)-Sens!$I$6078</f>
        <v>17.8408961823075</v>
      </c>
      <c r="J6079" s="38" t="n">
        <f aca="false">(1-ext_sh)*(Sens!$J$6058+Sens!$J$6072)-Sens!$J$6078</f>
        <v>25.6671150670732</v>
      </c>
      <c r="K6079" s="38" t="n">
        <f aca="false">(1-ext_sh)*(Sens!$K$6058+Sens!$K$6072)-Sens!$K$6078</f>
        <v>33.6325293834986</v>
      </c>
      <c r="L6079" s="38" t="n">
        <f aca="false">(1-ext_sh)*(Sens!$L$6058+Sens!$L$6072)-Sens!$L$6078</f>
        <v>41.1939886299065</v>
      </c>
      <c r="M6079" s="38" t="n">
        <f aca="false">(1-ext_sh)*(Sens!$M$6058+Sens!$M$6072)-Sens!$M$6078</f>
        <v>48.8988205728617</v>
      </c>
      <c r="N6079" s="38" t="n">
        <f aca="false">(1-ext_sh)*(Sens!$N$6058+Sens!$N$6072)-Sens!$N$6078</f>
        <v>0.530919624033979</v>
      </c>
      <c r="O6079" s="38" t="n">
        <f aca="false">(1-ext_sh)*(Sens!$O$6058+Sens!$O$6072)-Sens!$O$6078</f>
        <v>0.675497696435861</v>
      </c>
    </row>
    <row r="6080" customFormat="false" ht="17.15" hidden="false" customHeight="false" outlineLevel="0" collapsed="false">
      <c r="A6080" s="0" t="s">
        <v>603</v>
      </c>
      <c r="B6080" s="0" t="s">
        <v>73</v>
      </c>
      <c r="C6080" s="38" t="n">
        <f aca="false">Q!$D$24</f>
        <v>39.834</v>
      </c>
      <c r="D6080" s="38" t="n">
        <f aca="false">Q!$E$24</f>
        <v>45.606</v>
      </c>
      <c r="E6080" s="38" t="n">
        <f aca="false">Q!$P$24</f>
        <v>30.782</v>
      </c>
      <c r="N6080" s="38" t="n">
        <f aca="false">Q!$N$24</f>
        <v>21.707</v>
      </c>
      <c r="O6080" s="38" t="n">
        <f aca="false">Q!$O$24</f>
        <v>23.899</v>
      </c>
    </row>
    <row r="6081" customFormat="false" ht="17.15" hidden="false" customHeight="false" outlineLevel="0" collapsed="false">
      <c r="A6081" s="0" t="s">
        <v>604</v>
      </c>
      <c r="B6081" s="0" t="s">
        <v>73</v>
      </c>
      <c r="C6081" s="38" t="n">
        <f aca="false">Sens!$C$6080-Sens!$C$6076</f>
        <v>38.1898211704631</v>
      </c>
      <c r="D6081" s="38" t="n">
        <f aca="false">Sens!$D$6080-Sens!$D$6076</f>
        <v>41.7278991932282</v>
      </c>
      <c r="E6081" s="38" t="n">
        <f aca="false">Sens!$E$6080-Sens!$E$6076</f>
        <v>29.3692974191125</v>
      </c>
      <c r="F6081" s="38" t="n">
        <f aca="false">Sens!$F$6060*Sens!$F$6082</f>
        <v>29.458060516894</v>
      </c>
      <c r="G6081" s="38" t="n">
        <f aca="false">Sens!$E$6081+Sens!$F$6081</f>
        <v>58.8273579360065</v>
      </c>
      <c r="H6081" s="38" t="n">
        <f aca="false">Sens!$H$6060*Sens!$H$6082</f>
        <v>67.8004040185081</v>
      </c>
      <c r="I6081" s="38" t="n">
        <f aca="false">Sens!$I$6060*Sens!$I$6082</f>
        <v>78.9527630302702</v>
      </c>
      <c r="J6081" s="38" t="n">
        <f aca="false">Sens!$J$6060*Sens!$J$6082</f>
        <v>88.6042681781841</v>
      </c>
      <c r="K6081" s="38" t="n">
        <f aca="false">Sens!$K$6060*Sens!$K$6082</f>
        <v>95.6926096324389</v>
      </c>
      <c r="L6081" s="38" t="n">
        <f aca="false">Sens!$L$6060*Sens!$L$6082</f>
        <v>103.348018403034</v>
      </c>
      <c r="M6081" s="38" t="n">
        <f aca="false">Sens!$M$6060*Sens!$M$6082</f>
        <v>111.615859875277</v>
      </c>
      <c r="N6081" s="38" t="n">
        <f aca="false">Sens!$N$6080-Sens!$N$6076</f>
        <v>20.784358965108</v>
      </c>
      <c r="O6081" s="38" t="n">
        <f aca="false">Sens!$O$6080-Sens!$O$6076</f>
        <v>20.9435402281202</v>
      </c>
      <c r="P6081" s="5" t="s">
        <v>605</v>
      </c>
    </row>
    <row r="6082" customFormat="false" ht="17.15" hidden="false" customHeight="false" outlineLevel="0" collapsed="false">
      <c r="A6082" s="0" t="s">
        <v>606</v>
      </c>
      <c r="B6082" s="0" t="s">
        <v>52</v>
      </c>
      <c r="C6082" s="12" t="n">
        <f aca="false">Sens!$C$6081/Sens!$C$6060</f>
        <v>0.362900395443635</v>
      </c>
      <c r="D6082" s="12" t="n">
        <f aca="false">Sens!$D$6081/Sens!$D$6060</f>
        <v>0.34767098474203</v>
      </c>
      <c r="E6082" s="12" t="n">
        <f aca="false">Sens!$E$6081/Sens!$E$6060</f>
        <v>0.411861655558416</v>
      </c>
      <c r="F6082" s="12" t="n">
        <f aca="false">(Sens!$O$6081+Sens!$E$6081)/(Sens!$O$6060+Sens!$E$6060)</f>
        <v>0.37480827803158</v>
      </c>
      <c r="G6082" s="12" t="n">
        <f aca="false">Sens!$G$6081/Sens!$G$6060</f>
        <v>0.392434440489471</v>
      </c>
      <c r="H6082" s="12" t="n">
        <f aca="false">Sens!$F$6082</f>
        <v>0.37480827803158</v>
      </c>
      <c r="I6082" s="12" t="n">
        <f aca="false">Sens!$F$6082</f>
        <v>0.37480827803158</v>
      </c>
      <c r="J6082" s="12" t="n">
        <f aca="false">Sens!$F$6082</f>
        <v>0.37480827803158</v>
      </c>
      <c r="K6082" s="12" t="n">
        <f aca="false">Sens!$F$6082</f>
        <v>0.37480827803158</v>
      </c>
      <c r="L6082" s="12" t="n">
        <f aca="false">Sens!$F$6082</f>
        <v>0.37480827803158</v>
      </c>
      <c r="M6082" s="12" t="n">
        <f aca="false">Sens!$F$6082</f>
        <v>0.37480827803158</v>
      </c>
      <c r="N6082" s="12" t="n">
        <f aca="false">Sens!$N$6081/Sens!$N$6060</f>
        <v>0.364039571356823</v>
      </c>
      <c r="O6082" s="12" t="n">
        <f aca="false">Sens!$O$6081/Sens!$O$6060</f>
        <v>0.332819892300086</v>
      </c>
      <c r="P6082" s="8" t="s">
        <v>607</v>
      </c>
    </row>
    <row r="6083" customFormat="false" ht="17.15" hidden="false" customHeight="false" outlineLevel="0" collapsed="false">
      <c r="A6083" s="0" t="s">
        <v>608</v>
      </c>
      <c r="B6083" s="0" t="s">
        <v>52</v>
      </c>
      <c r="D6083" s="12" t="n">
        <f aca="false">(Q!$E$31-ext_sh*Sens!$D$6072)/Sens!$D$6060</f>
        <v>0.154572973163571</v>
      </c>
    </row>
    <row r="6084" customFormat="false" ht="17.15" hidden="false" customHeight="false" outlineLevel="0" collapsed="false">
      <c r="A6084" s="0" t="s">
        <v>609</v>
      </c>
      <c r="B6084" s="0" t="s">
        <v>73</v>
      </c>
      <c r="C6084" s="38" t="n">
        <f aca="false">Q!$D$31</f>
        <v>13.32</v>
      </c>
      <c r="D6084" s="38" t="n">
        <f aca="false">Q!$E$31</f>
        <v>21.45</v>
      </c>
      <c r="E6084" s="38" t="n">
        <f aca="false">Q!$P$31</f>
        <v>15.353</v>
      </c>
      <c r="F6084" s="38" t="n">
        <f aca="false">ext_sh*Sens!$F$6072+Sens!$D$6083*Sens!$F$6060</f>
        <v>17.3614451462707</v>
      </c>
      <c r="G6084" s="38" t="n">
        <f aca="false">Sens!$E$6084+Sens!$F$6084</f>
        <v>32.7144451462707</v>
      </c>
      <c r="H6084" s="38" t="n">
        <f aca="false">ext_sh*Sens!$H$6072+Sens!$D$6083*Sens!$H$6060</f>
        <v>56.1966092719415</v>
      </c>
      <c r="I6084" s="38" t="n">
        <f aca="false">ext_sh*Sens!$I$6072+Sens!$D$6083*Sens!$I$6060</f>
        <v>82.9744039068297</v>
      </c>
      <c r="J6084" s="38" t="n">
        <f aca="false">ext_sh*Sens!$J$6072+Sens!$D$6083*Sens!$J$6060</f>
        <v>109.943252237669</v>
      </c>
      <c r="K6084" s="38" t="n">
        <f aca="false">ext_sh*Sens!$K$6072+Sens!$D$6083*Sens!$K$6060</f>
        <v>136.406703436571</v>
      </c>
      <c r="L6084" s="38" t="n">
        <f aca="false">ext_sh*Sens!$L$6072+Sens!$D$6083*Sens!$L$6060</f>
        <v>161.485870454155</v>
      </c>
      <c r="M6084" s="38" t="n">
        <f aca="false">ext_sh*Sens!$M$6072+Sens!$D$6083*Sens!$M$6060</f>
        <v>187.389846618199</v>
      </c>
      <c r="N6084" s="38" t="n">
        <f aca="false">Q!$N$31</f>
        <v>9.234</v>
      </c>
      <c r="O6084" s="38" t="n">
        <f aca="false">Q!$O$31</f>
        <v>12.216</v>
      </c>
    </row>
    <row r="6085" customFormat="false" ht="17.15" hidden="false" customHeight="false" outlineLevel="0" collapsed="false">
      <c r="A6085" s="1" t="s">
        <v>610</v>
      </c>
    </row>
    <row r="6086" customFormat="false" ht="17.15" hidden="false" customHeight="false" outlineLevel="0" collapsed="false">
      <c r="A6086" s="14" t="s">
        <v>611</v>
      </c>
      <c r="B6086" s="13" t="s">
        <v>52</v>
      </c>
      <c r="C6086" s="13"/>
      <c r="D6086" s="13"/>
      <c r="E6086" s="13"/>
      <c r="F6086" s="13"/>
      <c r="G6086" s="16" t="n">
        <f aca="false">Sens!$G$6076*(1-tax)/(ext_sh*(Sens!$D$6073+Sens!$G$6073)/2)</f>
        <v>0.0492184452944045</v>
      </c>
      <c r="H6086" s="16" t="n">
        <f aca="false">Sens!$H$6076*(1-tax)/(ext_sh*(Sens!$G$6073+Sens!$H$6073)/2)</f>
        <v>0.0619414246858107</v>
      </c>
      <c r="I6086" s="16" t="n">
        <f aca="false">Sens!$I$6076*(1-tax)/(ext_sh*(Sens!$H$6073+Sens!$I$6073)/2)</f>
        <v>0.0656831488051666</v>
      </c>
      <c r="J6086" s="16" t="n">
        <f aca="false">Sens!$J$6076*(1-tax)/(ext_sh*(Sens!$I$6073+Sens!$J$6073)/2)</f>
        <v>0.0690334849962116</v>
      </c>
      <c r="K6086" s="16" t="n">
        <f aca="false">Sens!$K$6076*(1-tax)/(ext_sh*(Sens!$J$6073+Sens!$K$6073)/2)</f>
        <v>0.0728680488295485</v>
      </c>
      <c r="L6086" s="16" t="n">
        <f aca="false">Sens!$L$6076*(1-tax)/(ext_sh*(Sens!$K$6073+Sens!$L$6073)/2)</f>
        <v>0.0785052878122331</v>
      </c>
      <c r="M6086" s="16" t="n">
        <f aca="false">Sens!$M$6076*(1-tax)/(ext_sh*(Sens!$L$6073+Sens!$M$6073)/2)</f>
        <v>0.0804526580722741</v>
      </c>
      <c r="N6086" s="13"/>
      <c r="O6086" s="13"/>
      <c r="P6086" s="8" t="s">
        <v>612</v>
      </c>
    </row>
    <row r="6087" customFormat="false" ht="17.15" hidden="false" customHeight="false" outlineLevel="0" collapsed="false">
      <c r="A6087" s="5" t="s">
        <v>613</v>
      </c>
      <c r="B6087" s="0" t="s">
        <v>57</v>
      </c>
      <c r="H6087" s="36" t="n">
        <f aca="false">Sens!$H$6056*1000/(mw_open*he_open+Sens!$H$6054*Sens!$H$6051)</f>
        <v>0.991949006767191</v>
      </c>
      <c r="I6087" s="36" t="n">
        <f aca="false">Sens!$I$6056*1000/(mw_open*he_open+Sens!$I$6054*Sens!$I$6051)</f>
        <v>0.991949006767191</v>
      </c>
      <c r="J6087" s="36" t="n">
        <f aca="false">Sens!$J$6056*1000/(mw_open*he_open+Sens!$J$6054*Sens!$J$6051)</f>
        <v>0.991949006767191</v>
      </c>
      <c r="K6087" s="36" t="n">
        <f aca="false">Sens!$K$6056*1000/(mw_open*he_open+Sens!$K$6054*Sens!$K$6051)</f>
        <v>0.991949006767191</v>
      </c>
      <c r="L6087" s="36" t="n">
        <f aca="false">Sens!$L$6056*1000/(mw_open*he_open+Sens!$L$6054*Sens!$L$6051)</f>
        <v>0.991949006767191</v>
      </c>
      <c r="M6087" s="36" t="n">
        <f aca="false">Sens!$M$6056*1000/(mw_open*he_open+Sens!$M$6054*Sens!$M$6051)</f>
        <v>0.991949006767192</v>
      </c>
    </row>
    <row r="6088" customFormat="false" ht="17.15" hidden="false" customHeight="false" outlineLevel="0" collapsed="false">
      <c r="A6088" s="5" t="s">
        <v>614</v>
      </c>
      <c r="B6088" s="0" t="s">
        <v>57</v>
      </c>
      <c r="H6088" s="36" t="n">
        <f aca="false">Sens!$H$6087*(Sens!$H$6056+wacc*ext_sh*(Sens!$G$6073+Sens!$H$6073)/2/(1-tax)-Sens!$H$6076)/Sens!$H$6056</f>
        <v>1.3149781212103</v>
      </c>
      <c r="I6088" s="36" t="n">
        <f aca="false">Sens!$I$6087*(Sens!$I$6056+wacc*ext_sh*(Sens!$H$6073+Sens!$I$6073)/2/(1-tax)-Sens!$I$6076)/Sens!$I$6056</f>
        <v>1.25742005569107</v>
      </c>
      <c r="J6088" s="36" t="n">
        <f aca="false">Sens!$J$6087*(Sens!$J$6056+wacc*ext_sh*(Sens!$I$6073+Sens!$J$6073)/2/(1-tax)-Sens!$J$6076)/Sens!$J$6056</f>
        <v>1.21838845868559</v>
      </c>
      <c r="K6088" s="36" t="n">
        <f aca="false">Sens!$K$6087*(Sens!$K$6056+wacc*ext_sh*(Sens!$J$6073+Sens!$K$6073)/2/(1-tax)-Sens!$K$6076)/Sens!$K$6056</f>
        <v>1.18402644209548</v>
      </c>
      <c r="L6088" s="36" t="n">
        <f aca="false">Sens!$L$6087*(Sens!$L$6056+wacc*ext_sh*(Sens!$K$6073+Sens!$L$6073)/2/(1-tax)-Sens!$L$6076)/Sens!$L$6056</f>
        <v>1.15111215322059</v>
      </c>
      <c r="M6088" s="36" t="n">
        <f aca="false">Sens!$M$6087*(Sens!$M$6056+wacc*ext_sh*(Sens!$L$6073+Sens!$M$6073)/2/(1-tax)-Sens!$M$6076)/Sens!$M$6056</f>
        <v>1.1397166845677</v>
      </c>
    </row>
    <row r="6089" customFormat="false" ht="17.15" hidden="false" customHeight="false" outlineLevel="0" collapsed="false">
      <c r="A6089" s="5" t="s">
        <v>615</v>
      </c>
      <c r="B6089" s="0" t="s">
        <v>52</v>
      </c>
      <c r="C6089" s="12" t="n">
        <f aca="false">Sens!$C$6057/tk_pq</f>
        <v>0.195316432429398</v>
      </c>
      <c r="D6089" s="12" t="n">
        <f aca="false">Sens!$D$6057/tk_pq</f>
        <v>0.195316432429398</v>
      </c>
      <c r="E6089" s="12" t="n">
        <f aca="false">Sens!$E$6057/tk_pq</f>
        <v>0.195316432429398</v>
      </c>
      <c r="F6089" s="12" t="n">
        <f aca="false">Sens!$F$6057/tk_pq</f>
        <v>0.202241827274866</v>
      </c>
      <c r="G6089" s="12" t="n">
        <f aca="false">Sens!$G$6057/tk_pq</f>
        <v>0.199675016194063</v>
      </c>
      <c r="H6089" s="12" t="n">
        <f aca="false">Sens!$H$6057/tk_pq</f>
        <v>0.212647947710325</v>
      </c>
      <c r="I6089" s="12" t="n">
        <f aca="false">Sens!$I$6057/tk_pq</f>
        <v>0.219285125475351</v>
      </c>
      <c r="J6089" s="12" t="n">
        <f aca="false">Sens!$J$6057/tk_pq</f>
        <v>0.222492493217189</v>
      </c>
      <c r="K6089" s="12" t="n">
        <f aca="false">Sens!$K$6057/tk_pq</f>
        <v>0.224371415939166</v>
      </c>
      <c r="L6089" s="12" t="n">
        <f aca="false">Sens!$L$6057/tk_pq</f>
        <v>0.225603749825993</v>
      </c>
      <c r="M6089" s="12" t="n">
        <f aca="false">Sens!$M$6057/tk_pq</f>
        <v>0.22647376274628</v>
      </c>
      <c r="N6089" s="12" t="n">
        <f aca="false">Sens!$N$6057/tk_pq</f>
        <v>0.195316432429398</v>
      </c>
      <c r="O6089" s="12" t="n">
        <f aca="false">Sens!$O$6057/tk_pq</f>
        <v>0.195316432429398</v>
      </c>
      <c r="P6089" s="5" t="s">
        <v>616</v>
      </c>
    </row>
    <row r="6092" customFormat="false" ht="17.15" hidden="false" customHeight="false" outlineLevel="0" collapsed="false">
      <c r="A6092" s="1" t="s">
        <v>643</v>
      </c>
    </row>
    <row r="6093" customFormat="false" ht="17.15" hidden="false" customHeight="false" outlineLevel="0" collapsed="false">
      <c r="A6093" s="0" t="s">
        <v>644</v>
      </c>
      <c r="B6093" s="0" t="s">
        <v>73</v>
      </c>
      <c r="C6093" s="38" t="n">
        <f aca="false">Sens!$C$6056</f>
        <v>2.32100535697364</v>
      </c>
      <c r="D6093" s="38" t="n">
        <f aca="false">Sens!$D$6056</f>
        <v>8.70377008865116</v>
      </c>
      <c r="E6093" s="38" t="n">
        <f aca="false">Sens!$E$6056</f>
        <v>8.51035297557002</v>
      </c>
      <c r="F6093" s="38" t="n">
        <f aca="false">Sens!$F$6056</f>
        <v>14.9634336447205</v>
      </c>
      <c r="G6093" s="38" t="n">
        <f aca="false">Sens!$G$6056</f>
        <v>23.4737866202905</v>
      </c>
      <c r="H6093" s="38" t="n">
        <f aca="false">Sens!$H$6056</f>
        <v>60.1658907497746</v>
      </c>
      <c r="I6093" s="38" t="n">
        <f aca="false">Sens!$I$6056</f>
        <v>101.503699136432</v>
      </c>
      <c r="J6093" s="38" t="n">
        <f aca="false">Sens!$J$6056</f>
        <v>143.025407151278</v>
      </c>
      <c r="K6093" s="38" t="n">
        <f aca="false">Sens!$K$6056</f>
        <v>184.608415042187</v>
      </c>
      <c r="L6093" s="38" t="n">
        <f aca="false">Sens!$L$6056</f>
        <v>226.219286513125</v>
      </c>
      <c r="M6093" s="38" t="n">
        <f aca="false">Sens!$M$6056</f>
        <v>267.845161450232</v>
      </c>
      <c r="N6093" s="38" t="n">
        <f aca="false">Sens!$N$6056</f>
        <v>3.04631953102791</v>
      </c>
      <c r="O6093" s="38" t="n">
        <f aca="false">Sens!$O$6056</f>
        <v>5.65745055762326</v>
      </c>
      <c r="P6093" s="8" t="s">
        <v>645</v>
      </c>
    </row>
    <row r="6094" customFormat="false" ht="17.15" hidden="false" customHeight="false" outlineLevel="0" collapsed="false">
      <c r="A6094" s="0" t="s">
        <v>646</v>
      </c>
      <c r="B6094" s="0" t="s">
        <v>73</v>
      </c>
      <c r="C6094" s="38" t="n">
        <f aca="false">Sens!$C$6060</f>
        <v>105.234994643026</v>
      </c>
      <c r="D6094" s="38" t="n">
        <f aca="false">Sens!$D$6060</f>
        <v>120.021229911349</v>
      </c>
      <c r="E6094" s="38" t="n">
        <f aca="false">Sens!$E$6060</f>
        <v>71.30864702443</v>
      </c>
      <c r="F6094" s="38" t="n">
        <f aca="false">Sens!$F$6060</f>
        <v>78.5950104186653</v>
      </c>
      <c r="G6094" s="38" t="n">
        <f aca="false">Sens!$G$6060</f>
        <v>149.903657443095</v>
      </c>
      <c r="H6094" s="38" t="n">
        <f aca="false">Sens!$H$6060</f>
        <v>180.893560768142</v>
      </c>
      <c r="I6094" s="38" t="n">
        <f aca="false">Sens!$I$6060</f>
        <v>210.64839721501</v>
      </c>
      <c r="J6094" s="38" t="n">
        <f aca="false">Sens!$J$6060</f>
        <v>236.398909446495</v>
      </c>
      <c r="K6094" s="38" t="n">
        <f aca="false">Sens!$K$6060</f>
        <v>255.310822202215</v>
      </c>
      <c r="L6094" s="38" t="n">
        <f aca="false">Sens!$L$6060</f>
        <v>275.735687978392</v>
      </c>
      <c r="M6094" s="38" t="n">
        <f aca="false">Sens!$M$6060</f>
        <v>297.794543016663</v>
      </c>
      <c r="N6094" s="38" t="n">
        <f aca="false">Sens!$N$6060</f>
        <v>57.0936804689721</v>
      </c>
      <c r="O6094" s="38" t="n">
        <f aca="false">Sens!$O$6060</f>
        <v>62.9275494423768</v>
      </c>
      <c r="P6094" s="8" t="s">
        <v>645</v>
      </c>
    </row>
    <row r="6095" customFormat="false" ht="17.15" hidden="false" customHeight="false" outlineLevel="0" collapsed="false">
      <c r="A6095" s="1" t="s">
        <v>476</v>
      </c>
      <c r="B6095" s="8" t="s">
        <v>73</v>
      </c>
      <c r="C6095" s="38" t="n">
        <f aca="false">Q!$D$7</f>
        <v>107.556</v>
      </c>
      <c r="D6095" s="38" t="n">
        <f aca="false">Q!$E$7</f>
        <v>128.725</v>
      </c>
      <c r="E6095" s="38" t="n">
        <f aca="false">Q!$P$7</f>
        <v>79.819</v>
      </c>
      <c r="F6095" s="38" t="n">
        <f aca="false">Sens!$F$6093+Sens!$F$6094</f>
        <v>93.5584440633857</v>
      </c>
      <c r="G6095" s="38" t="n">
        <f aca="false">Sens!$G$6093+Sens!$G$6094</f>
        <v>173.377444063386</v>
      </c>
      <c r="H6095" s="38" t="n">
        <f aca="false">Sens!$H$6093+Sens!$H$6094</f>
        <v>241.059451517916</v>
      </c>
      <c r="I6095" s="38" t="n">
        <f aca="false">Sens!$I$6093+Sens!$I$6094</f>
        <v>312.152096351442</v>
      </c>
      <c r="J6095" s="38" t="n">
        <f aca="false">Sens!$J$6093+Sens!$J$6094</f>
        <v>379.424316597773</v>
      </c>
      <c r="K6095" s="38" t="n">
        <f aca="false">Sens!$K$6093+Sens!$K$6094</f>
        <v>439.919237244402</v>
      </c>
      <c r="L6095" s="38" t="n">
        <f aca="false">Sens!$L$6093+Sens!$L$6094</f>
        <v>501.954974491517</v>
      </c>
      <c r="M6095" s="38" t="n">
        <f aca="false">Sens!$M$6093+Sens!$M$6094</f>
        <v>565.639704466895</v>
      </c>
      <c r="N6095" s="38" t="n">
        <f aca="false">Q!$N$7</f>
        <v>60.14</v>
      </c>
      <c r="O6095" s="38" t="n">
        <f aca="false">Q!$O$7</f>
        <v>68.585</v>
      </c>
      <c r="P6095" s="5" t="s">
        <v>647</v>
      </c>
    </row>
    <row r="6096" customFormat="false" ht="15" hidden="false" customHeight="false" outlineLevel="0" collapsed="false">
      <c r="A6096" s="3" t="s">
        <v>648</v>
      </c>
      <c r="B6096" s="8" t="s">
        <v>73</v>
      </c>
      <c r="C6096" s="38" t="n">
        <f aca="false">Q!$D$8</f>
        <v>637.959</v>
      </c>
      <c r="D6096" s="38" t="n">
        <f aca="false">Q!$E$8</f>
        <v>716.924</v>
      </c>
      <c r="E6096" s="38" t="n">
        <f aca="false">Q!$P$8</f>
        <v>382.125</v>
      </c>
      <c r="F6096" s="38" t="n">
        <f aca="false">Sens!$F$6029+Sens!$F$6095</f>
        <v>450.494873271816</v>
      </c>
      <c r="G6096" s="38" t="n">
        <f aca="false">Sens!$G$6029+Sens!$G$6095</f>
        <v>832.619873271816</v>
      </c>
      <c r="H6096" s="38" t="n">
        <f aca="false">Sens!$H$6029+Sens!$H$6095</f>
        <v>970.995189139617</v>
      </c>
      <c r="I6096" s="38" t="n">
        <f aca="false">Sens!$I$6029+Sens!$I$6095</f>
        <v>1110.44766604932</v>
      </c>
      <c r="J6096" s="38" t="n">
        <f aca="false">Sens!$J$6029+Sens!$J$6095</f>
        <v>1241.16113892356</v>
      </c>
      <c r="K6096" s="38" t="n">
        <f aca="false">Sens!$K$6029+Sens!$K$6095</f>
        <v>1357.47672934633</v>
      </c>
      <c r="L6096" s="38" t="n">
        <f aca="false">Sens!$L$6029+Sens!$L$6095</f>
        <v>1479.24006423468</v>
      </c>
      <c r="M6096" s="38" t="n">
        <f aca="false">Sens!$M$6029+Sens!$M$6095</f>
        <v>1606.8537230104</v>
      </c>
      <c r="N6096" s="38" t="n">
        <f aca="false">Q!$N$8</f>
        <v>323.369</v>
      </c>
      <c r="O6096" s="38" t="n">
        <f aca="false">Q!$O$8</f>
        <v>393.555</v>
      </c>
    </row>
    <row r="6097" customFormat="false" ht="17.15" hidden="false" customHeight="false" outlineLevel="0" collapsed="false">
      <c r="A6097" s="24" t="s">
        <v>656</v>
      </c>
      <c r="B6097" s="25" t="s">
        <v>73</v>
      </c>
      <c r="C6097" s="39" t="n">
        <f aca="false">Sens!$C$6029-(Sens!$C$6031+Sens!$C$6032)</f>
        <v>0</v>
      </c>
      <c r="D6097" s="39" t="n">
        <f aca="false">Sens!$D$6029-(Sens!$D$6031+Sens!$D$6032)</f>
        <v>0</v>
      </c>
      <c r="E6097" s="39" t="n">
        <f aca="false">Sens!$E$6029-(Sens!$E$6031+Sens!$E$6032)</f>
        <v>0</v>
      </c>
      <c r="F6097" s="39" t="n">
        <f aca="false">Sens!$F$6029-(Sens!$F$6031+Sens!$F$6032)</f>
        <v>0</v>
      </c>
      <c r="G6097" s="39" t="n">
        <f aca="false">Sens!$G$6029-(Sens!$G$6031+Sens!$G$6032)</f>
        <v>0</v>
      </c>
      <c r="H6097" s="39" t="n">
        <f aca="false">Sens!$H$6029-(Sens!$H$6031+Sens!$H$6032)</f>
        <v>0</v>
      </c>
      <c r="I6097" s="39" t="n">
        <f aca="false">Sens!$I$6029-(Sens!$I$6031+Sens!$I$6032)</f>
        <v>0</v>
      </c>
      <c r="J6097" s="39" t="n">
        <f aca="false">Sens!$J$6029-(Sens!$J$6031+Sens!$J$6032)</f>
        <v>0</v>
      </c>
      <c r="K6097" s="39" t="n">
        <f aca="false">Sens!$K$6029-(Sens!$K$6031+Sens!$K$6032)</f>
        <v>0</v>
      </c>
      <c r="L6097" s="39" t="n">
        <f aca="false">Sens!$L$6029-(Sens!$L$6031+Sens!$L$6032)</f>
        <v>0</v>
      </c>
      <c r="M6097" s="39" t="n">
        <f aca="false">Sens!$M$6029-(Sens!$M$6031+Sens!$M$6032)</f>
        <v>0</v>
      </c>
      <c r="N6097" s="39" t="n">
        <f aca="false">Sens!$N$6029-(Sens!$N$6031+Sens!$N$6032)</f>
        <v>0</v>
      </c>
      <c r="O6097" s="39" t="n">
        <f aca="false">Sens!$O$6029-(Sens!$O$6031+Sens!$O$6032)</f>
        <v>0</v>
      </c>
    </row>
    <row r="6098" customFormat="false" ht="17.15" hidden="false" customHeight="false" outlineLevel="0" collapsed="false">
      <c r="A6098" s="24" t="s">
        <v>657</v>
      </c>
      <c r="B6098" s="25" t="s">
        <v>73</v>
      </c>
      <c r="C6098" s="39" t="n">
        <f aca="false">Sens!$C$6093+Sens!$C$6094-Sens!$C$6095</f>
        <v>0</v>
      </c>
      <c r="D6098" s="39" t="n">
        <f aca="false">Sens!$D$6093+Sens!$D$6094-Sens!$D$6095</f>
        <v>0</v>
      </c>
      <c r="E6098" s="39" t="n">
        <f aca="false">Sens!$E$6093+Sens!$E$6094-Sens!$E$6095</f>
        <v>0</v>
      </c>
      <c r="F6098" s="39" t="n">
        <f aca="false">Sens!$F$6093+Sens!$F$6094-Sens!$F$6095</f>
        <v>0</v>
      </c>
      <c r="G6098" s="39" t="n">
        <f aca="false">Sens!$G$6093+Sens!$G$6094-Sens!$G$6095</f>
        <v>0</v>
      </c>
      <c r="H6098" s="39" t="n">
        <f aca="false">Sens!$H$6093+Sens!$H$6094-Sens!$H$6095</f>
        <v>0</v>
      </c>
      <c r="I6098" s="39" t="n">
        <f aca="false">Sens!$I$6093+Sens!$I$6094-Sens!$I$6095</f>
        <v>0</v>
      </c>
      <c r="J6098" s="39" t="n">
        <f aca="false">Sens!$J$6093+Sens!$J$6094-Sens!$J$6095</f>
        <v>0</v>
      </c>
      <c r="K6098" s="39" t="n">
        <f aca="false">Sens!$K$6093+Sens!$K$6094-Sens!$K$6095</f>
        <v>0</v>
      </c>
      <c r="L6098" s="39" t="n">
        <f aca="false">Sens!$L$6093+Sens!$L$6094-Sens!$L$6095</f>
        <v>0</v>
      </c>
      <c r="M6098" s="39" t="n">
        <f aca="false">Sens!$M$6093+Sens!$M$6094-Sens!$M$6095</f>
        <v>0</v>
      </c>
      <c r="N6098" s="39" t="n">
        <f aca="false">Sens!$N$6093+Sens!$N$6094-Sens!$N$6095</f>
        <v>0</v>
      </c>
      <c r="O6098" s="39" t="n">
        <f aca="false">Sens!$O$6093+Sens!$O$6094-Sens!$O$6095</f>
        <v>0</v>
      </c>
    </row>
    <row r="6099" customFormat="false" ht="17.15" hidden="false" customHeight="false" outlineLevel="0" collapsed="false">
      <c r="A6099" s="24" t="s">
        <v>658</v>
      </c>
      <c r="B6099" s="25" t="s">
        <v>73</v>
      </c>
      <c r="C6099" s="39" t="n">
        <f aca="false">Sens!$C$6031+Sens!$C$6032+Sens!$C$6095-Sens!$C$6096</f>
        <v>0</v>
      </c>
      <c r="D6099" s="39" t="n">
        <f aca="false">Sens!$D$6031+Sens!$D$6032+Sens!$D$6095-Sens!$D$6096</f>
        <v>0</v>
      </c>
      <c r="E6099" s="39" t="n">
        <f aca="false">Sens!$E$6031+Sens!$E$6032+Sens!$E$6095-Sens!$E$6096</f>
        <v>0</v>
      </c>
      <c r="F6099" s="39" t="n">
        <f aca="false">Sens!$F$6031+Sens!$F$6032+Sens!$F$6095-Sens!$F$6096</f>
        <v>0</v>
      </c>
      <c r="G6099" s="39" t="n">
        <f aca="false">Sens!$G$6031+Sens!$G$6032+Sens!$G$6095-Sens!$G$6096</f>
        <v>0</v>
      </c>
      <c r="H6099" s="39" t="n">
        <f aca="false">Sens!$H$6031+Sens!$H$6032+Sens!$H$6095-Sens!$H$6096</f>
        <v>0</v>
      </c>
      <c r="I6099" s="39" t="n">
        <f aca="false">Sens!$I$6031+Sens!$I$6032+Sens!$I$6095-Sens!$I$6096</f>
        <v>0</v>
      </c>
      <c r="J6099" s="39" t="n">
        <f aca="false">Sens!$J$6031+Sens!$J$6032+Sens!$J$6095-Sens!$J$6096</f>
        <v>0</v>
      </c>
      <c r="K6099" s="39" t="n">
        <f aca="false">Sens!$K$6031+Sens!$K$6032+Sens!$K$6095-Sens!$K$6096</f>
        <v>0</v>
      </c>
      <c r="L6099" s="39" t="n">
        <f aca="false">Sens!$L$6031+Sens!$L$6032+Sens!$L$6095-Sens!$L$6096</f>
        <v>0</v>
      </c>
      <c r="M6099" s="39" t="n">
        <f aca="false">Sens!$M$6031+Sens!$M$6032+Sens!$M$6095-Sens!$M$6096</f>
        <v>0</v>
      </c>
      <c r="N6099" s="39" t="n">
        <f aca="false">Sens!$N$6031+Sens!$N$6032+Sens!$N$6095-Sens!$N$6096</f>
        <v>0</v>
      </c>
      <c r="O6099" s="39" t="n">
        <f aca="false">Sens!$O$6031+Sens!$O$6032+Sens!$O$6095-Sens!$O$6096</f>
        <v>0</v>
      </c>
    </row>
    <row r="6100" customFormat="false" ht="15" hidden="false" customHeight="false" outlineLevel="0" collapsed="false">
      <c r="A6100" s="5" t="s">
        <v>652</v>
      </c>
      <c r="B6100" s="0" t="s">
        <v>52</v>
      </c>
      <c r="G6100" s="12" t="n">
        <f aca="false">Sens!$G$6096/Sens!$D$6096-1</f>
        <v>0.161378156222718</v>
      </c>
      <c r="H6100" s="12" t="n">
        <f aca="false">Sens!$H$6096/Sens!$G$6096-1</f>
        <v>0.166192665236357</v>
      </c>
      <c r="I6100" s="12" t="n">
        <f aca="false">Sens!$I$6096/Sens!$H$6096-1</f>
        <v>0.143618092519351</v>
      </c>
      <c r="J6100" s="12" t="n">
        <f aca="false">Sens!$J$6096/Sens!$I$6096-1</f>
        <v>0.117712411733268</v>
      </c>
      <c r="K6100" s="12" t="n">
        <f aca="false">Sens!$K$6096/Sens!$J$6096-1</f>
        <v>0.0937151404237868</v>
      </c>
      <c r="L6100" s="12" t="n">
        <f aca="false">Sens!$L$6096/Sens!$K$6096-1</f>
        <v>0.0896982852494186</v>
      </c>
      <c r="M6100" s="12" t="n">
        <f aca="false">Sens!$M$6096/Sens!$L$6096-1</f>
        <v>0.0862697420528154</v>
      </c>
    </row>
    <row r="6101" customFormat="false" ht="17.15" hidden="false" customHeight="false" outlineLevel="0" collapsed="false">
      <c r="A6101" s="0" t="s">
        <v>653</v>
      </c>
      <c r="B6101" s="0" t="s">
        <v>52</v>
      </c>
      <c r="C6101" s="12" t="n">
        <f aca="false">Sens!$C$6095/Sens!$C$6096</f>
        <v>0.168593906504964</v>
      </c>
      <c r="D6101" s="12" t="n">
        <f aca="false">Sens!$D$6095/Sens!$D$6096</f>
        <v>0.179551807444025</v>
      </c>
      <c r="E6101" s="12" t="n">
        <f aca="false">Sens!$E$6095/Sens!$E$6096</f>
        <v>0.208881910369643</v>
      </c>
      <c r="F6101" s="12" t="n">
        <f aca="false">Sens!$F$6095/Sens!$F$6096</f>
        <v>0.207679264769203</v>
      </c>
      <c r="G6101" s="12" t="n">
        <f aca="false">Sens!$G$6095/Sens!$G$6096</f>
        <v>0.208231210458731</v>
      </c>
      <c r="H6101" s="12" t="n">
        <f aca="false">Sens!$H$6095/Sens!$H$6096</f>
        <v>0.248260191414043</v>
      </c>
      <c r="I6101" s="12" t="n">
        <f aca="false">Sens!$I$6095/Sens!$I$6096</f>
        <v>0.28110473450946</v>
      </c>
      <c r="J6101" s="12" t="n">
        <f aca="false">Sens!$J$6095/Sens!$J$6096</f>
        <v>0.30570109287086</v>
      </c>
      <c r="K6101" s="12" t="n">
        <f aca="false">Sens!$K$6095/Sens!$K$6096</f>
        <v>0.324071291782835</v>
      </c>
      <c r="L6101" s="12" t="n">
        <f aca="false">Sens!$L$6095/Sens!$L$6096</f>
        <v>0.339333003903741</v>
      </c>
      <c r="M6101" s="12" t="n">
        <f aca="false">Sens!$M$6095/Sens!$M$6096</f>
        <v>0.3520169237354</v>
      </c>
      <c r="N6101" s="12" t="n">
        <f aca="false">Sens!$N$6095/Sens!$N$6096</f>
        <v>0.185979484737251</v>
      </c>
      <c r="O6101" s="12" t="n">
        <f aca="false">Sens!$O$6095/Sens!$O$6096</f>
        <v>0.174270432341096</v>
      </c>
    </row>
    <row r="6102" customFormat="false" ht="17.15" hidden="false" customHeight="false" outlineLevel="0" collapsed="false">
      <c r="A6102" s="0" t="s">
        <v>654</v>
      </c>
      <c r="B6102" s="0" t="s">
        <v>52</v>
      </c>
      <c r="C6102" s="12" t="n">
        <f aca="false">Sens!$C$6093/Sens!$C$6095</f>
        <v>0.0215795060896058</v>
      </c>
      <c r="D6102" s="12" t="n">
        <f aca="false">Sens!$D$6093/Sens!$D$6095</f>
        <v>0.0676152269462122</v>
      </c>
      <c r="E6102" s="12" t="n">
        <f aca="false">Sens!$E$6093/Sens!$E$6095</f>
        <v>0.106620641395783</v>
      </c>
      <c r="F6102" s="12" t="n">
        <f aca="false">Sens!$F$6093/Sens!$F$6095</f>
        <v>0.159936751776064</v>
      </c>
      <c r="G6102" s="12" t="n">
        <f aca="false">Sens!$G$6093/Sens!$G$6095</f>
        <v>0.135391237003751</v>
      </c>
      <c r="H6102" s="12" t="n">
        <f aca="false">Sens!$H$6093/Sens!$H$6095</f>
        <v>0.249589428545194</v>
      </c>
      <c r="I6102" s="12" t="n">
        <f aca="false">Sens!$I$6093/Sens!$I$6095</f>
        <v>0.325173850577483</v>
      </c>
      <c r="J6102" s="12" t="n">
        <f aca="false">Sens!$J$6093/Sens!$J$6095</f>
        <v>0.376953718817392</v>
      </c>
      <c r="K6102" s="12" t="n">
        <f aca="false">Sens!$K$6093/Sens!$K$6095</f>
        <v>0.419641605578676</v>
      </c>
      <c r="L6102" s="12" t="n">
        <f aca="false">Sens!$L$6093/Sens!$L$6095</f>
        <v>0.450676451094615</v>
      </c>
      <c r="M6102" s="12" t="n">
        <f aca="false">Sens!$M$6093/Sens!$M$6095</f>
        <v>0.473526096798086</v>
      </c>
      <c r="N6102" s="12" t="n">
        <f aca="false">Sens!$N$6093/Sens!$N$6095</f>
        <v>0.0506537999838362</v>
      </c>
      <c r="O6102" s="12" t="n">
        <f aca="false">Sens!$O$6093/Sens!$O$6095</f>
        <v>0.0824881615167056</v>
      </c>
    </row>
    <row r="6105" customFormat="false" ht="19.4" hidden="false" customHeight="false" outlineLevel="0" collapsed="false">
      <c r="A6105" s="31" t="s">
        <v>1177</v>
      </c>
    </row>
    <row r="6106" customFormat="false" ht="17.15" hidden="false" customHeight="false" outlineLevel="0" collapsed="false">
      <c r="A6106" s="6" t="s">
        <v>16</v>
      </c>
      <c r="B6106" s="6" t="s">
        <v>17</v>
      </c>
      <c r="C6106" s="20" t="s">
        <v>457</v>
      </c>
      <c r="D6106" s="20" t="s">
        <v>458</v>
      </c>
      <c r="E6106" s="20" t="s">
        <v>540</v>
      </c>
      <c r="F6106" s="20" t="s">
        <v>541</v>
      </c>
      <c r="G6106" s="20" t="s">
        <v>542</v>
      </c>
      <c r="H6106" s="20" t="s">
        <v>543</v>
      </c>
      <c r="I6106" s="20" t="s">
        <v>544</v>
      </c>
      <c r="J6106" s="20" t="s">
        <v>545</v>
      </c>
      <c r="K6106" s="20" t="s">
        <v>546</v>
      </c>
      <c r="L6106" s="20" t="s">
        <v>547</v>
      </c>
      <c r="M6106" s="20" t="s">
        <v>548</v>
      </c>
      <c r="N6106" s="20" t="s">
        <v>549</v>
      </c>
      <c r="O6106" s="20" t="s">
        <v>550</v>
      </c>
      <c r="P6106" s="6" t="s">
        <v>23</v>
      </c>
      <c r="R6106" s="20" t="n">
        <v>2023</v>
      </c>
      <c r="S6106" s="20" t="n">
        <v>2024</v>
      </c>
      <c r="T6106" s="20" t="n">
        <v>2025</v>
      </c>
      <c r="U6106" s="20" t="n">
        <v>2026</v>
      </c>
      <c r="V6106" s="20" t="n">
        <v>2027</v>
      </c>
      <c r="W6106" s="20" t="n">
        <v>2028</v>
      </c>
      <c r="X6106" s="20" t="n">
        <v>2029</v>
      </c>
      <c r="Y6106" s="20" t="n">
        <v>2030</v>
      </c>
      <c r="Z6106" s="20" t="n">
        <v>2031</v>
      </c>
      <c r="AA6106" s="20" t="n">
        <v>2032</v>
      </c>
    </row>
    <row r="6107" customFormat="false" ht="17.15" hidden="false" customHeight="false" outlineLevel="0" collapsed="false">
      <c r="A6107" s="1" t="s">
        <v>669</v>
      </c>
    </row>
    <row r="6108" customFormat="false" ht="15" hidden="false" customHeight="false" outlineLevel="0" collapsed="false">
      <c r="A6108" s="0" t="s">
        <v>479</v>
      </c>
      <c r="B6108" s="0" t="s">
        <v>73</v>
      </c>
      <c r="C6108" s="38" t="n">
        <f aca="false">Sens!$C$6017</f>
        <v>247.029</v>
      </c>
      <c r="D6108" s="38" t="n">
        <f aca="false">Sens!$D$6017</f>
        <v>269.287</v>
      </c>
      <c r="E6108" s="38" t="n">
        <f aca="false">Sens!$E$6017</f>
        <v>134.686</v>
      </c>
      <c r="F6108" s="38" t="n">
        <f aca="false">Sens!$F$6017</f>
        <v>160.728085930082</v>
      </c>
      <c r="G6108" s="38" t="n">
        <f aca="false">Sens!$G$6017</f>
        <v>295.414085930082</v>
      </c>
      <c r="H6108" s="38" t="n">
        <f aca="false">Sens!$H$6017</f>
        <v>320.828163943375</v>
      </c>
      <c r="I6108" s="38" t="n">
        <f aca="false">Sens!$I$6017</f>
        <v>344.575578072228</v>
      </c>
      <c r="J6108" s="38" t="n">
        <f aca="false">Sens!$J$6017</f>
        <v>365.942555779681</v>
      </c>
      <c r="K6108" s="38" t="n">
        <f aca="false">Sens!$K$6017</f>
        <v>384.239683568665</v>
      </c>
      <c r="L6108" s="38" t="n">
        <f aca="false">Sens!$L$6017</f>
        <v>403.451667747098</v>
      </c>
      <c r="M6108" s="38" t="n">
        <f aca="false">Sens!$M$6017</f>
        <v>423.624251134453</v>
      </c>
      <c r="N6108" s="38" t="n">
        <f aca="false">Sens!$N$6017</f>
        <v>118.892</v>
      </c>
      <c r="O6108" s="38" t="n">
        <f aca="false">Sens!$O$6017</f>
        <v>150.395</v>
      </c>
    </row>
    <row r="6109" customFormat="false" ht="15" hidden="false" customHeight="false" outlineLevel="0" collapsed="false">
      <c r="A6109" s="0" t="s">
        <v>480</v>
      </c>
      <c r="B6109" s="0" t="s">
        <v>73</v>
      </c>
      <c r="C6109" s="38" t="n">
        <f aca="false">Sens!$C$6019</f>
        <v>21.215</v>
      </c>
      <c r="D6109" s="38" t="n">
        <f aca="false">Sens!$D$6019</f>
        <v>22.561</v>
      </c>
      <c r="E6109" s="38" t="n">
        <f aca="false">Sens!$E$6019</f>
        <v>11.579</v>
      </c>
      <c r="F6109" s="38" t="n">
        <f aca="false">Sens!$F$6019</f>
        <v>12.0952613121125</v>
      </c>
      <c r="G6109" s="38" t="n">
        <f aca="false">Sens!$G$6019</f>
        <v>23.6742613121125</v>
      </c>
      <c r="H6109" s="38" t="n">
        <f aca="false">Sens!$H$6019</f>
        <v>24.8803243963206</v>
      </c>
      <c r="I6109" s="38" t="n">
        <f aca="false">Sens!$I$6019</f>
        <v>25.9741308664154</v>
      </c>
      <c r="J6109" s="38" t="n">
        <f aca="false">Sens!$J$6019</f>
        <v>26.9346894124267</v>
      </c>
      <c r="K6109" s="38" t="n">
        <f aca="false">Sens!$K$6019</f>
        <v>27.7427300947995</v>
      </c>
      <c r="L6109" s="38" t="n">
        <f aca="false">Sens!$L$6019</f>
        <v>28.5750119976435</v>
      </c>
      <c r="M6109" s="38" t="n">
        <f aca="false">Sens!$M$6019</f>
        <v>29.4322623575728</v>
      </c>
      <c r="N6109" s="38" t="n">
        <f aca="false">Sens!$N$6019</f>
        <v>11.128</v>
      </c>
      <c r="O6109" s="38" t="n">
        <f aca="false">Sens!$O$6019</f>
        <v>11.433</v>
      </c>
    </row>
    <row r="6110" customFormat="false" ht="15" hidden="false" customHeight="false" outlineLevel="0" collapsed="false">
      <c r="A6110" s="0" t="s">
        <v>481</v>
      </c>
      <c r="B6110" s="0" t="s">
        <v>73</v>
      </c>
      <c r="C6110" s="38" t="n">
        <f aca="false">Sens!$C$6021</f>
        <v>156.146</v>
      </c>
      <c r="D6110" s="38" t="n">
        <f aca="false">Sens!$D$6021</f>
        <v>172.162</v>
      </c>
      <c r="E6110" s="38" t="n">
        <f aca="false">Sens!$E$6021</f>
        <v>88.358</v>
      </c>
      <c r="F6110" s="38" t="n">
        <f aca="false">Sens!$F$6021</f>
        <v>103.62028337149</v>
      </c>
      <c r="G6110" s="38" t="n">
        <f aca="false">Sens!$G$6021</f>
        <v>191.97828337149</v>
      </c>
      <c r="H6110" s="38" t="n">
        <f aca="false">Sens!$H$6021</f>
        <v>212.128608444755</v>
      </c>
      <c r="I6110" s="38" t="n">
        <f aca="false">Sens!$I$6021</f>
        <v>231.92183134134</v>
      </c>
      <c r="J6110" s="38" t="n">
        <f aca="false">Sens!$J$6021</f>
        <v>250.859136487863</v>
      </c>
      <c r="K6110" s="38" t="n">
        <f aca="false">Sens!$K$6021</f>
        <v>268.419276042014</v>
      </c>
      <c r="L6110" s="38" t="n">
        <f aca="false">Sens!$L$6021</f>
        <v>287.208625364954</v>
      </c>
      <c r="M6110" s="38" t="n">
        <f aca="false">Sens!$M$6021</f>
        <v>307.313229140501</v>
      </c>
      <c r="N6110" s="38" t="n">
        <f aca="false">Sens!$N$6021</f>
        <v>76.86</v>
      </c>
      <c r="O6110" s="38" t="n">
        <f aca="false">Sens!$O$6021</f>
        <v>95.302</v>
      </c>
    </row>
    <row r="6111" customFormat="false" ht="15" hidden="false" customHeight="false" outlineLevel="0" collapsed="false">
      <c r="A6111" s="0" t="s">
        <v>482</v>
      </c>
      <c r="B6111" s="0" t="s">
        <v>73</v>
      </c>
      <c r="C6111" s="38" t="n">
        <f aca="false">Sens!$C$6023</f>
        <v>56.214</v>
      </c>
      <c r="D6111" s="38" t="n">
        <f aca="false">Sens!$D$6023</f>
        <v>68.635</v>
      </c>
      <c r="E6111" s="38" t="n">
        <f aca="false">Sens!$E$6023</f>
        <v>37.052</v>
      </c>
      <c r="F6111" s="38" t="n">
        <f aca="false">Sens!$F$6023</f>
        <v>48.1533381827382</v>
      </c>
      <c r="G6111" s="38" t="n">
        <f aca="false">Sens!$G$6023</f>
        <v>85.2053381827382</v>
      </c>
      <c r="H6111" s="38" t="n">
        <f aca="false">Sens!$H$6023</f>
        <v>102.29336185894</v>
      </c>
      <c r="I6111" s="38" t="n">
        <f aca="false">Sens!$I$6023</f>
        <v>119.379837585241</v>
      </c>
      <c r="J6111" s="38" t="n">
        <f aca="false">Sens!$J$6023</f>
        <v>135.319079048844</v>
      </c>
      <c r="K6111" s="38" t="n">
        <f aca="false">Sens!$K$6023</f>
        <v>148.850986953729</v>
      </c>
      <c r="L6111" s="38" t="n">
        <f aca="false">Sens!$L$6023</f>
        <v>163.736085649102</v>
      </c>
      <c r="M6111" s="38" t="n">
        <f aca="false">Sens!$M$6023</f>
        <v>180.109694214012</v>
      </c>
      <c r="N6111" s="38" t="n">
        <f aca="false">Sens!$N$6023</f>
        <v>29.615</v>
      </c>
      <c r="O6111" s="38" t="n">
        <f aca="false">Sens!$O$6023</f>
        <v>39.02</v>
      </c>
    </row>
    <row r="6112" customFormat="false" ht="15" hidden="false" customHeight="false" outlineLevel="0" collapsed="false">
      <c r="A6112" s="0" t="s">
        <v>483</v>
      </c>
      <c r="B6112" s="0" t="s">
        <v>73</v>
      </c>
      <c r="C6112" s="38" t="n">
        <f aca="false">Sens!$C$6025</f>
        <v>44.374</v>
      </c>
      <c r="D6112" s="38" t="n">
        <f aca="false">Sens!$D$6025</f>
        <v>49.619</v>
      </c>
      <c r="E6112" s="38" t="n">
        <f aca="false">Sens!$E$6025</f>
        <v>27.157</v>
      </c>
      <c r="F6112" s="38" t="n">
        <f aca="false">Sens!$F$6025</f>
        <v>28.9776360923374</v>
      </c>
      <c r="G6112" s="38" t="n">
        <f aca="false">Sens!$G$6025</f>
        <v>56.1346360923374</v>
      </c>
      <c r="H6112" s="38" t="n">
        <f aca="false">Sens!$H$6025</f>
        <v>62.4937078946075</v>
      </c>
      <c r="I6112" s="38" t="n">
        <f aca="false">Sens!$I$6025</f>
        <v>68.6715233062498</v>
      </c>
      <c r="J6112" s="38" t="n">
        <f aca="false">Sens!$J$6025</f>
        <v>74.4692882949818</v>
      </c>
      <c r="K6112" s="38" t="n">
        <f aca="false">Sens!$K$6025</f>
        <v>79.6821384756306</v>
      </c>
      <c r="L6112" s="38" t="n">
        <f aca="false">Sens!$L$6025</f>
        <v>85.2598881689247</v>
      </c>
      <c r="M6112" s="38" t="n">
        <f aca="false">Sens!$M$6025</f>
        <v>91.2280803407494</v>
      </c>
      <c r="N6112" s="38" t="n">
        <f aca="false">Sens!$N$6025</f>
        <v>23.923</v>
      </c>
      <c r="O6112" s="38" t="n">
        <f aca="false">Sens!$O$6025</f>
        <v>25.696</v>
      </c>
    </row>
    <row r="6113" customFormat="false" ht="15" hidden="false" customHeight="false" outlineLevel="0" collapsed="false">
      <c r="A6113" s="0" t="s">
        <v>484</v>
      </c>
      <c r="B6113" s="0" t="s">
        <v>73</v>
      </c>
      <c r="C6113" s="38" t="n">
        <f aca="false">Sens!$C$6027</f>
        <v>5.425</v>
      </c>
      <c r="D6113" s="38" t="n">
        <f aca="false">Sens!$D$6027</f>
        <v>5.935</v>
      </c>
      <c r="E6113" s="38" t="n">
        <f aca="false">Sens!$E$6027</f>
        <v>3.474</v>
      </c>
      <c r="F6113" s="38" t="n">
        <f aca="false">Sens!$F$6027</f>
        <v>3.36182431966931</v>
      </c>
      <c r="G6113" s="38" t="n">
        <f aca="false">Sens!$G$6027</f>
        <v>6.83582431966931</v>
      </c>
      <c r="H6113" s="38" t="n">
        <f aca="false">Sens!$H$6027</f>
        <v>7.31157108370141</v>
      </c>
      <c r="I6113" s="38" t="n">
        <f aca="false">Sens!$I$6027</f>
        <v>7.77266852639815</v>
      </c>
      <c r="J6113" s="38" t="n">
        <f aca="false">Sens!$J$6027</f>
        <v>8.2120733019884</v>
      </c>
      <c r="K6113" s="38" t="n">
        <f aca="false">Sens!$K$6027</f>
        <v>8.62267696708783</v>
      </c>
      <c r="L6113" s="38" t="n">
        <f aca="false">Sens!$L$6027</f>
        <v>9.05381081544222</v>
      </c>
      <c r="M6113" s="38" t="n">
        <f aca="false">Sens!$M$6027</f>
        <v>9.50650135621433</v>
      </c>
      <c r="N6113" s="38" t="n">
        <f aca="false">Sens!$N$6027</f>
        <v>2.811</v>
      </c>
      <c r="O6113" s="38" t="n">
        <f aca="false">Sens!$O$6027</f>
        <v>3.124</v>
      </c>
    </row>
    <row r="6114" customFormat="false" ht="17.15" hidden="false" customHeight="false" outlineLevel="0" collapsed="false">
      <c r="A6114" s="0" t="s">
        <v>670</v>
      </c>
      <c r="B6114" s="0" t="s">
        <v>73</v>
      </c>
      <c r="C6114" s="38" t="n">
        <f aca="false">Sens!$C$6095</f>
        <v>107.556</v>
      </c>
      <c r="D6114" s="38" t="n">
        <f aca="false">Sens!$D$6095</f>
        <v>128.725</v>
      </c>
      <c r="E6114" s="38" t="n">
        <f aca="false">Sens!$E$6095</f>
        <v>79.819</v>
      </c>
      <c r="F6114" s="38" t="n">
        <f aca="false">Sens!$F$6095</f>
        <v>93.5584440633857</v>
      </c>
      <c r="G6114" s="38" t="n">
        <f aca="false">Sens!$G$6095</f>
        <v>173.377444063386</v>
      </c>
      <c r="H6114" s="38" t="n">
        <f aca="false">Sens!$H$6095</f>
        <v>241.059451517916</v>
      </c>
      <c r="I6114" s="38" t="n">
        <f aca="false">Sens!$I$6095</f>
        <v>312.152096351442</v>
      </c>
      <c r="J6114" s="38" t="n">
        <f aca="false">Sens!$J$6095</f>
        <v>379.424316597773</v>
      </c>
      <c r="K6114" s="38" t="n">
        <f aca="false">Sens!$K$6095</f>
        <v>439.919237244402</v>
      </c>
      <c r="L6114" s="38" t="n">
        <f aca="false">Sens!$L$6095</f>
        <v>501.954974491517</v>
      </c>
      <c r="M6114" s="38" t="n">
        <f aca="false">Sens!$M$6095</f>
        <v>565.639704466895</v>
      </c>
      <c r="N6114" s="38" t="n">
        <f aca="false">Sens!$N$6095</f>
        <v>60.14</v>
      </c>
      <c r="O6114" s="38" t="n">
        <f aca="false">Sens!$O$6095</f>
        <v>68.585</v>
      </c>
    </row>
    <row r="6115" customFormat="false" ht="15" hidden="false" customHeight="false" outlineLevel="0" collapsed="false">
      <c r="A6115" s="1" t="s">
        <v>472</v>
      </c>
      <c r="B6115" s="8" t="s">
        <v>73</v>
      </c>
      <c r="C6115" s="38" t="n">
        <f aca="false">Sens!$C$6031</f>
        <v>387.497</v>
      </c>
      <c r="D6115" s="38" t="n">
        <f aca="false">Sens!$D$6031</f>
        <v>426.305</v>
      </c>
      <c r="E6115" s="38" t="n">
        <f aca="false">Sens!$E$6031</f>
        <v>220.32</v>
      </c>
      <c r="F6115" s="38" t="n">
        <f aca="false">Sens!$F$6031</f>
        <v>256.304015003807</v>
      </c>
      <c r="G6115" s="38" t="n">
        <f aca="false">Sens!$G$6031</f>
        <v>476.624015003807</v>
      </c>
      <c r="H6115" s="38" t="n">
        <f aca="false">Sens!$H$6031</f>
        <v>527.734391091543</v>
      </c>
      <c r="I6115" s="38" t="n">
        <f aca="false">Sens!$I$6031</f>
        <v>577.157693029577</v>
      </c>
      <c r="J6115" s="38" t="n">
        <f aca="false">Sens!$J$6031</f>
        <v>623.024923663827</v>
      </c>
      <c r="K6115" s="38" t="n">
        <f aca="false">Sens!$K$6031</f>
        <v>663.382568393781</v>
      </c>
      <c r="L6115" s="38" t="n">
        <f aca="false">Sens!$L$6031</f>
        <v>706.564873010432</v>
      </c>
      <c r="M6115" s="38" t="n">
        <f aca="false">Sens!$M$6031</f>
        <v>752.784687406019</v>
      </c>
      <c r="N6115" s="38" t="n">
        <f aca="false">Sens!$N$6031</f>
        <v>192.955</v>
      </c>
      <c r="O6115" s="38" t="n">
        <f aca="false">Sens!$O$6031</f>
        <v>233.35</v>
      </c>
    </row>
    <row r="6116" customFormat="false" ht="15" hidden="false" customHeight="false" outlineLevel="0" collapsed="false">
      <c r="A6116" s="1" t="s">
        <v>475</v>
      </c>
      <c r="B6116" s="8" t="s">
        <v>73</v>
      </c>
      <c r="C6116" s="38" t="n">
        <f aca="false">Sens!$C$6032</f>
        <v>142.906</v>
      </c>
      <c r="D6116" s="38" t="n">
        <f aca="false">Sens!$D$6032</f>
        <v>161.894</v>
      </c>
      <c r="E6116" s="38" t="n">
        <f aca="false">Sens!$E$6032</f>
        <v>81.986</v>
      </c>
      <c r="F6116" s="38" t="n">
        <f aca="false">Sens!$F$6032</f>
        <v>100.632414204623</v>
      </c>
      <c r="G6116" s="38" t="n">
        <f aca="false">Sens!$G$6032</f>
        <v>182.618414204623</v>
      </c>
      <c r="H6116" s="38" t="n">
        <f aca="false">Sens!$H$6032</f>
        <v>202.201346530158</v>
      </c>
      <c r="I6116" s="38" t="n">
        <f aca="false">Sens!$I$6032</f>
        <v>221.137876668296</v>
      </c>
      <c r="J6116" s="38" t="n">
        <f aca="false">Sens!$J$6032</f>
        <v>238.711898661958</v>
      </c>
      <c r="K6116" s="38" t="n">
        <f aca="false">Sens!$K$6032</f>
        <v>254.174923708144</v>
      </c>
      <c r="L6116" s="38" t="n">
        <f aca="false">Sens!$L$6032</f>
        <v>270.720216732733</v>
      </c>
      <c r="M6116" s="38" t="n">
        <f aca="false">Sens!$M$6032</f>
        <v>288.429331137484</v>
      </c>
      <c r="N6116" s="38" t="n">
        <f aca="false">Sens!$N$6032</f>
        <v>70.274</v>
      </c>
      <c r="O6116" s="38" t="n">
        <f aca="false">Sens!$O$6032</f>
        <v>91.62</v>
      </c>
    </row>
    <row r="6117" customFormat="false" ht="15" hidden="false" customHeight="false" outlineLevel="0" collapsed="false">
      <c r="A6117" s="1" t="s">
        <v>476</v>
      </c>
      <c r="B6117" s="8" t="s">
        <v>73</v>
      </c>
      <c r="C6117" s="38" t="n">
        <f aca="false">Sens!$C$6095</f>
        <v>107.556</v>
      </c>
      <c r="D6117" s="38" t="n">
        <f aca="false">Sens!$D$6095</f>
        <v>128.725</v>
      </c>
      <c r="E6117" s="38" t="n">
        <f aca="false">Sens!$E$6095</f>
        <v>79.819</v>
      </c>
      <c r="F6117" s="38" t="n">
        <f aca="false">Sens!$F$6095</f>
        <v>93.5584440633857</v>
      </c>
      <c r="G6117" s="38" t="n">
        <f aca="false">Sens!$G$6095</f>
        <v>173.377444063386</v>
      </c>
      <c r="H6117" s="38" t="n">
        <f aca="false">Sens!$H$6095</f>
        <v>241.059451517916</v>
      </c>
      <c r="I6117" s="38" t="n">
        <f aca="false">Sens!$I$6095</f>
        <v>312.152096351442</v>
      </c>
      <c r="J6117" s="38" t="n">
        <f aca="false">Sens!$J$6095</f>
        <v>379.424316597773</v>
      </c>
      <c r="K6117" s="38" t="n">
        <f aca="false">Sens!$K$6095</f>
        <v>439.919237244402</v>
      </c>
      <c r="L6117" s="38" t="n">
        <f aca="false">Sens!$L$6095</f>
        <v>501.954974491517</v>
      </c>
      <c r="M6117" s="38" t="n">
        <f aca="false">Sens!$M$6095</f>
        <v>565.639704466895</v>
      </c>
      <c r="N6117" s="38" t="n">
        <f aca="false">Sens!$N$6095</f>
        <v>60.14</v>
      </c>
      <c r="O6117" s="38" t="n">
        <f aca="false">Sens!$O$6095</f>
        <v>68.585</v>
      </c>
    </row>
    <row r="6118" customFormat="false" ht="17.15" hidden="false" customHeight="false" outlineLevel="0" collapsed="false">
      <c r="A6118" s="0" t="s">
        <v>644</v>
      </c>
      <c r="B6118" s="0" t="s">
        <v>73</v>
      </c>
      <c r="C6118" s="38" t="n">
        <f aca="false">Sens!$C$6093</f>
        <v>2.32100535697364</v>
      </c>
      <c r="D6118" s="38" t="n">
        <f aca="false">Sens!$D$6093</f>
        <v>8.70377008865116</v>
      </c>
      <c r="E6118" s="38" t="n">
        <f aca="false">Sens!$E$6093</f>
        <v>8.51035297557002</v>
      </c>
      <c r="F6118" s="38" t="n">
        <f aca="false">Sens!$F$6093</f>
        <v>14.9634336447205</v>
      </c>
      <c r="G6118" s="38" t="n">
        <f aca="false">Sens!$G$6093</f>
        <v>23.4737866202905</v>
      </c>
      <c r="H6118" s="38" t="n">
        <f aca="false">Sens!$H$6093</f>
        <v>60.1658907497746</v>
      </c>
      <c r="I6118" s="38" t="n">
        <f aca="false">Sens!$I$6093</f>
        <v>101.503699136432</v>
      </c>
      <c r="J6118" s="38" t="n">
        <f aca="false">Sens!$J$6093</f>
        <v>143.025407151278</v>
      </c>
      <c r="K6118" s="38" t="n">
        <f aca="false">Sens!$K$6093</f>
        <v>184.608415042187</v>
      </c>
      <c r="L6118" s="38" t="n">
        <f aca="false">Sens!$L$6093</f>
        <v>226.219286513125</v>
      </c>
      <c r="M6118" s="38" t="n">
        <f aca="false">Sens!$M$6093</f>
        <v>267.845161450232</v>
      </c>
      <c r="N6118" s="38" t="n">
        <f aca="false">Sens!$N$6093</f>
        <v>3.04631953102791</v>
      </c>
      <c r="O6118" s="38" t="n">
        <f aca="false">Sens!$O$6093</f>
        <v>5.65745055762326</v>
      </c>
    </row>
    <row r="6119" customFormat="false" ht="17.15" hidden="false" customHeight="false" outlineLevel="0" collapsed="false">
      <c r="A6119" s="0" t="s">
        <v>646</v>
      </c>
      <c r="B6119" s="0" t="s">
        <v>73</v>
      </c>
      <c r="C6119" s="38" t="n">
        <f aca="false">Sens!$C$6094</f>
        <v>105.234994643026</v>
      </c>
      <c r="D6119" s="38" t="n">
        <f aca="false">Sens!$D$6094</f>
        <v>120.021229911349</v>
      </c>
      <c r="E6119" s="38" t="n">
        <f aca="false">Sens!$E$6094</f>
        <v>71.30864702443</v>
      </c>
      <c r="F6119" s="38" t="n">
        <f aca="false">Sens!$F$6094</f>
        <v>78.5950104186653</v>
      </c>
      <c r="G6119" s="38" t="n">
        <f aca="false">Sens!$G$6094</f>
        <v>149.903657443095</v>
      </c>
      <c r="H6119" s="38" t="n">
        <f aca="false">Sens!$H$6094</f>
        <v>180.893560768142</v>
      </c>
      <c r="I6119" s="38" t="n">
        <f aca="false">Sens!$I$6094</f>
        <v>210.64839721501</v>
      </c>
      <c r="J6119" s="38" t="n">
        <f aca="false">Sens!$J$6094</f>
        <v>236.398909446495</v>
      </c>
      <c r="K6119" s="38" t="n">
        <f aca="false">Sens!$K$6094</f>
        <v>255.310822202215</v>
      </c>
      <c r="L6119" s="38" t="n">
        <f aca="false">Sens!$L$6094</f>
        <v>275.735687978392</v>
      </c>
      <c r="M6119" s="38" t="n">
        <f aca="false">Sens!$M$6094</f>
        <v>297.794543016663</v>
      </c>
      <c r="N6119" s="38" t="n">
        <f aca="false">Sens!$N$6094</f>
        <v>57.0936804689721</v>
      </c>
      <c r="O6119" s="38" t="n">
        <f aca="false">Sens!$O$6094</f>
        <v>62.9275494423768</v>
      </c>
    </row>
    <row r="6120" customFormat="false" ht="15" hidden="false" customHeight="false" outlineLevel="0" collapsed="false">
      <c r="A6120" s="3" t="s">
        <v>477</v>
      </c>
      <c r="B6120" s="8" t="s">
        <v>73</v>
      </c>
      <c r="C6120" s="38" t="n">
        <f aca="false">Sens!$C$6096</f>
        <v>637.959</v>
      </c>
      <c r="D6120" s="38" t="n">
        <f aca="false">Sens!$D$6096</f>
        <v>716.924</v>
      </c>
      <c r="E6120" s="38" t="n">
        <f aca="false">Sens!$E$6096</f>
        <v>382.125</v>
      </c>
      <c r="F6120" s="38" t="n">
        <f aca="false">Sens!$F$6096</f>
        <v>450.494873271816</v>
      </c>
      <c r="G6120" s="38" t="n">
        <f aca="false">Sens!$G$6096</f>
        <v>832.619873271816</v>
      </c>
      <c r="H6120" s="38" t="n">
        <f aca="false">Sens!$H$6096</f>
        <v>970.995189139617</v>
      </c>
      <c r="I6120" s="38" t="n">
        <f aca="false">Sens!$I$6096</f>
        <v>1110.44766604932</v>
      </c>
      <c r="J6120" s="38" t="n">
        <f aca="false">Sens!$J$6096</f>
        <v>1241.16113892356</v>
      </c>
      <c r="K6120" s="38" t="n">
        <f aca="false">Sens!$K$6096</f>
        <v>1357.47672934633</v>
      </c>
      <c r="L6120" s="38" t="n">
        <f aca="false">Sens!$L$6096</f>
        <v>1479.24006423468</v>
      </c>
      <c r="M6120" s="38" t="n">
        <f aca="false">Sens!$M$6096</f>
        <v>1606.8537230104</v>
      </c>
      <c r="N6120" s="38" t="n">
        <f aca="false">Sens!$N$6096</f>
        <v>323.369</v>
      </c>
      <c r="O6120" s="38" t="n">
        <f aca="false">Sens!$O$6096</f>
        <v>393.555</v>
      </c>
    </row>
    <row r="6121" customFormat="false" ht="17.15" hidden="false" customHeight="false" outlineLevel="0" collapsed="false">
      <c r="A6121" s="24" t="s">
        <v>656</v>
      </c>
      <c r="B6121" s="25" t="s">
        <v>73</v>
      </c>
      <c r="C6121" s="39" t="n">
        <f aca="false">Sens!$C$6108+Sens!$C$6109+Sens!$C$6110+Sens!$C$6111+Sens!$C$6112+Sens!$C$6113-(Sens!$C$6115+Sens!$C$6116)</f>
        <v>0</v>
      </c>
      <c r="D6121" s="39" t="n">
        <f aca="false">Sens!$D$6108+Sens!$D$6109+Sens!$D$6110+Sens!$D$6111+Sens!$D$6112+Sens!$D$6113-(Sens!$D$6115+Sens!$D$6116)</f>
        <v>0</v>
      </c>
      <c r="E6121" s="39" t="n">
        <f aca="false">Sens!$E$6108+Sens!$E$6109+Sens!$E$6110+Sens!$E$6111+Sens!$E$6112+Sens!$E$6113-(Sens!$E$6115+Sens!$E$6116)</f>
        <v>0</v>
      </c>
      <c r="F6121" s="39" t="n">
        <f aca="false">Sens!$F$6108+Sens!$F$6109+Sens!$F$6110+Sens!$F$6111+Sens!$F$6112+Sens!$F$6113-(Sens!$F$6115+Sens!$F$6116)</f>
        <v>0</v>
      </c>
      <c r="G6121" s="39" t="n">
        <f aca="false">Sens!$G$6108+Sens!$G$6109+Sens!$G$6110+Sens!$G$6111+Sens!$G$6112+Sens!$G$6113-(Sens!$G$6115+Sens!$G$6116)</f>
        <v>0</v>
      </c>
      <c r="H6121" s="39" t="n">
        <f aca="false">Sens!$H$6108+Sens!$H$6109+Sens!$H$6110+Sens!$H$6111+Sens!$H$6112+Sens!$H$6113-(Sens!$H$6115+Sens!$H$6116)</f>
        <v>0</v>
      </c>
      <c r="I6121" s="39" t="n">
        <f aca="false">Sens!$I$6108+Sens!$I$6109+Sens!$I$6110+Sens!$I$6111+Sens!$I$6112+Sens!$I$6113-(Sens!$I$6115+Sens!$I$6116)</f>
        <v>0</v>
      </c>
      <c r="J6121" s="39" t="n">
        <f aca="false">Sens!$J$6108+Sens!$J$6109+Sens!$J$6110+Sens!$J$6111+Sens!$J$6112+Sens!$J$6113-(Sens!$J$6115+Sens!$J$6116)</f>
        <v>0</v>
      </c>
      <c r="K6121" s="39" t="n">
        <f aca="false">Sens!$K$6108+Sens!$K$6109+Sens!$K$6110+Sens!$K$6111+Sens!$K$6112+Sens!$K$6113-(Sens!$K$6115+Sens!$K$6116)</f>
        <v>0</v>
      </c>
      <c r="L6121" s="39" t="n">
        <f aca="false">Sens!$L$6108+Sens!$L$6109+Sens!$L$6110+Sens!$L$6111+Sens!$L$6112+Sens!$L$6113-(Sens!$L$6115+Sens!$L$6116)</f>
        <v>0</v>
      </c>
      <c r="M6121" s="39" t="n">
        <f aca="false">Sens!$M$6108+Sens!$M$6109+Sens!$M$6110+Sens!$M$6111+Sens!$M$6112+Sens!$M$6113-(Sens!$M$6115+Sens!$M$6116)</f>
        <v>0</v>
      </c>
      <c r="N6121" s="39" t="n">
        <f aca="false">Sens!$N$6108+Sens!$N$6109+Sens!$N$6110+Sens!$N$6111+Sens!$N$6112+Sens!$N$6113-(Sens!$N$6115+Sens!$N$6116)</f>
        <v>0</v>
      </c>
      <c r="O6121" s="39" t="n">
        <f aca="false">Sens!$O$6108+Sens!$O$6109+Sens!$O$6110+Sens!$O$6111+Sens!$O$6112+Sens!$O$6113-(Sens!$O$6115+Sens!$O$6116)</f>
        <v>0</v>
      </c>
    </row>
    <row r="6122" customFormat="false" ht="17.15" hidden="false" customHeight="false" outlineLevel="0" collapsed="false">
      <c r="A6122" s="24" t="s">
        <v>657</v>
      </c>
      <c r="B6122" s="25" t="s">
        <v>73</v>
      </c>
      <c r="C6122" s="39" t="n">
        <f aca="false">Sens!$C$6118+Sens!$C$6119-Sens!$C$6117</f>
        <v>0</v>
      </c>
      <c r="D6122" s="39" t="n">
        <f aca="false">Sens!$D$6118+Sens!$D$6119-Sens!$D$6117</f>
        <v>0</v>
      </c>
      <c r="E6122" s="39" t="n">
        <f aca="false">Sens!$E$6118+Sens!$E$6119-Sens!$E$6117</f>
        <v>0</v>
      </c>
      <c r="F6122" s="39" t="n">
        <f aca="false">Sens!$F$6118+Sens!$F$6119-Sens!$F$6117</f>
        <v>0</v>
      </c>
      <c r="G6122" s="39" t="n">
        <f aca="false">Sens!$G$6118+Sens!$G$6119-Sens!$G$6117</f>
        <v>0</v>
      </c>
      <c r="H6122" s="39" t="n">
        <f aca="false">Sens!$H$6118+Sens!$H$6119-Sens!$H$6117</f>
        <v>0</v>
      </c>
      <c r="I6122" s="39" t="n">
        <f aca="false">Sens!$I$6118+Sens!$I$6119-Sens!$I$6117</f>
        <v>0</v>
      </c>
      <c r="J6122" s="39" t="n">
        <f aca="false">Sens!$J$6118+Sens!$J$6119-Sens!$J$6117</f>
        <v>0</v>
      </c>
      <c r="K6122" s="39" t="n">
        <f aca="false">Sens!$K$6118+Sens!$K$6119-Sens!$K$6117</f>
        <v>0</v>
      </c>
      <c r="L6122" s="39" t="n">
        <f aca="false">Sens!$L$6118+Sens!$L$6119-Sens!$L$6117</f>
        <v>0</v>
      </c>
      <c r="M6122" s="39" t="n">
        <f aca="false">Sens!$M$6118+Sens!$M$6119-Sens!$M$6117</f>
        <v>0</v>
      </c>
      <c r="N6122" s="39" t="n">
        <f aca="false">Sens!$N$6118+Sens!$N$6119-Sens!$N$6117</f>
        <v>0</v>
      </c>
      <c r="O6122" s="39" t="n">
        <f aca="false">Sens!$O$6118+Sens!$O$6119-Sens!$O$6117</f>
        <v>0</v>
      </c>
    </row>
    <row r="6123" customFormat="false" ht="17.15" hidden="false" customHeight="false" outlineLevel="0" collapsed="false">
      <c r="A6123" s="24" t="s">
        <v>711</v>
      </c>
      <c r="B6123" s="25" t="s">
        <v>73</v>
      </c>
      <c r="C6123" s="39" t="n">
        <f aca="false">Sens!$C$6108+Sens!$C$6109+Sens!$C$6110+Sens!$C$6111+Sens!$C$6112+Sens!$C$6113+Sens!$C$6114-Sens!$C$6120</f>
        <v>0</v>
      </c>
      <c r="D6123" s="39" t="n">
        <f aca="false">Sens!$D$6108+Sens!$D$6109+Sens!$D$6110+Sens!$D$6111+Sens!$D$6112+Sens!$D$6113+Sens!$D$6114-Sens!$D$6120</f>
        <v>0</v>
      </c>
      <c r="E6123" s="39" t="n">
        <f aca="false">Sens!$E$6108+Sens!$E$6109+Sens!$E$6110+Sens!$E$6111+Sens!$E$6112+Sens!$E$6113+Sens!$E$6114-Sens!$E$6120</f>
        <v>0</v>
      </c>
      <c r="F6123" s="39" t="n">
        <f aca="false">Sens!$F$6108+Sens!$F$6109+Sens!$F$6110+Sens!$F$6111+Sens!$F$6112+Sens!$F$6113+Sens!$F$6114-Sens!$F$6120</f>
        <v>0</v>
      </c>
      <c r="G6123" s="39" t="n">
        <f aca="false">Sens!$G$6108+Sens!$G$6109+Sens!$G$6110+Sens!$G$6111+Sens!$G$6112+Sens!$G$6113+Sens!$G$6114-Sens!$G$6120</f>
        <v>0</v>
      </c>
      <c r="H6123" s="39" t="n">
        <f aca="false">Sens!$H$6108+Sens!$H$6109+Sens!$H$6110+Sens!$H$6111+Sens!$H$6112+Sens!$H$6113+Sens!$H$6114-Sens!$H$6120</f>
        <v>0</v>
      </c>
      <c r="I6123" s="39" t="n">
        <f aca="false">Sens!$I$6108+Sens!$I$6109+Sens!$I$6110+Sens!$I$6111+Sens!$I$6112+Sens!$I$6113+Sens!$I$6114-Sens!$I$6120</f>
        <v>0</v>
      </c>
      <c r="J6123" s="39" t="n">
        <f aca="false">Sens!$J$6108+Sens!$J$6109+Sens!$J$6110+Sens!$J$6111+Sens!$J$6112+Sens!$J$6113+Sens!$J$6114-Sens!$J$6120</f>
        <v>0</v>
      </c>
      <c r="K6123" s="39" t="n">
        <f aca="false">Sens!$K$6108+Sens!$K$6109+Sens!$K$6110+Sens!$K$6111+Sens!$K$6112+Sens!$K$6113+Sens!$K$6114-Sens!$K$6120</f>
        <v>0</v>
      </c>
      <c r="L6123" s="39" t="n">
        <f aca="false">Sens!$L$6108+Sens!$L$6109+Sens!$L$6110+Sens!$L$6111+Sens!$L$6112+Sens!$L$6113+Sens!$L$6114-Sens!$L$6120</f>
        <v>0</v>
      </c>
      <c r="M6123" s="39" t="n">
        <f aca="false">Sens!$M$6108+Sens!$M$6109+Sens!$M$6110+Sens!$M$6111+Sens!$M$6112+Sens!$M$6113+Sens!$M$6114-Sens!$M$6120</f>
        <v>0</v>
      </c>
      <c r="N6123" s="39" t="n">
        <f aca="false">Sens!$N$6108+Sens!$N$6109+Sens!$N$6110+Sens!$N$6111+Sens!$N$6112+Sens!$N$6113+Sens!$N$6114-Sens!$N$6120</f>
        <v>0</v>
      </c>
      <c r="O6123" s="39" t="n">
        <f aca="false">Sens!$O$6108+Sens!$O$6109+Sens!$O$6110+Sens!$O$6111+Sens!$O$6112+Sens!$O$6113+Sens!$O$6114-Sens!$O$6120</f>
        <v>0</v>
      </c>
    </row>
    <row r="6124" customFormat="false" ht="17.15" hidden="false" customHeight="false" outlineLevel="0" collapsed="false">
      <c r="A6124" s="24" t="s">
        <v>658</v>
      </c>
      <c r="B6124" s="25" t="s">
        <v>73</v>
      </c>
      <c r="C6124" s="39" t="n">
        <f aca="false">Sens!$C$6115+Sens!$C$6116+Sens!$C$6117-Sens!$C$6120</f>
        <v>0</v>
      </c>
      <c r="D6124" s="39" t="n">
        <f aca="false">Sens!$D$6115+Sens!$D$6116+Sens!$D$6117-Sens!$D$6120</f>
        <v>0</v>
      </c>
      <c r="E6124" s="39" t="n">
        <f aca="false">Sens!$E$6115+Sens!$E$6116+Sens!$E$6117-Sens!$E$6120</f>
        <v>0</v>
      </c>
      <c r="F6124" s="39" t="n">
        <f aca="false">Sens!$F$6115+Sens!$F$6116+Sens!$F$6117-Sens!$F$6120</f>
        <v>0</v>
      </c>
      <c r="G6124" s="39" t="n">
        <f aca="false">Sens!$G$6115+Sens!$G$6116+Sens!$G$6117-Sens!$G$6120</f>
        <v>0</v>
      </c>
      <c r="H6124" s="39" t="n">
        <f aca="false">Sens!$H$6115+Sens!$H$6116+Sens!$H$6117-Sens!$H$6120</f>
        <v>0</v>
      </c>
      <c r="I6124" s="39" t="n">
        <f aca="false">Sens!$I$6115+Sens!$I$6116+Sens!$I$6117-Sens!$I$6120</f>
        <v>0</v>
      </c>
      <c r="J6124" s="39" t="n">
        <f aca="false">Sens!$J$6115+Sens!$J$6116+Sens!$J$6117-Sens!$J$6120</f>
        <v>0</v>
      </c>
      <c r="K6124" s="39" t="n">
        <f aca="false">Sens!$K$6115+Sens!$K$6116+Sens!$K$6117-Sens!$K$6120</f>
        <v>0</v>
      </c>
      <c r="L6124" s="39" t="n">
        <f aca="false">Sens!$L$6115+Sens!$L$6116+Sens!$L$6117-Sens!$L$6120</f>
        <v>0</v>
      </c>
      <c r="M6124" s="39" t="n">
        <f aca="false">Sens!$M$6115+Sens!$M$6116+Sens!$M$6117-Sens!$M$6120</f>
        <v>0</v>
      </c>
      <c r="N6124" s="39" t="n">
        <f aca="false">Sens!$N$6115+Sens!$N$6116+Sens!$N$6117-Sens!$N$6120</f>
        <v>0</v>
      </c>
      <c r="O6124" s="39" t="n">
        <f aca="false">Sens!$O$6115+Sens!$O$6116+Sens!$O$6117-Sens!$O$6120</f>
        <v>0</v>
      </c>
    </row>
    <row r="6125" customFormat="false" ht="17.15" hidden="false" customHeight="false" outlineLevel="0" collapsed="false">
      <c r="A6125" s="1" t="s">
        <v>672</v>
      </c>
    </row>
    <row r="6126" customFormat="false" ht="17.15" hidden="false" customHeight="false" outlineLevel="0" collapsed="false">
      <c r="A6126" s="0" t="s">
        <v>673</v>
      </c>
      <c r="B6126" s="0" t="s">
        <v>73</v>
      </c>
      <c r="C6126" s="38" t="n">
        <f aca="false">Sens!$C$6033*m_ad</f>
        <v>20.5341564414228</v>
      </c>
      <c r="D6126" s="38" t="n">
        <f aca="false">Sens!$D$6033*m_ad</f>
        <v>24.8720617299587</v>
      </c>
      <c r="E6126" s="38" t="n">
        <f aca="false">Sens!$E$6033*m_ad</f>
        <v>13.5017112462207</v>
      </c>
      <c r="F6126" s="38" t="n">
        <f aca="false">Sens!$F$6033*m_ad</f>
        <v>17.2886442824599</v>
      </c>
      <c r="G6126" s="38" t="n">
        <f aca="false">Sens!$G$6033*m_ad</f>
        <v>30.8011958765886</v>
      </c>
      <c r="H6126" s="38" t="n">
        <f aca="false">Sens!$H$6033*m_ad</f>
        <v>36.978409366026</v>
      </c>
      <c r="I6126" s="38" t="n">
        <f aca="false">Sens!$I$6033*m_ad</f>
        <v>43.155063281273</v>
      </c>
      <c r="J6126" s="38" t="n">
        <f aca="false">Sens!$J$6033*m_ad</f>
        <v>48.9169991988532</v>
      </c>
      <c r="K6126" s="38" t="n">
        <f aca="false">Sens!$K$6033*m_ad</f>
        <v>53.8086991187386</v>
      </c>
      <c r="L6126" s="38" t="n">
        <f aca="false">Sens!$L$6033*m_ad</f>
        <v>59.1895690306124</v>
      </c>
      <c r="M6126" s="38" t="n">
        <f aca="false">Sens!$M$6033*m_ad</f>
        <v>65.1085259336737</v>
      </c>
      <c r="N6126" s="38" t="n">
        <f aca="false">Sens!$N$6033*m_ad</f>
        <v>10.8543555706248</v>
      </c>
      <c r="O6126" s="38" t="n">
        <f aca="false">Sens!$O$6033*m_ad</f>
        <v>14.0094731821399</v>
      </c>
    </row>
    <row r="6127" customFormat="false" ht="17.15" hidden="false" customHeight="false" outlineLevel="0" collapsed="false">
      <c r="A6127" s="0" t="s">
        <v>674</v>
      </c>
      <c r="B6127" s="0" t="s">
        <v>73</v>
      </c>
      <c r="C6127" s="38" t="n">
        <f aca="false">Sens!$C$6031-Sens!$C$6033</f>
        <v>346.428687117154</v>
      </c>
      <c r="D6127" s="38" t="n">
        <f aca="false">Sens!$D$6031-Sens!$D$6033</f>
        <v>376.560876540083</v>
      </c>
      <c r="E6127" s="38" t="n">
        <f aca="false">Sens!$E$6031-Sens!$E$6033</f>
        <v>193.316577507559</v>
      </c>
      <c r="F6127" s="38" t="n">
        <f aca="false">Sens!$F$6031-Sens!$F$6033</f>
        <v>221.726726438887</v>
      </c>
      <c r="G6127" s="38" t="n">
        <f aca="false">Sens!$G$6031-Sens!$G$6033</f>
        <v>415.02162325063</v>
      </c>
      <c r="H6127" s="38" t="n">
        <f aca="false">Sens!$H$6031-Sens!$H$6033</f>
        <v>453.777572359491</v>
      </c>
      <c r="I6127" s="38" t="n">
        <f aca="false">Sens!$I$6031-Sens!$I$6033</f>
        <v>490.847566467031</v>
      </c>
      <c r="J6127" s="38" t="n">
        <f aca="false">Sens!$J$6031-Sens!$J$6033</f>
        <v>525.190925266121</v>
      </c>
      <c r="K6127" s="38" t="n">
        <f aca="false">Sens!$K$6031-Sens!$K$6033</f>
        <v>555.765170156304</v>
      </c>
      <c r="L6127" s="38" t="n">
        <f aca="false">Sens!$L$6031-Sens!$L$6033</f>
        <v>588.185734949207</v>
      </c>
      <c r="M6127" s="38" t="n">
        <f aca="false">Sens!$M$6031-Sens!$M$6033</f>
        <v>622.567635538672</v>
      </c>
      <c r="N6127" s="38" t="n">
        <f aca="false">Sens!$N$6031-Sens!$N$6033</f>
        <v>171.24628885875</v>
      </c>
      <c r="O6127" s="38" t="n">
        <f aca="false">Sens!$O$6031-Sens!$O$6033</f>
        <v>205.33105363572</v>
      </c>
    </row>
    <row r="6128" customFormat="false" ht="17.15" hidden="false" customHeight="false" outlineLevel="0" collapsed="false">
      <c r="A6128" s="0" t="s">
        <v>675</v>
      </c>
      <c r="B6128" s="0" t="s">
        <v>73</v>
      </c>
      <c r="C6128" s="38" t="n">
        <f aca="false">Sens!$C$6079*Sens!$C$6030</f>
        <v>0.123617442257179</v>
      </c>
      <c r="D6128" s="38" t="n">
        <f aca="false">Sens!$D$6079*Sens!$D$6030</f>
        <v>0.874366899302609</v>
      </c>
      <c r="E6128" s="38" t="n">
        <f aca="false">Sens!$E$6079*Sens!$E$6030</f>
        <v>1.29318830502574</v>
      </c>
      <c r="F6128" s="38" t="n">
        <f aca="false">Sens!$F$6079*Sens!$F$6030</f>
        <v>1.51802024162534</v>
      </c>
      <c r="G6128" s="38" t="n">
        <f aca="false">Sens!$G$6079*Sens!$G$6030</f>
        <v>2.81130189308167</v>
      </c>
      <c r="H6128" s="38" t="n">
        <f aca="false">Sens!$H$6079*Sens!$H$6030</f>
        <v>7.38966789318209</v>
      </c>
      <c r="I6128" s="38" t="n">
        <f aca="false">Sens!$I$6079*Sens!$I$6030</f>
        <v>12.8987443661473</v>
      </c>
      <c r="J6128" s="38" t="n">
        <f aca="false">Sens!$J$6079*Sens!$J$6030</f>
        <v>18.5570025453645</v>
      </c>
      <c r="K6128" s="38" t="n">
        <f aca="false">Sens!$K$6079*Sens!$K$6030</f>
        <v>24.3158972773405</v>
      </c>
      <c r="L6128" s="38" t="n">
        <f aca="false">Sens!$L$6079*Sens!$L$6030</f>
        <v>29.7827375558674</v>
      </c>
      <c r="M6128" s="38" t="n">
        <f aca="false">Sens!$M$6079*Sens!$M$6030</f>
        <v>35.3532344973194</v>
      </c>
      <c r="N6128" s="38" t="n">
        <f aca="false">Sens!$N$6079*Sens!$N$6030</f>
        <v>0.389180508437431</v>
      </c>
      <c r="O6128" s="38" t="n">
        <f aca="false">Sens!$O$6079*Sens!$O$6030</f>
        <v>0.485052120082802</v>
      </c>
    </row>
    <row r="6129" customFormat="false" ht="17.15" hidden="false" customHeight="false" outlineLevel="0" collapsed="false">
      <c r="A6129" s="0" t="s">
        <v>676</v>
      </c>
      <c r="B6129" s="0" t="s">
        <v>52</v>
      </c>
      <c r="C6129" s="28" t="n">
        <f aca="false">(Sens!$C$6130-Sens!$C$6126+Sens!$C$6128)/Sens!$C$6127</f>
        <v>0.0131526665379575</v>
      </c>
      <c r="D6129" s="28" t="n">
        <f aca="false">(Sens!$D$6130-Sens!$D$6126+Sens!$D$6128)/Sens!$D$6127</f>
        <v>0.0149280116962589</v>
      </c>
      <c r="E6129" s="28" t="n">
        <f aca="false">(Sens!$E$6130-Sens!$E$6126+Sens!$E$6128)/Sens!$E$6127</f>
        <v>0.0268030663774938</v>
      </c>
      <c r="F6129" s="28" t="n">
        <f aca="false">Sens!$O$6129+(Sens!$E$6129-Sens!$N$6129)</f>
        <v>0.0232379346966962</v>
      </c>
      <c r="G6129" s="28" t="n">
        <f aca="false">(Sens!$G$6130-Sens!$G$6126+Sens!$G$6128)/Sens!$G$6127</f>
        <v>0.0248738876928168</v>
      </c>
      <c r="H6129" s="28" t="n">
        <f aca="false">Sens!$G$6129+step_na</f>
        <v>0.0278738876928168</v>
      </c>
      <c r="I6129" s="28" t="n">
        <f aca="false">Sens!$H$6129+step_na</f>
        <v>0.0308738876928168</v>
      </c>
      <c r="J6129" s="28" t="n">
        <f aca="false">Sens!$I$6129+step_na</f>
        <v>0.0338738876928168</v>
      </c>
      <c r="K6129" s="28" t="n">
        <f aca="false">Sens!$J$6129+step_na</f>
        <v>0.0368738876928168</v>
      </c>
      <c r="L6129" s="28" t="n">
        <f aca="false">Sens!$K$6129</f>
        <v>0.0368738876928168</v>
      </c>
      <c r="M6129" s="28" t="n">
        <f aca="false">Sens!$L$6129</f>
        <v>0.0368738876928168</v>
      </c>
      <c r="N6129" s="28" t="n">
        <f aca="false">(Sens!$N$6130-Sens!$N$6126+Sens!$N$6128)/Sens!$N$6127</f>
        <v>0.0168927744775755</v>
      </c>
      <c r="O6129" s="28" t="n">
        <f aca="false">(Sens!$O$6130-Sens!$O$6126+Sens!$O$6128)/Sens!$O$6127</f>
        <v>0.0133276427967779</v>
      </c>
      <c r="P6129" s="8" t="s">
        <v>677</v>
      </c>
    </row>
    <row r="6130" customFormat="false" ht="17.15" hidden="false" customHeight="false" outlineLevel="0" collapsed="false">
      <c r="A6130" s="1" t="s">
        <v>678</v>
      </c>
      <c r="B6130" s="8" t="s">
        <v>73</v>
      </c>
      <c r="C6130" s="38" t="n">
        <f aca="false">Q!$D$22</f>
        <v>24.967</v>
      </c>
      <c r="D6130" s="38" t="n">
        <f aca="false">Q!$E$22</f>
        <v>29.619</v>
      </c>
      <c r="E6130" s="38" t="n">
        <f aca="false">Q!$P$22</f>
        <v>17.39</v>
      </c>
      <c r="F6130" s="38" t="n">
        <f aca="false">Sens!$F$6126+Sens!$F$6127*Sens!$F$6129-Sens!$F$6128</f>
        <v>20.9230952303336</v>
      </c>
      <c r="G6130" s="38" t="n">
        <f aca="false">Sens!$E$6130+Sens!$F$6130</f>
        <v>38.3130952303336</v>
      </c>
      <c r="H6130" s="38" t="n">
        <f aca="false">Sens!$H$6126+Sens!$H$6127*Sens!$H$6129-Sens!$H$6128</f>
        <v>42.2372865623114</v>
      </c>
      <c r="I6130" s="38" t="n">
        <f aca="false">Sens!$I$6126+Sens!$I$6127*Sens!$I$6129-Sens!$I$6128</f>
        <v>45.4106915565213</v>
      </c>
      <c r="J6130" s="38" t="n">
        <f aca="false">Sens!$J$6126+Sens!$J$6127*Sens!$J$6129-Sens!$J$6128</f>
        <v>48.1502550732398</v>
      </c>
      <c r="K6130" s="38" t="n">
        <f aca="false">Sens!$K$6126+Sens!$K$6127*Sens!$K$6129-Sens!$K$6128</f>
        <v>49.9860243093208</v>
      </c>
      <c r="L6130" s="38" t="n">
        <f aca="false">Sens!$L$6126+Sens!$L$6127*Sens!$L$6129-Sens!$L$6128</f>
        <v>51.095526207779</v>
      </c>
      <c r="M6130" s="38" t="n">
        <f aca="false">Sens!$M$6126+Sens!$M$6127*Sens!$M$6129-Sens!$M$6128</f>
        <v>52.7117805103898</v>
      </c>
      <c r="N6130" s="38" t="n">
        <f aca="false">Q!$N$22</f>
        <v>13.358</v>
      </c>
      <c r="O6130" s="38" t="n">
        <f aca="false">Q!$O$22</f>
        <v>16.261</v>
      </c>
    </row>
    <row r="6131" customFormat="false" ht="17.15" hidden="false" customHeight="false" outlineLevel="0" collapsed="false">
      <c r="A6131" s="0" t="s">
        <v>679</v>
      </c>
      <c r="B6131" s="0" t="s">
        <v>73</v>
      </c>
      <c r="C6131" s="38" t="n">
        <f aca="false">Sens!$C$6034*m_ad</f>
        <v>7.57284355857716</v>
      </c>
      <c r="D6131" s="38" t="n">
        <f aca="false">Sens!$D$6034*m_ad</f>
        <v>9.44543827004127</v>
      </c>
      <c r="E6131" s="38" t="n">
        <f aca="false">Sens!$E$6034*m_ad</f>
        <v>5.02428875377928</v>
      </c>
      <c r="F6131" s="38" t="n">
        <f aca="false">Sens!$F$6034*m_ad</f>
        <v>6.78802480890925</v>
      </c>
      <c r="G6131" s="38" t="n">
        <f aca="false">Sens!$G$6034*m_ad</f>
        <v>11.8014732147805</v>
      </c>
      <c r="H6131" s="38" t="n">
        <f aca="false">Sens!$H$6034*m_ad</f>
        <v>14.1682715634442</v>
      </c>
      <c r="I6131" s="38" t="n">
        <f aca="false">Sens!$I$6034*m_ad</f>
        <v>16.5348555113474</v>
      </c>
      <c r="J6131" s="38" t="n">
        <f aca="false">Sens!$J$6034*m_ad</f>
        <v>18.7425403255689</v>
      </c>
      <c r="K6131" s="38" t="n">
        <f aca="false">Sens!$K$6034*m_ad</f>
        <v>20.6167943581258</v>
      </c>
      <c r="L6131" s="38" t="n">
        <f aca="false">Sens!$L$6034*m_ad</f>
        <v>22.6784737939383</v>
      </c>
      <c r="M6131" s="38" t="n">
        <f aca="false">Sens!$M$6034*m_ad</f>
        <v>24.9463211733322</v>
      </c>
      <c r="N6131" s="38" t="n">
        <f aca="false">Sens!$N$6034*m_ad</f>
        <v>3.95314442937518</v>
      </c>
      <c r="O6131" s="38" t="n">
        <f aca="false">Sens!$O$6034*m_ad</f>
        <v>5.50052681786011</v>
      </c>
    </row>
    <row r="6132" customFormat="false" ht="17.15" hidden="false" customHeight="false" outlineLevel="0" collapsed="false">
      <c r="A6132" s="0" t="s">
        <v>680</v>
      </c>
      <c r="B6132" s="0" t="s">
        <v>73</v>
      </c>
      <c r="C6132" s="38" t="n">
        <f aca="false">Sens!$C$6032-Sens!$C$6034</f>
        <v>127.760312882846</v>
      </c>
      <c r="D6132" s="38" t="n">
        <f aca="false">Sens!$D$6032-Sens!$D$6034</f>
        <v>143.003123459917</v>
      </c>
      <c r="E6132" s="38" t="n">
        <f aca="false">Sens!$E$6032-Sens!$E$6034</f>
        <v>71.9374224924414</v>
      </c>
      <c r="F6132" s="38" t="n">
        <f aca="false">Sens!$F$6032-Sens!$F$6034</f>
        <v>87.0563645868046</v>
      </c>
      <c r="G6132" s="38" t="n">
        <f aca="false">Sens!$G$6032-Sens!$G$6034</f>
        <v>159.015467775062</v>
      </c>
      <c r="H6132" s="38" t="n">
        <f aca="false">Sens!$H$6032-Sens!$H$6034</f>
        <v>173.864803403269</v>
      </c>
      <c r="I6132" s="38" t="n">
        <f aca="false">Sens!$I$6032-Sens!$I$6034</f>
        <v>188.068165645601</v>
      </c>
      <c r="J6132" s="38" t="n">
        <f aca="false">Sens!$J$6032-Sens!$J$6034</f>
        <v>201.22681801082</v>
      </c>
      <c r="K6132" s="38" t="n">
        <f aca="false">Sens!$K$6032-Sens!$K$6034</f>
        <v>212.941334991893</v>
      </c>
      <c r="L6132" s="38" t="n">
        <f aca="false">Sens!$L$6032-Sens!$L$6034</f>
        <v>225.363269144856</v>
      </c>
      <c r="M6132" s="38" t="n">
        <f aca="false">Sens!$M$6032-Sens!$M$6034</f>
        <v>238.536688790819</v>
      </c>
      <c r="N6132" s="38" t="n">
        <f aca="false">Sens!$N$6032-Sens!$N$6034</f>
        <v>62.3677111412496</v>
      </c>
      <c r="O6132" s="38" t="n">
        <f aca="false">Sens!$O$6032-Sens!$O$6034</f>
        <v>80.6189463642798</v>
      </c>
    </row>
    <row r="6133" customFormat="false" ht="17.15" hidden="false" customHeight="false" outlineLevel="0" collapsed="false">
      <c r="A6133" s="0" t="s">
        <v>681</v>
      </c>
      <c r="B6133" s="0" t="s">
        <v>73</v>
      </c>
      <c r="C6133" s="38" t="n">
        <f aca="false">Sens!$C$6079*(1-Sens!$C$6030)</f>
        <v>0.0455891896019953</v>
      </c>
      <c r="D6133" s="38" t="n">
        <f aca="false">Sens!$D$6079*(1-Sens!$D$6030)</f>
        <v>0.332050421167231</v>
      </c>
      <c r="E6133" s="38" t="n">
        <f aca="false">Sens!$E$6079*(1-Sens!$E$6030)</f>
        <v>0.481224293644882</v>
      </c>
      <c r="F6133" s="38" t="n">
        <f aca="false">Sens!$F$6079*(1-Sens!$F$6030)</f>
        <v>0.596018918096053</v>
      </c>
      <c r="G6133" s="38" t="n">
        <f aca="false">Sens!$G$6079*(1-Sens!$G$6030)</f>
        <v>1.07714986531035</v>
      </c>
      <c r="H6133" s="38" t="n">
        <f aca="false">Sens!$H$6079*(1-Sens!$H$6030)</f>
        <v>2.83135005721638</v>
      </c>
      <c r="I6133" s="38" t="n">
        <f aca="false">Sens!$I$6079*(1-Sens!$I$6030)</f>
        <v>4.9421518161602</v>
      </c>
      <c r="J6133" s="38" t="n">
        <f aca="false">Sens!$J$6079*(1-Sens!$J$6030)</f>
        <v>7.11011252170866</v>
      </c>
      <c r="K6133" s="38" t="n">
        <f aca="false">Sens!$K$6079*(1-Sens!$K$6030)</f>
        <v>9.31663210615807</v>
      </c>
      <c r="L6133" s="38" t="n">
        <f aca="false">Sens!$L$6079*(1-Sens!$L$6030)</f>
        <v>11.411251074039</v>
      </c>
      <c r="M6133" s="38" t="n">
        <f aca="false">Sens!$M$6079*(1-Sens!$M$6030)</f>
        <v>13.5455860755423</v>
      </c>
      <c r="N6133" s="38" t="n">
        <f aca="false">Sens!$N$6079*(1-Sens!$N$6030)</f>
        <v>0.141739115596548</v>
      </c>
      <c r="O6133" s="38" t="n">
        <f aca="false">Sens!$O$6079*(1-Sens!$O$6030)</f>
        <v>0.190445576353059</v>
      </c>
    </row>
    <row r="6134" customFormat="false" ht="17.15" hidden="false" customHeight="false" outlineLevel="0" collapsed="false">
      <c r="A6134" s="0" t="s">
        <v>682</v>
      </c>
      <c r="B6134" s="0" t="s">
        <v>52</v>
      </c>
      <c r="C6134" s="28" t="n">
        <f aca="false">(Sens!$C$6135-Sens!$C$6131+Sens!$C$6133)/Sens!$C$6132</f>
        <v>-0.0292364215826579</v>
      </c>
      <c r="D6134" s="28" t="n">
        <f aca="false">(Sens!$D$6135-Sens!$D$6131+Sens!$D$6133)/Sens!$D$6132</f>
        <v>-0.0305125352740778</v>
      </c>
      <c r="E6134" s="28" t="n">
        <f aca="false">(Sens!$E$6135-Sens!$E$6131+Sens!$E$6133)/Sens!$E$6132</f>
        <v>-0.019490056934994</v>
      </c>
      <c r="F6134" s="28" t="n">
        <f aca="false">Sens!$O$6134+(Sens!$E$6134-Sens!$N$6134)</f>
        <v>-0.0367332293992226</v>
      </c>
      <c r="G6134" s="28" t="n">
        <f aca="false">(Sens!$G$6135-Sens!$G$6131+Sens!$G$6133)/Sens!$G$6132</f>
        <v>-0.0288599526442178</v>
      </c>
      <c r="H6134" s="28" t="n">
        <f aca="false">Sens!$G$6134+step_in</f>
        <v>-0.0288599526442178</v>
      </c>
      <c r="I6134" s="28" t="n">
        <f aca="false">Sens!$H$6134+step_in</f>
        <v>-0.0288599526442178</v>
      </c>
      <c r="J6134" s="28" t="n">
        <f aca="false">Sens!$I$6134+step_in</f>
        <v>-0.0288599526442178</v>
      </c>
      <c r="K6134" s="28" t="n">
        <f aca="false">Sens!$J$6134+step_in</f>
        <v>-0.0288599526442178</v>
      </c>
      <c r="L6134" s="28" t="n">
        <f aca="false">Sens!$K$6134</f>
        <v>-0.0288599526442178</v>
      </c>
      <c r="M6134" s="28" t="n">
        <f aca="false">Sens!$L$6134</f>
        <v>-0.0288599526442178</v>
      </c>
      <c r="N6134" s="28" t="n">
        <f aca="false">(Sens!$N$6135-Sens!$N$6131+Sens!$N$6133)/Sens!$N$6132</f>
        <v>-0.02085061789158</v>
      </c>
      <c r="O6134" s="28" t="n">
        <f aca="false">(Sens!$O$6135-Sens!$O$6131+Sens!$O$6133)/Sens!$O$6132</f>
        <v>-0.0380937903558086</v>
      </c>
      <c r="P6134" s="8" t="s">
        <v>677</v>
      </c>
    </row>
    <row r="6135" customFormat="false" ht="17.15" hidden="false" customHeight="false" outlineLevel="0" collapsed="false">
      <c r="A6135" s="1" t="s">
        <v>683</v>
      </c>
      <c r="B6135" s="8" t="s">
        <v>73</v>
      </c>
      <c r="C6135" s="38" t="n">
        <f aca="false">Q!$D$23</f>
        <v>3.792</v>
      </c>
      <c r="D6135" s="38" t="n">
        <f aca="false">Q!$E$23</f>
        <v>4.75</v>
      </c>
      <c r="E6135" s="38" t="n">
        <f aca="false">Q!$P$23</f>
        <v>3.141</v>
      </c>
      <c r="F6135" s="38" t="n">
        <f aca="false">Sens!$F$6131+Sens!$F$6132*Sens!$F$6134-Sens!$F$6133</f>
        <v>2.99414447978375</v>
      </c>
      <c r="G6135" s="38" t="n">
        <f aca="false">Sens!$E$6135+Sens!$F$6135</f>
        <v>6.13514447978375</v>
      </c>
      <c r="H6135" s="38" t="n">
        <f aca="false">Sens!$H$6131+Sens!$H$6132*Sens!$H$6134-Sens!$H$6133</f>
        <v>6.31919151351322</v>
      </c>
      <c r="I6135" s="38" t="n">
        <f aca="false">Sens!$I$6131+Sens!$I$6132*Sens!$I$6134-Sens!$I$6133</f>
        <v>6.16506534077027</v>
      </c>
      <c r="J6135" s="38" t="n">
        <f aca="false">Sens!$J$6131+Sens!$J$6132*Sens!$J$6134-Sens!$J$6133</f>
        <v>5.8250313653213</v>
      </c>
      <c r="K6135" s="38" t="n">
        <f aca="false">Sens!$K$6131+Sens!$K$6132*Sens!$K$6134-Sens!$K$6133</f>
        <v>5.15468540810514</v>
      </c>
      <c r="L6135" s="38" t="n">
        <f aca="false">Sens!$L$6131+Sens!$L$6132*Sens!$L$6134-Sens!$L$6133</f>
        <v>4.76324944463266</v>
      </c>
      <c r="M6135" s="38" t="n">
        <f aca="false">Sens!$M$6131+Sens!$M$6132*Sens!$M$6134-Sens!$M$6133</f>
        <v>4.51657755537829</v>
      </c>
      <c r="N6135" s="38" t="n">
        <f aca="false">Q!$N$23</f>
        <v>2.511</v>
      </c>
      <c r="O6135" s="38" t="n">
        <f aca="false">Q!$O$23</f>
        <v>2.239</v>
      </c>
    </row>
    <row r="6136" customFormat="false" ht="17.15" hidden="false" customHeight="false" outlineLevel="0" collapsed="false">
      <c r="A6136" s="0" t="s">
        <v>684</v>
      </c>
      <c r="B6136" s="0" t="s">
        <v>73</v>
      </c>
      <c r="C6136" s="38" t="n">
        <f aca="false">Sens!$C$6076</f>
        <v>1.64417882953695</v>
      </c>
      <c r="D6136" s="38" t="n">
        <f aca="false">Sens!$D$6076</f>
        <v>3.8781008067718</v>
      </c>
      <c r="E6136" s="38" t="n">
        <f aca="false">Sens!$E$6076</f>
        <v>1.41270258088753</v>
      </c>
      <c r="F6136" s="38" t="n">
        <f aca="false">Sens!$F$6076</f>
        <v>6.50727700583486</v>
      </c>
      <c r="G6136" s="38" t="n">
        <f aca="false">Sens!$G$6076</f>
        <v>7.9199795867224</v>
      </c>
      <c r="H6136" s="38" t="n">
        <f aca="false">Sens!$H$6076</f>
        <v>19.2818189481807</v>
      </c>
      <c r="I6136" s="38" t="n">
        <f aca="false">Sens!$I$6076</f>
        <v>30.140114407202</v>
      </c>
      <c r="J6136" s="38" t="n">
        <f aca="false">Sens!$J$6076</f>
        <v>40.3569468829854</v>
      </c>
      <c r="K6136" s="38" t="n">
        <f aca="false">Sens!$K$6076</f>
        <v>50.0782975081929</v>
      </c>
      <c r="L6136" s="38" t="n">
        <f aca="false">Sens!$L$6076</f>
        <v>61.443331993499</v>
      </c>
      <c r="M6136" s="38" t="n">
        <f aca="false">Sens!$M$6076</f>
        <v>72.2498791587849</v>
      </c>
      <c r="N6136" s="38" t="n">
        <f aca="false">Sens!$N$6076</f>
        <v>0.92264103489199</v>
      </c>
      <c r="O6136" s="38" t="n">
        <f aca="false">Sens!$O$6076</f>
        <v>2.95545977187981</v>
      </c>
    </row>
    <row r="6137" customFormat="false" ht="17.15" hidden="false" customHeight="false" outlineLevel="0" collapsed="false">
      <c r="A6137" s="0" t="s">
        <v>604</v>
      </c>
      <c r="B6137" s="0" t="s">
        <v>73</v>
      </c>
      <c r="C6137" s="38" t="n">
        <f aca="false">Sens!$C$6081</f>
        <v>38.1898211704631</v>
      </c>
      <c r="D6137" s="38" t="n">
        <f aca="false">Sens!$D$6081</f>
        <v>41.7278991932282</v>
      </c>
      <c r="E6137" s="38" t="n">
        <f aca="false">Sens!$E$6081</f>
        <v>29.3692974191125</v>
      </c>
      <c r="F6137" s="38" t="n">
        <f aca="false">Sens!$F$6081</f>
        <v>29.458060516894</v>
      </c>
      <c r="G6137" s="38" t="n">
        <f aca="false">Sens!$G$6081</f>
        <v>58.8273579360065</v>
      </c>
      <c r="H6137" s="38" t="n">
        <f aca="false">Sens!$H$6081</f>
        <v>67.8004040185081</v>
      </c>
      <c r="I6137" s="38" t="n">
        <f aca="false">Sens!$I$6081</f>
        <v>78.9527630302702</v>
      </c>
      <c r="J6137" s="38" t="n">
        <f aca="false">Sens!$J$6081</f>
        <v>88.6042681781841</v>
      </c>
      <c r="K6137" s="38" t="n">
        <f aca="false">Sens!$K$6081</f>
        <v>95.6926096324389</v>
      </c>
      <c r="L6137" s="38" t="n">
        <f aca="false">Sens!$L$6081</f>
        <v>103.348018403034</v>
      </c>
      <c r="M6137" s="38" t="n">
        <f aca="false">Sens!$M$6081</f>
        <v>111.615859875277</v>
      </c>
      <c r="N6137" s="38" t="n">
        <f aca="false">Sens!$N$6081</f>
        <v>20.784358965108</v>
      </c>
      <c r="O6137" s="38" t="n">
        <f aca="false">Sens!$O$6081</f>
        <v>20.9435402281202</v>
      </c>
    </row>
    <row r="6138" customFormat="false" ht="17.15" hidden="false" customHeight="false" outlineLevel="0" collapsed="false">
      <c r="A6138" s="1" t="s">
        <v>685</v>
      </c>
      <c r="B6138" s="8" t="s">
        <v>73</v>
      </c>
      <c r="C6138" s="38" t="n">
        <f aca="false">Q!$D$24</f>
        <v>39.834</v>
      </c>
      <c r="D6138" s="38" t="n">
        <f aca="false">Q!$E$24</f>
        <v>45.606</v>
      </c>
      <c r="E6138" s="38" t="n">
        <f aca="false">Q!$P$24</f>
        <v>30.782</v>
      </c>
      <c r="F6138" s="38" t="n">
        <f aca="false">Sens!$F$6136+Sens!$F$6137</f>
        <v>35.9653375227289</v>
      </c>
      <c r="G6138" s="38" t="n">
        <f aca="false">Sens!$G$6136+Sens!$G$6137</f>
        <v>66.7473375227289</v>
      </c>
      <c r="H6138" s="38" t="n">
        <f aca="false">Sens!$H$6136+Sens!$H$6137</f>
        <v>87.0822229666888</v>
      </c>
      <c r="I6138" s="38" t="n">
        <f aca="false">Sens!$I$6136+Sens!$I$6137</f>
        <v>109.092877437472</v>
      </c>
      <c r="J6138" s="38" t="n">
        <f aca="false">Sens!$J$6136+Sens!$J$6137</f>
        <v>128.96121506117</v>
      </c>
      <c r="K6138" s="38" t="n">
        <f aca="false">Sens!$K$6136+Sens!$K$6137</f>
        <v>145.770907140632</v>
      </c>
      <c r="L6138" s="38" t="n">
        <f aca="false">Sens!$L$6136+Sens!$L$6137</f>
        <v>164.791350396533</v>
      </c>
      <c r="M6138" s="38" t="n">
        <f aca="false">Sens!$M$6136+Sens!$M$6137</f>
        <v>183.865739034062</v>
      </c>
      <c r="N6138" s="38" t="n">
        <f aca="false">Q!$N$24</f>
        <v>21.707</v>
      </c>
      <c r="O6138" s="38" t="n">
        <f aca="false">Q!$O$24</f>
        <v>23.899</v>
      </c>
    </row>
    <row r="6139" customFormat="false" ht="17.15" hidden="false" customHeight="false" outlineLevel="0" collapsed="false">
      <c r="A6139" s="5" t="s">
        <v>686</v>
      </c>
      <c r="B6139" s="0" t="s">
        <v>73</v>
      </c>
      <c r="C6139" s="38" t="n">
        <f aca="false">Q!$D$26</f>
        <v>0</v>
      </c>
      <c r="D6139" s="38" t="n">
        <f aca="false">Q!$E$26</f>
        <v>0</v>
      </c>
      <c r="E6139" s="38" t="n">
        <f aca="false">Q!$P$26</f>
        <v>0</v>
      </c>
      <c r="F6139" s="41" t="n">
        <v>0</v>
      </c>
      <c r="G6139" s="38" t="n">
        <f aca="false">Sens!$E$6139+Sens!$F$6139</f>
        <v>0</v>
      </c>
      <c r="H6139" s="41" t="n">
        <v>0</v>
      </c>
      <c r="I6139" s="41" t="n">
        <v>0</v>
      </c>
      <c r="J6139" s="41" t="n">
        <v>0</v>
      </c>
      <c r="K6139" s="41" t="n">
        <v>0</v>
      </c>
      <c r="L6139" s="41" t="n">
        <v>0</v>
      </c>
      <c r="M6139" s="41" t="n">
        <v>0</v>
      </c>
      <c r="N6139" s="38" t="n">
        <f aca="false">Q!$N$26</f>
        <v>0</v>
      </c>
      <c r="O6139" s="38" t="n">
        <f aca="false">Q!$O$26</f>
        <v>0</v>
      </c>
    </row>
    <row r="6140" customFormat="false" ht="15" hidden="false" customHeight="false" outlineLevel="0" collapsed="false">
      <c r="A6140" s="3" t="s">
        <v>494</v>
      </c>
      <c r="B6140" s="8" t="s">
        <v>73</v>
      </c>
      <c r="C6140" s="38" t="n">
        <f aca="false">Q!$D$25</f>
        <v>68.593</v>
      </c>
      <c r="D6140" s="38" t="n">
        <f aca="false">Q!$E$25</f>
        <v>79.975</v>
      </c>
      <c r="E6140" s="38" t="n">
        <f aca="false">Q!$P$25</f>
        <v>51.313</v>
      </c>
      <c r="F6140" s="38" t="n">
        <f aca="false">Sens!$F$6130+Sens!$F$6135+Sens!$F$6138+Sens!$F$6139</f>
        <v>59.8825772328462</v>
      </c>
      <c r="G6140" s="38" t="n">
        <f aca="false">Sens!$G$6130+Sens!$G$6135+Sens!$G$6138+Sens!$G$6139</f>
        <v>111.195577232846</v>
      </c>
      <c r="H6140" s="38" t="n">
        <f aca="false">Sens!$H$6130+Sens!$H$6135+Sens!$H$6138+Sens!$H$6139</f>
        <v>135.638701042513</v>
      </c>
      <c r="I6140" s="38" t="n">
        <f aca="false">Sens!$I$6130+Sens!$I$6135+Sens!$I$6138+Sens!$I$6139</f>
        <v>160.668634334764</v>
      </c>
      <c r="J6140" s="38" t="n">
        <f aca="false">Sens!$J$6130+Sens!$J$6135+Sens!$J$6138+Sens!$J$6139</f>
        <v>182.936501499731</v>
      </c>
      <c r="K6140" s="38" t="n">
        <f aca="false">Sens!$K$6130+Sens!$K$6135+Sens!$K$6138+Sens!$K$6139</f>
        <v>200.911616858058</v>
      </c>
      <c r="L6140" s="38" t="n">
        <f aca="false">Sens!$L$6130+Sens!$L$6135+Sens!$L$6138+Sens!$L$6139</f>
        <v>220.650126048945</v>
      </c>
      <c r="M6140" s="38" t="n">
        <f aca="false">Sens!$M$6130+Sens!$M$6135+Sens!$M$6138+Sens!$M$6139</f>
        <v>241.09409709983</v>
      </c>
      <c r="N6140" s="38" t="n">
        <f aca="false">Q!$N$25</f>
        <v>37.576</v>
      </c>
      <c r="O6140" s="38" t="n">
        <f aca="false">Q!$O$25</f>
        <v>42.399</v>
      </c>
    </row>
    <row r="6141" customFormat="false" ht="17.15" hidden="false" customHeight="false" outlineLevel="0" collapsed="false">
      <c r="A6141" s="24" t="s">
        <v>712</v>
      </c>
      <c r="B6141" s="25" t="s">
        <v>73</v>
      </c>
      <c r="C6141" s="39" t="n">
        <f aca="false">Sens!$C$6130+Sens!$C$6135+Sens!$C$6138+Sens!$C$6139-Sens!$C$6140</f>
        <v>0</v>
      </c>
      <c r="D6141" s="39" t="n">
        <f aca="false">Sens!$D$6130+Sens!$D$6135+Sens!$D$6138+Sens!$D$6139-Sens!$D$6140</f>
        <v>0</v>
      </c>
      <c r="E6141" s="39" t="n">
        <f aca="false">Sens!$E$6130+Sens!$E$6135+Sens!$E$6138+Sens!$E$6139-Sens!$E$6140</f>
        <v>0</v>
      </c>
      <c r="F6141" s="39" t="n">
        <f aca="false">Sens!$F$6130+Sens!$F$6135+Sens!$F$6138+Sens!$F$6139-Sens!$F$6140</f>
        <v>0</v>
      </c>
      <c r="G6141" s="39" t="n">
        <f aca="false">Sens!$G$6130+Sens!$G$6135+Sens!$G$6138+Sens!$G$6139-Sens!$G$6140</f>
        <v>0</v>
      </c>
      <c r="H6141" s="39" t="n">
        <f aca="false">Sens!$H$6130+Sens!$H$6135+Sens!$H$6138+Sens!$H$6139-Sens!$H$6140</f>
        <v>0</v>
      </c>
      <c r="I6141" s="39" t="n">
        <f aca="false">Sens!$I$6130+Sens!$I$6135+Sens!$I$6138+Sens!$I$6139-Sens!$I$6140</f>
        <v>0</v>
      </c>
      <c r="J6141" s="39" t="n">
        <f aca="false">Sens!$J$6130+Sens!$J$6135+Sens!$J$6138+Sens!$J$6139-Sens!$J$6140</f>
        <v>0</v>
      </c>
      <c r="K6141" s="39" t="n">
        <f aca="false">Sens!$K$6130+Sens!$K$6135+Sens!$K$6138+Sens!$K$6139-Sens!$K$6140</f>
        <v>0</v>
      </c>
      <c r="L6141" s="39" t="n">
        <f aca="false">Sens!$L$6130+Sens!$L$6135+Sens!$L$6138+Sens!$L$6139-Sens!$L$6140</f>
        <v>0</v>
      </c>
      <c r="M6141" s="39" t="n">
        <f aca="false">Sens!$M$6130+Sens!$M$6135+Sens!$M$6138+Sens!$M$6139-Sens!$M$6140</f>
        <v>0</v>
      </c>
      <c r="N6141" s="39" t="n">
        <f aca="false">Sens!$N$6130+Sens!$N$6135+Sens!$N$6138+Sens!$N$6139-Sens!$N$6140</f>
        <v>0</v>
      </c>
      <c r="O6141" s="39" t="n">
        <f aca="false">Sens!$O$6130+Sens!$O$6135+Sens!$O$6138+Sens!$O$6139-Sens!$O$6140</f>
        <v>0</v>
      </c>
    </row>
    <row r="6142" customFormat="false" ht="17.15" hidden="false" customHeight="false" outlineLevel="0" collapsed="false">
      <c r="A6142" s="0" t="s">
        <v>688</v>
      </c>
      <c r="B6142" s="0" t="s">
        <v>52</v>
      </c>
      <c r="C6142" s="12" t="n">
        <f aca="false">Sens!$C$6130/Sens!$C$6115</f>
        <v>0.0644314665661928</v>
      </c>
      <c r="D6142" s="12" t="n">
        <f aca="false">Sens!$D$6130/Sens!$D$6115</f>
        <v>0.0694784250712518</v>
      </c>
      <c r="E6142" s="12" t="n">
        <f aca="false">Sens!$E$6130/Sens!$E$6115</f>
        <v>0.0789306463326071</v>
      </c>
      <c r="F6142" s="12" t="n">
        <f aca="false">Sens!$F$6130/Sens!$F$6115</f>
        <v>0.0816338957078875</v>
      </c>
      <c r="G6142" s="12" t="n">
        <f aca="false">Sens!$G$6130/Sens!$G$6115</f>
        <v>0.080384315570057</v>
      </c>
      <c r="H6142" s="12" t="n">
        <f aca="false">Sens!$H$6130/Sens!$H$6115</f>
        <v>0.080035122355679</v>
      </c>
      <c r="I6142" s="12" t="n">
        <f aca="false">Sens!$I$6130/Sens!$I$6115</f>
        <v>0.0786798687862144</v>
      </c>
      <c r="J6142" s="12" t="n">
        <f aca="false">Sens!$J$6130/Sens!$J$6115</f>
        <v>0.0772846370095153</v>
      </c>
      <c r="K6142" s="12" t="n">
        <f aca="false">Sens!$K$6130/Sens!$K$6115</f>
        <v>0.0753502227686655</v>
      </c>
      <c r="L6142" s="12" t="n">
        <f aca="false">Sens!$L$6130/Sens!$L$6115</f>
        <v>0.0723154067793922</v>
      </c>
      <c r="M6142" s="12" t="n">
        <f aca="false">Sens!$M$6130/Sens!$M$6115</f>
        <v>0.070022386735876</v>
      </c>
      <c r="N6142" s="12" t="n">
        <f aca="false">Sens!$N$6130/Sens!$N$6115</f>
        <v>0.069228576611127</v>
      </c>
      <c r="O6142" s="12" t="n">
        <f aca="false">Sens!$O$6130/Sens!$O$6115</f>
        <v>0.069685022498393</v>
      </c>
    </row>
    <row r="6143" customFormat="false" ht="17.15" hidden="false" customHeight="false" outlineLevel="0" collapsed="false">
      <c r="A6143" s="0" t="s">
        <v>689</v>
      </c>
      <c r="B6143" s="0" t="s">
        <v>52</v>
      </c>
      <c r="C6143" s="12" t="n">
        <f aca="false">Sens!$C$6135/Sens!$C$6116</f>
        <v>0.026534925055631</v>
      </c>
      <c r="D6143" s="12" t="n">
        <f aca="false">Sens!$D$6135/Sens!$D$6116</f>
        <v>0.0293401855535103</v>
      </c>
      <c r="E6143" s="12" t="n">
        <f aca="false">Sens!$E$6135/Sens!$E$6116</f>
        <v>0.03831141902276</v>
      </c>
      <c r="F6143" s="12" t="n">
        <f aca="false">Sens!$F$6135/Sens!$F$6116</f>
        <v>0.0297532808235678</v>
      </c>
      <c r="G6143" s="12" t="n">
        <f aca="false">Sens!$G$6135/Sens!$G$6116</f>
        <v>0.0335954317997163</v>
      </c>
      <c r="H6143" s="12" t="n">
        <f aca="false">Sens!$H$6135/Sens!$H$6116</f>
        <v>0.0312519754292078</v>
      </c>
      <c r="I6143" s="12" t="n">
        <f aca="false">Sens!$I$6135/Sens!$I$6116</f>
        <v>0.0278788303191397</v>
      </c>
      <c r="J6143" s="12" t="n">
        <f aca="false">Sens!$J$6135/Sens!$J$6116</f>
        <v>0.0244019313573061</v>
      </c>
      <c r="K6143" s="12" t="n">
        <f aca="false">Sens!$K$6135/Sens!$K$6116</f>
        <v>0.020280070641524</v>
      </c>
      <c r="L6143" s="12" t="n">
        <f aca="false">Sens!$L$6135/Sens!$L$6116</f>
        <v>0.0175947312030086</v>
      </c>
      <c r="M6143" s="12" t="n">
        <f aca="false">Sens!$M$6135/Sens!$M$6116</f>
        <v>0.0156592172424565</v>
      </c>
      <c r="N6143" s="12" t="n">
        <f aca="false">Sens!$N$6135/Sens!$N$6116</f>
        <v>0.0357315650169337</v>
      </c>
      <c r="O6143" s="12" t="n">
        <f aca="false">Sens!$O$6135/Sens!$O$6116</f>
        <v>0.0244378956559703</v>
      </c>
    </row>
    <row r="6144" customFormat="false" ht="17.15" hidden="false" customHeight="false" outlineLevel="0" collapsed="false">
      <c r="A6144" s="13" t="s">
        <v>690</v>
      </c>
      <c r="B6144" s="13" t="s">
        <v>52</v>
      </c>
      <c r="C6144" s="16" t="n">
        <f aca="false">Sens!$C$6138/Sens!$C$6117</f>
        <v>0.370355907620217</v>
      </c>
      <c r="D6144" s="16" t="n">
        <f aca="false">Sens!$D$6138/Sens!$D$6117</f>
        <v>0.35429015342785</v>
      </c>
      <c r="E6144" s="16" t="n">
        <f aca="false">Sens!$E$6138/Sens!$E$6117</f>
        <v>0.385647527531039</v>
      </c>
      <c r="F6144" s="16" t="n">
        <f aca="false">Sens!$F$6138/Sens!$F$6117</f>
        <v>0.384415729470259</v>
      </c>
      <c r="G6144" s="16" t="n">
        <f aca="false">Sens!$G$6138/Sens!$G$6117</f>
        <v>0.38498282105443</v>
      </c>
      <c r="H6144" s="16" t="n">
        <f aca="false">Sens!$H$6138/Sens!$H$6117</f>
        <v>0.361247909668527</v>
      </c>
      <c r="I6144" s="16" t="n">
        <f aca="false">Sens!$I$6138/Sens!$I$6117</f>
        <v>0.349486287974975</v>
      </c>
      <c r="J6144" s="16" t="n">
        <f aca="false">Sens!$J$6138/Sens!$J$6117</f>
        <v>0.339886531832068</v>
      </c>
      <c r="K6144" s="16" t="n">
        <f aca="false">Sens!$K$6138/Sens!$K$6117</f>
        <v>0.33135833762061</v>
      </c>
      <c r="L6144" s="16" t="n">
        <f aca="false">Sens!$L$6138/Sens!$L$6117</f>
        <v>0.328299068185284</v>
      </c>
      <c r="M6144" s="16" t="n">
        <f aca="false">Sens!$M$6138/Sens!$M$6117</f>
        <v>0.325058049465166</v>
      </c>
      <c r="N6144" s="16" t="n">
        <f aca="false">Sens!$N$6138/Sens!$N$6117</f>
        <v>0.360941137346192</v>
      </c>
      <c r="O6144" s="16" t="n">
        <f aca="false">Sens!$O$6138/Sens!$O$6117</f>
        <v>0.348458117664212</v>
      </c>
    </row>
    <row r="6145" customFormat="false" ht="17.15" hidden="false" customHeight="false" outlineLevel="0" collapsed="false">
      <c r="A6145" s="0" t="s">
        <v>691</v>
      </c>
      <c r="B6145" s="0" t="s">
        <v>52</v>
      </c>
      <c r="C6145" s="12" t="n">
        <f aca="false">Sens!$C$6136/Sens!$C$6118</f>
        <v>0.708390794789371</v>
      </c>
      <c r="D6145" s="12" t="n">
        <f aca="false">Sens!$D$6136/Sens!$D$6118</f>
        <v>0.445565630441968</v>
      </c>
      <c r="E6145" s="12" t="n">
        <f aca="false">Sens!$E$6136/Sens!$E$6118</f>
        <v>0.165998118402711</v>
      </c>
      <c r="F6145" s="12" t="n">
        <f aca="false">Sens!$F$6136/Sens!$F$6118</f>
        <v>0.434878595403858</v>
      </c>
      <c r="G6145" s="12" t="n">
        <f aca="false">Sens!$G$6136/Sens!$G$6118</f>
        <v>0.3373967615381</v>
      </c>
      <c r="H6145" s="12" t="n">
        <f aca="false">Sens!$H$6136/Sens!$H$6118</f>
        <v>0.320477578041224</v>
      </c>
      <c r="I6145" s="12" t="n">
        <f aca="false">Sens!$I$6136/Sens!$I$6118</f>
        <v>0.296936118226494</v>
      </c>
      <c r="J6145" s="12" t="n">
        <f aca="false">Sens!$J$6136/Sens!$J$6118</f>
        <v>0.282166278613001</v>
      </c>
      <c r="K6145" s="12" t="n">
        <f aca="false">Sens!$K$6136/Sens!$K$6118</f>
        <v>0.271267685694333</v>
      </c>
      <c r="L6145" s="12" t="n">
        <f aca="false">Sens!$L$6136/Sens!$L$6118</f>
        <v>0.27160960915653</v>
      </c>
      <c r="M6145" s="12" t="n">
        <f aca="false">Sens!$M$6136/Sens!$M$6118</f>
        <v>0.26974494804234</v>
      </c>
      <c r="N6145" s="12" t="n">
        <f aca="false">Sens!$N$6136/Sens!$N$6118</f>
        <v>0.302870734830849</v>
      </c>
      <c r="O6145" s="12" t="n">
        <f aca="false">Sens!$O$6136/Sens!$O$6118</f>
        <v>0.52240134346334</v>
      </c>
    </row>
    <row r="6146" customFormat="false" ht="15" hidden="false" customHeight="false" outlineLevel="0" collapsed="false">
      <c r="A6146" s="5" t="s">
        <v>692</v>
      </c>
      <c r="B6146" s="0" t="s">
        <v>52</v>
      </c>
      <c r="C6146" s="12" t="n">
        <f aca="false">Sens!$C$6140/Sens!$C$6120</f>
        <v>0.107519448742004</v>
      </c>
      <c r="D6146" s="12" t="n">
        <f aca="false">Sens!$D$6140/Sens!$D$6120</f>
        <v>0.111552967957552</v>
      </c>
      <c r="E6146" s="12" t="n">
        <f aca="false">Sens!$E$6140/Sens!$E$6120</f>
        <v>0.13428328426562</v>
      </c>
      <c r="F6146" s="12" t="n">
        <f aca="false">Sens!$F$6140/Sens!$F$6120</f>
        <v>0.132926212451512</v>
      </c>
      <c r="G6146" s="12" t="n">
        <f aca="false">Sens!$G$6140/Sens!$G$6120</f>
        <v>0.133549030959228</v>
      </c>
      <c r="H6146" s="12" t="n">
        <f aca="false">Sens!$H$6140/Sens!$H$6120</f>
        <v>0.139690394514416</v>
      </c>
      <c r="I6146" s="12" t="n">
        <f aca="false">Sens!$I$6140/Sens!$I$6120</f>
        <v>0.144688164284573</v>
      </c>
      <c r="J6146" s="12" t="n">
        <f aca="false">Sens!$J$6140/Sens!$J$6120</f>
        <v>0.147391419021054</v>
      </c>
      <c r="K6146" s="12" t="n">
        <f aca="false">Sens!$K$6140/Sens!$K$6120</f>
        <v>0.148003728177944</v>
      </c>
      <c r="L6146" s="12" t="n">
        <f aca="false">Sens!$L$6140/Sens!$L$6120</f>
        <v>0.149164514525979</v>
      </c>
      <c r="M6146" s="12" t="n">
        <f aca="false">Sens!$M$6140/Sens!$M$6120</f>
        <v>0.150041098108262</v>
      </c>
      <c r="N6146" s="12" t="n">
        <f aca="false">Sens!$N$6140/Sens!$N$6120</f>
        <v>0.116201614873411</v>
      </c>
      <c r="O6146" s="12" t="n">
        <f aca="false">Sens!$O$6140/Sens!$O$6120</f>
        <v>0.107733353660861</v>
      </c>
    </row>
    <row r="6147" customFormat="false" ht="17.15" hidden="false" customHeight="false" outlineLevel="0" collapsed="false">
      <c r="A6147" s="1" t="s">
        <v>693</v>
      </c>
    </row>
    <row r="6148" customFormat="false" ht="17.15" hidden="false" customHeight="false" outlineLevel="0" collapsed="false">
      <c r="A6148" s="5" t="s">
        <v>694</v>
      </c>
      <c r="B6148" s="0" t="s">
        <v>52</v>
      </c>
      <c r="D6148" s="28" t="n">
        <f aca="false">(Q!$E$29+Q!$E$30-(1-ext_sh)*Sens!$D$6072)/Sens!$D$6029</f>
        <v>0.0334674312393194</v>
      </c>
    </row>
    <row r="6149" customFormat="false" ht="17.15" hidden="false" customHeight="false" outlineLevel="0" collapsed="false">
      <c r="A6149" s="0" t="s">
        <v>498</v>
      </c>
      <c r="B6149" s="0" t="s">
        <v>73</v>
      </c>
      <c r="C6149" s="38" t="n">
        <f aca="false">Q!$D$29</f>
        <v>14.285</v>
      </c>
      <c r="D6149" s="38" t="n">
        <f aca="false">Q!$E$29</f>
        <v>15.503</v>
      </c>
      <c r="E6149" s="38" t="n">
        <f aca="false">Q!$P$29</f>
        <v>8.78</v>
      </c>
      <c r="F6149" s="38" t="n">
        <f aca="false">(Sens!$D$6148*Sens!$F$6029+(1-ext_sh)*Sens!$F$6072)*Sens!$F$6030</f>
        <v>9.51361751569285</v>
      </c>
      <c r="G6149" s="38" t="n">
        <f aca="false">Sens!$E$6149+Sens!$F$6149</f>
        <v>18.2936175156929</v>
      </c>
      <c r="H6149" s="38" t="n">
        <f aca="false">(Sens!$D$6148*Sens!$H$6029+(1-ext_sh)*Sens!$H$6072)*Sens!$H$6030</f>
        <v>22.7653661801943</v>
      </c>
      <c r="I6149" s="38" t="n">
        <f aca="false">(Sens!$D$6148*Sens!$I$6029+(1-ext_sh)*Sens!$I$6072)*Sens!$I$6030</f>
        <v>28.4281317305062</v>
      </c>
      <c r="J6149" s="38" t="n">
        <f aca="false">(Sens!$D$6148*Sens!$J$6029+(1-ext_sh)*Sens!$J$6072)*Sens!$J$6030</f>
        <v>34.1182922009732</v>
      </c>
      <c r="K6149" s="38" t="n">
        <f aca="false">(Sens!$D$6148*Sens!$K$6029+(1-ext_sh)*Sens!$K$6072)*Sens!$K$6030</f>
        <v>39.7237727987046</v>
      </c>
      <c r="L6149" s="38" t="n">
        <f aca="false">(Sens!$D$6148*Sens!$L$6029+(1-ext_sh)*Sens!$L$6072)*Sens!$L$6030</f>
        <v>45.1313127180263</v>
      </c>
      <c r="M6149" s="38" t="n">
        <f aca="false">(Sens!$D$6148*Sens!$M$6029+(1-ext_sh)*Sens!$M$6072)*Sens!$M$6030</f>
        <v>50.743940615442</v>
      </c>
      <c r="N6149" s="38" t="n">
        <f aca="false">Q!$N$29</f>
        <v>7.272</v>
      </c>
      <c r="O6149" s="38" t="n">
        <f aca="false">Q!$O$29</f>
        <v>8.231</v>
      </c>
    </row>
    <row r="6150" customFormat="false" ht="17.15" hidden="false" customHeight="false" outlineLevel="0" collapsed="false">
      <c r="A6150" s="0" t="s">
        <v>500</v>
      </c>
      <c r="B6150" s="0" t="s">
        <v>73</v>
      </c>
      <c r="C6150" s="38" t="n">
        <f aca="false">Q!$D$30</f>
        <v>4.462</v>
      </c>
      <c r="D6150" s="38" t="n">
        <f aca="false">Q!$E$30</f>
        <v>4.907</v>
      </c>
      <c r="E6150" s="38" t="n">
        <f aca="false">Q!$P$30</f>
        <v>2.57</v>
      </c>
      <c r="F6150" s="38" t="n">
        <f aca="false">(Sens!$D$6148*Sens!$F$6029+(1-ext_sh)*Sens!$F$6072)*(1-Sens!$F$6030)</f>
        <v>3.7353230631574</v>
      </c>
      <c r="G6150" s="38" t="n">
        <f aca="false">Sens!$E$6150+Sens!$F$6150</f>
        <v>6.3053230631574</v>
      </c>
      <c r="H6150" s="38" t="n">
        <f aca="false">(Sens!$D$6148*Sens!$H$6029+(1-ext_sh)*Sens!$H$6072)*(1-Sens!$H$6030)</f>
        <v>8.72254636724805</v>
      </c>
      <c r="I6150" s="38" t="n">
        <f aca="false">(Sens!$D$6148*Sens!$I$6029+(1-ext_sh)*Sens!$I$6072)*(1-Sens!$I$6030)</f>
        <v>10.8922340713019</v>
      </c>
      <c r="J6150" s="38" t="n">
        <f aca="false">(Sens!$D$6148*Sens!$J$6029+(1-ext_sh)*Sens!$J$6072)*(1-Sens!$J$6030)</f>
        <v>13.0724181345791</v>
      </c>
      <c r="K6150" s="38" t="n">
        <f aca="false">(Sens!$D$6148*Sens!$K$6029+(1-ext_sh)*Sens!$K$6072)*(1-Sens!$K$6030)</f>
        <v>15.2201571183236</v>
      </c>
      <c r="L6150" s="38" t="n">
        <f aca="false">(Sens!$D$6148*Sens!$L$6029+(1-ext_sh)*Sens!$L$6072)*(1-Sens!$L$6030)</f>
        <v>17.2920551631732</v>
      </c>
      <c r="M6150" s="38" t="n">
        <f aca="false">(Sens!$D$6148*Sens!$M$6029+(1-ext_sh)*Sens!$M$6072)*(1-Sens!$M$6030)</f>
        <v>19.4425326336348</v>
      </c>
      <c r="N6150" s="38" t="n">
        <f aca="false">Q!$N$30</f>
        <v>2.316</v>
      </c>
      <c r="O6150" s="38" t="n">
        <f aca="false">Q!$O$30</f>
        <v>2.591</v>
      </c>
    </row>
    <row r="6151" customFormat="false" ht="17.15" hidden="false" customHeight="false" outlineLevel="0" collapsed="false">
      <c r="A6151" s="0" t="s">
        <v>501</v>
      </c>
      <c r="B6151" s="0" t="s">
        <v>73</v>
      </c>
      <c r="C6151" s="38" t="n">
        <f aca="false">Sens!$C$6084</f>
        <v>13.32</v>
      </c>
      <c r="D6151" s="38" t="n">
        <f aca="false">Sens!$D$6084</f>
        <v>21.45</v>
      </c>
      <c r="E6151" s="38" t="n">
        <f aca="false">Sens!$E$6084</f>
        <v>15.353</v>
      </c>
      <c r="F6151" s="38" t="n">
        <f aca="false">Sens!$F$6084</f>
        <v>17.3614451462707</v>
      </c>
      <c r="G6151" s="38" t="n">
        <f aca="false">Sens!$G$6084</f>
        <v>32.7144451462707</v>
      </c>
      <c r="H6151" s="38" t="n">
        <f aca="false">Sens!$H$6084</f>
        <v>56.1966092719415</v>
      </c>
      <c r="I6151" s="38" t="n">
        <f aca="false">Sens!$I$6084</f>
        <v>82.9744039068297</v>
      </c>
      <c r="J6151" s="38" t="n">
        <f aca="false">Sens!$J$6084</f>
        <v>109.943252237669</v>
      </c>
      <c r="K6151" s="38" t="n">
        <f aca="false">Sens!$K$6084</f>
        <v>136.406703436571</v>
      </c>
      <c r="L6151" s="38" t="n">
        <f aca="false">Sens!$L$6084</f>
        <v>161.485870454155</v>
      </c>
      <c r="M6151" s="38" t="n">
        <f aca="false">Sens!$M$6084</f>
        <v>187.389846618199</v>
      </c>
      <c r="N6151" s="38" t="n">
        <f aca="false">Sens!$N$6084</f>
        <v>9.234</v>
      </c>
      <c r="O6151" s="38" t="n">
        <f aca="false">Sens!$O$6084</f>
        <v>12.216</v>
      </c>
    </row>
    <row r="6152" customFormat="false" ht="17.15" hidden="false" customHeight="false" outlineLevel="0" collapsed="false">
      <c r="A6152" s="5" t="s">
        <v>695</v>
      </c>
      <c r="B6152" s="0" t="s">
        <v>73</v>
      </c>
      <c r="C6152" s="38" t="n">
        <f aca="false">Sens!$C$6149+Sens!$C$6150+Sens!$C$6151</f>
        <v>32.067</v>
      </c>
      <c r="D6152" s="38" t="n">
        <f aca="false">Sens!$D$6149+Sens!$D$6150+Sens!$D$6151</f>
        <v>41.86</v>
      </c>
      <c r="E6152" s="38" t="n">
        <f aca="false">Sens!$E$6149+Sens!$E$6150+Sens!$E$6151</f>
        <v>26.703</v>
      </c>
      <c r="F6152" s="38" t="n">
        <f aca="false">Sens!$F$6149+Sens!$F$6150+Sens!$F$6151</f>
        <v>30.6103857251209</v>
      </c>
      <c r="G6152" s="38" t="n">
        <f aca="false">Sens!$G$6149+Sens!$G$6150+Sens!$G$6151</f>
        <v>57.3133857251209</v>
      </c>
      <c r="H6152" s="38" t="n">
        <f aca="false">Sens!$H$6149+Sens!$H$6150+Sens!$H$6151</f>
        <v>87.6845218193838</v>
      </c>
      <c r="I6152" s="38" t="n">
        <f aca="false">Sens!$I$6149+Sens!$I$6150+Sens!$I$6151</f>
        <v>122.294769708638</v>
      </c>
      <c r="J6152" s="38" t="n">
        <f aca="false">Sens!$J$6149+Sens!$J$6150+Sens!$J$6151</f>
        <v>157.133962573221</v>
      </c>
      <c r="K6152" s="38" t="n">
        <f aca="false">Sens!$K$6149+Sens!$K$6150+Sens!$K$6151</f>
        <v>191.350633353599</v>
      </c>
      <c r="L6152" s="38" t="n">
        <f aca="false">Sens!$L$6149+Sens!$L$6150+Sens!$L$6151</f>
        <v>223.909238335354</v>
      </c>
      <c r="M6152" s="38" t="n">
        <f aca="false">Sens!$M$6149+Sens!$M$6150+Sens!$M$6151</f>
        <v>257.576319867276</v>
      </c>
      <c r="N6152" s="38" t="n">
        <f aca="false">Sens!$N$6149+Sens!$N$6150+Sens!$N$6151</f>
        <v>18.822</v>
      </c>
      <c r="O6152" s="38" t="n">
        <f aca="false">Sens!$O$6149+Sens!$O$6150+Sens!$O$6151</f>
        <v>23.038</v>
      </c>
    </row>
    <row r="6153" customFormat="false" ht="17.15" hidden="false" customHeight="false" outlineLevel="0" collapsed="false">
      <c r="A6153" s="0" t="s">
        <v>696</v>
      </c>
      <c r="B6153" s="0" t="s">
        <v>73</v>
      </c>
      <c r="C6153" s="38" t="n">
        <f aca="false">Sens!$C$6126+Sens!$C$6131</f>
        <v>28.107</v>
      </c>
      <c r="D6153" s="38" t="n">
        <f aca="false">Sens!$D$6126+Sens!$D$6131</f>
        <v>34.3175</v>
      </c>
      <c r="E6153" s="38" t="n">
        <f aca="false">Sens!$E$6126+Sens!$E$6131</f>
        <v>18.526</v>
      </c>
      <c r="F6153" s="38" t="n">
        <f aca="false">Sens!$F$6126+Sens!$F$6131</f>
        <v>24.0766690913691</v>
      </c>
      <c r="G6153" s="38" t="n">
        <f aca="false">Sens!$G$6126+Sens!$G$6131</f>
        <v>42.6026690913691</v>
      </c>
      <c r="H6153" s="38" t="n">
        <f aca="false">Sens!$H$6126+Sens!$H$6131</f>
        <v>51.1466809294702</v>
      </c>
      <c r="I6153" s="38" t="n">
        <f aca="false">Sens!$I$6126+Sens!$I$6131</f>
        <v>59.6899187926205</v>
      </c>
      <c r="J6153" s="38" t="n">
        <f aca="false">Sens!$J$6126+Sens!$J$6131</f>
        <v>67.6595395244221</v>
      </c>
      <c r="K6153" s="38" t="n">
        <f aca="false">Sens!$K$6126+Sens!$K$6131</f>
        <v>74.4254934768643</v>
      </c>
      <c r="L6153" s="38" t="n">
        <f aca="false">Sens!$L$6126+Sens!$L$6131</f>
        <v>81.8680428245508</v>
      </c>
      <c r="M6153" s="38" t="n">
        <f aca="false">Sens!$M$6126+Sens!$M$6131</f>
        <v>90.0548471070059</v>
      </c>
      <c r="N6153" s="38" t="n">
        <f aca="false">Sens!$N$6126+Sens!$N$6131</f>
        <v>14.8075</v>
      </c>
      <c r="O6153" s="38" t="n">
        <f aca="false">Sens!$O$6126+Sens!$O$6131</f>
        <v>19.51</v>
      </c>
    </row>
    <row r="6154" customFormat="false" ht="17.15" hidden="false" customHeight="false" outlineLevel="0" collapsed="false">
      <c r="A6154" s="0" t="s">
        <v>697</v>
      </c>
      <c r="B6154" s="0" t="s">
        <v>73</v>
      </c>
      <c r="C6154" s="38" t="n">
        <f aca="false">Sens!$C$6130+Sens!$C$6135+Sens!$C$6149+Sens!$C$6150-Sens!$C$6153</f>
        <v>19.399</v>
      </c>
      <c r="D6154" s="38" t="n">
        <f aca="false">Sens!$D$6130+Sens!$D$6135+Sens!$D$6149+Sens!$D$6150-Sens!$D$6153</f>
        <v>20.4615</v>
      </c>
      <c r="E6154" s="38" t="n">
        <f aca="false">Sens!$E$6130+Sens!$E$6135+Sens!$E$6149+Sens!$E$6150-Sens!$E$6153</f>
        <v>13.355</v>
      </c>
      <c r="F6154" s="38" t="n">
        <f aca="false">Sens!$F$6130+Sens!$F$6135+Sens!$F$6149+Sens!$F$6150-Sens!$F$6153</f>
        <v>13.0895111975985</v>
      </c>
      <c r="G6154" s="38" t="n">
        <f aca="false">Sens!$G$6130+Sens!$G$6135+Sens!$G$6149+Sens!$G$6150-Sens!$G$6153</f>
        <v>26.4445111975985</v>
      </c>
      <c r="H6154" s="38" t="n">
        <f aca="false">Sens!$H$6130+Sens!$H$6135+Sens!$H$6149+Sens!$H$6150-Sens!$H$6153</f>
        <v>28.8977096937968</v>
      </c>
      <c r="I6154" s="38" t="n">
        <f aca="false">Sens!$I$6130+Sens!$I$6135+Sens!$I$6149+Sens!$I$6150-Sens!$I$6153</f>
        <v>31.2062039064791</v>
      </c>
      <c r="J6154" s="38" t="n">
        <f aca="false">Sens!$J$6130+Sens!$J$6135+Sens!$J$6149+Sens!$J$6150-Sens!$J$6153</f>
        <v>33.5064572496913</v>
      </c>
      <c r="K6154" s="38" t="n">
        <f aca="false">Sens!$K$6130+Sens!$K$6135+Sens!$K$6149+Sens!$K$6150-Sens!$K$6153</f>
        <v>35.6591461575899</v>
      </c>
      <c r="L6154" s="38" t="n">
        <f aca="false">Sens!$L$6130+Sens!$L$6135+Sens!$L$6149+Sens!$L$6150-Sens!$L$6153</f>
        <v>36.4141007090604</v>
      </c>
      <c r="M6154" s="38" t="n">
        <f aca="false">Sens!$M$6130+Sens!$M$6135+Sens!$M$6149+Sens!$M$6150-Sens!$M$6153</f>
        <v>37.359984207839</v>
      </c>
      <c r="N6154" s="38" t="n">
        <f aca="false">Sens!$N$6130+Sens!$N$6135+Sens!$N$6149+Sens!$N$6150-Sens!$N$6153</f>
        <v>10.6495</v>
      </c>
      <c r="O6154" s="38" t="n">
        <f aca="false">Sens!$O$6130+Sens!$O$6135+Sens!$O$6149+Sens!$O$6150-Sens!$O$6153</f>
        <v>9.81200000000001</v>
      </c>
    </row>
    <row r="6155" customFormat="false" ht="17.15" hidden="false" customHeight="false" outlineLevel="0" collapsed="false">
      <c r="A6155" s="0" t="s">
        <v>698</v>
      </c>
      <c r="B6155" s="0" t="s">
        <v>73</v>
      </c>
      <c r="C6155" s="38" t="n">
        <f aca="false">Sens!$C$6137+Sens!$C$6151-ext_sh*Sens!$C$6072</f>
        <v>51.3470500115664</v>
      </c>
      <c r="D6155" s="38" t="n">
        <f aca="false">Sens!$D$6137+Sens!$D$6151-ext_sh*Sens!$D$6072</f>
        <v>60.2799375433739</v>
      </c>
      <c r="E6155" s="38" t="n">
        <f aca="false">Sens!$E$6137+Sens!$E$6151-ext_sh*Sens!$E$6072</f>
        <v>39.5095167090767</v>
      </c>
      <c r="F6155" s="38" t="n">
        <f aca="false">Sens!$F$6137+Sens!$F$6151-ext_sh*Sens!$F$6072</f>
        <v>41.606724953129</v>
      </c>
      <c r="G6155" s="38" t="n">
        <f aca="false">Sens!$G$6137+Sens!$G$6151-ext_sh*Sens!$G$6072</f>
        <v>81.1162416622057</v>
      </c>
      <c r="H6155" s="38" t="n">
        <f aca="false">Sens!$H$6137+Sens!$H$6151-ext_sh*Sens!$H$6072</f>
        <v>95.7616595325849</v>
      </c>
      <c r="I6155" s="38" t="n">
        <f aca="false">Sens!$I$6137+Sens!$I$6151-ext_sh*Sens!$I$6072</f>
        <v>111.513312079935</v>
      </c>
      <c r="J6155" s="38" t="n">
        <f aca="false">Sens!$J$6137+Sens!$J$6151-ext_sh*Sens!$J$6072</f>
        <v>125.145150463955</v>
      </c>
      <c r="K6155" s="38" t="n">
        <f aca="false">Sens!$K$6137+Sens!$K$6151-ext_sh*Sens!$K$6072</f>
        <v>135.156762501071</v>
      </c>
      <c r="L6155" s="38" t="n">
        <f aca="false">Sens!$L$6137+Sens!$L$6151-ext_sh*Sens!$L$6072</f>
        <v>145.969303501157</v>
      </c>
      <c r="M6155" s="38" t="n">
        <f aca="false">Sens!$M$6137+Sens!$M$6151-ext_sh*Sens!$M$6072</f>
        <v>157.646847781249</v>
      </c>
      <c r="N6155" s="38" t="n">
        <f aca="false">Sens!$N$6137+Sens!$N$6151-ext_sh*Sens!$N$6072</f>
        <v>28.5693781401809</v>
      </c>
      <c r="O6155" s="38" t="n">
        <f aca="false">Sens!$O$6137+Sens!$O$6151-ext_sh*Sens!$O$6072</f>
        <v>31.7105594031931</v>
      </c>
    </row>
    <row r="6156" customFormat="false" ht="17.15" hidden="false" customHeight="false" outlineLevel="0" collapsed="false">
      <c r="A6156" s="0" t="s">
        <v>699</v>
      </c>
      <c r="B6156" s="0" t="s">
        <v>73</v>
      </c>
      <c r="C6156" s="38" t="n">
        <f aca="false">Sens!$C$6075</f>
        <v>1.80694998843362</v>
      </c>
      <c r="D6156" s="38" t="n">
        <f aca="false">Sens!$D$6075</f>
        <v>6.77606245662607</v>
      </c>
      <c r="E6156" s="38" t="n">
        <f aca="false">Sens!$E$6075</f>
        <v>6.62548329092326</v>
      </c>
      <c r="F6156" s="38" t="n">
        <f aca="false">Sens!$F$6075</f>
        <v>11.7200577158706</v>
      </c>
      <c r="G6156" s="38" t="n">
        <f aca="false">Sens!$G$6075</f>
        <v>18.3455410067939</v>
      </c>
      <c r="H6156" s="38" t="n">
        <f aca="false">Sens!$H$6075</f>
        <v>47.5171727060453</v>
      </c>
      <c r="I6156" s="38" t="n">
        <f aca="false">Sens!$I$6075</f>
        <v>80.5539692643667</v>
      </c>
      <c r="J6156" s="38" t="n">
        <f aca="false">Sens!$J$6075</f>
        <v>113.759316834883</v>
      </c>
      <c r="K6156" s="38" t="n">
        <f aca="false">Sens!$K$6075</f>
        <v>147.020848076132</v>
      </c>
      <c r="L6156" s="38" t="n">
        <f aca="false">Sens!$L$6075</f>
        <v>180.307917349531</v>
      </c>
      <c r="M6156" s="38" t="n">
        <f aca="false">Sens!$M$6075</f>
        <v>213.608737871012</v>
      </c>
      <c r="N6156" s="38" t="n">
        <f aca="false">Sens!$N$6075</f>
        <v>2.37162185981912</v>
      </c>
      <c r="O6156" s="38" t="n">
        <f aca="false">Sens!$O$6075</f>
        <v>4.40444059680694</v>
      </c>
    </row>
    <row r="6157" customFormat="false" ht="17.15" hidden="false" customHeight="false" outlineLevel="0" collapsed="false">
      <c r="A6157" s="0" t="s">
        <v>700</v>
      </c>
      <c r="B6157" s="0" t="s">
        <v>73</v>
      </c>
      <c r="C6157" s="38" t="n">
        <f aca="false">Sens!$C$6140+Sens!$C$6152</f>
        <v>100.66</v>
      </c>
      <c r="D6157" s="38" t="n">
        <f aca="false">Sens!$D$6140+Sens!$D$6152</f>
        <v>121.835</v>
      </c>
      <c r="E6157" s="38" t="n">
        <f aca="false">Sens!$E$6140+Sens!$E$6152</f>
        <v>78.016</v>
      </c>
      <c r="F6157" s="38" t="n">
        <f aca="false">Sens!$F$6140+Sens!$F$6152</f>
        <v>90.4929629579672</v>
      </c>
      <c r="G6157" s="38" t="n">
        <f aca="false">Sens!$G$6140+Sens!$G$6152</f>
        <v>168.508962957967</v>
      </c>
      <c r="H6157" s="38" t="n">
        <f aca="false">Sens!$H$6140+Sens!$H$6152</f>
        <v>223.323222861897</v>
      </c>
      <c r="I6157" s="38" t="n">
        <f aca="false">Sens!$I$6140+Sens!$I$6152</f>
        <v>282.963404043402</v>
      </c>
      <c r="J6157" s="38" t="n">
        <f aca="false">Sens!$J$6140+Sens!$J$6152</f>
        <v>340.070464072952</v>
      </c>
      <c r="K6157" s="38" t="n">
        <f aca="false">Sens!$K$6140+Sens!$K$6152</f>
        <v>392.262250211657</v>
      </c>
      <c r="L6157" s="38" t="n">
        <f aca="false">Sens!$L$6140+Sens!$L$6152</f>
        <v>444.559364384299</v>
      </c>
      <c r="M6157" s="38" t="n">
        <f aca="false">Sens!$M$6140+Sens!$M$6152</f>
        <v>498.670416967106</v>
      </c>
      <c r="N6157" s="38" t="n">
        <f aca="false">Sens!$N$6140+Sens!$N$6152</f>
        <v>56.398</v>
      </c>
      <c r="O6157" s="38" t="n">
        <f aca="false">Sens!$O$6140+Sens!$O$6152</f>
        <v>65.437</v>
      </c>
    </row>
    <row r="6158" customFormat="false" ht="17.15" hidden="false" customHeight="false" outlineLevel="0" collapsed="false">
      <c r="A6158" s="1" t="s">
        <v>701</v>
      </c>
    </row>
    <row r="6159" customFormat="false" ht="15" hidden="false" customHeight="false" outlineLevel="0" collapsed="false">
      <c r="A6159" s="5" t="s">
        <v>504</v>
      </c>
      <c r="B6159" s="0" t="s">
        <v>73</v>
      </c>
      <c r="C6159" s="38" t="n">
        <f aca="false">Q!$D$34</f>
        <v>2.406</v>
      </c>
      <c r="D6159" s="38" t="n">
        <f aca="false">Q!$E$34</f>
        <v>2.274</v>
      </c>
      <c r="E6159" s="38" t="n">
        <f aca="false">Q!$P$34</f>
        <v>2.114</v>
      </c>
      <c r="F6159" s="38" t="n">
        <f aca="false">Sens!$F$6195</f>
        <v>3.24888964316061</v>
      </c>
      <c r="G6159" s="38" t="n">
        <f aca="false">Sens!$E$6159+Sens!$F$6159</f>
        <v>5.36288964316061</v>
      </c>
      <c r="H6159" s="38" t="n">
        <f aca="false">Sens!$H$6195</f>
        <v>7.42354178632123</v>
      </c>
      <c r="I6159" s="38" t="n">
        <f aca="false">Sens!$I$6195</f>
        <v>7.51827597635917</v>
      </c>
      <c r="J6159" s="38" t="n">
        <f aca="false">Sens!$J$6195</f>
        <v>7.76994062068418</v>
      </c>
      <c r="K6159" s="38" t="n">
        <f aca="false">Sens!$K$6195</f>
        <v>7.76994062068418</v>
      </c>
      <c r="L6159" s="38" t="n">
        <f aca="false">Sens!$L$6195</f>
        <v>7.76994062068418</v>
      </c>
      <c r="M6159" s="38" t="n">
        <f aca="false">Sens!$M$6195</f>
        <v>7.76994062068418</v>
      </c>
      <c r="N6159" s="38" t="n">
        <f aca="false">Q!$N$34</f>
        <v>1.057</v>
      </c>
      <c r="O6159" s="38" t="n">
        <f aca="false">Q!$O$34</f>
        <v>1.217</v>
      </c>
    </row>
    <row r="6160" customFormat="false" ht="15" hidden="false" customHeight="false" outlineLevel="0" collapsed="false">
      <c r="A6160" s="5" t="s">
        <v>702</v>
      </c>
      <c r="B6160" s="0" t="s">
        <v>73</v>
      </c>
      <c r="F6160" s="38" t="n">
        <f aca="false">Sens!$F$6196</f>
        <v>2.59</v>
      </c>
      <c r="H6160" s="38" t="n">
        <f aca="false">Sens!$H$6196</f>
        <v>4.00971603121774</v>
      </c>
      <c r="I6160" s="38" t="n">
        <f aca="false">Sens!$I$6196</f>
        <v>2.10589651022864</v>
      </c>
      <c r="J6160" s="38" t="n">
        <f aca="false">Sens!$J$6196</f>
        <v>2.10589651022864</v>
      </c>
      <c r="K6160" s="38" t="n">
        <f aca="false">Sens!$K$6196</f>
        <v>3.77985822695893</v>
      </c>
      <c r="L6160" s="38" t="n">
        <f aca="false">Sens!$L$6196</f>
        <v>7.24081936505971</v>
      </c>
      <c r="M6160" s="38" t="n">
        <f aca="false">Sens!$M$6196</f>
        <v>11.205150593419</v>
      </c>
    </row>
    <row r="6161" customFormat="false" ht="17.15" hidden="false" customHeight="false" outlineLevel="0" collapsed="false">
      <c r="A6161" s="5" t="s">
        <v>703</v>
      </c>
      <c r="B6161" s="0" t="s">
        <v>73</v>
      </c>
      <c r="C6161" s="38" t="n">
        <f aca="false">Q!$D$39</f>
        <v>2.427</v>
      </c>
      <c r="D6161" s="38" t="n">
        <f aca="false">Q!$E$39</f>
        <v>19.61</v>
      </c>
      <c r="E6161" s="38" t="n">
        <f aca="false">Q!$P$39</f>
        <v>71.492</v>
      </c>
      <c r="F6161" s="41" t="n">
        <v>0</v>
      </c>
      <c r="G6161" s="38" t="n">
        <f aca="false">Sens!$E$6161+Sens!$F$6161</f>
        <v>71.492</v>
      </c>
      <c r="H6161" s="41" t="n">
        <v>0</v>
      </c>
      <c r="I6161" s="41" t="n">
        <v>0</v>
      </c>
      <c r="J6161" s="41" t="n">
        <v>0</v>
      </c>
      <c r="K6161" s="41" t="n">
        <v>0</v>
      </c>
      <c r="L6161" s="41" t="n">
        <v>0</v>
      </c>
      <c r="M6161" s="41" t="n">
        <v>0</v>
      </c>
      <c r="N6161" s="38" t="n">
        <f aca="false">Q!$N$39</f>
        <v>6.017</v>
      </c>
      <c r="O6161" s="38" t="n">
        <f aca="false">Q!$O$39</f>
        <v>13.593</v>
      </c>
      <c r="P6161" s="5" t="s">
        <v>704</v>
      </c>
    </row>
    <row r="6162" customFormat="false" ht="15" hidden="false" customHeight="false" outlineLevel="0" collapsed="false">
      <c r="A6162" s="5" t="s">
        <v>507</v>
      </c>
      <c r="B6162" s="0" t="s">
        <v>73</v>
      </c>
      <c r="C6162" s="38" t="n">
        <f aca="false">Q!$D$36</f>
        <v>68.614</v>
      </c>
      <c r="D6162" s="38" t="n">
        <f aca="false">Q!$E$36</f>
        <v>97.311</v>
      </c>
      <c r="E6162" s="38" t="n">
        <f aca="false">Q!$P$36</f>
        <v>120.691</v>
      </c>
      <c r="F6162" s="38" t="n">
        <f aca="false">Sens!$F$6140-Sens!$F$6159+Sens!$F$6160+Sens!$F$6161</f>
        <v>59.2236875896856</v>
      </c>
      <c r="G6162" s="38" t="n">
        <f aca="false">Sens!$E$6162+Sens!$F$6162</f>
        <v>179.914687589686</v>
      </c>
      <c r="H6162" s="38" t="n">
        <f aca="false">Sens!$H$6140-Sens!$H$6159+Sens!$H$6160+Sens!$H$6161</f>
        <v>132.22487528741</v>
      </c>
      <c r="I6162" s="38" t="n">
        <f aca="false">Sens!$I$6140-Sens!$I$6159+Sens!$I$6160+Sens!$I$6161</f>
        <v>155.256254868633</v>
      </c>
      <c r="J6162" s="38" t="n">
        <f aca="false">Sens!$J$6140-Sens!$J$6159+Sens!$J$6160+Sens!$J$6161</f>
        <v>177.272457389275</v>
      </c>
      <c r="K6162" s="38" t="n">
        <f aca="false">Sens!$K$6140-Sens!$K$6159+Sens!$K$6160+Sens!$K$6161</f>
        <v>196.921534464333</v>
      </c>
      <c r="L6162" s="38" t="n">
        <f aca="false">Sens!$L$6140-Sens!$L$6159+Sens!$L$6160+Sens!$L$6161</f>
        <v>220.12100479332</v>
      </c>
      <c r="M6162" s="38" t="n">
        <f aca="false">Sens!$M$6140-Sens!$M$6159+Sens!$M$6160+Sens!$M$6161</f>
        <v>244.529307072564</v>
      </c>
      <c r="N6162" s="38" t="n">
        <f aca="false">Q!$N$36</f>
        <v>42.536</v>
      </c>
      <c r="O6162" s="38" t="n">
        <f aca="false">Q!$O$36</f>
        <v>54.775</v>
      </c>
    </row>
    <row r="6163" customFormat="false" ht="15" hidden="false" customHeight="false" outlineLevel="0" collapsed="false">
      <c r="A6163" s="5" t="s">
        <v>508</v>
      </c>
      <c r="B6163" s="0" t="s">
        <v>73</v>
      </c>
      <c r="C6163" s="38" t="n">
        <f aca="false">Q!$D$37</f>
        <v>9.265</v>
      </c>
      <c r="D6163" s="38" t="n">
        <f aca="false">Q!$E$37</f>
        <v>19.087</v>
      </c>
      <c r="E6163" s="38" t="n">
        <f aca="false">Q!$P$37</f>
        <v>27.759</v>
      </c>
      <c r="F6163" s="38" t="n">
        <f aca="false">Sens!$F$6162*tax</f>
        <v>10.2803157750071</v>
      </c>
      <c r="G6163" s="38" t="n">
        <f aca="false">Sens!$E$6163+Sens!$F$6163</f>
        <v>38.0393157750071</v>
      </c>
      <c r="H6163" s="38" t="n">
        <f aca="false">Sens!$H$6162*tax</f>
        <v>22.9521923842892</v>
      </c>
      <c r="I6163" s="38" t="n">
        <f aca="false">Sens!$I$6162*tax</f>
        <v>26.9500835063251</v>
      </c>
      <c r="J6163" s="38" t="n">
        <f aca="false">Sens!$J$6162*tax</f>
        <v>30.7717555988633</v>
      </c>
      <c r="K6163" s="38" t="n">
        <f aca="false">Sens!$K$6162*tax</f>
        <v>34.1825313414772</v>
      </c>
      <c r="L6163" s="38" t="n">
        <f aca="false">Sens!$L$6162*tax</f>
        <v>38.209600416393</v>
      </c>
      <c r="M6163" s="38" t="n">
        <f aca="false">Sens!$M$6162*tax</f>
        <v>42.4465040131586</v>
      </c>
      <c r="N6163" s="38" t="n">
        <f aca="false">Q!$N$37</f>
        <v>7.231</v>
      </c>
      <c r="O6163" s="38" t="n">
        <f aca="false">Q!$O$37</f>
        <v>11.856</v>
      </c>
    </row>
    <row r="6164" customFormat="false" ht="15" hidden="false" customHeight="false" outlineLevel="0" collapsed="false">
      <c r="A6164" s="3" t="s">
        <v>509</v>
      </c>
      <c r="B6164" s="8" t="s">
        <v>73</v>
      </c>
      <c r="C6164" s="38" t="n">
        <f aca="false">Q!$D$38</f>
        <v>59.248</v>
      </c>
      <c r="D6164" s="38" t="n">
        <f aca="false">Q!$E$38</f>
        <v>77.67</v>
      </c>
      <c r="E6164" s="38" t="n">
        <f aca="false">Q!$P$38</f>
        <v>92.902</v>
      </c>
      <c r="F6164" s="38" t="n">
        <f aca="false">Sens!$F$6162-Sens!$F$6163</f>
        <v>48.9433718146785</v>
      </c>
      <c r="G6164" s="38" t="n">
        <f aca="false">Sens!$E$6164+Sens!$F$6164</f>
        <v>141.845371814679</v>
      </c>
      <c r="H6164" s="38" t="n">
        <f aca="false">Sens!$H$6162-Sens!$H$6163</f>
        <v>109.272682903121</v>
      </c>
      <c r="I6164" s="38" t="n">
        <f aca="false">Sens!$I$6162-Sens!$I$6163</f>
        <v>128.306171362308</v>
      </c>
      <c r="J6164" s="38" t="n">
        <f aca="false">Sens!$J$6162-Sens!$J$6163</f>
        <v>146.500701790412</v>
      </c>
      <c r="K6164" s="38" t="n">
        <f aca="false">Sens!$K$6162-Sens!$K$6163</f>
        <v>162.739003122855</v>
      </c>
      <c r="L6164" s="38" t="n">
        <f aca="false">Sens!$L$6162-Sens!$L$6163</f>
        <v>181.911404376927</v>
      </c>
      <c r="M6164" s="38" t="n">
        <f aca="false">Sens!$M$6162-Sens!$M$6163</f>
        <v>202.082803059406</v>
      </c>
      <c r="N6164" s="38" t="n">
        <f aca="false">Q!$N$38</f>
        <v>35.291</v>
      </c>
      <c r="O6164" s="38" t="n">
        <f aca="false">Q!$O$38</f>
        <v>42.379</v>
      </c>
    </row>
    <row r="6165" customFormat="false" ht="17.15" hidden="false" customHeight="false" outlineLevel="0" collapsed="false">
      <c r="A6165" s="5" t="s">
        <v>512</v>
      </c>
      <c r="B6165" s="5" t="s">
        <v>33</v>
      </c>
      <c r="C6165" s="22" t="n">
        <f aca="false">Q!$D$41</f>
        <v>10.721</v>
      </c>
      <c r="D6165" s="22" t="n">
        <f aca="false">Q!$E$41</f>
        <v>10.827</v>
      </c>
      <c r="E6165" s="22" t="n">
        <f aca="false">(Q!$L$41+Q!$M$41)/2</f>
        <v>10.8885</v>
      </c>
      <c r="F6165" s="22" t="n">
        <f aca="false">Sens!$G$6165</f>
        <v>10.924806</v>
      </c>
      <c r="G6165" s="22" t="n">
        <f aca="false">Q!$M$41*(1+sh_g*0.25)</f>
        <v>10.924806</v>
      </c>
      <c r="H6165" s="22" t="n">
        <f aca="false">Sens!$G$6165*(1+sh_g)</f>
        <v>11.012204448</v>
      </c>
      <c r="I6165" s="22" t="n">
        <f aca="false">Sens!$H$6165*(1+sh_g)</f>
        <v>11.100302083584</v>
      </c>
      <c r="J6165" s="22" t="n">
        <f aca="false">Sens!$I$6165*(1+sh_g)</f>
        <v>11.1891045002527</v>
      </c>
      <c r="K6165" s="22" t="n">
        <f aca="false">Sens!$J$6165*(1+sh_g)</f>
        <v>11.2786173362547</v>
      </c>
      <c r="L6165" s="22" t="n">
        <f aca="false">Sens!$K$6165*(1+sh_g)</f>
        <v>11.3688462749447</v>
      </c>
      <c r="M6165" s="22" t="n">
        <f aca="false">Sens!$L$6165*(1+sh_g)</f>
        <v>11.4597970451443</v>
      </c>
      <c r="P6165" s="5" t="s">
        <v>705</v>
      </c>
    </row>
    <row r="6166" customFormat="false" ht="17.15" hidden="false" customHeight="false" outlineLevel="0" collapsed="false">
      <c r="A6166" s="42" t="s">
        <v>706</v>
      </c>
      <c r="B6166" s="13" t="s">
        <v>27</v>
      </c>
      <c r="C6166" s="43" t="n">
        <f aca="false">Sens!$C$6164/Sens!$C$6165</f>
        <v>5.52635015390355</v>
      </c>
      <c r="D6166" s="43" t="n">
        <f aca="false">Sens!$D$6164/Sens!$D$6165</f>
        <v>7.1737323358271</v>
      </c>
      <c r="E6166" s="43" t="n">
        <f aca="false">Sens!$E$6164/Sens!$E$6165</f>
        <v>8.53212104513937</v>
      </c>
      <c r="F6166" s="13"/>
      <c r="G6166" s="43" t="n">
        <f aca="false">Sens!$G$6164/Sens!$G$6165</f>
        <v>12.9837886196495</v>
      </c>
      <c r="H6166" s="43" t="n">
        <f aca="false">Sens!$H$6164/Sens!$H$6165</f>
        <v>9.92287088558062</v>
      </c>
      <c r="I6166" s="43" t="n">
        <f aca="false">Sens!$I$6164/Sens!$I$6165</f>
        <v>11.5587999674403</v>
      </c>
      <c r="J6166" s="43" t="n">
        <f aca="false">Sens!$J$6164/Sens!$J$6165</f>
        <v>13.0931569892035</v>
      </c>
      <c r="K6166" s="43" t="n">
        <f aca="false">Sens!$K$6164/Sens!$K$6165</f>
        <v>14.4289852444711</v>
      </c>
      <c r="L6166" s="43" t="n">
        <f aca="false">Sens!$L$6164/Sens!$L$6165</f>
        <v>16.0008676322621</v>
      </c>
      <c r="M6166" s="43" t="n">
        <f aca="false">Sens!$M$6164/Sens!$M$6165</f>
        <v>17.6340647450673</v>
      </c>
      <c r="N6166" s="13"/>
      <c r="O6166" s="13"/>
    </row>
    <row r="6167" customFormat="false" ht="17.15" hidden="false" customHeight="false" outlineLevel="0" collapsed="false">
      <c r="A6167" s="0" t="s">
        <v>707</v>
      </c>
      <c r="B6167" s="0" t="s">
        <v>27</v>
      </c>
      <c r="C6167" s="30" t="n">
        <f aca="false">(Sens!$C$6164-Sens!$C$6161*(1-tax))/Sens!$C$6165</f>
        <v>5.33926775917445</v>
      </c>
      <c r="D6167" s="30" t="n">
        <f aca="false">(Sens!$D$6164-Sens!$D$6161*(1-tax))/Sens!$D$6165</f>
        <v>5.67691812755503</v>
      </c>
      <c r="E6167" s="30" t="n">
        <f aca="false">(Sens!$E$6164-Sens!$E$6161*(1-tax))/Sens!$E$6165</f>
        <v>3.10602057006846</v>
      </c>
      <c r="G6167" s="30" t="n">
        <f aca="false">(Sens!$G$6164-Sens!$G$6161*(1-tax))/Sens!$G$6165</f>
        <v>7.57572050175252</v>
      </c>
      <c r="H6167" s="30" t="n">
        <f aca="false">(Sens!$H$6164-Sens!$H$6161*(1-tax))/Sens!$H$6165</f>
        <v>9.92287088558062</v>
      </c>
      <c r="I6167" s="30" t="n">
        <f aca="false">(Sens!$I$6164-Sens!$I$6161*(1-tax))/Sens!$I$6165</f>
        <v>11.5587999674403</v>
      </c>
      <c r="J6167" s="30" t="n">
        <f aca="false">(Sens!$J$6164-Sens!$J$6161*(1-tax))/Sens!$J$6165</f>
        <v>13.0931569892035</v>
      </c>
      <c r="K6167" s="30" t="n">
        <f aca="false">(Sens!$K$6164-Sens!$K$6161*(1-tax))/Sens!$K$6165</f>
        <v>14.4289852444711</v>
      </c>
      <c r="L6167" s="30" t="n">
        <f aca="false">(Sens!$L$6164-Sens!$L$6161*(1-tax))/Sens!$L$6165</f>
        <v>16.0008676322621</v>
      </c>
      <c r="M6167" s="30" t="n">
        <f aca="false">(Sens!$M$6164-Sens!$M$6161*(1-tax))/Sens!$M$6165</f>
        <v>17.6340647450673</v>
      </c>
      <c r="P6167" s="5" t="s">
        <v>708</v>
      </c>
    </row>
    <row r="6168" customFormat="false" ht="17.15" hidden="false" customHeight="false" outlineLevel="0" collapsed="false">
      <c r="A6168" s="0" t="s">
        <v>709</v>
      </c>
      <c r="B6168" s="0" t="s">
        <v>52</v>
      </c>
      <c r="H6168" s="12" t="n">
        <f aca="false">Sens!$H$6166/Sens!$G$6166-1</f>
        <v>-0.23574919645846</v>
      </c>
      <c r="I6168" s="12" t="n">
        <f aca="false">Sens!$I$6166/Sens!$H$6166-1</f>
        <v>0.164864493423664</v>
      </c>
      <c r="J6168" s="12" t="n">
        <f aca="false">Sens!$J$6166/Sens!$I$6166-1</f>
        <v>0.132743626162345</v>
      </c>
      <c r="K6168" s="12" t="n">
        <f aca="false">Sens!$K$6166/Sens!$J$6166-1</f>
        <v>0.102024917013454</v>
      </c>
      <c r="L6168" s="12" t="n">
        <f aca="false">Sens!$L$6166/Sens!$K$6166-1</f>
        <v>0.108939219297719</v>
      </c>
      <c r="M6168" s="12" t="n">
        <f aca="false">Sens!$M$6166/Sens!$L$6166-1</f>
        <v>0.102069284637555</v>
      </c>
    </row>
    <row r="6171" customFormat="false" ht="19.4" hidden="false" customHeight="false" outlineLevel="0" collapsed="false">
      <c r="A6171" s="31" t="s">
        <v>1178</v>
      </c>
    </row>
    <row r="6172" customFormat="false" ht="17.15" hidden="false" customHeight="false" outlineLevel="0" collapsed="false">
      <c r="A6172" s="6" t="s">
        <v>16</v>
      </c>
      <c r="B6172" s="6" t="s">
        <v>17</v>
      </c>
      <c r="C6172" s="20" t="s">
        <v>457</v>
      </c>
      <c r="D6172" s="20" t="s">
        <v>458</v>
      </c>
      <c r="E6172" s="20" t="s">
        <v>540</v>
      </c>
      <c r="F6172" s="20" t="s">
        <v>541</v>
      </c>
      <c r="G6172" s="20" t="s">
        <v>542</v>
      </c>
      <c r="H6172" s="20" t="s">
        <v>543</v>
      </c>
      <c r="I6172" s="20" t="s">
        <v>544</v>
      </c>
      <c r="J6172" s="20" t="s">
        <v>545</v>
      </c>
      <c r="K6172" s="20" t="s">
        <v>546</v>
      </c>
      <c r="L6172" s="20" t="s">
        <v>547</v>
      </c>
      <c r="M6172" s="20" t="s">
        <v>548</v>
      </c>
      <c r="N6172" s="20" t="s">
        <v>549</v>
      </c>
      <c r="O6172" s="20" t="s">
        <v>550</v>
      </c>
      <c r="P6172" s="6" t="s">
        <v>23</v>
      </c>
      <c r="R6172" s="20" t="n">
        <v>2023</v>
      </c>
      <c r="S6172" s="20" t="n">
        <v>2024</v>
      </c>
      <c r="T6172" s="20" t="n">
        <v>2025</v>
      </c>
      <c r="U6172" s="20" t="n">
        <v>2026</v>
      </c>
      <c r="V6172" s="20" t="n">
        <v>2027</v>
      </c>
      <c r="W6172" s="20" t="n">
        <v>2028</v>
      </c>
      <c r="X6172" s="20" t="n">
        <v>2029</v>
      </c>
      <c r="Y6172" s="20" t="n">
        <v>2030</v>
      </c>
      <c r="Z6172" s="20" t="n">
        <v>2031</v>
      </c>
      <c r="AA6172" s="20" t="n">
        <v>2032</v>
      </c>
    </row>
    <row r="6173" customFormat="false" ht="15" hidden="false" customHeight="false" outlineLevel="0" collapsed="false">
      <c r="A6173" s="5" t="s">
        <v>509</v>
      </c>
      <c r="B6173" s="0" t="s">
        <v>73</v>
      </c>
      <c r="C6173" s="38" t="n">
        <f aca="false">Sens!$C$6164</f>
        <v>59.248</v>
      </c>
      <c r="D6173" s="38" t="n">
        <f aca="false">Sens!$D$6164</f>
        <v>77.67</v>
      </c>
      <c r="E6173" s="38" t="n">
        <f aca="false">Sens!$E$6164</f>
        <v>92.902</v>
      </c>
      <c r="F6173" s="38" t="n">
        <f aca="false">Sens!$F$6164</f>
        <v>48.9433718146785</v>
      </c>
      <c r="G6173" s="38" t="n">
        <f aca="false">Sens!$G$6164</f>
        <v>141.845371814679</v>
      </c>
      <c r="H6173" s="38" t="n">
        <f aca="false">Sens!$H$6164</f>
        <v>109.272682903121</v>
      </c>
      <c r="I6173" s="38" t="n">
        <f aca="false">Sens!$I$6164</f>
        <v>128.306171362308</v>
      </c>
      <c r="J6173" s="38" t="n">
        <f aca="false">Sens!$J$6164</f>
        <v>146.500701790412</v>
      </c>
      <c r="K6173" s="38" t="n">
        <f aca="false">Sens!$K$6164</f>
        <v>162.739003122855</v>
      </c>
      <c r="L6173" s="38" t="n">
        <f aca="false">Sens!$L$6164</f>
        <v>181.911404376927</v>
      </c>
      <c r="M6173" s="38" t="n">
        <f aca="false">Sens!$M$6164</f>
        <v>202.082803059406</v>
      </c>
    </row>
    <row r="6174" customFormat="false" ht="17.15" hidden="false" customHeight="false" outlineLevel="0" collapsed="false">
      <c r="A6174" s="5" t="s">
        <v>731</v>
      </c>
      <c r="B6174" s="0" t="s">
        <v>73</v>
      </c>
      <c r="C6174" s="38" t="n">
        <f aca="false">Sens!$C$6152</f>
        <v>32.067</v>
      </c>
      <c r="D6174" s="38" t="n">
        <f aca="false">Sens!$D$6152</f>
        <v>41.86</v>
      </c>
      <c r="E6174" s="38" t="n">
        <f aca="false">Sens!$E$6152</f>
        <v>26.703</v>
      </c>
      <c r="F6174" s="38" t="n">
        <f aca="false">Sens!$F$6152</f>
        <v>30.6103857251209</v>
      </c>
      <c r="G6174" s="38" t="n">
        <f aca="false">Sens!$G$6152</f>
        <v>57.3133857251209</v>
      </c>
      <c r="H6174" s="38" t="n">
        <f aca="false">Sens!$H$6152</f>
        <v>87.6845218193838</v>
      </c>
      <c r="I6174" s="38" t="n">
        <f aca="false">Sens!$I$6152</f>
        <v>122.294769708638</v>
      </c>
      <c r="J6174" s="38" t="n">
        <f aca="false">Sens!$J$6152</f>
        <v>157.133962573221</v>
      </c>
      <c r="K6174" s="38" t="n">
        <f aca="false">Sens!$K$6152</f>
        <v>191.350633353599</v>
      </c>
      <c r="L6174" s="38" t="n">
        <f aca="false">Sens!$L$6152</f>
        <v>223.909238335354</v>
      </c>
      <c r="M6174" s="38" t="n">
        <f aca="false">Sens!$M$6152</f>
        <v>257.576319867276</v>
      </c>
    </row>
    <row r="6175" customFormat="false" ht="15" hidden="false" customHeight="false" outlineLevel="0" collapsed="false">
      <c r="A6175" s="5" t="s">
        <v>732</v>
      </c>
      <c r="B6175" s="0" t="s">
        <v>73</v>
      </c>
      <c r="C6175" s="38" t="n">
        <f aca="false">Q!$D$48</f>
        <v>22.011</v>
      </c>
      <c r="D6175" s="38" t="n">
        <f aca="false">Q!$E$48</f>
        <v>19.467</v>
      </c>
      <c r="E6175" s="38" t="n">
        <f aca="false">Q!$P$48</f>
        <v>10.07</v>
      </c>
      <c r="F6175" s="38" t="n">
        <f aca="false">sbc_r*Sens!$F$6096</f>
        <v>11.2170714500462</v>
      </c>
      <c r="G6175" s="38" t="n">
        <f aca="false">Sens!$E$6175+Sens!$F$6175</f>
        <v>21.2870714500462</v>
      </c>
      <c r="H6175" s="38" t="n">
        <f aca="false">sbc_r*Sens!$H$6096</f>
        <v>24.1772394325528</v>
      </c>
      <c r="I6175" s="38" t="n">
        <f aca="false">sbc_r*Sens!$I$6096</f>
        <v>27.6495284422397</v>
      </c>
      <c r="J6175" s="38" t="n">
        <f aca="false">sbc_r*Sens!$J$6096</f>
        <v>30.9042211184633</v>
      </c>
      <c r="K6175" s="38" t="n">
        <f aca="false">sbc_r*Sens!$K$6096</f>
        <v>33.8004145402678</v>
      </c>
      <c r="L6175" s="38" t="n">
        <f aca="false">sbc_r*Sens!$L$6096</f>
        <v>36.8322537652494</v>
      </c>
      <c r="M6175" s="38" t="n">
        <f aca="false">sbc_r*Sens!$M$6096</f>
        <v>40.0097627968013</v>
      </c>
    </row>
    <row r="6176" customFormat="false" ht="17.15" hidden="false" customHeight="false" outlineLevel="0" collapsed="false">
      <c r="A6176" s="5" t="s">
        <v>733</v>
      </c>
      <c r="B6176" s="0" t="s">
        <v>73</v>
      </c>
      <c r="C6176" s="38" t="n">
        <f aca="false">Q!$D$44-Sens!$C$6173-Sens!$C$6174-Sens!$C$6175</f>
        <v>2.551</v>
      </c>
      <c r="D6176" s="38" t="n">
        <f aca="false">Q!$E$44-Sens!$D$6173-Sens!$D$6174-Sens!$D$6175</f>
        <v>0.51700000000001</v>
      </c>
      <c r="E6176" s="38" t="n">
        <f aca="false">Q!$P$44-Sens!$E$6173-Sens!$E$6174-Sens!$E$6175</f>
        <v>-58.256</v>
      </c>
      <c r="F6176" s="38" t="n">
        <f aca="false">wc_2h26+oth_r*Sens!$F$6096</f>
        <v>7.34599241893378</v>
      </c>
      <c r="G6176" s="38" t="n">
        <f aca="false">Sens!$E$6176+Sens!$F$6176</f>
        <v>-50.9100075810662</v>
      </c>
      <c r="H6176" s="38" t="n">
        <f aca="false">oth_r*Sens!$H$6096</f>
        <v>11.6369707537667</v>
      </c>
      <c r="I6176" s="38" t="n">
        <f aca="false">oth_r*Sens!$I$6096</f>
        <v>13.3082502961262</v>
      </c>
      <c r="J6176" s="38" t="n">
        <f aca="false">oth_r*Sens!$J$6096</f>
        <v>14.8747965344332</v>
      </c>
      <c r="K6176" s="38" t="n">
        <f aca="false">oth_r*Sens!$K$6096</f>
        <v>16.2687901804328</v>
      </c>
      <c r="L6176" s="38" t="n">
        <f aca="false">oth_r*Sens!$L$6096</f>
        <v>17.7280727627002</v>
      </c>
      <c r="M6176" s="38" t="n">
        <f aca="false">oth_r*Sens!$M$6096</f>
        <v>19.2574690270319</v>
      </c>
      <c r="P6176" s="8" t="s">
        <v>734</v>
      </c>
    </row>
    <row r="6177" customFormat="false" ht="15" hidden="false" customHeight="false" outlineLevel="0" collapsed="false">
      <c r="A6177" s="3" t="s">
        <v>515</v>
      </c>
      <c r="B6177" s="8" t="s">
        <v>73</v>
      </c>
      <c r="C6177" s="38" t="n">
        <f aca="false">Q!$D$44</f>
        <v>115.877</v>
      </c>
      <c r="D6177" s="38" t="n">
        <f aca="false">Q!$E$44</f>
        <v>139.514</v>
      </c>
      <c r="E6177" s="38" t="n">
        <f aca="false">Q!$P$44</f>
        <v>71.419</v>
      </c>
      <c r="F6177" s="38" t="n">
        <f aca="false">Sens!$F$6173+Sens!$F$6174+Sens!$F$6175+Sens!$F$6176</f>
        <v>98.1168214087795</v>
      </c>
      <c r="G6177" s="38" t="n">
        <f aca="false">Sens!$E$6177+Sens!$F$6177</f>
        <v>169.535821408779</v>
      </c>
      <c r="H6177" s="38" t="n">
        <f aca="false">Sens!$H$6173+Sens!$H$6174+Sens!$H$6175+Sens!$H$6176</f>
        <v>232.771414908824</v>
      </c>
      <c r="I6177" s="38" t="n">
        <f aca="false">Sens!$I$6173+Sens!$I$6174+Sens!$I$6175+Sens!$I$6176</f>
        <v>291.558719809312</v>
      </c>
      <c r="J6177" s="38" t="n">
        <f aca="false">Sens!$J$6173+Sens!$J$6174+Sens!$J$6175+Sens!$J$6176</f>
        <v>349.413682016529</v>
      </c>
      <c r="K6177" s="38" t="n">
        <f aca="false">Sens!$K$6173+Sens!$K$6174+Sens!$K$6175+Sens!$K$6176</f>
        <v>404.158841197156</v>
      </c>
      <c r="L6177" s="38" t="n">
        <f aca="false">Sens!$L$6173+Sens!$L$6174+Sens!$L$6175+Sens!$L$6176</f>
        <v>460.380969240231</v>
      </c>
      <c r="M6177" s="38" t="n">
        <f aca="false">Sens!$M$6173+Sens!$M$6174+Sens!$M$6175+Sens!$M$6176</f>
        <v>518.926354750515</v>
      </c>
    </row>
    <row r="6178" customFormat="false" ht="17.15" hidden="false" customHeight="false" outlineLevel="0" collapsed="false">
      <c r="A6178" s="5" t="s">
        <v>735</v>
      </c>
      <c r="B6178" s="0" t="s">
        <v>73</v>
      </c>
      <c r="C6178" s="38" t="n">
        <f aca="false">Sens!$C$6065</f>
        <v>25.2781053077374</v>
      </c>
      <c r="D6178" s="38" t="n">
        <f aca="false">Sens!$D$6065</f>
        <v>69.5686316310026</v>
      </c>
      <c r="E6178" s="38" t="n">
        <f aca="false">Sens!$E$6065</f>
        <v>64.1899206485108</v>
      </c>
      <c r="F6178" s="38" t="n">
        <f aca="false">Sens!$F$6065</f>
        <v>96.2481299895</v>
      </c>
      <c r="G6178" s="38" t="n">
        <f aca="false">Sens!$G$6065</f>
        <v>160.438050638011</v>
      </c>
      <c r="H6178" s="38" t="n">
        <f aca="false">Sens!$H$6065</f>
        <v>198.57136494475</v>
      </c>
      <c r="I6178" s="38" t="n">
        <f aca="false">Sens!$I$6065</f>
        <v>204.6464699105</v>
      </c>
      <c r="J6178" s="38" t="n">
        <f aca="false">Sens!$J$6065</f>
        <v>209.8832381105</v>
      </c>
      <c r="K6178" s="38" t="n">
        <f aca="false">Sens!$K$6065</f>
        <v>215.1200063105</v>
      </c>
      <c r="L6178" s="38" t="n">
        <f aca="false">Sens!$L$6065</f>
        <v>251.7773837105</v>
      </c>
      <c r="M6178" s="38" t="n">
        <f aca="false">Sens!$M$6065</f>
        <v>311.87584476575</v>
      </c>
    </row>
    <row r="6179" customFormat="false" ht="17.15" hidden="false" customHeight="false" outlineLevel="0" collapsed="false">
      <c r="A6179" s="5" t="s">
        <v>736</v>
      </c>
      <c r="B6179" s="0" t="s">
        <v>73</v>
      </c>
      <c r="C6179" s="38" t="n">
        <f aca="false">cx_awso*Sens!$C$6094</f>
        <v>21.0469989286053</v>
      </c>
      <c r="D6179" s="38" t="n">
        <f aca="false">cx_awso*Sens!$D$6094</f>
        <v>24.0042459822698</v>
      </c>
      <c r="E6179" s="38" t="n">
        <f aca="false">cx_awso*Sens!$E$6094</f>
        <v>14.261729404886</v>
      </c>
      <c r="F6179" s="38" t="n">
        <f aca="false">cx_awso*Sens!$F$6094</f>
        <v>15.7190020837331</v>
      </c>
      <c r="G6179" s="38" t="n">
        <f aca="false">Sens!$E$6179+Sens!$F$6179</f>
        <v>29.9807314886191</v>
      </c>
      <c r="H6179" s="38" t="n">
        <f aca="false">cx_awso*Sens!$H$6094</f>
        <v>36.1787121536283</v>
      </c>
      <c r="I6179" s="38" t="n">
        <f aca="false">cx_awso*Sens!$I$6094</f>
        <v>42.1296794430021</v>
      </c>
      <c r="J6179" s="38" t="n">
        <f aca="false">cx_awso*Sens!$J$6094</f>
        <v>47.279781889299</v>
      </c>
      <c r="K6179" s="38" t="n">
        <f aca="false">cx_awso*Sens!$K$6094</f>
        <v>51.0621644404429</v>
      </c>
      <c r="L6179" s="38" t="n">
        <f aca="false">cx_awso*Sens!$L$6094</f>
        <v>55.1471375956783</v>
      </c>
      <c r="M6179" s="38" t="n">
        <f aca="false">cx_awso*Sens!$M$6094</f>
        <v>59.5589086033326</v>
      </c>
    </row>
    <row r="6180" customFormat="false" ht="17.15" hidden="false" customHeight="false" outlineLevel="0" collapsed="false">
      <c r="A6180" s="5" t="s">
        <v>737</v>
      </c>
      <c r="B6180" s="0" t="s">
        <v>73</v>
      </c>
      <c r="C6180" s="38" t="n">
        <f aca="false">Q!$D$46-Sens!$C$6178-Sens!$C$6179</f>
        <v>31.3328957636573</v>
      </c>
      <c r="D6180" s="38" t="n">
        <f aca="false">Q!$E$46-Sens!$D$6178-Sens!$D$6179</f>
        <v>34.7471223867276</v>
      </c>
      <c r="E6180" s="38" t="n">
        <f aca="false">Q!$P$46-Sens!$E$6178-Sens!$E$6179</f>
        <v>17.8583499466032</v>
      </c>
      <c r="F6180" s="38" t="n">
        <f aca="false">cx_rt*Sens!$F$6029</f>
        <v>21.0855744229195</v>
      </c>
      <c r="G6180" s="38" t="n">
        <f aca="false">Sens!$E$6180+Sens!$F$6180</f>
        <v>38.9439243695228</v>
      </c>
      <c r="H6180" s="38" t="n">
        <f aca="false">cx_rt*Sens!$H$6029</f>
        <v>43.1200434029767</v>
      </c>
      <c r="I6180" s="38" t="n">
        <f aca="false">cx_rt*Sens!$I$6029</f>
        <v>47.1583152318763</v>
      </c>
      <c r="J6180" s="38" t="n">
        <f aca="false">cx_rt*Sens!$J$6029</f>
        <v>50.9060281137911</v>
      </c>
      <c r="K6180" s="38" t="n">
        <f aca="false">cx_rt*Sens!$K$6029</f>
        <v>54.2035645673053</v>
      </c>
      <c r="L6180" s="38" t="n">
        <f aca="false">cx_rt*Sens!$L$6029</f>
        <v>57.7318979121519</v>
      </c>
      <c r="M6180" s="38" t="n">
        <f aca="false">cx_rt*Sens!$M$6029</f>
        <v>61.5084196557756</v>
      </c>
    </row>
    <row r="6181" customFormat="false" ht="15" hidden="false" customHeight="false" outlineLevel="0" collapsed="false">
      <c r="A6181" s="3" t="s">
        <v>738</v>
      </c>
      <c r="B6181" s="8" t="s">
        <v>73</v>
      </c>
      <c r="C6181" s="38" t="n">
        <f aca="false">Q!$D$46</f>
        <v>77.658</v>
      </c>
      <c r="D6181" s="38" t="n">
        <f aca="false">Q!$E$46</f>
        <v>128.32</v>
      </c>
      <c r="E6181" s="38" t="n">
        <f aca="false">Q!$P$46</f>
        <v>96.31</v>
      </c>
      <c r="F6181" s="38" t="n">
        <f aca="false">Sens!$F$6178+Sens!$F$6179+Sens!$F$6180</f>
        <v>133.052706496153</v>
      </c>
      <c r="G6181" s="38" t="n">
        <f aca="false">Sens!$E$6181+Sens!$F$6181</f>
        <v>229.362706496153</v>
      </c>
      <c r="H6181" s="38" t="n">
        <f aca="false">Sens!$H$6178+Sens!$H$6179+Sens!$H$6180</f>
        <v>277.870120501355</v>
      </c>
      <c r="I6181" s="38" t="n">
        <f aca="false">Sens!$I$6178+Sens!$I$6179+Sens!$I$6180</f>
        <v>293.934464585378</v>
      </c>
      <c r="J6181" s="38" t="n">
        <f aca="false">Sens!$J$6178+Sens!$J$6179+Sens!$J$6180</f>
        <v>308.06904811359</v>
      </c>
      <c r="K6181" s="38" t="n">
        <f aca="false">Sens!$K$6178+Sens!$K$6179+Sens!$K$6180</f>
        <v>320.385735318248</v>
      </c>
      <c r="L6181" s="38" t="n">
        <f aca="false">Sens!$L$6178+Sens!$L$6179+Sens!$L$6180</f>
        <v>364.65641921833</v>
      </c>
      <c r="M6181" s="38" t="n">
        <f aca="false">Sens!$M$6178+Sens!$M$6179+Sens!$M$6180</f>
        <v>432.943173024858</v>
      </c>
    </row>
    <row r="6182" customFormat="false" ht="17.15" hidden="false" customHeight="false" outlineLevel="0" collapsed="false">
      <c r="A6182" s="5" t="s">
        <v>523</v>
      </c>
      <c r="B6182" s="0" t="s">
        <v>73</v>
      </c>
      <c r="C6182" s="38" t="n">
        <f aca="false">Q!$D$50</f>
        <v>2.043</v>
      </c>
      <c r="D6182" s="38" t="n">
        <f aca="false">Q!$E$50</f>
        <v>1.557</v>
      </c>
      <c r="E6182" s="38" t="n">
        <f aca="false">lease_pr/2</f>
        <v>0.8</v>
      </c>
      <c r="F6182" s="38" t="n">
        <f aca="false">lease_pr/2</f>
        <v>0.8</v>
      </c>
      <c r="G6182" s="38" t="n">
        <f aca="false">Sens!$E$6182+Sens!$F$6182</f>
        <v>1.6</v>
      </c>
      <c r="H6182" s="38" t="n">
        <f aca="false">lease_pr</f>
        <v>1.6</v>
      </c>
      <c r="I6182" s="38" t="n">
        <f aca="false">lease_pr</f>
        <v>1.6</v>
      </c>
      <c r="J6182" s="38" t="n">
        <f aca="false">lease_pr</f>
        <v>1.6</v>
      </c>
      <c r="K6182" s="38" t="n">
        <f aca="false">lease_pr</f>
        <v>1.6</v>
      </c>
      <c r="L6182" s="38" t="n">
        <f aca="false">lease_pr</f>
        <v>1.6</v>
      </c>
      <c r="M6182" s="38" t="n">
        <f aca="false">lease_pr</f>
        <v>1.6</v>
      </c>
      <c r="P6182" s="8" t="s">
        <v>739</v>
      </c>
    </row>
    <row r="6183" customFormat="false" ht="15" hidden="false" customHeight="false" outlineLevel="0" collapsed="false">
      <c r="A6183" s="46" t="s">
        <v>740</v>
      </c>
      <c r="B6183" s="13" t="s">
        <v>73</v>
      </c>
      <c r="C6183" s="47" t="n">
        <f aca="false">Sens!$C$6177-Sens!$C$6181-Sens!$C$6182</f>
        <v>36.176</v>
      </c>
      <c r="D6183" s="47" t="n">
        <f aca="false">Sens!$D$6177-Sens!$D$6181-Sens!$D$6182</f>
        <v>9.63700000000002</v>
      </c>
      <c r="E6183" s="47" t="n">
        <f aca="false">Sens!$E$6177-Sens!$E$6181-Sens!$E$6182</f>
        <v>-25.691</v>
      </c>
      <c r="F6183" s="47" t="n">
        <f aca="false">Sens!$F$6177-Sens!$F$6181-Sens!$F$6182</f>
        <v>-35.7358850873731</v>
      </c>
      <c r="G6183" s="47" t="n">
        <f aca="false">Sens!$G$6177-Sens!$G$6181-Sens!$G$6182</f>
        <v>-61.4268850873731</v>
      </c>
      <c r="H6183" s="47" t="n">
        <f aca="false">Sens!$H$6177-Sens!$H$6181-Sens!$H$6182</f>
        <v>-46.6987055925312</v>
      </c>
      <c r="I6183" s="47" t="n">
        <f aca="false">Sens!$I$6177-Sens!$I$6181-Sens!$I$6182</f>
        <v>-3.97574477606648</v>
      </c>
      <c r="J6183" s="47" t="n">
        <f aca="false">Sens!$J$6177-Sens!$J$6181-Sens!$J$6182</f>
        <v>39.7446339029391</v>
      </c>
      <c r="K6183" s="47" t="n">
        <f aca="false">Sens!$K$6177-Sens!$K$6181-Sens!$K$6182</f>
        <v>82.1731058789073</v>
      </c>
      <c r="L6183" s="47" t="n">
        <f aca="false">Sens!$L$6177-Sens!$L$6181-Sens!$L$6182</f>
        <v>94.1245500219009</v>
      </c>
      <c r="M6183" s="47" t="n">
        <f aca="false">Sens!$M$6177-Sens!$M$6181-Sens!$M$6182</f>
        <v>84.3831817256571</v>
      </c>
      <c r="N6183" s="13"/>
      <c r="O6183" s="13"/>
    </row>
    <row r="6184" customFormat="false" ht="17.15" hidden="false" customHeight="false" outlineLevel="0" collapsed="false">
      <c r="A6184" s="5" t="s">
        <v>741</v>
      </c>
      <c r="B6184" s="0" t="s">
        <v>73</v>
      </c>
      <c r="C6184" s="38" t="n">
        <f aca="false">dps*Sens!$C$6165</f>
        <v>0</v>
      </c>
      <c r="D6184" s="38" t="n">
        <f aca="false">dps*Sens!$D$6165</f>
        <v>0</v>
      </c>
      <c r="E6184" s="38" t="n">
        <f aca="false">dps*Sens!$E$6165</f>
        <v>0</v>
      </c>
      <c r="F6184" s="38" t="n">
        <f aca="false">0</f>
        <v>0</v>
      </c>
      <c r="G6184" s="38" t="n">
        <f aca="false">dps*Sens!$G$6165</f>
        <v>0</v>
      </c>
      <c r="H6184" s="38" t="n">
        <f aca="false">dps*Sens!$H$6165</f>
        <v>0</v>
      </c>
      <c r="I6184" s="38" t="n">
        <f aca="false">dps*Sens!$I$6165</f>
        <v>0</v>
      </c>
      <c r="J6184" s="38" t="n">
        <f aca="false">dps*Sens!$J$6165</f>
        <v>0</v>
      </c>
      <c r="K6184" s="38" t="n">
        <f aca="false">dps*Sens!$K$6165</f>
        <v>0</v>
      </c>
      <c r="L6184" s="38" t="n">
        <f aca="false">dps*Sens!$L$6165</f>
        <v>0</v>
      </c>
      <c r="M6184" s="38" t="n">
        <f aca="false">dps*Sens!$M$6165</f>
        <v>0</v>
      </c>
      <c r="P6184" s="8" t="s">
        <v>742</v>
      </c>
    </row>
    <row r="6185" customFormat="false" ht="17.15" hidden="false" customHeight="false" outlineLevel="0" collapsed="false">
      <c r="A6185" s="5" t="s">
        <v>743</v>
      </c>
      <c r="B6185" s="0" t="s">
        <v>73</v>
      </c>
      <c r="C6185" s="38" t="n">
        <f aca="false">0</f>
        <v>0</v>
      </c>
      <c r="D6185" s="38" t="n">
        <f aca="false">0</f>
        <v>0</v>
      </c>
      <c r="E6185" s="38" t="n">
        <f aca="false">0</f>
        <v>0</v>
      </c>
      <c r="F6185" s="38" t="n">
        <f aca="false">0</f>
        <v>0</v>
      </c>
      <c r="G6185" s="38" t="n">
        <f aca="false">0</f>
        <v>0</v>
      </c>
      <c r="H6185" s="38" t="n">
        <f aca="false">0</f>
        <v>0</v>
      </c>
      <c r="I6185" s="38" t="n">
        <f aca="false">0</f>
        <v>0</v>
      </c>
      <c r="J6185" s="38" t="n">
        <f aca="false">0</f>
        <v>0</v>
      </c>
      <c r="K6185" s="38" t="n">
        <f aca="false">0</f>
        <v>0</v>
      </c>
      <c r="L6185" s="38" t="n">
        <f aca="false">0</f>
        <v>0</v>
      </c>
      <c r="M6185" s="38" t="n">
        <f aca="false">0</f>
        <v>0</v>
      </c>
      <c r="P6185" s="8" t="s">
        <v>744</v>
      </c>
    </row>
    <row r="6186" customFormat="false" ht="15" hidden="false" customHeight="false" outlineLevel="0" collapsed="false">
      <c r="A6186" s="3" t="s">
        <v>745</v>
      </c>
      <c r="B6186" s="8" t="s">
        <v>73</v>
      </c>
      <c r="C6186" s="38" t="n">
        <f aca="false">Sens!$C$6183-Sens!$C$6184</f>
        <v>36.176</v>
      </c>
      <c r="D6186" s="38" t="n">
        <f aca="false">Sens!$D$6183-Sens!$D$6184</f>
        <v>9.63700000000002</v>
      </c>
      <c r="E6186" s="38" t="n">
        <f aca="false">Sens!$E$6183-Sens!$E$6184</f>
        <v>-25.691</v>
      </c>
      <c r="F6186" s="38" t="n">
        <f aca="false">Sens!$F$6183-Sens!$F$6184</f>
        <v>-35.7358850873731</v>
      </c>
      <c r="G6186" s="38" t="n">
        <f aca="false">Sens!$G$6183-Sens!$G$6184</f>
        <v>-61.4268850873731</v>
      </c>
      <c r="H6186" s="38" t="n">
        <f aca="false">Sens!$H$6183-Sens!$H$6184</f>
        <v>-46.6987055925312</v>
      </c>
      <c r="I6186" s="38" t="n">
        <f aca="false">Sens!$I$6183-Sens!$I$6184</f>
        <v>-3.97574477606648</v>
      </c>
      <c r="J6186" s="38" t="n">
        <f aca="false">Sens!$J$6183-Sens!$J$6184</f>
        <v>39.7446339029391</v>
      </c>
      <c r="K6186" s="38" t="n">
        <f aca="false">Sens!$K$6183-Sens!$K$6184</f>
        <v>82.1731058789073</v>
      </c>
      <c r="L6186" s="38" t="n">
        <f aca="false">Sens!$L$6183-Sens!$L$6184</f>
        <v>94.1245500219009</v>
      </c>
      <c r="M6186" s="38" t="n">
        <f aca="false">Sens!$M$6183-Sens!$M$6184</f>
        <v>84.3831817256571</v>
      </c>
    </row>
    <row r="6187" customFormat="false" ht="17.15" hidden="false" customHeight="false" outlineLevel="0" collapsed="false">
      <c r="A6187" s="5" t="s">
        <v>746</v>
      </c>
      <c r="B6187" s="0" t="s">
        <v>73</v>
      </c>
      <c r="E6187" s="38" t="n">
        <f aca="false">Q!$P$53</f>
        <v>39.767</v>
      </c>
      <c r="F6187" s="38" t="n">
        <f aca="false">inv_2h26</f>
        <v>21.3</v>
      </c>
      <c r="G6187" s="38" t="n">
        <f aca="false">Sens!$E$6187+Sens!$F$6187</f>
        <v>61.067</v>
      </c>
      <c r="H6187" s="41" t="n">
        <v>0</v>
      </c>
      <c r="I6187" s="41" t="n">
        <v>0</v>
      </c>
      <c r="J6187" s="41" t="n">
        <v>0</v>
      </c>
      <c r="K6187" s="41" t="n">
        <v>0</v>
      </c>
      <c r="L6187" s="41" t="n">
        <v>0</v>
      </c>
      <c r="M6187" s="41" t="n">
        <v>0</v>
      </c>
    </row>
    <row r="6188" customFormat="false" ht="17.15" hidden="false" customHeight="false" outlineLevel="0" collapsed="false">
      <c r="A6188" s="5" t="s">
        <v>747</v>
      </c>
      <c r="B6188" s="0" t="s">
        <v>73</v>
      </c>
      <c r="F6188" s="38" t="n">
        <f aca="false">iss_2h26</f>
        <v>29.25</v>
      </c>
      <c r="G6188" s="38" t="n">
        <f aca="false">Sens!$F$6188</f>
        <v>29.25</v>
      </c>
      <c r="H6188" s="41" t="n">
        <v>0</v>
      </c>
      <c r="I6188" s="41" t="n">
        <v>0</v>
      </c>
      <c r="J6188" s="41" t="n">
        <v>0</v>
      </c>
      <c r="K6188" s="41" t="n">
        <v>0</v>
      </c>
      <c r="L6188" s="41" t="n">
        <v>0</v>
      </c>
      <c r="M6188" s="41" t="n">
        <v>0</v>
      </c>
    </row>
    <row r="6189" customFormat="false" ht="17.15" hidden="false" customHeight="false" outlineLevel="0" collapsed="false">
      <c r="A6189" s="5" t="s">
        <v>748</v>
      </c>
      <c r="B6189" s="0" t="s">
        <v>73</v>
      </c>
      <c r="F6189" s="38" t="n">
        <f aca="false">cash_q2</f>
        <v>122.988</v>
      </c>
      <c r="G6189" s="38" t="n">
        <f aca="false">cash_q2</f>
        <v>122.988</v>
      </c>
      <c r="H6189" s="38" t="n">
        <f aca="false">Sens!$G$6192</f>
        <v>95.2021149126269</v>
      </c>
      <c r="I6189" s="38" t="n">
        <f aca="false">Sens!$H$6192</f>
        <v>50</v>
      </c>
      <c r="J6189" s="38" t="n">
        <f aca="false">Sens!$I$6192</f>
        <v>50</v>
      </c>
      <c r="K6189" s="38" t="n">
        <f aca="false">Sens!$J$6192</f>
        <v>89.7446339029391</v>
      </c>
      <c r="L6189" s="38" t="n">
        <f aca="false">Sens!$K$6192</f>
        <v>171.917739781846</v>
      </c>
      <c r="M6189" s="38" t="n">
        <f aca="false">Sens!$L$6192</f>
        <v>266.042289803747</v>
      </c>
    </row>
    <row r="6190" customFormat="false" ht="15" hidden="false" customHeight="false" outlineLevel="0" collapsed="false">
      <c r="A6190" s="5" t="s">
        <v>749</v>
      </c>
      <c r="B6190" s="0" t="s">
        <v>73</v>
      </c>
      <c r="F6190" s="38" t="n">
        <f aca="false">Sens!$F$6189+Sens!$F$6186-Sens!$F$6185-Sens!$F$6187+Sens!$F$6188</f>
        <v>95.2021149126269</v>
      </c>
      <c r="H6190" s="38" t="n">
        <f aca="false">Sens!$H$6189+Sens!$H$6186-Sens!$H$6185-Sens!$H$6187+Sens!$H$6188</f>
        <v>48.5034093200957</v>
      </c>
      <c r="I6190" s="38" t="n">
        <f aca="false">Sens!$I$6189+Sens!$I$6186-Sens!$I$6185-Sens!$I$6187+Sens!$I$6188</f>
        <v>46.0242552239335</v>
      </c>
      <c r="J6190" s="38" t="n">
        <f aca="false">Sens!$J$6189+Sens!$J$6186-Sens!$J$6185-Sens!$J$6187+Sens!$J$6188</f>
        <v>89.7446339029391</v>
      </c>
      <c r="K6190" s="38" t="n">
        <f aca="false">Sens!$K$6189+Sens!$K$6186-Sens!$K$6185-Sens!$K$6187+Sens!$K$6188</f>
        <v>171.917739781846</v>
      </c>
      <c r="L6190" s="38" t="n">
        <f aca="false">Sens!$L$6189+Sens!$L$6186-Sens!$L$6185-Sens!$L$6187+Sens!$L$6188</f>
        <v>266.042289803747</v>
      </c>
      <c r="M6190" s="38" t="n">
        <f aca="false">Sens!$M$6189+Sens!$M$6186-Sens!$M$6185-Sens!$M$6187+Sens!$M$6188</f>
        <v>350.425471529404</v>
      </c>
    </row>
    <row r="6191" customFormat="false" ht="17.15" hidden="false" customHeight="false" outlineLevel="0" collapsed="false">
      <c r="A6191" s="5" t="s">
        <v>750</v>
      </c>
      <c r="B6191" s="0" t="s">
        <v>73</v>
      </c>
      <c r="F6191" s="38" t="n">
        <f aca="false">MAX(0,min_cash-Sens!$F$6190)</f>
        <v>0</v>
      </c>
      <c r="G6191" s="38" t="n">
        <f aca="false">Sens!$F$6191</f>
        <v>0</v>
      </c>
      <c r="H6191" s="38" t="n">
        <f aca="false">MAX(0,min_cash-Sens!$H$6190)</f>
        <v>1.49659067990431</v>
      </c>
      <c r="I6191" s="38" t="n">
        <f aca="false">MAX(0,min_cash-Sens!$I$6190)</f>
        <v>3.97574477606648</v>
      </c>
      <c r="J6191" s="38" t="n">
        <f aca="false">MAX(0,min_cash-Sens!$J$6190)</f>
        <v>0</v>
      </c>
      <c r="K6191" s="38" t="n">
        <f aca="false">MAX(0,min_cash-Sens!$K$6190)</f>
        <v>0</v>
      </c>
      <c r="L6191" s="38" t="n">
        <f aca="false">MAX(0,min_cash-Sens!$L$6190)</f>
        <v>0</v>
      </c>
      <c r="M6191" s="38" t="n">
        <f aca="false">MAX(0,min_cash-Sens!$M$6190)</f>
        <v>0</v>
      </c>
      <c r="P6191" s="5" t="s">
        <v>751</v>
      </c>
    </row>
    <row r="6192" customFormat="false" ht="15" hidden="false" customHeight="false" outlineLevel="0" collapsed="false">
      <c r="A6192" s="5" t="s">
        <v>752</v>
      </c>
      <c r="B6192" s="0" t="s">
        <v>73</v>
      </c>
      <c r="D6192" s="38" t="n">
        <f aca="false">Q!$E$61</f>
        <v>123.029</v>
      </c>
      <c r="E6192" s="38" t="n">
        <f aca="false">Q!$M$61</f>
        <v>122.988</v>
      </c>
      <c r="F6192" s="38" t="n">
        <f aca="false">Sens!$F$6190+Sens!$F$6191</f>
        <v>95.2021149126269</v>
      </c>
      <c r="G6192" s="38" t="n">
        <f aca="false">Sens!$F$6192</f>
        <v>95.2021149126269</v>
      </c>
      <c r="H6192" s="38" t="n">
        <f aca="false">Sens!$H$6190+Sens!$H$6191</f>
        <v>50</v>
      </c>
      <c r="I6192" s="38" t="n">
        <f aca="false">Sens!$I$6190+Sens!$I$6191</f>
        <v>50</v>
      </c>
      <c r="J6192" s="38" t="n">
        <f aca="false">Sens!$J$6190+Sens!$J$6191</f>
        <v>89.7446339029391</v>
      </c>
      <c r="K6192" s="38" t="n">
        <f aca="false">Sens!$K$6190+Sens!$K$6191</f>
        <v>171.917739781846</v>
      </c>
      <c r="L6192" s="38" t="n">
        <f aca="false">Sens!$L$6190+Sens!$L$6191</f>
        <v>266.042289803747</v>
      </c>
      <c r="M6192" s="38" t="n">
        <f aca="false">Sens!$M$6190+Sens!$M$6191</f>
        <v>350.425471529404</v>
      </c>
    </row>
    <row r="6193" customFormat="false" ht="15" hidden="false" customHeight="false" outlineLevel="0" collapsed="false">
      <c r="A6193" s="5" t="s">
        <v>753</v>
      </c>
      <c r="B6193" s="0" t="s">
        <v>73</v>
      </c>
      <c r="D6193" s="38" t="n">
        <f aca="false">Q!$E$62</f>
        <v>68.836</v>
      </c>
      <c r="E6193" s="38" t="n">
        <f aca="false">Q!$M$62</f>
        <v>132.995</v>
      </c>
      <c r="F6193" s="38" t="n">
        <f aca="false">debt_q2+Sens!$F$6188+Sens!$F$6191</f>
        <v>162.245</v>
      </c>
      <c r="G6193" s="38" t="n">
        <f aca="false">Sens!$F$6193</f>
        <v>162.245</v>
      </c>
      <c r="H6193" s="38" t="n">
        <f aca="false">Sens!$G$6193+Sens!$H$6191</f>
        <v>163.741590679904</v>
      </c>
      <c r="I6193" s="38" t="n">
        <f aca="false">Sens!$H$6193+Sens!$I$6191</f>
        <v>167.717335455971</v>
      </c>
      <c r="J6193" s="38" t="n">
        <f aca="false">Sens!$I$6193+Sens!$J$6191</f>
        <v>167.717335455971</v>
      </c>
      <c r="K6193" s="38" t="n">
        <f aca="false">Sens!$J$6193+Sens!$K$6191</f>
        <v>167.717335455971</v>
      </c>
      <c r="L6193" s="38" t="n">
        <f aca="false">Sens!$K$6193+Sens!$L$6191</f>
        <v>167.717335455971</v>
      </c>
      <c r="M6193" s="38" t="n">
        <f aca="false">Sens!$L$6193+Sens!$M$6191</f>
        <v>167.717335455971</v>
      </c>
    </row>
    <row r="6194" customFormat="false" ht="15" hidden="false" customHeight="false" outlineLevel="0" collapsed="false">
      <c r="A6194" s="5" t="s">
        <v>754</v>
      </c>
      <c r="B6194" s="0" t="s">
        <v>73</v>
      </c>
      <c r="D6194" s="38" t="n">
        <f aca="false">Sens!$D$6193-Sens!$D$6192</f>
        <v>-54.193</v>
      </c>
      <c r="E6194" s="38" t="n">
        <f aca="false">Sens!$E$6193-Sens!$E$6192</f>
        <v>10.007</v>
      </c>
      <c r="F6194" s="38" t="n">
        <f aca="false">Sens!$F$6193-Sens!$F$6192</f>
        <v>67.0428850873731</v>
      </c>
      <c r="G6194" s="38" t="n">
        <f aca="false">Sens!$G$6193-Sens!$G$6192</f>
        <v>67.0428850873731</v>
      </c>
      <c r="H6194" s="38" t="n">
        <f aca="false">Sens!$H$6193-Sens!$H$6192</f>
        <v>113.741590679904</v>
      </c>
      <c r="I6194" s="38" t="n">
        <f aca="false">Sens!$I$6193-Sens!$I$6192</f>
        <v>117.717335455971</v>
      </c>
      <c r="J6194" s="38" t="n">
        <f aca="false">Sens!$J$6193-Sens!$J$6192</f>
        <v>77.9727015530317</v>
      </c>
      <c r="K6194" s="38" t="n">
        <f aca="false">Sens!$K$6193-Sens!$K$6192</f>
        <v>-4.20040432587558</v>
      </c>
      <c r="L6194" s="38" t="n">
        <f aca="false">Sens!$L$6193-Sens!$L$6192</f>
        <v>-98.3249543477765</v>
      </c>
      <c r="M6194" s="38" t="n">
        <f aca="false">Sens!$M$6193-Sens!$M$6192</f>
        <v>-182.708136073434</v>
      </c>
    </row>
    <row r="6195" customFormat="false" ht="17.15" hidden="false" customHeight="false" outlineLevel="0" collapsed="false">
      <c r="A6195" s="5" t="s">
        <v>755</v>
      </c>
      <c r="B6195" s="0" t="s">
        <v>73</v>
      </c>
      <c r="F6195" s="38" t="n">
        <f aca="false">debt_q2*kd_book*0.5+iss_2h26*kd_new*0.25</f>
        <v>3.24888964316061</v>
      </c>
      <c r="H6195" s="38" t="n">
        <f aca="false">debt_q2*kd_book+(Sens!$G$6193-debt_q2)*kd_new</f>
        <v>7.42354178632123</v>
      </c>
      <c r="I6195" s="38" t="n">
        <f aca="false">debt_q2*kd_book+(Sens!$H$6193-debt_q2)*kd_new</f>
        <v>7.51827597635917</v>
      </c>
      <c r="J6195" s="38" t="n">
        <f aca="false">debt_q2*kd_book+(Sens!$I$6193-debt_q2)*kd_new</f>
        <v>7.76994062068418</v>
      </c>
      <c r="K6195" s="38" t="n">
        <f aca="false">debt_q2*kd_book+(Sens!$J$6193-debt_q2)*kd_new</f>
        <v>7.76994062068418</v>
      </c>
      <c r="L6195" s="38" t="n">
        <f aca="false">debt_q2*kd_book+(Sens!$K$6193-debt_q2)*kd_new</f>
        <v>7.76994062068418</v>
      </c>
      <c r="M6195" s="38" t="n">
        <f aca="false">debt_q2*kd_book+(Sens!$L$6193-debt_q2)*kd_new</f>
        <v>7.76994062068418</v>
      </c>
    </row>
    <row r="6196" customFormat="false" ht="17.15" hidden="false" customHeight="false" outlineLevel="0" collapsed="false">
      <c r="A6196" s="5" t="s">
        <v>756</v>
      </c>
      <c r="B6196" s="0" t="s">
        <v>73</v>
      </c>
      <c r="F6196" s="38" t="n">
        <f aca="false">cash_q2*y_cash*0.5</f>
        <v>2.59</v>
      </c>
      <c r="H6196" s="38" t="n">
        <f aca="false">Sens!$G$6192*y_cash</f>
        <v>4.00971603121774</v>
      </c>
      <c r="I6196" s="38" t="n">
        <f aca="false">Sens!$H$6192*y_cash</f>
        <v>2.10589651022864</v>
      </c>
      <c r="J6196" s="38" t="n">
        <f aca="false">Sens!$I$6192*y_cash</f>
        <v>2.10589651022864</v>
      </c>
      <c r="K6196" s="38" t="n">
        <f aca="false">Sens!$J$6192*y_cash</f>
        <v>3.77985822695893</v>
      </c>
      <c r="L6196" s="38" t="n">
        <f aca="false">Sens!$K$6192*y_cash</f>
        <v>7.24081936505971</v>
      </c>
      <c r="M6196" s="38" t="n">
        <f aca="false">Sens!$L$6192*y_cash</f>
        <v>11.205150593419</v>
      </c>
    </row>
    <row r="6197" customFormat="false" ht="17.15" hidden="false" customHeight="false" outlineLevel="0" collapsed="false">
      <c r="A6197" s="46" t="s">
        <v>757</v>
      </c>
      <c r="B6197" s="13" t="s">
        <v>73</v>
      </c>
      <c r="C6197" s="13"/>
      <c r="D6197" s="13"/>
      <c r="E6197" s="13"/>
      <c r="F6197" s="13"/>
      <c r="G6197" s="47" t="n">
        <f aca="false">SUM(Sens!$G$6186:$K$6186)</f>
        <v>9.81640432587554</v>
      </c>
      <c r="H6197" s="13"/>
      <c r="I6197" s="13"/>
      <c r="J6197" s="13"/>
      <c r="K6197" s="13"/>
      <c r="L6197" s="13"/>
      <c r="M6197" s="13"/>
      <c r="N6197" s="13"/>
      <c r="O6197" s="13"/>
    </row>
    <row r="6198" customFormat="false" ht="17.15" hidden="false" customHeight="false" outlineLevel="0" collapsed="false">
      <c r="A6198" s="0" t="s">
        <v>724</v>
      </c>
      <c r="B6198" s="0" t="s">
        <v>73</v>
      </c>
      <c r="G6198" s="38" t="n">
        <f aca="false">SUM(Sens!$G$6191:$K$6191)</f>
        <v>5.47233545597079</v>
      </c>
    </row>
    <row r="6201" customFormat="false" ht="19.4" hidden="false" customHeight="false" outlineLevel="0" collapsed="false">
      <c r="A6201" s="31" t="s">
        <v>1179</v>
      </c>
    </row>
    <row r="6202" customFormat="false" ht="17.15" hidden="false" customHeight="false" outlineLevel="0" collapsed="false">
      <c r="A6202" s="6" t="s">
        <v>16</v>
      </c>
      <c r="B6202" s="6" t="s">
        <v>17</v>
      </c>
      <c r="C6202" s="20" t="s">
        <v>457</v>
      </c>
      <c r="D6202" s="20" t="s">
        <v>458</v>
      </c>
      <c r="E6202" s="20" t="s">
        <v>540</v>
      </c>
      <c r="F6202" s="20" t="s">
        <v>541</v>
      </c>
      <c r="G6202" s="20" t="s">
        <v>542</v>
      </c>
      <c r="H6202" s="20" t="s">
        <v>543</v>
      </c>
      <c r="I6202" s="20" t="s">
        <v>544</v>
      </c>
      <c r="J6202" s="20" t="s">
        <v>545</v>
      </c>
      <c r="K6202" s="20" t="s">
        <v>546</v>
      </c>
      <c r="L6202" s="20" t="s">
        <v>547</v>
      </c>
      <c r="M6202" s="20" t="s">
        <v>548</v>
      </c>
      <c r="N6202" s="20" t="s">
        <v>549</v>
      </c>
      <c r="O6202" s="20" t="s">
        <v>550</v>
      </c>
      <c r="P6202" s="6" t="s">
        <v>23</v>
      </c>
      <c r="R6202" s="20" t="n">
        <v>2023</v>
      </c>
      <c r="S6202" s="20" t="n">
        <v>2024</v>
      </c>
      <c r="T6202" s="20" t="n">
        <v>2025</v>
      </c>
      <c r="U6202" s="20" t="n">
        <v>2026</v>
      </c>
      <c r="V6202" s="20" t="n">
        <v>2027</v>
      </c>
      <c r="W6202" s="20" t="n">
        <v>2028</v>
      </c>
      <c r="X6202" s="20" t="n">
        <v>2029</v>
      </c>
      <c r="Y6202" s="20" t="n">
        <v>2030</v>
      </c>
      <c r="Z6202" s="20" t="n">
        <v>2031</v>
      </c>
      <c r="AA6202" s="20" t="n">
        <v>2032</v>
      </c>
    </row>
    <row r="6203" customFormat="false" ht="17.15" hidden="false" customHeight="false" outlineLevel="0" collapsed="false">
      <c r="A6203" s="1" t="s">
        <v>852</v>
      </c>
    </row>
    <row r="6204" customFormat="false" ht="17.15" hidden="false" customHeight="false" outlineLevel="0" collapsed="false">
      <c r="A6204" s="0" t="s">
        <v>853</v>
      </c>
      <c r="B6204" s="0" t="s">
        <v>73</v>
      </c>
      <c r="H6204" s="38" t="n">
        <f aca="false">Sens!$H$6140*(1-tax)</f>
        <v>112.093921330558</v>
      </c>
      <c r="I6204" s="38" t="n">
        <f aca="false">Sens!$I$6140*(1-tax)</f>
        <v>132.779045500917</v>
      </c>
      <c r="J6204" s="38" t="n">
        <f aca="false">Sens!$J$6140*(1-tax)</f>
        <v>151.181555485193</v>
      </c>
      <c r="K6204" s="38" t="n">
        <f aca="false">Sens!$K$6140*(1-tax)</f>
        <v>166.036468953087</v>
      </c>
      <c r="L6204" s="38" t="n">
        <f aca="false">Sens!$L$6140*(1-tax)</f>
        <v>182.348678369869</v>
      </c>
      <c r="M6204" s="38" t="n">
        <f aca="false">Sens!$M$6140*(1-tax)</f>
        <v>199.243892383632</v>
      </c>
    </row>
    <row r="6205" customFormat="false" ht="15" hidden="false" customHeight="false" outlineLevel="0" collapsed="false">
      <c r="A6205" s="5" t="s">
        <v>854</v>
      </c>
      <c r="B6205" s="0" t="s">
        <v>73</v>
      </c>
      <c r="H6205" s="38" t="n">
        <f aca="false">Sens!$H$6152</f>
        <v>87.6845218193838</v>
      </c>
      <c r="I6205" s="38" t="n">
        <f aca="false">Sens!$I$6152</f>
        <v>122.294769708638</v>
      </c>
      <c r="J6205" s="38" t="n">
        <f aca="false">Sens!$J$6152</f>
        <v>157.133962573221</v>
      </c>
      <c r="K6205" s="38" t="n">
        <f aca="false">Sens!$K$6152</f>
        <v>191.350633353599</v>
      </c>
      <c r="L6205" s="38" t="n">
        <f aca="false">Sens!$L$6152</f>
        <v>223.909238335354</v>
      </c>
      <c r="M6205" s="38" t="n">
        <f aca="false">Sens!$M$6152</f>
        <v>257.576319867276</v>
      </c>
    </row>
    <row r="6206" customFormat="false" ht="15" hidden="false" customHeight="false" outlineLevel="0" collapsed="false">
      <c r="A6206" s="5" t="s">
        <v>855</v>
      </c>
      <c r="B6206" s="0" t="s">
        <v>73</v>
      </c>
      <c r="H6206" s="38" t="n">
        <f aca="false">Sens!$H$6181</f>
        <v>277.870120501355</v>
      </c>
      <c r="I6206" s="38" t="n">
        <f aca="false">Sens!$I$6181</f>
        <v>293.934464585378</v>
      </c>
      <c r="J6206" s="38" t="n">
        <f aca="false">Sens!$J$6181</f>
        <v>308.06904811359</v>
      </c>
      <c r="K6206" s="38" t="n">
        <f aca="false">Sens!$K$6181</f>
        <v>320.385735318248</v>
      </c>
      <c r="L6206" s="38" t="n">
        <f aca="false">Sens!$L$6181</f>
        <v>364.65641921833</v>
      </c>
      <c r="M6206" s="38" t="n">
        <f aca="false">Sens!$M$6181</f>
        <v>432.943173024858</v>
      </c>
    </row>
    <row r="6207" customFormat="false" ht="15" hidden="false" customHeight="false" outlineLevel="0" collapsed="false">
      <c r="A6207" s="5" t="s">
        <v>856</v>
      </c>
      <c r="B6207" s="0" t="s">
        <v>73</v>
      </c>
      <c r="H6207" s="38" t="n">
        <f aca="false">Sens!$H$6182</f>
        <v>1.6</v>
      </c>
      <c r="I6207" s="38" t="n">
        <f aca="false">Sens!$I$6182</f>
        <v>1.6</v>
      </c>
      <c r="J6207" s="38" t="n">
        <f aca="false">Sens!$J$6182</f>
        <v>1.6</v>
      </c>
      <c r="K6207" s="38" t="n">
        <f aca="false">Sens!$K$6182</f>
        <v>1.6</v>
      </c>
      <c r="L6207" s="38" t="n">
        <f aca="false">Sens!$L$6182</f>
        <v>1.6</v>
      </c>
      <c r="M6207" s="38" t="n">
        <f aca="false">Sens!$M$6182</f>
        <v>1.6</v>
      </c>
    </row>
    <row r="6208" customFormat="false" ht="15" hidden="false" customHeight="false" outlineLevel="0" collapsed="false">
      <c r="A6208" s="5" t="s">
        <v>857</v>
      </c>
      <c r="B6208" s="0" t="s">
        <v>73</v>
      </c>
      <c r="H6208" s="38" t="n">
        <f aca="false">Sens!$H$6176</f>
        <v>11.6369707537667</v>
      </c>
      <c r="I6208" s="38" t="n">
        <f aca="false">Sens!$I$6176</f>
        <v>13.3082502961262</v>
      </c>
      <c r="J6208" s="38" t="n">
        <f aca="false">Sens!$J$6176</f>
        <v>14.8747965344332</v>
      </c>
      <c r="K6208" s="38" t="n">
        <f aca="false">Sens!$K$6176</f>
        <v>16.2687901804328</v>
      </c>
      <c r="L6208" s="38" t="n">
        <f aca="false">Sens!$L$6176</f>
        <v>17.7280727627002</v>
      </c>
      <c r="M6208" s="38" t="n">
        <f aca="false">Sens!$M$6176</f>
        <v>19.2574690270319</v>
      </c>
    </row>
    <row r="6209" customFormat="false" ht="17.15" hidden="false" customHeight="false" outlineLevel="0" collapsed="false">
      <c r="A6209" s="1" t="s">
        <v>858</v>
      </c>
      <c r="B6209" s="8" t="s">
        <v>73</v>
      </c>
      <c r="H6209" s="38" t="n">
        <f aca="false">Sens!$H$6204+Sens!$H$6205-Sens!$H$6206-Sens!$H$6207+Sens!$H$6208</f>
        <v>-68.0547065976468</v>
      </c>
      <c r="I6209" s="38" t="n">
        <f aca="false">Sens!$I$6204+Sens!$I$6205-Sens!$I$6206-Sens!$I$6207+Sens!$I$6208</f>
        <v>-27.1523990796972</v>
      </c>
      <c r="J6209" s="38" t="n">
        <f aca="false">Sens!$J$6204+Sens!$J$6205-Sens!$J$6206-Sens!$J$6207+Sens!$J$6208</f>
        <v>13.5212664792573</v>
      </c>
      <c r="K6209" s="38" t="n">
        <f aca="false">Sens!$K$6204+Sens!$K$6205-Sens!$K$6206-Sens!$K$6207+Sens!$K$6208</f>
        <v>51.6701571688709</v>
      </c>
      <c r="L6209" s="38" t="n">
        <f aca="false">Sens!$L$6204+Sens!$L$6205-Sens!$L$6206-Sens!$L$6207+Sens!$L$6208</f>
        <v>57.7295702495933</v>
      </c>
      <c r="M6209" s="38" t="n">
        <f aca="false">Sens!$M$6204+Sens!$M$6205-Sens!$M$6206-Sens!$M$6207+Sens!$M$6208</f>
        <v>41.534508253082</v>
      </c>
    </row>
    <row r="6210" customFormat="false" ht="15" hidden="false" customHeight="false" outlineLevel="0" collapsed="false">
      <c r="A6210" s="5" t="s">
        <v>859</v>
      </c>
      <c r="B6210" s="0" t="s">
        <v>57</v>
      </c>
      <c r="H6210" s="51" t="n">
        <f aca="false">1/(1+wacc)^(2027-2026-0.5)</f>
        <v>0.942858177653364</v>
      </c>
      <c r="I6210" s="51" t="n">
        <f aca="false">1/(1+wacc)^(2028-2026-0.5)</f>
        <v>0.838183517758688</v>
      </c>
      <c r="J6210" s="51" t="n">
        <f aca="false">1/(1+wacc)^(2029-2026-0.5)</f>
        <v>0.745129677074952</v>
      </c>
      <c r="K6210" s="51" t="n">
        <f aca="false">1/(1+wacc)^(2030-2026-0.5)</f>
        <v>0.662406530186232</v>
      </c>
      <c r="L6210" s="51" t="n">
        <f aca="false">1/(1+wacc)^(2031-2026-0.5)</f>
        <v>0.588867179409399</v>
      </c>
      <c r="M6210" s="51" t="n">
        <f aca="false">1/(1+wacc)^(2032-2026-0.5)</f>
        <v>0.52349205387225</v>
      </c>
    </row>
    <row r="6211" customFormat="false" ht="15" hidden="false" customHeight="false" outlineLevel="0" collapsed="false">
      <c r="A6211" s="5" t="s">
        <v>860</v>
      </c>
      <c r="B6211" s="0" t="s">
        <v>73</v>
      </c>
      <c r="H6211" s="38" t="n">
        <f aca="false">Sens!$H$6209*Sens!$H$6210</f>
        <v>-64.1659366433916</v>
      </c>
      <c r="I6211" s="38" t="n">
        <f aca="false">Sens!$I$6209*Sens!$I$6210</f>
        <v>-22.7586933762084</v>
      </c>
      <c r="J6211" s="38" t="n">
        <f aca="false">Sens!$J$6209*Sens!$J$6210</f>
        <v>10.0750969253334</v>
      </c>
      <c r="K6211" s="38" t="n">
        <f aca="false">Sens!$K$6209*Sens!$K$6210</f>
        <v>34.226649524409</v>
      </c>
      <c r="L6211" s="38" t="n">
        <f aca="false">Sens!$L$6209*Sens!$L$6210</f>
        <v>33.9950492013948</v>
      </c>
      <c r="M6211" s="38" t="n">
        <f aca="false">Sens!$M$6209*Sens!$M$6210</f>
        <v>21.7429850319798</v>
      </c>
    </row>
    <row r="6212" customFormat="false" ht="15" hidden="false" customHeight="false" outlineLevel="0" collapsed="false">
      <c r="A6212" s="5" t="s">
        <v>861</v>
      </c>
      <c r="B6212" s="0" t="s">
        <v>73</v>
      </c>
      <c r="C6212" s="38" t="n">
        <f aca="false">SUM(Sens!$H$6211:$M$6211)</f>
        <v>13.115150663517</v>
      </c>
    </row>
    <row r="6213" customFormat="false" ht="17.15" hidden="false" customHeight="false" outlineLevel="0" collapsed="false">
      <c r="A6213" s="5" t="s">
        <v>862</v>
      </c>
      <c r="B6213" s="0" t="s">
        <v>73</v>
      </c>
      <c r="C6213" s="38" t="n">
        <f aca="false">Sens!$M$6204*(1+tg)*(1-tg/ronic)/(wacc-tg)</f>
        <v>1643.3111431308</v>
      </c>
    </row>
    <row r="6214" customFormat="false" ht="15" hidden="false" customHeight="false" outlineLevel="0" collapsed="false">
      <c r="A6214" s="5" t="s">
        <v>863</v>
      </c>
      <c r="B6214" s="0" t="s">
        <v>73</v>
      </c>
      <c r="C6214" s="38" t="n">
        <f aca="false">Sens!$C$6213/(1+wacc)^6</f>
        <v>811.103482778908</v>
      </c>
    </row>
    <row r="6215" customFormat="false" ht="17.15" hidden="false" customHeight="false" outlineLevel="0" collapsed="false">
      <c r="A6215" s="5" t="s">
        <v>864</v>
      </c>
      <c r="B6215" s="0" t="s">
        <v>73</v>
      </c>
      <c r="C6215" s="38" t="n">
        <f aca="false">Sens!$C$6212+Sens!$C$6214</f>
        <v>824.218633442425</v>
      </c>
    </row>
    <row r="6216" customFormat="false" ht="17.15" hidden="false" customHeight="false" outlineLevel="0" collapsed="false">
      <c r="A6216" s="5" t="s">
        <v>865</v>
      </c>
      <c r="B6216" s="0" t="s">
        <v>52</v>
      </c>
      <c r="C6216" s="12" t="n">
        <f aca="false">Sens!$C$6214/Sens!$C$6215</f>
        <v>0.984087777039521</v>
      </c>
    </row>
    <row r="6217" customFormat="false" ht="17.15" hidden="false" customHeight="false" outlineLevel="0" collapsed="false">
      <c r="A6217" s="5" t="s">
        <v>866</v>
      </c>
      <c r="B6217" s="0" t="s">
        <v>73</v>
      </c>
      <c r="C6217" s="38" t="n">
        <f aca="false">Sens!$G$6194</f>
        <v>67.0428850873731</v>
      </c>
    </row>
    <row r="6218" customFormat="false" ht="17.15" hidden="false" customHeight="false" outlineLevel="0" collapsed="false">
      <c r="A6218" s="5" t="s">
        <v>867</v>
      </c>
      <c r="B6218" s="0" t="s">
        <v>73</v>
      </c>
      <c r="C6218" s="38" t="n">
        <f aca="false">(ant_val*ant_sh+oai_val*oai_sh)*(1-liq_disc)</f>
        <v>178.944</v>
      </c>
    </row>
    <row r="6219" customFormat="false" ht="15" hidden="false" customHeight="false" outlineLevel="0" collapsed="false">
      <c r="A6219" s="5" t="s">
        <v>868</v>
      </c>
      <c r="B6219" s="0" t="s">
        <v>73</v>
      </c>
      <c r="C6219" s="38" t="n">
        <f aca="false">Sens!$C$6215-Sens!$C$6217+Sens!$C$6218</f>
        <v>936.119748355051</v>
      </c>
    </row>
    <row r="6220" customFormat="false" ht="17.15" hidden="false" customHeight="false" outlineLevel="0" collapsed="false">
      <c r="A6220" s="5" t="s">
        <v>869</v>
      </c>
      <c r="B6220" s="0" t="s">
        <v>27</v>
      </c>
      <c r="C6220" s="30" t="n">
        <f aca="false">Sens!$C$6219/sh_val</f>
        <v>84.8679147624493</v>
      </c>
    </row>
    <row r="6221" customFormat="false" ht="17.15" hidden="false" customHeight="false" outlineLevel="0" collapsed="false">
      <c r="A6221" s="1" t="s">
        <v>870</v>
      </c>
      <c r="B6221" s="8" t="s">
        <v>27</v>
      </c>
      <c r="C6221" s="30" t="n">
        <f aca="false">Sens!$C$6220*(1+ke)^tp_yf</f>
        <v>93.7319373662158</v>
      </c>
    </row>
    <row r="6222" customFormat="false" ht="17.15" hidden="false" customHeight="false" outlineLevel="0" collapsed="false">
      <c r="A6222" s="3" t="s">
        <v>871</v>
      </c>
    </row>
    <row r="6223" customFormat="false" ht="17.15" hidden="false" customHeight="false" outlineLevel="0" collapsed="false">
      <c r="A6223" s="5" t="s">
        <v>872</v>
      </c>
      <c r="B6223" s="0" t="s">
        <v>73</v>
      </c>
      <c r="C6223" s="38" t="n">
        <f aca="false">0.25*Sens!$H$6153+0.75*Sens!$I$6153</f>
        <v>57.5541093268329</v>
      </c>
    </row>
    <row r="6224" customFormat="false" ht="15" hidden="false" customHeight="false" outlineLevel="0" collapsed="false">
      <c r="A6224" s="5" t="s">
        <v>873</v>
      </c>
      <c r="B6224" s="0" t="s">
        <v>57</v>
      </c>
      <c r="C6224" s="30" t="n">
        <f aca="false">m_ads*m_x</f>
        <v>9.11</v>
      </c>
    </row>
    <row r="6225" customFormat="false" ht="17.15" hidden="false" customHeight="false" outlineLevel="0" collapsed="false">
      <c r="A6225" s="5" t="s">
        <v>874</v>
      </c>
      <c r="B6225" s="0" t="s">
        <v>73</v>
      </c>
      <c r="C6225" s="38" t="n">
        <f aca="false">Sens!$C$6223*Sens!$C$6224</f>
        <v>524.317935967448</v>
      </c>
    </row>
    <row r="6226" customFormat="false" ht="17.15" hidden="false" customHeight="false" outlineLevel="0" collapsed="false">
      <c r="A6226" s="5" t="s">
        <v>875</v>
      </c>
      <c r="B6226" s="0" t="s">
        <v>73</v>
      </c>
      <c r="C6226" s="38" t="n">
        <f aca="false">0.25*Sens!$H$6154+0.75*Sens!$I$6154</f>
        <v>30.6290803533085</v>
      </c>
    </row>
    <row r="6227" customFormat="false" ht="15" hidden="false" customHeight="false" outlineLevel="0" collapsed="false">
      <c r="A6227" s="5" t="s">
        <v>876</v>
      </c>
      <c r="B6227" s="0" t="s">
        <v>57</v>
      </c>
      <c r="C6227" s="30" t="n">
        <f aca="false">m_retail*m_x</f>
        <v>17.72</v>
      </c>
    </row>
    <row r="6228" customFormat="false" ht="17.15" hidden="false" customHeight="false" outlineLevel="0" collapsed="false">
      <c r="A6228" s="5" t="s">
        <v>877</v>
      </c>
      <c r="B6228" s="0" t="s">
        <v>73</v>
      </c>
      <c r="C6228" s="38" t="n">
        <f aca="false">Sens!$C$6226*Sens!$C$6227</f>
        <v>542.747303860627</v>
      </c>
    </row>
    <row r="6229" customFormat="false" ht="17.15" hidden="false" customHeight="false" outlineLevel="0" collapsed="false">
      <c r="A6229" s="0" t="s">
        <v>878</v>
      </c>
      <c r="B6229" s="0" t="s">
        <v>73</v>
      </c>
      <c r="C6229" s="38" t="n">
        <f aca="false">0.25*Sens!$H$6155+0.75*Sens!$I$6155</f>
        <v>107.575398943098</v>
      </c>
    </row>
    <row r="6230" customFormat="false" ht="17.15" hidden="false" customHeight="false" outlineLevel="0" collapsed="false">
      <c r="A6230" s="0" t="s">
        <v>879</v>
      </c>
      <c r="B6230" s="0" t="s">
        <v>57</v>
      </c>
      <c r="C6230" s="30" t="n">
        <f aca="false">m_cloud*m_x</f>
        <v>13.82</v>
      </c>
    </row>
    <row r="6231" customFormat="false" ht="17.15" hidden="false" customHeight="false" outlineLevel="0" collapsed="false">
      <c r="A6231" s="0" t="s">
        <v>880</v>
      </c>
      <c r="B6231" s="0" t="s">
        <v>73</v>
      </c>
      <c r="C6231" s="38" t="n">
        <f aca="false">Sens!$C$6229*Sens!$C$6230</f>
        <v>1486.69201339361</v>
      </c>
    </row>
    <row r="6232" customFormat="false" ht="17.15" hidden="false" customHeight="false" outlineLevel="0" collapsed="false">
      <c r="A6232" s="0" t="s">
        <v>881</v>
      </c>
      <c r="B6232" s="0" t="s">
        <v>73</v>
      </c>
      <c r="C6232" s="38" t="n">
        <f aca="false">0.25*Sens!$H$6156+0.75*Sens!$I$6156</f>
        <v>72.2947701247864</v>
      </c>
    </row>
    <row r="6233" customFormat="false" ht="17.15" hidden="false" customHeight="false" outlineLevel="0" collapsed="false">
      <c r="A6233" s="0" t="s">
        <v>882</v>
      </c>
      <c r="B6233" s="0" t="s">
        <v>57</v>
      </c>
      <c r="C6233" s="30" t="n">
        <f aca="false">m_ai_hi</f>
        <v>10</v>
      </c>
    </row>
    <row r="6234" customFormat="false" ht="17.15" hidden="false" customHeight="false" outlineLevel="0" collapsed="false">
      <c r="A6234" s="0" t="s">
        <v>883</v>
      </c>
      <c r="B6234" s="0" t="s">
        <v>73</v>
      </c>
      <c r="C6234" s="38" t="n">
        <f aca="false">Sens!$C$6232*Sens!$C$6233</f>
        <v>722.947701247864</v>
      </c>
    </row>
    <row r="6235" customFormat="false" ht="17.15" hidden="false" customHeight="false" outlineLevel="0" collapsed="false">
      <c r="A6235" s="5" t="s">
        <v>884</v>
      </c>
      <c r="B6235" s="0" t="s">
        <v>73</v>
      </c>
      <c r="C6235" s="38" t="n">
        <f aca="false">Sens!$C$6225+Sens!$C$6228+Sens!$C$6231+Sens!$C$6234</f>
        <v>3276.70495446955</v>
      </c>
    </row>
    <row r="6236" customFormat="false" ht="17.15" hidden="false" customHeight="false" outlineLevel="0" collapsed="false">
      <c r="A6236" s="5" t="s">
        <v>885</v>
      </c>
      <c r="B6236" s="0" t="s">
        <v>73</v>
      </c>
      <c r="C6236" s="38" t="n">
        <f aca="false">Sens!$H$6194</f>
        <v>113.741590679904</v>
      </c>
    </row>
    <row r="6237" customFormat="false" ht="15" hidden="false" customHeight="false" outlineLevel="0" collapsed="false">
      <c r="A6237" s="5" t="s">
        <v>886</v>
      </c>
      <c r="B6237" s="0" t="s">
        <v>73</v>
      </c>
      <c r="C6237" s="38" t="n">
        <f aca="false">Sens!$C$6235-Sens!$C$6236+Sens!$C$6218</f>
        <v>3341.90736378964</v>
      </c>
    </row>
    <row r="6238" customFormat="false" ht="15" hidden="false" customHeight="false" outlineLevel="0" collapsed="false">
      <c r="A6238" s="3" t="s">
        <v>887</v>
      </c>
      <c r="B6238" s="8" t="s">
        <v>27</v>
      </c>
      <c r="C6238" s="30" t="n">
        <f aca="false">Sens!$C$6237/sh_val</f>
        <v>302.974816835644</v>
      </c>
    </row>
    <row r="6239" customFormat="false" ht="17.15" hidden="false" customHeight="false" outlineLevel="0" collapsed="false">
      <c r="A6239" s="46" t="s">
        <v>888</v>
      </c>
      <c r="B6239" s="13" t="s">
        <v>27</v>
      </c>
      <c r="C6239" s="43" t="n">
        <f aca="false">w_dcf*Sens!$C$6221+(1-w_dcf)*Sens!$C$6238</f>
        <v>198.35337710093</v>
      </c>
      <c r="D6239" s="13"/>
      <c r="E6239" s="13"/>
      <c r="F6239" s="13"/>
      <c r="G6239" s="13"/>
      <c r="H6239" s="13"/>
      <c r="I6239" s="13"/>
      <c r="J6239" s="13"/>
      <c r="K6239" s="13"/>
      <c r="L6239" s="13"/>
      <c r="M6239" s="13"/>
      <c r="N6239" s="13"/>
      <c r="O6239" s="13"/>
    </row>
    <row r="6240" customFormat="false" ht="17.15" hidden="false" customHeight="false" outlineLevel="0" collapsed="false">
      <c r="A6240" s="5" t="s">
        <v>889</v>
      </c>
      <c r="B6240" s="0" t="s">
        <v>27</v>
      </c>
      <c r="C6240" s="30" t="n">
        <f aca="false">0.45*Sens!$C$6221+0.55*Sens!$C$6238</f>
        <v>208.815521074402</v>
      </c>
    </row>
    <row r="6243" customFormat="false" ht="19.4" hidden="false" customHeight="false" outlineLevel="0" collapsed="false">
      <c r="A6243" s="31" t="s">
        <v>1180</v>
      </c>
    </row>
    <row r="6244" customFormat="false" ht="17.15" hidden="false" customHeight="false" outlineLevel="0" collapsed="false">
      <c r="A6244" s="6" t="s">
        <v>16</v>
      </c>
      <c r="B6244" s="6" t="s">
        <v>17</v>
      </c>
      <c r="C6244" s="20" t="s">
        <v>457</v>
      </c>
      <c r="D6244" s="20" t="s">
        <v>458</v>
      </c>
      <c r="E6244" s="20" t="s">
        <v>540</v>
      </c>
      <c r="F6244" s="20" t="s">
        <v>541</v>
      </c>
      <c r="G6244" s="20" t="s">
        <v>542</v>
      </c>
      <c r="H6244" s="20" t="s">
        <v>543</v>
      </c>
      <c r="I6244" s="20" t="s">
        <v>544</v>
      </c>
      <c r="J6244" s="20" t="s">
        <v>545</v>
      </c>
      <c r="K6244" s="20" t="s">
        <v>546</v>
      </c>
      <c r="L6244" s="20" t="s">
        <v>547</v>
      </c>
      <c r="M6244" s="20" t="s">
        <v>548</v>
      </c>
      <c r="N6244" s="20" t="s">
        <v>549</v>
      </c>
      <c r="O6244" s="20" t="s">
        <v>550</v>
      </c>
      <c r="P6244" s="6" t="s">
        <v>23</v>
      </c>
      <c r="R6244" s="20" t="n">
        <v>2023</v>
      </c>
      <c r="S6244" s="20" t="n">
        <v>2024</v>
      </c>
      <c r="T6244" s="20" t="n">
        <v>2025</v>
      </c>
      <c r="U6244" s="20" t="n">
        <v>2026</v>
      </c>
      <c r="V6244" s="20" t="n">
        <v>2027</v>
      </c>
      <c r="W6244" s="20" t="n">
        <v>2028</v>
      </c>
      <c r="X6244" s="20" t="n">
        <v>2029</v>
      </c>
      <c r="Y6244" s="20" t="n">
        <v>2030</v>
      </c>
      <c r="Z6244" s="20" t="n">
        <v>2031</v>
      </c>
      <c r="AA6244" s="20" t="n">
        <v>2032</v>
      </c>
    </row>
    <row r="6245" customFormat="false" ht="17.15" hidden="false" customHeight="false" outlineLevel="0" collapsed="false">
      <c r="A6245" s="1" t="s">
        <v>621</v>
      </c>
    </row>
    <row r="6246" customFormat="false" ht="17.15" hidden="false" customHeight="false" outlineLevel="0" collapsed="false">
      <c r="A6246" s="0" t="s">
        <v>479</v>
      </c>
      <c r="B6246" s="0" t="s">
        <v>73</v>
      </c>
      <c r="C6246" s="38" t="n">
        <f aca="false">Q!$D$10</f>
        <v>247.029</v>
      </c>
      <c r="D6246" s="38" t="n">
        <f aca="false">Q!$E$10</f>
        <v>269.287</v>
      </c>
      <c r="E6246" s="38" t="n">
        <f aca="false">Q!$P$10</f>
        <v>134.686</v>
      </c>
      <c r="F6246" s="38" t="n">
        <f aca="false">Sens!$O$6246*(1+Sens!$F$6247)-pd_amt*Q!$O$10/(Q!$O$10+Q!$O$12)</f>
        <v>160.728085930082</v>
      </c>
      <c r="G6246" s="38" t="n">
        <f aca="false">Sens!$E$6246+Sens!$F$6246</f>
        <v>295.414085930082</v>
      </c>
      <c r="H6246" s="38" t="n">
        <f aca="false">Sens!$G$6246*(1+Sens!$H$6247)</f>
        <v>320.828163943375</v>
      </c>
      <c r="I6246" s="38" t="n">
        <f aca="false">Sens!$H$6246*(1+Sens!$I$6247)</f>
        <v>344.575578072228</v>
      </c>
      <c r="J6246" s="38" t="n">
        <f aca="false">Sens!$I$6246*(1+Sens!$J$6247)</f>
        <v>365.942555779681</v>
      </c>
      <c r="K6246" s="38" t="n">
        <f aca="false">Sens!$J$6246*(1+Sens!$K$6247)</f>
        <v>384.239683568665</v>
      </c>
      <c r="L6246" s="38" t="n">
        <f aca="false">Sens!$K$6246*(1+Sens!$L$6247)</f>
        <v>403.451667747098</v>
      </c>
      <c r="M6246" s="38" t="n">
        <f aca="false">Sens!$L$6246*(1+Sens!$M$6247)</f>
        <v>423.624251134453</v>
      </c>
      <c r="N6246" s="38" t="n">
        <f aca="false">Q!$N$10</f>
        <v>118.892</v>
      </c>
      <c r="O6246" s="38" t="n">
        <f aca="false">Q!$O$10</f>
        <v>150.395</v>
      </c>
      <c r="P6246" s="8" t="s">
        <v>622</v>
      </c>
    </row>
    <row r="6247" customFormat="false" ht="17.15" hidden="false" customHeight="false" outlineLevel="0" collapsed="false">
      <c r="A6247" s="0" t="s">
        <v>623</v>
      </c>
      <c r="B6247" s="0" t="s">
        <v>52</v>
      </c>
      <c r="E6247" s="12" t="n">
        <f aca="false">Sens!$E$6246/Sens!$N$6246-1</f>
        <v>0.132843252699929</v>
      </c>
      <c r="F6247" s="12" t="n">
        <f aca="false">Sens!$O$6246/(Q!$F$10+Q!$G$10)-1</f>
        <v>0.0980382135842941</v>
      </c>
      <c r="G6247" s="12" t="n">
        <f aca="false">Sens!$G$6246/Sens!$D$6246-1</f>
        <v>0.0970231980380869</v>
      </c>
      <c r="H6247" s="12" t="n">
        <f aca="false">Sens!$F$6247+(g_os-Sens!$F$6247)*1/4</f>
        <v>0.0860286601882206</v>
      </c>
      <c r="I6247" s="12" t="n">
        <f aca="false">Sens!$F$6247+(g_os-Sens!$F$6247)*2/4</f>
        <v>0.074019106792147</v>
      </c>
      <c r="J6247" s="12" t="n">
        <f aca="false">Sens!$F$6247+(g_os-Sens!$F$6247)*3/4</f>
        <v>0.0620095533960735</v>
      </c>
      <c r="K6247" s="12" t="n">
        <f aca="false">Sens!$F$6247+(g_os-Sens!$F$6247)*4/4</f>
        <v>0.05</v>
      </c>
      <c r="L6247" s="12" t="n">
        <f aca="false">g_os</f>
        <v>0.05</v>
      </c>
      <c r="M6247" s="12" t="n">
        <f aca="false">g_os</f>
        <v>0.05</v>
      </c>
      <c r="P6247" s="8" t="s">
        <v>624</v>
      </c>
    </row>
    <row r="6248" customFormat="false" ht="17.15" hidden="false" customHeight="false" outlineLevel="0" collapsed="false">
      <c r="A6248" s="0" t="s">
        <v>480</v>
      </c>
      <c r="B6248" s="0" t="s">
        <v>73</v>
      </c>
      <c r="C6248" s="38" t="n">
        <f aca="false">Q!$D$11</f>
        <v>21.215</v>
      </c>
      <c r="D6248" s="38" t="n">
        <f aca="false">Q!$E$11</f>
        <v>22.561</v>
      </c>
      <c r="E6248" s="38" t="n">
        <f aca="false">Q!$P$11</f>
        <v>11.579</v>
      </c>
      <c r="F6248" s="38" t="n">
        <f aca="false">Sens!$O$6248*(1+Sens!$F$6249)</f>
        <v>12.0952613121125</v>
      </c>
      <c r="G6248" s="38" t="n">
        <f aca="false">Sens!$E$6248+Sens!$F$6248</f>
        <v>23.6742613121125</v>
      </c>
      <c r="H6248" s="38" t="n">
        <f aca="false">Sens!$G$6248*(1+Sens!$H$6249)</f>
        <v>24.8803243963206</v>
      </c>
      <c r="I6248" s="38" t="n">
        <f aca="false">Sens!$H$6248*(1+Sens!$I$6249)</f>
        <v>25.9741308664154</v>
      </c>
      <c r="J6248" s="38" t="n">
        <f aca="false">Sens!$I$6248*(1+Sens!$J$6249)</f>
        <v>26.9346894124267</v>
      </c>
      <c r="K6248" s="38" t="n">
        <f aca="false">Sens!$J$6248*(1+Sens!$K$6249)</f>
        <v>27.7427300947995</v>
      </c>
      <c r="L6248" s="38" t="n">
        <f aca="false">Sens!$K$6248*(1+Sens!$L$6249)</f>
        <v>28.5750119976435</v>
      </c>
      <c r="M6248" s="38" t="n">
        <f aca="false">Sens!$L$6248*(1+Sens!$M$6249)</f>
        <v>29.4322623575728</v>
      </c>
      <c r="N6248" s="38" t="n">
        <f aca="false">Q!$N$11</f>
        <v>11.128</v>
      </c>
      <c r="O6248" s="38" t="n">
        <f aca="false">Q!$O$11</f>
        <v>11.433</v>
      </c>
      <c r="P6248" s="8" t="s">
        <v>622</v>
      </c>
    </row>
    <row r="6249" customFormat="false" ht="17.15" hidden="false" customHeight="false" outlineLevel="0" collapsed="false">
      <c r="A6249" s="0" t="s">
        <v>625</v>
      </c>
      <c r="B6249" s="0" t="s">
        <v>52</v>
      </c>
      <c r="E6249" s="12" t="n">
        <f aca="false">Sens!$E$6248/Sens!$N$6248-1</f>
        <v>0.0405283968368082</v>
      </c>
      <c r="F6249" s="12" t="n">
        <f aca="false">Sens!$O$6248/(Q!$F$11+Q!$G$11)-1</f>
        <v>0.0579254187100955</v>
      </c>
      <c r="G6249" s="12" t="n">
        <f aca="false">Sens!$G$6248/Sens!$D$6248-1</f>
        <v>0.0493445021103904</v>
      </c>
      <c r="H6249" s="12" t="n">
        <f aca="false">Sens!$F$6249+(g_ps-Sens!$F$6249)*1/4</f>
        <v>0.0509440640325716</v>
      </c>
      <c r="I6249" s="12" t="n">
        <f aca="false">Sens!$F$6249+(g_ps-Sens!$F$6249)*2/4</f>
        <v>0.0439627093550477</v>
      </c>
      <c r="J6249" s="12" t="n">
        <f aca="false">Sens!$F$6249+(g_ps-Sens!$F$6249)*3/4</f>
        <v>0.0369813546775239</v>
      </c>
      <c r="K6249" s="12" t="n">
        <f aca="false">Sens!$F$6249+(g_ps-Sens!$F$6249)*4/4</f>
        <v>0.03</v>
      </c>
      <c r="L6249" s="12" t="n">
        <f aca="false">g_ps</f>
        <v>0.03</v>
      </c>
      <c r="M6249" s="12" t="n">
        <f aca="false">g_ps</f>
        <v>0.03</v>
      </c>
      <c r="P6249" s="8" t="s">
        <v>626</v>
      </c>
    </row>
    <row r="6250" customFormat="false" ht="17.15" hidden="false" customHeight="false" outlineLevel="0" collapsed="false">
      <c r="A6250" s="0" t="s">
        <v>481</v>
      </c>
      <c r="B6250" s="0" t="s">
        <v>73</v>
      </c>
      <c r="C6250" s="38" t="n">
        <f aca="false">Q!$D$12</f>
        <v>156.146</v>
      </c>
      <c r="D6250" s="38" t="n">
        <f aca="false">Q!$E$12</f>
        <v>172.162</v>
      </c>
      <c r="E6250" s="38" t="n">
        <f aca="false">Q!$P$12</f>
        <v>88.358</v>
      </c>
      <c r="F6250" s="38" t="n">
        <f aca="false">Sens!$O$6250*(1+Sens!$F$6251)-pd_amt*Q!$O$12/(Q!$O$10+Q!$O$12)</f>
        <v>103.62028337149</v>
      </c>
      <c r="G6250" s="38" t="n">
        <f aca="false">Sens!$E$6250+Sens!$F$6250</f>
        <v>191.97828337149</v>
      </c>
      <c r="H6250" s="38" t="n">
        <f aca="false">Sens!$G$6250*(1+Sens!$H$6251)</f>
        <v>212.128608444755</v>
      </c>
      <c r="I6250" s="38" t="n">
        <f aca="false">Sens!$H$6250*(1+Sens!$I$6251)</f>
        <v>231.92183134134</v>
      </c>
      <c r="J6250" s="38" t="n">
        <f aca="false">Sens!$I$6250*(1+Sens!$J$6251)</f>
        <v>250.859136487863</v>
      </c>
      <c r="K6250" s="38" t="n">
        <f aca="false">Sens!$J$6250*(1+Sens!$K$6251)</f>
        <v>268.419276042014</v>
      </c>
      <c r="L6250" s="38" t="n">
        <f aca="false">Sens!$K$6250*(1+Sens!$L$6251)</f>
        <v>287.208625364954</v>
      </c>
      <c r="M6250" s="38" t="n">
        <f aca="false">Sens!$L$6250*(1+Sens!$M$6251)</f>
        <v>307.313229140501</v>
      </c>
      <c r="N6250" s="38" t="n">
        <f aca="false">Q!$N$12</f>
        <v>76.86</v>
      </c>
      <c r="O6250" s="38" t="n">
        <f aca="false">Q!$O$12</f>
        <v>95.302</v>
      </c>
      <c r="P6250" s="8" t="s">
        <v>622</v>
      </c>
    </row>
    <row r="6251" customFormat="false" ht="17.15" hidden="false" customHeight="false" outlineLevel="0" collapsed="false">
      <c r="A6251" s="0" t="s">
        <v>627</v>
      </c>
      <c r="B6251" s="0" t="s">
        <v>52</v>
      </c>
      <c r="E6251" s="12" t="n">
        <f aca="false">Sens!$E$6250/Sens!$N$6250-1</f>
        <v>0.1495966692688</v>
      </c>
      <c r="F6251" s="12" t="n">
        <f aca="false">Sens!$O$6250/(Q!$F$12+Q!$G$12)-1</f>
        <v>0.11661530890813</v>
      </c>
      <c r="G6251" s="12" t="n">
        <f aca="false">Sens!$G$6250/Sens!$D$6250-1</f>
        <v>0.115102539303041</v>
      </c>
      <c r="H6251" s="12" t="n">
        <f aca="false">Sens!$F$6251+(g_sp-Sens!$F$6251)*1/4</f>
        <v>0.104961481681098</v>
      </c>
      <c r="I6251" s="12" t="n">
        <f aca="false">Sens!$F$6251+(g_sp-Sens!$F$6251)*2/4</f>
        <v>0.0933076544540651</v>
      </c>
      <c r="J6251" s="12" t="n">
        <f aca="false">Sens!$F$6251+(g_sp-Sens!$F$6251)*3/4</f>
        <v>0.0816538272270325</v>
      </c>
      <c r="K6251" s="12" t="n">
        <f aca="false">Sens!$F$6251+(g_sp-Sens!$F$6251)*4/4</f>
        <v>0.07</v>
      </c>
      <c r="L6251" s="12" t="n">
        <f aca="false">g_sp</f>
        <v>0.07</v>
      </c>
      <c r="M6251" s="12" t="n">
        <f aca="false">g_sp</f>
        <v>0.07</v>
      </c>
      <c r="P6251" s="8" t="s">
        <v>628</v>
      </c>
    </row>
    <row r="6252" customFormat="false" ht="17.15" hidden="false" customHeight="false" outlineLevel="0" collapsed="false">
      <c r="A6252" s="0" t="s">
        <v>482</v>
      </c>
      <c r="B6252" s="0" t="s">
        <v>73</v>
      </c>
      <c r="C6252" s="38" t="n">
        <f aca="false">Q!$D$13</f>
        <v>56.214</v>
      </c>
      <c r="D6252" s="38" t="n">
        <f aca="false">Q!$E$13</f>
        <v>68.635</v>
      </c>
      <c r="E6252" s="38" t="n">
        <f aca="false">Q!$P$13</f>
        <v>37.052</v>
      </c>
      <c r="F6252" s="38" t="n">
        <f aca="false">Sens!$O$6252*(1+Sens!$F$6253)</f>
        <v>48.1533381827382</v>
      </c>
      <c r="G6252" s="38" t="n">
        <f aca="false">Sens!$E$6252+Sens!$F$6252</f>
        <v>85.2053381827382</v>
      </c>
      <c r="H6252" s="38" t="n">
        <f aca="false">Sens!$G$6252*(1+Sens!$H$6253)</f>
        <v>102.29336185894</v>
      </c>
      <c r="I6252" s="38" t="n">
        <f aca="false">Sens!$H$6252*(1+Sens!$I$6253)</f>
        <v>119.379837585241</v>
      </c>
      <c r="J6252" s="38" t="n">
        <f aca="false">Sens!$I$6252*(1+Sens!$J$6253)</f>
        <v>135.319079048844</v>
      </c>
      <c r="K6252" s="38" t="n">
        <f aca="false">Sens!$J$6252*(1+Sens!$K$6253)</f>
        <v>148.850986953729</v>
      </c>
      <c r="L6252" s="38" t="n">
        <f aca="false">Sens!$K$6252*(1+Sens!$L$6253)</f>
        <v>163.736085649102</v>
      </c>
      <c r="M6252" s="38" t="n">
        <f aca="false">Sens!$L$6252*(1+Sens!$M$6253)</f>
        <v>180.109694214012</v>
      </c>
      <c r="N6252" s="38" t="n">
        <f aca="false">Q!$N$13</f>
        <v>29.615</v>
      </c>
      <c r="O6252" s="38" t="n">
        <f aca="false">Q!$O$13</f>
        <v>39.02</v>
      </c>
      <c r="P6252" s="8" t="s">
        <v>622</v>
      </c>
    </row>
    <row r="6253" customFormat="false" ht="17.15" hidden="false" customHeight="false" outlineLevel="0" collapsed="false">
      <c r="A6253" s="0" t="s">
        <v>629</v>
      </c>
      <c r="B6253" s="0" t="s">
        <v>52</v>
      </c>
      <c r="E6253" s="12" t="n">
        <f aca="false">Sens!$E$6252/Sens!$N$6252-1</f>
        <v>0.25112274185379</v>
      </c>
      <c r="F6253" s="12" t="n">
        <f aca="false">Sens!$O$6252/(Q!$F$13+Q!$G$13)-1</f>
        <v>0.234068123596572</v>
      </c>
      <c r="G6253" s="12" t="n">
        <f aca="false">Sens!$G$6252/Sens!$D$6252-1</f>
        <v>0.241426942270536</v>
      </c>
      <c r="H6253" s="12" t="n">
        <f aca="false">Sens!$F$6253+(g_ad-Sens!$F$6253)*1/4</f>
        <v>0.200551092697429</v>
      </c>
      <c r="I6253" s="12" t="n">
        <f aca="false">Sens!$F$6253+(g_ad-Sens!$F$6253)*2/4</f>
        <v>0.167034061798286</v>
      </c>
      <c r="J6253" s="12" t="n">
        <f aca="false">Sens!$F$6253+(g_ad-Sens!$F$6253)*3/4</f>
        <v>0.133517030899143</v>
      </c>
      <c r="K6253" s="12" t="n">
        <f aca="false">Sens!$F$6253+(g_ad-Sens!$F$6253)*4/4</f>
        <v>0.1</v>
      </c>
      <c r="L6253" s="12" t="n">
        <f aca="false">g_ad</f>
        <v>0.1</v>
      </c>
      <c r="M6253" s="12" t="n">
        <f aca="false">g_ad</f>
        <v>0.1</v>
      </c>
      <c r="P6253" s="8" t="s">
        <v>630</v>
      </c>
    </row>
    <row r="6254" customFormat="false" ht="17.15" hidden="false" customHeight="false" outlineLevel="0" collapsed="false">
      <c r="A6254" s="0" t="s">
        <v>483</v>
      </c>
      <c r="B6254" s="0" t="s">
        <v>73</v>
      </c>
      <c r="C6254" s="38" t="n">
        <f aca="false">Q!$D$14</f>
        <v>44.374</v>
      </c>
      <c r="D6254" s="38" t="n">
        <f aca="false">Q!$E$14</f>
        <v>49.619</v>
      </c>
      <c r="E6254" s="38" t="n">
        <f aca="false">Q!$P$14</f>
        <v>27.157</v>
      </c>
      <c r="F6254" s="38" t="n">
        <f aca="false">Sens!$O$6254*(1+Sens!$F$6255)</f>
        <v>28.9776360923374</v>
      </c>
      <c r="G6254" s="38" t="n">
        <f aca="false">Sens!$E$6254+Sens!$F$6254</f>
        <v>56.1346360923374</v>
      </c>
      <c r="H6254" s="38" t="n">
        <f aca="false">Sens!$G$6254*(1+Sens!$H$6255)</f>
        <v>62.4937078946075</v>
      </c>
      <c r="I6254" s="38" t="n">
        <f aca="false">Sens!$H$6254*(1+Sens!$I$6255)</f>
        <v>68.6715233062498</v>
      </c>
      <c r="J6254" s="38" t="n">
        <f aca="false">Sens!$I$6254*(1+Sens!$J$6255)</f>
        <v>74.4692882949818</v>
      </c>
      <c r="K6254" s="38" t="n">
        <f aca="false">Sens!$J$6254*(1+Sens!$K$6255)</f>
        <v>79.6821384756306</v>
      </c>
      <c r="L6254" s="38" t="n">
        <f aca="false">Sens!$K$6254*(1+Sens!$L$6255)</f>
        <v>85.2598881689247</v>
      </c>
      <c r="M6254" s="38" t="n">
        <f aca="false">Sens!$L$6254*(1+Sens!$M$6255)</f>
        <v>91.2280803407494</v>
      </c>
      <c r="N6254" s="38" t="n">
        <f aca="false">Q!$N$14</f>
        <v>23.923</v>
      </c>
      <c r="O6254" s="38" t="n">
        <f aca="false">Q!$O$14</f>
        <v>25.696</v>
      </c>
      <c r="P6254" s="8" t="s">
        <v>622</v>
      </c>
    </row>
    <row r="6255" customFormat="false" ht="17.15" hidden="false" customHeight="false" outlineLevel="0" collapsed="false">
      <c r="A6255" s="0" t="s">
        <v>631</v>
      </c>
      <c r="B6255" s="0" t="s">
        <v>52</v>
      </c>
      <c r="E6255" s="12" t="n">
        <f aca="false">Sens!$E$6254/Sens!$N$6254-1</f>
        <v>0.135183714417088</v>
      </c>
      <c r="F6255" s="12" t="n">
        <f aca="false">Sens!$O$6254/(Q!$F$14+Q!$G$14)-1</f>
        <v>0.127709997366804</v>
      </c>
      <c r="G6255" s="12" t="n">
        <f aca="false">Sens!$G$6254/Sens!$D$6254-1</f>
        <v>0.131313329416905</v>
      </c>
      <c r="H6255" s="12" t="n">
        <f aca="false">Sens!$F$6255+(g_sub-Sens!$F$6255)*1/4</f>
        <v>0.113282498025103</v>
      </c>
      <c r="I6255" s="12" t="n">
        <f aca="false">Sens!$F$6255+(g_sub-Sens!$F$6255)*2/4</f>
        <v>0.0988549986834021</v>
      </c>
      <c r="J6255" s="12" t="n">
        <f aca="false">Sens!$F$6255+(g_sub-Sens!$F$6255)*3/4</f>
        <v>0.084427499341701</v>
      </c>
      <c r="K6255" s="12" t="n">
        <f aca="false">Sens!$F$6255+(g_sub-Sens!$F$6255)*4/4</f>
        <v>0.07</v>
      </c>
      <c r="L6255" s="12" t="n">
        <f aca="false">g_sub</f>
        <v>0.07</v>
      </c>
      <c r="M6255" s="12" t="n">
        <f aca="false">g_sub</f>
        <v>0.07</v>
      </c>
      <c r="P6255" s="8" t="s">
        <v>632</v>
      </c>
    </row>
    <row r="6256" customFormat="false" ht="17.15" hidden="false" customHeight="false" outlineLevel="0" collapsed="false">
      <c r="A6256" s="0" t="s">
        <v>484</v>
      </c>
      <c r="B6256" s="0" t="s">
        <v>73</v>
      </c>
      <c r="C6256" s="38" t="n">
        <f aca="false">Q!$D$15</f>
        <v>5.425</v>
      </c>
      <c r="D6256" s="38" t="n">
        <f aca="false">Q!$E$15</f>
        <v>5.935</v>
      </c>
      <c r="E6256" s="38" t="n">
        <f aca="false">Q!$P$15</f>
        <v>3.474</v>
      </c>
      <c r="F6256" s="38" t="n">
        <f aca="false">Sens!$O$6256*(1+Sens!$F$6257)</f>
        <v>3.36182431966931</v>
      </c>
      <c r="G6256" s="38" t="n">
        <f aca="false">Sens!$E$6256+Sens!$F$6256</f>
        <v>6.83582431966931</v>
      </c>
      <c r="H6256" s="38" t="n">
        <f aca="false">Sens!$G$6256*(1+Sens!$H$6257)</f>
        <v>7.31157108370141</v>
      </c>
      <c r="I6256" s="38" t="n">
        <f aca="false">Sens!$H$6256*(1+Sens!$I$6257)</f>
        <v>7.77266852639815</v>
      </c>
      <c r="J6256" s="38" t="n">
        <f aca="false">Sens!$I$6256*(1+Sens!$J$6257)</f>
        <v>8.2120733019884</v>
      </c>
      <c r="K6256" s="38" t="n">
        <f aca="false">Sens!$J$6256*(1+Sens!$K$6257)</f>
        <v>8.62267696708783</v>
      </c>
      <c r="L6256" s="38" t="n">
        <f aca="false">Sens!$K$6256*(1+Sens!$L$6257)</f>
        <v>9.05381081544222</v>
      </c>
      <c r="M6256" s="38" t="n">
        <f aca="false">Sens!$L$6256*(1+Sens!$M$6257)</f>
        <v>9.50650135621433</v>
      </c>
      <c r="N6256" s="38" t="n">
        <f aca="false">Q!$N$15</f>
        <v>2.811</v>
      </c>
      <c r="O6256" s="38" t="n">
        <f aca="false">Q!$O$15</f>
        <v>3.124</v>
      </c>
      <c r="P6256" s="8" t="s">
        <v>622</v>
      </c>
    </row>
    <row r="6257" customFormat="false" ht="17.15" hidden="false" customHeight="false" outlineLevel="0" collapsed="false">
      <c r="A6257" s="0" t="s">
        <v>633</v>
      </c>
      <c r="B6257" s="0" t="s">
        <v>52</v>
      </c>
      <c r="E6257" s="12" t="n">
        <f aca="false">Sens!$E$6256/Sens!$N$6256-1</f>
        <v>0.235859124866596</v>
      </c>
      <c r="F6257" s="12" t="n">
        <f aca="false">Sens!$O$6256/(Q!$F$15+Q!$G$15)-1</f>
        <v>0.0761281433000345</v>
      </c>
      <c r="G6257" s="12" t="n">
        <f aca="false">Sens!$G$6256/Sens!$D$6256-1</f>
        <v>0.151781688234087</v>
      </c>
      <c r="H6257" s="12" t="n">
        <f aca="false">Sens!$F$6257+(g_ot-Sens!$F$6257)*1/4</f>
        <v>0.0695961074750259</v>
      </c>
      <c r="I6257" s="12" t="n">
        <f aca="false">Sens!$F$6257+(g_ot-Sens!$F$6257)*2/4</f>
        <v>0.0630640716500172</v>
      </c>
      <c r="J6257" s="12" t="n">
        <f aca="false">Sens!$F$6257+(g_ot-Sens!$F$6257)*3/4</f>
        <v>0.0565320358250086</v>
      </c>
      <c r="K6257" s="12" t="n">
        <f aca="false">Sens!$F$6257+(g_ot-Sens!$F$6257)*4/4</f>
        <v>0.05</v>
      </c>
      <c r="L6257" s="12" t="n">
        <f aca="false">g_ot</f>
        <v>0.05</v>
      </c>
      <c r="M6257" s="12" t="n">
        <f aca="false">g_ot</f>
        <v>0.05</v>
      </c>
      <c r="P6257" s="8" t="s">
        <v>634</v>
      </c>
    </row>
    <row r="6258" customFormat="false" ht="17.15" hidden="false" customHeight="false" outlineLevel="0" collapsed="false">
      <c r="A6258" s="3" t="s">
        <v>635</v>
      </c>
      <c r="B6258" s="8" t="s">
        <v>73</v>
      </c>
      <c r="C6258" s="38" t="n">
        <f aca="false">Sens!$C$6246+Sens!$C$6248+Sens!$C$6250+Sens!$C$6252+Sens!$C$6254+Sens!$C$6256</f>
        <v>530.403</v>
      </c>
      <c r="D6258" s="38" t="n">
        <f aca="false">Sens!$D$6246+Sens!$D$6248+Sens!$D$6250+Sens!$D$6252+Sens!$D$6254+Sens!$D$6256</f>
        <v>588.199</v>
      </c>
      <c r="E6258" s="38" t="n">
        <f aca="false">Sens!$E$6246+Sens!$E$6248+Sens!$E$6250+Sens!$E$6252+Sens!$E$6254+Sens!$E$6256</f>
        <v>302.306</v>
      </c>
      <c r="F6258" s="38" t="n">
        <f aca="false">Sens!$F$6246+Sens!$F$6248+Sens!$F$6250+Sens!$F$6252+Sens!$F$6254+Sens!$F$6256</f>
        <v>356.93642920843</v>
      </c>
      <c r="G6258" s="38" t="n">
        <f aca="false">Sens!$G$6246+Sens!$G$6248+Sens!$G$6250+Sens!$G$6252+Sens!$G$6254+Sens!$G$6256</f>
        <v>659.24242920843</v>
      </c>
      <c r="H6258" s="38" t="n">
        <f aca="false">Sens!$H$6246+Sens!$H$6248+Sens!$H$6250+Sens!$H$6252+Sens!$H$6254+Sens!$H$6256</f>
        <v>729.935737621701</v>
      </c>
      <c r="I6258" s="38" t="n">
        <f aca="false">Sens!$I$6246+Sens!$I$6248+Sens!$I$6250+Sens!$I$6252+Sens!$I$6254+Sens!$I$6256</f>
        <v>798.295569697873</v>
      </c>
      <c r="J6258" s="38" t="n">
        <f aca="false">Sens!$J$6246+Sens!$J$6248+Sens!$J$6250+Sens!$J$6252+Sens!$J$6254+Sens!$J$6256</f>
        <v>861.736822325785</v>
      </c>
      <c r="K6258" s="38" t="n">
        <f aca="false">Sens!$K$6246+Sens!$K$6248+Sens!$K$6250+Sens!$K$6252+Sens!$K$6254+Sens!$K$6256</f>
        <v>917.557492101925</v>
      </c>
      <c r="L6258" s="38" t="n">
        <f aca="false">Sens!$L$6246+Sens!$L$6248+Sens!$L$6250+Sens!$L$6252+Sens!$L$6254+Sens!$L$6256</f>
        <v>977.285089743165</v>
      </c>
      <c r="M6258" s="38" t="n">
        <f aca="false">Sens!$M$6246+Sens!$M$6248+Sens!$M$6250+Sens!$M$6252+Sens!$M$6254+Sens!$M$6256</f>
        <v>1041.2140185435</v>
      </c>
      <c r="N6258" s="38" t="n">
        <f aca="false">Sens!$N$6246+Sens!$N$6248+Sens!$N$6250+Sens!$N$6252+Sens!$N$6254+Sens!$N$6256</f>
        <v>263.229</v>
      </c>
      <c r="O6258" s="38" t="n">
        <f aca="false">Sens!$O$6246+Sens!$O$6248+Sens!$O$6250+Sens!$O$6252+Sens!$O$6254+Sens!$O$6256</f>
        <v>324.97</v>
      </c>
    </row>
    <row r="6259" customFormat="false" ht="17.15" hidden="false" customHeight="false" outlineLevel="0" collapsed="false">
      <c r="A6259" s="5" t="s">
        <v>636</v>
      </c>
      <c r="B6259" s="0" t="s">
        <v>52</v>
      </c>
      <c r="C6259" s="12" t="n">
        <f aca="false">Q!$D$5/(Q!$D$5+Q!$D$6)</f>
        <v>0.730570905519011</v>
      </c>
      <c r="D6259" s="12" t="n">
        <f aca="false">Q!$E$5/(Q!$E$5+Q!$E$6)</f>
        <v>0.724763217890544</v>
      </c>
      <c r="E6259" s="12" t="n">
        <f aca="false">Q!$P$5/(Q!$P$5+Q!$P$6)</f>
        <v>0.728797972914861</v>
      </c>
      <c r="F6259" s="12" t="n">
        <f aca="false">Sens!$O$6259</f>
        <v>0.718066283041511</v>
      </c>
      <c r="G6259" s="12" t="n">
        <f aca="false">Sens!$G$6260/Sens!$G$6258</f>
        <v>0.722987468473627</v>
      </c>
      <c r="H6259" s="12" t="n">
        <f aca="false">Sens!$G$6259</f>
        <v>0.722987468473627</v>
      </c>
      <c r="I6259" s="12" t="n">
        <f aca="false">Sens!$G$6259</f>
        <v>0.722987468473627</v>
      </c>
      <c r="J6259" s="12" t="n">
        <f aca="false">Sens!$G$6259</f>
        <v>0.722987468473627</v>
      </c>
      <c r="K6259" s="12" t="n">
        <f aca="false">Sens!$G$6259</f>
        <v>0.722987468473627</v>
      </c>
      <c r="L6259" s="12" t="n">
        <f aca="false">Sens!$G$6259</f>
        <v>0.722987468473627</v>
      </c>
      <c r="M6259" s="12" t="n">
        <f aca="false">Sens!$G$6259</f>
        <v>0.722987468473627</v>
      </c>
      <c r="N6259" s="12" t="n">
        <f aca="false">Q!$N$5/(Q!$N$5+Q!$N$6)</f>
        <v>0.733030935041352</v>
      </c>
      <c r="O6259" s="12" t="n">
        <f aca="false">Q!$O$5/(Q!$O$5+Q!$O$6)</f>
        <v>0.718066283041511</v>
      </c>
      <c r="P6259" s="8" t="s">
        <v>637</v>
      </c>
    </row>
    <row r="6260" customFormat="false" ht="17.15" hidden="false" customHeight="false" outlineLevel="0" collapsed="false">
      <c r="A6260" s="1" t="s">
        <v>472</v>
      </c>
      <c r="B6260" s="8" t="s">
        <v>73</v>
      </c>
      <c r="C6260" s="38" t="n">
        <f aca="false">Q!$D$5</f>
        <v>387.497</v>
      </c>
      <c r="D6260" s="38" t="n">
        <f aca="false">Q!$E$5</f>
        <v>426.305</v>
      </c>
      <c r="E6260" s="38" t="n">
        <f aca="false">Q!$P$5</f>
        <v>220.32</v>
      </c>
      <c r="F6260" s="38" t="n">
        <f aca="false">Sens!$F$6258*Sens!$F$6259</f>
        <v>256.304015003807</v>
      </c>
      <c r="G6260" s="38" t="n">
        <f aca="false">Sens!$E$6260+Sens!$F$6260</f>
        <v>476.624015003807</v>
      </c>
      <c r="H6260" s="38" t="n">
        <f aca="false">Sens!$H$6258*Sens!$H$6259</f>
        <v>527.734391091543</v>
      </c>
      <c r="I6260" s="38" t="n">
        <f aca="false">Sens!$I$6258*Sens!$I$6259</f>
        <v>577.157693029577</v>
      </c>
      <c r="J6260" s="38" t="n">
        <f aca="false">Sens!$J$6258*Sens!$J$6259</f>
        <v>623.024923663827</v>
      </c>
      <c r="K6260" s="38" t="n">
        <f aca="false">Sens!$K$6258*Sens!$K$6259</f>
        <v>663.382568393781</v>
      </c>
      <c r="L6260" s="38" t="n">
        <f aca="false">Sens!$L$6258*Sens!$L$6259</f>
        <v>706.564873010432</v>
      </c>
      <c r="M6260" s="38" t="n">
        <f aca="false">Sens!$M$6258*Sens!$M$6259</f>
        <v>752.784687406019</v>
      </c>
      <c r="N6260" s="38" t="n">
        <f aca="false">Q!$N$5</f>
        <v>192.955</v>
      </c>
      <c r="O6260" s="38" t="n">
        <f aca="false">Q!$O$5</f>
        <v>233.35</v>
      </c>
      <c r="P6260" s="5" t="s">
        <v>638</v>
      </c>
    </row>
    <row r="6261" customFormat="false" ht="17.15" hidden="false" customHeight="false" outlineLevel="0" collapsed="false">
      <c r="A6261" s="1" t="s">
        <v>475</v>
      </c>
      <c r="B6261" s="8" t="s">
        <v>73</v>
      </c>
      <c r="C6261" s="38" t="n">
        <f aca="false">Q!$D$6</f>
        <v>142.906</v>
      </c>
      <c r="D6261" s="38" t="n">
        <f aca="false">Q!$E$6</f>
        <v>161.894</v>
      </c>
      <c r="E6261" s="38" t="n">
        <f aca="false">Q!$P$6</f>
        <v>81.986</v>
      </c>
      <c r="F6261" s="38" t="n">
        <f aca="false">Sens!$F$6258*(1-Sens!$F$6259)</f>
        <v>100.632414204623</v>
      </c>
      <c r="G6261" s="38" t="n">
        <f aca="false">Sens!$E$6261+Sens!$F$6261</f>
        <v>182.618414204623</v>
      </c>
      <c r="H6261" s="38" t="n">
        <f aca="false">Sens!$H$6258*(1-Sens!$H$6259)</f>
        <v>202.201346530158</v>
      </c>
      <c r="I6261" s="38" t="n">
        <f aca="false">Sens!$I$6258*(1-Sens!$I$6259)</f>
        <v>221.137876668296</v>
      </c>
      <c r="J6261" s="38" t="n">
        <f aca="false">Sens!$J$6258*(1-Sens!$J$6259)</f>
        <v>238.711898661958</v>
      </c>
      <c r="K6261" s="38" t="n">
        <f aca="false">Sens!$K$6258*(1-Sens!$K$6259)</f>
        <v>254.174923708144</v>
      </c>
      <c r="L6261" s="38" t="n">
        <f aca="false">Sens!$L$6258*(1-Sens!$L$6259)</f>
        <v>270.720216732733</v>
      </c>
      <c r="M6261" s="38" t="n">
        <f aca="false">Sens!$M$6258*(1-Sens!$M$6259)</f>
        <v>288.429331137484</v>
      </c>
      <c r="N6261" s="38" t="n">
        <f aca="false">Q!$N$6</f>
        <v>70.274</v>
      </c>
      <c r="O6261" s="38" t="n">
        <f aca="false">Q!$O$6</f>
        <v>91.62</v>
      </c>
      <c r="P6261" s="5" t="s">
        <v>639</v>
      </c>
    </row>
    <row r="6262" customFormat="false" ht="17.15" hidden="false" customHeight="false" outlineLevel="0" collapsed="false">
      <c r="A6262" s="5" t="s">
        <v>640</v>
      </c>
      <c r="B6262" s="0" t="s">
        <v>73</v>
      </c>
      <c r="C6262" s="38" t="n">
        <f aca="false">Sens!$C$6252*Sens!$C$6259</f>
        <v>41.0683128828457</v>
      </c>
      <c r="D6262" s="38" t="n">
        <f aca="false">Sens!$D$6252*Sens!$D$6259</f>
        <v>49.7441234599175</v>
      </c>
      <c r="E6262" s="38" t="n">
        <f aca="false">Sens!$E$6252*Sens!$E$6259</f>
        <v>27.0034224924414</v>
      </c>
      <c r="F6262" s="38" t="n">
        <f aca="false">Sens!$F$6252*Sens!$F$6259</f>
        <v>34.5772885649197</v>
      </c>
      <c r="G6262" s="38" t="n">
        <f aca="false">Sens!$G$6252*Sens!$G$6259</f>
        <v>61.6023917531772</v>
      </c>
      <c r="H6262" s="38" t="n">
        <f aca="false">Sens!$H$6252*Sens!$H$6259</f>
        <v>73.9568187320519</v>
      </c>
      <c r="I6262" s="38" t="n">
        <f aca="false">Sens!$I$6252*Sens!$I$6259</f>
        <v>86.3101265625461</v>
      </c>
      <c r="J6262" s="38" t="n">
        <f aca="false">Sens!$J$6252*Sens!$J$6259</f>
        <v>97.8339983977065</v>
      </c>
      <c r="K6262" s="38" t="n">
        <f aca="false">Sens!$K$6252*Sens!$K$6259</f>
        <v>107.617398237477</v>
      </c>
      <c r="L6262" s="38" t="n">
        <f aca="false">Sens!$L$6252*Sens!$L$6259</f>
        <v>118.379138061225</v>
      </c>
      <c r="M6262" s="38" t="n">
        <f aca="false">Sens!$M$6252*Sens!$M$6259</f>
        <v>130.217051867347</v>
      </c>
      <c r="N6262" s="38" t="n">
        <f aca="false">Sens!$N$6252*Sens!$N$6259</f>
        <v>21.7087111412496</v>
      </c>
      <c r="O6262" s="38" t="n">
        <f aca="false">Sens!$O$6252*Sens!$O$6259</f>
        <v>28.0189463642798</v>
      </c>
      <c r="P6262" s="5" t="s">
        <v>641</v>
      </c>
    </row>
    <row r="6263" customFormat="false" ht="15" hidden="false" customHeight="false" outlineLevel="0" collapsed="false">
      <c r="A6263" s="5" t="s">
        <v>642</v>
      </c>
      <c r="B6263" s="0" t="s">
        <v>73</v>
      </c>
      <c r="C6263" s="38" t="n">
        <f aca="false">Sens!$C$6252-Sens!$C$6262</f>
        <v>15.1456871171543</v>
      </c>
      <c r="D6263" s="38" t="n">
        <f aca="false">Sens!$D$6252-Sens!$D$6262</f>
        <v>18.8908765400825</v>
      </c>
      <c r="E6263" s="38" t="n">
        <f aca="false">Sens!$E$6252-Sens!$E$6262</f>
        <v>10.0485775075586</v>
      </c>
      <c r="F6263" s="38" t="n">
        <f aca="false">Sens!$F$6252-Sens!$F$6262</f>
        <v>13.5760496178185</v>
      </c>
      <c r="G6263" s="38" t="n">
        <f aca="false">Sens!$G$6252-Sens!$G$6262</f>
        <v>23.6029464295611</v>
      </c>
      <c r="H6263" s="38" t="n">
        <f aca="false">Sens!$H$6252-Sens!$H$6262</f>
        <v>28.3365431268884</v>
      </c>
      <c r="I6263" s="38" t="n">
        <f aca="false">Sens!$I$6252-Sens!$I$6262</f>
        <v>33.0697110226949</v>
      </c>
      <c r="J6263" s="38" t="n">
        <f aca="false">Sens!$J$6252-Sens!$J$6262</f>
        <v>37.4850806511378</v>
      </c>
      <c r="K6263" s="38" t="n">
        <f aca="false">Sens!$K$6252-Sens!$K$6262</f>
        <v>41.2335887162515</v>
      </c>
      <c r="L6263" s="38" t="n">
        <f aca="false">Sens!$L$6252-Sens!$L$6262</f>
        <v>45.3569475878767</v>
      </c>
      <c r="M6263" s="38" t="n">
        <f aca="false">Sens!$M$6252-Sens!$M$6262</f>
        <v>49.8926423466644</v>
      </c>
      <c r="N6263" s="38" t="n">
        <f aca="false">Sens!$N$6252-Sens!$N$6262</f>
        <v>7.90628885875037</v>
      </c>
      <c r="O6263" s="38" t="n">
        <f aca="false">Sens!$O$6252-Sens!$O$6262</f>
        <v>11.0010536357202</v>
      </c>
    </row>
    <row r="6264" customFormat="false" ht="19.4" hidden="false" customHeight="false" outlineLevel="0" collapsed="false">
      <c r="A6264" s="31" t="s">
        <v>1181</v>
      </c>
    </row>
    <row r="6265" customFormat="false" ht="17.15" hidden="false" customHeight="false" outlineLevel="0" collapsed="false">
      <c r="A6265" s="6" t="s">
        <v>16</v>
      </c>
      <c r="B6265" s="6" t="s">
        <v>17</v>
      </c>
      <c r="C6265" s="20" t="s">
        <v>457</v>
      </c>
      <c r="D6265" s="20" t="s">
        <v>458</v>
      </c>
      <c r="E6265" s="20" t="s">
        <v>540</v>
      </c>
      <c r="F6265" s="20" t="s">
        <v>541</v>
      </c>
      <c r="G6265" s="20" t="s">
        <v>542</v>
      </c>
      <c r="H6265" s="20" t="s">
        <v>543</v>
      </c>
      <c r="I6265" s="20" t="s">
        <v>544</v>
      </c>
      <c r="J6265" s="20" t="s">
        <v>545</v>
      </c>
      <c r="K6265" s="20" t="s">
        <v>546</v>
      </c>
      <c r="L6265" s="20" t="s">
        <v>547</v>
      </c>
      <c r="M6265" s="20" t="s">
        <v>548</v>
      </c>
      <c r="N6265" s="20" t="s">
        <v>549</v>
      </c>
      <c r="O6265" s="20" t="s">
        <v>550</v>
      </c>
      <c r="P6265" s="6" t="s">
        <v>23</v>
      </c>
      <c r="R6265" s="20" t="n">
        <v>2023</v>
      </c>
      <c r="S6265" s="20" t="n">
        <v>2024</v>
      </c>
      <c r="T6265" s="20" t="n">
        <v>2025</v>
      </c>
      <c r="U6265" s="20" t="n">
        <v>2026</v>
      </c>
      <c r="V6265" s="20" t="n">
        <v>2027</v>
      </c>
      <c r="W6265" s="20" t="n">
        <v>2028</v>
      </c>
      <c r="X6265" s="20" t="n">
        <v>2029</v>
      </c>
      <c r="Y6265" s="20" t="n">
        <v>2030</v>
      </c>
      <c r="Z6265" s="20" t="n">
        <v>2031</v>
      </c>
      <c r="AA6265" s="20" t="n">
        <v>2032</v>
      </c>
    </row>
    <row r="6266" customFormat="false" ht="17.15" hidden="false" customHeight="false" outlineLevel="0" collapsed="false">
      <c r="A6266" s="1" t="s">
        <v>551</v>
      </c>
    </row>
    <row r="6267" customFormat="false" ht="17.15" hidden="false" customHeight="false" outlineLevel="0" collapsed="false">
      <c r="A6267" s="14" t="s">
        <v>552</v>
      </c>
      <c r="B6267" s="13" t="s">
        <v>108</v>
      </c>
      <c r="C6267" s="32" t="n">
        <f aca="false">mw_ye24</f>
        <v>360</v>
      </c>
      <c r="D6267" s="32" t="n">
        <f aca="false">mw_ye25</f>
        <v>1440</v>
      </c>
      <c r="E6267" s="32" t="n">
        <f aca="false">mw_open</f>
        <v>2080</v>
      </c>
      <c r="F6267" s="32" t="n">
        <f aca="false">Sens!$E$6267+pace_B*0.5</f>
        <v>3897.15</v>
      </c>
      <c r="G6267" s="32" t="n">
        <f aca="false">Sens!$F$6267</f>
        <v>3897.15</v>
      </c>
      <c r="H6267" s="32" t="n">
        <f aca="false">Sens!$G$6267+pace_B</f>
        <v>7531.45</v>
      </c>
      <c r="I6267" s="32" t="n">
        <f aca="false">Sens!$H$6267+pace_B</f>
        <v>11165.75</v>
      </c>
      <c r="J6267" s="32" t="n">
        <f aca="false">Sens!$I$6267+pace_B</f>
        <v>14800.05</v>
      </c>
      <c r="K6267" s="32" t="n">
        <f aca="false">Sens!$J$6267+pace_B</f>
        <v>18434.35</v>
      </c>
      <c r="L6267" s="32" t="n">
        <f aca="false">Sens!$K$6267+pace_B</f>
        <v>22068.65</v>
      </c>
      <c r="M6267" s="32" t="n">
        <f aca="false">Sens!$L$6267+pace_B</f>
        <v>25702.95</v>
      </c>
      <c r="N6267" s="32" t="n">
        <f aca="false">(mw_ye24+mw_ye25)/2</f>
        <v>900</v>
      </c>
      <c r="O6267" s="32" t="n">
        <f aca="false">mw_ye25</f>
        <v>1440</v>
      </c>
      <c r="P6267" s="5" t="s">
        <v>553</v>
      </c>
    </row>
    <row r="6268" customFormat="false" ht="17.15" hidden="false" customHeight="false" outlineLevel="0" collapsed="false">
      <c r="A6268" s="5" t="s">
        <v>554</v>
      </c>
      <c r="B6268" s="0" t="s">
        <v>108</v>
      </c>
      <c r="C6268" s="33" t="n">
        <f aca="false">(mw_ye23+mw_ye24)/2</f>
        <v>240</v>
      </c>
      <c r="D6268" s="33" t="n">
        <f aca="false">(Sens!$C$6267+Sens!$D$6267)/2</f>
        <v>900</v>
      </c>
      <c r="E6268" s="33" t="n">
        <f aca="false">(Sens!$D$6267+Sens!$E$6267)/2</f>
        <v>1760</v>
      </c>
      <c r="F6268" s="33" t="n">
        <f aca="false">(Sens!$E$6267+Sens!$F$6267)/2</f>
        <v>2988.575</v>
      </c>
      <c r="G6268" s="33" t="n">
        <f aca="false">(Sens!$E$6268+Sens!$F$6268)/2</f>
        <v>2374.2875</v>
      </c>
      <c r="H6268" s="33" t="n">
        <f aca="false">(Sens!$G$6267+Sens!$H$6267)/2</f>
        <v>5714.3</v>
      </c>
      <c r="I6268" s="33" t="n">
        <f aca="false">(Sens!$H$6267+Sens!$I$6267)/2</f>
        <v>9348.6</v>
      </c>
      <c r="J6268" s="33" t="n">
        <f aca="false">(Sens!$I$6267+Sens!$J$6267)/2</f>
        <v>12982.9</v>
      </c>
      <c r="K6268" s="33" t="n">
        <f aca="false">(Sens!$J$6267+Sens!$K$6267)/2</f>
        <v>16617.2</v>
      </c>
      <c r="L6268" s="33" t="n">
        <f aca="false">(Sens!$K$6267+Sens!$L$6267)/2</f>
        <v>20251.5</v>
      </c>
      <c r="M6268" s="33" t="n">
        <f aca="false">(Sens!$L$6267+Sens!$M$6267)/2</f>
        <v>23885.8</v>
      </c>
      <c r="N6268" s="33" t="n">
        <f aca="false">(Sens!$C$6267+Sens!$N$6267)/2</f>
        <v>630</v>
      </c>
      <c r="O6268" s="33" t="n">
        <f aca="false">(Sens!$N$6267+Sens!$O$6267)/2</f>
        <v>1170</v>
      </c>
    </row>
    <row r="6269" customFormat="false" ht="15" hidden="false" customHeight="false" outlineLevel="0" collapsed="false">
      <c r="A6269" s="5" t="s">
        <v>555</v>
      </c>
      <c r="B6269" s="5" t="s">
        <v>102</v>
      </c>
      <c r="C6269" s="34" t="n">
        <v>1</v>
      </c>
      <c r="D6269" s="34" t="n">
        <v>1</v>
      </c>
      <c r="E6269" s="34" t="n">
        <v>0.5</v>
      </c>
      <c r="F6269" s="34" t="n">
        <v>0.5</v>
      </c>
      <c r="G6269" s="34" t="n">
        <v>1</v>
      </c>
      <c r="H6269" s="34" t="n">
        <v>1</v>
      </c>
      <c r="I6269" s="34" t="n">
        <v>1</v>
      </c>
      <c r="J6269" s="34" t="n">
        <v>1</v>
      </c>
      <c r="K6269" s="34" t="n">
        <v>1</v>
      </c>
      <c r="L6269" s="34" t="n">
        <v>1</v>
      </c>
      <c r="M6269" s="34" t="n">
        <v>1</v>
      </c>
      <c r="N6269" s="34" t="n">
        <v>0.5</v>
      </c>
      <c r="O6269" s="34" t="n">
        <v>0.5</v>
      </c>
    </row>
    <row r="6270" customFormat="false" ht="17.15" hidden="false" customHeight="false" outlineLevel="0" collapsed="false">
      <c r="A6270" s="5" t="s">
        <v>556</v>
      </c>
      <c r="B6270" s="0" t="s">
        <v>108</v>
      </c>
      <c r="C6270" s="33" t="n">
        <f aca="false">Sens!$C$6267-mw_ye23</f>
        <v>240</v>
      </c>
      <c r="D6270" s="33" t="n">
        <f aca="false">Sens!$D$6267-Sens!$C$6267</f>
        <v>1080</v>
      </c>
      <c r="E6270" s="33" t="n">
        <f aca="false">Sens!$E$6267-Sens!$D$6267</f>
        <v>640</v>
      </c>
      <c r="F6270" s="33" t="n">
        <f aca="false">Sens!$F$6267-Sens!$E$6267</f>
        <v>1817.15</v>
      </c>
      <c r="G6270" s="33" t="n">
        <f aca="false">Sens!$E$6270+Sens!$F$6270</f>
        <v>2457.15</v>
      </c>
      <c r="H6270" s="33" t="n">
        <f aca="false">Sens!$H$6267-Sens!$G$6267</f>
        <v>3634.3</v>
      </c>
      <c r="I6270" s="33" t="n">
        <f aca="false">Sens!$I$6267-Sens!$H$6267</f>
        <v>3634.3</v>
      </c>
      <c r="J6270" s="33" t="n">
        <f aca="false">Sens!$J$6267-Sens!$I$6267</f>
        <v>3634.3</v>
      </c>
      <c r="K6270" s="33" t="n">
        <f aca="false">Sens!$K$6267-Sens!$J$6267</f>
        <v>3634.3</v>
      </c>
      <c r="L6270" s="33" t="n">
        <f aca="false">Sens!$L$6267-Sens!$K$6267</f>
        <v>3634.3</v>
      </c>
      <c r="M6270" s="33" t="n">
        <f aca="false">Sens!$M$6267-Sens!$L$6267</f>
        <v>3634.3</v>
      </c>
      <c r="N6270" s="33" t="n">
        <f aca="false">Sens!$N$6267-Sens!$C$6267</f>
        <v>540</v>
      </c>
      <c r="O6270" s="33" t="n">
        <f aca="false">Sens!$O$6267-Sens!$N$6267</f>
        <v>540</v>
      </c>
    </row>
    <row r="6271" customFormat="false" ht="17.15" hidden="false" customHeight="false" outlineLevel="0" collapsed="false">
      <c r="A6271" s="5" t="s">
        <v>557</v>
      </c>
      <c r="B6271" s="0" t="s">
        <v>108</v>
      </c>
      <c r="C6271" s="33" t="n">
        <f aca="false">Sens!$C$6270/ext_sh</f>
        <v>300</v>
      </c>
      <c r="D6271" s="33" t="n">
        <f aca="false">Sens!$D$6270/ext_sh</f>
        <v>1350</v>
      </c>
      <c r="E6271" s="33" t="n">
        <f aca="false">Sens!$E$6270/ext_sh</f>
        <v>800</v>
      </c>
      <c r="F6271" s="33" t="n">
        <f aca="false">Sens!$F$6270/ext_sh</f>
        <v>2271.4375</v>
      </c>
      <c r="G6271" s="33" t="n">
        <f aca="false">Sens!$G$6270/ext_sh</f>
        <v>3071.4375</v>
      </c>
      <c r="H6271" s="33" t="n">
        <f aca="false">Sens!$H$6270/ext_sh</f>
        <v>4542.875</v>
      </c>
      <c r="I6271" s="33" t="n">
        <f aca="false">Sens!$I$6270/ext_sh</f>
        <v>4542.875</v>
      </c>
      <c r="J6271" s="33" t="n">
        <f aca="false">Sens!$J$6270/ext_sh</f>
        <v>4542.875</v>
      </c>
      <c r="K6271" s="33" t="n">
        <f aca="false">Sens!$K$6270/ext_sh</f>
        <v>4542.875</v>
      </c>
      <c r="L6271" s="33" t="n">
        <f aca="false">Sens!$L$6270/ext_sh</f>
        <v>4542.875</v>
      </c>
      <c r="M6271" s="33" t="n">
        <f aca="false">Sens!$M$6270/ext_sh</f>
        <v>4542.875</v>
      </c>
      <c r="N6271" s="33" t="n">
        <f aca="false">Sens!$N$6270/ext_sh</f>
        <v>675</v>
      </c>
      <c r="O6271" s="33" t="n">
        <f aca="false">Sens!$O$6270/ext_sh</f>
        <v>675</v>
      </c>
      <c r="P6271" s="8" t="s">
        <v>558</v>
      </c>
      <c r="R6271" s="33" t="n">
        <f aca="false">mw_ye23/ext_sh</f>
        <v>150</v>
      </c>
      <c r="S6271" s="33" t="n">
        <f aca="false">Sens!$C$6271</f>
        <v>300</v>
      </c>
      <c r="T6271" s="33" t="n">
        <f aca="false">Sens!$D$6271</f>
        <v>1350</v>
      </c>
      <c r="U6271" s="33" t="n">
        <f aca="false">Sens!$G$6271</f>
        <v>3071.4375</v>
      </c>
      <c r="V6271" s="33" t="n">
        <f aca="false">Sens!$H$6271</f>
        <v>4542.875</v>
      </c>
      <c r="W6271" s="33" t="n">
        <f aca="false">Sens!$I$6271</f>
        <v>4542.875</v>
      </c>
      <c r="X6271" s="33" t="n">
        <f aca="false">Sens!$J$6271</f>
        <v>4542.875</v>
      </c>
      <c r="Y6271" s="33" t="n">
        <f aca="false">Sens!$K$6271</f>
        <v>4542.875</v>
      </c>
      <c r="Z6271" s="33" t="n">
        <f aca="false">Sens!$L$6271</f>
        <v>4542.875</v>
      </c>
      <c r="AA6271" s="33" t="n">
        <f aca="false">Sens!$M$6271</f>
        <v>4542.875</v>
      </c>
    </row>
    <row r="6272" customFormat="false" ht="17.15" hidden="false" customHeight="false" outlineLevel="0" collapsed="false">
      <c r="A6272" s="1" t="s">
        <v>559</v>
      </c>
    </row>
    <row r="6273" customFormat="false" ht="17.15" hidden="false" customHeight="false" outlineLevel="0" collapsed="false">
      <c r="A6273" s="0" t="s">
        <v>560</v>
      </c>
      <c r="B6273" s="0" t="s">
        <v>52</v>
      </c>
      <c r="F6273" s="35" t="n">
        <f aca="false">na_vr26</f>
        <v>0</v>
      </c>
      <c r="G6273" s="35" t="n">
        <f aca="false">na_vr26</f>
        <v>0</v>
      </c>
      <c r="H6273" s="35" t="n">
        <f aca="false">na_vr27</f>
        <v>0.5</v>
      </c>
      <c r="I6273" s="35" t="n">
        <f aca="false">na_vr28</f>
        <v>1</v>
      </c>
      <c r="J6273" s="35" t="n">
        <f aca="false">na_vr28</f>
        <v>1</v>
      </c>
      <c r="K6273" s="35" t="n">
        <f aca="false">na_vr28</f>
        <v>1</v>
      </c>
      <c r="L6273" s="35" t="n">
        <f aca="false">na_vr28</f>
        <v>1</v>
      </c>
      <c r="M6273" s="35" t="n">
        <f aca="false">na_vr28</f>
        <v>1</v>
      </c>
    </row>
    <row r="6274" customFormat="false" ht="17.15" hidden="false" customHeight="false" outlineLevel="0" collapsed="false">
      <c r="A6274" s="5" t="s">
        <v>561</v>
      </c>
      <c r="B6274" s="0" t="s">
        <v>151</v>
      </c>
      <c r="F6274" s="36" t="n">
        <f aca="false">cust_sh*tk_he_gb300*cf_chip+(1-cust_sh)*((1-Sens!$F$6273)*tk_he_gb300+Sens!$F$6273*tk_he_vr200)</f>
        <v>10.8864110021101</v>
      </c>
      <c r="G6274" s="36" t="n">
        <f aca="false">cust_sh*tk_he_gb300*cf_chip+(1-cust_sh)*((1-Sens!$G$6273)*tk_he_gb300+Sens!$G$6273*tk_he_vr200)</f>
        <v>10.8864110021101</v>
      </c>
      <c r="H6274" s="36" t="n">
        <f aca="false">cust_sh*tk_he_gb300*cf_chip+(1-cust_sh)*((1-Sens!$H$6273)*tk_he_gb300+Sens!$H$6273*tk_he_vr200)</f>
        <v>11.2211760027286</v>
      </c>
      <c r="I6274" s="36" t="n">
        <f aca="false">cust_sh*tk_he_gb300*cf_chip+(1-cust_sh)*((1-Sens!$I$6273)*tk_he_gb300+Sens!$I$6273*tk_he_vr200)</f>
        <v>11.5559410033471</v>
      </c>
      <c r="J6274" s="36" t="n">
        <f aca="false">cust_sh*tk_he_gb300*cf_chip+(1-cust_sh)*((1-Sens!$J$6273)*tk_he_gb300+Sens!$J$6273*tk_he_vr200)</f>
        <v>11.5559410033471</v>
      </c>
      <c r="K6274" s="36" t="n">
        <f aca="false">cust_sh*tk_he_gb300*cf_chip+(1-cust_sh)*((1-Sens!$K$6273)*tk_he_gb300+Sens!$K$6273*tk_he_vr200)</f>
        <v>11.5559410033471</v>
      </c>
      <c r="L6274" s="36" t="n">
        <f aca="false">cust_sh*tk_he_gb300*cf_chip+(1-cust_sh)*((1-Sens!$L$6273)*tk_he_gb300+Sens!$L$6273*tk_he_vr200)</f>
        <v>11.5559410033471</v>
      </c>
      <c r="M6274" s="36" t="n">
        <f aca="false">cust_sh*tk_he_gb300*cf_chip+(1-cust_sh)*((1-Sens!$M$6273)*tk_he_gb300+Sens!$M$6273*tk_he_vr200)</f>
        <v>11.5559410033471</v>
      </c>
    </row>
    <row r="6275" customFormat="false" ht="17.15" hidden="false" customHeight="false" outlineLevel="0" collapsed="false">
      <c r="A6275" s="5" t="s">
        <v>562</v>
      </c>
      <c r="B6275" s="0" t="s">
        <v>151</v>
      </c>
      <c r="F6275" s="36" t="n">
        <f aca="false">cust_sh*tk_ox_gb300+(1-cust_sh)*((1-Sens!$F$6273)*tk_ox_gb300+Sens!$F$6273*tk_ox_vr200)</f>
        <v>1.98263481314457</v>
      </c>
      <c r="G6275" s="36" t="n">
        <f aca="false">cust_sh*tk_ox_gb300+(1-cust_sh)*((1-Sens!$G$6273)*tk_ox_gb300+Sens!$G$6273*tk_ox_vr200)</f>
        <v>1.98263481314457</v>
      </c>
      <c r="H6275" s="36" t="n">
        <f aca="false">cust_sh*tk_ox_gb300+(1-cust_sh)*((1-Sens!$H$6273)*tk_ox_gb300+Sens!$H$6273*tk_ox_vr200)</f>
        <v>2.01034999693694</v>
      </c>
      <c r="I6275" s="36" t="n">
        <f aca="false">cust_sh*tk_ox_gb300+(1-cust_sh)*((1-Sens!$I$6273)*tk_ox_gb300+Sens!$I$6273*tk_ox_vr200)</f>
        <v>2.0380651807293</v>
      </c>
      <c r="J6275" s="36" t="n">
        <f aca="false">cust_sh*tk_ox_gb300+(1-cust_sh)*((1-Sens!$J$6273)*tk_ox_gb300+Sens!$J$6273*tk_ox_vr200)</f>
        <v>2.0380651807293</v>
      </c>
      <c r="K6275" s="36" t="n">
        <f aca="false">cust_sh*tk_ox_gb300+(1-cust_sh)*((1-Sens!$K$6273)*tk_ox_gb300+Sens!$K$6273*tk_ox_vr200)</f>
        <v>2.0380651807293</v>
      </c>
      <c r="L6275" s="36" t="n">
        <f aca="false">cust_sh*tk_ox_gb300+(1-cust_sh)*((1-Sens!$L$6273)*tk_ox_gb300+Sens!$L$6273*tk_ox_vr200)</f>
        <v>2.0380651807293</v>
      </c>
      <c r="M6275" s="36" t="n">
        <f aca="false">cust_sh*tk_ox_gb300+(1-cust_sh)*((1-Sens!$M$6273)*tk_ox_gb300+Sens!$M$6273*tk_ox_vr200)</f>
        <v>2.0380651807293</v>
      </c>
    </row>
    <row r="6276" customFormat="false" ht="17.15" hidden="false" customHeight="false" outlineLevel="0" collapsed="false">
      <c r="A6276" s="5" t="s">
        <v>563</v>
      </c>
      <c r="B6276" s="0" t="s">
        <v>170</v>
      </c>
      <c r="F6276" s="36" t="n">
        <f aca="false">cust_sh*tk_cx_gb300*cf_cx+(1-cust_sh)*((1-Sens!$F$6273)*tk_cx_gb300+Sens!$F$6273*tk_cx_vr200)</f>
        <v>32.237224</v>
      </c>
      <c r="G6276" s="36" t="n">
        <f aca="false">cust_sh*tk_cx_gb300*cf_cx+(1-cust_sh)*((1-Sens!$G$6273)*tk_cx_gb300+Sens!$G$6273*tk_cx_vr200)</f>
        <v>32.237224</v>
      </c>
      <c r="H6276" s="36" t="n">
        <f aca="false">cust_sh*tk_cx_gb300*cf_cx+(1-cust_sh)*((1-Sens!$H$6273)*tk_cx_gb300+Sens!$H$6273*tk_cx_vr200)</f>
        <v>33.574506</v>
      </c>
      <c r="I6276" s="36" t="n">
        <f aca="false">cust_sh*tk_cx_gb300*cf_cx+(1-cust_sh)*((1-Sens!$I$6273)*tk_cx_gb300+Sens!$I$6273*tk_cx_vr200)</f>
        <v>34.911788</v>
      </c>
      <c r="J6276" s="36" t="n">
        <f aca="false">cust_sh*tk_cx_gb300*cf_cx+(1-cust_sh)*((1-Sens!$J$6273)*tk_cx_gb300+Sens!$J$6273*tk_cx_vr200)</f>
        <v>34.911788</v>
      </c>
      <c r="K6276" s="36" t="n">
        <f aca="false">cust_sh*tk_cx_gb300*cf_cx+(1-cust_sh)*((1-Sens!$K$6273)*tk_cx_gb300+Sens!$K$6273*tk_cx_vr200)</f>
        <v>34.911788</v>
      </c>
      <c r="L6276" s="36" t="n">
        <f aca="false">cust_sh*tk_cx_gb300*cf_cx+(1-cust_sh)*((1-Sens!$L$6273)*tk_cx_gb300+Sens!$L$6273*tk_cx_vr200)</f>
        <v>34.911788</v>
      </c>
      <c r="M6276" s="36" t="n">
        <f aca="false">cust_sh*tk_cx_gb300*cf_cx+(1-cust_sh)*((1-Sens!$M$6273)*tk_cx_gb300+Sens!$M$6273*tk_cx_vr200)</f>
        <v>34.911788</v>
      </c>
    </row>
    <row r="6277" customFormat="false" ht="17.15" hidden="false" customHeight="false" outlineLevel="0" collapsed="false">
      <c r="A6277" s="5" t="s">
        <v>564</v>
      </c>
      <c r="B6277" s="0" t="s">
        <v>108</v>
      </c>
      <c r="F6277" s="33" t="n">
        <f aca="false">Sens!$F$6267-mw_open</f>
        <v>1817.15</v>
      </c>
      <c r="G6277" s="33" t="n">
        <f aca="false">Sens!$F$6277</f>
        <v>1817.15</v>
      </c>
      <c r="H6277" s="33" t="n">
        <f aca="false">Sens!$H$6267-mw_open</f>
        <v>5451.45</v>
      </c>
      <c r="I6277" s="33" t="n">
        <f aca="false">Sens!$I$6267-mw_open</f>
        <v>9085.75</v>
      </c>
      <c r="J6277" s="33" t="n">
        <f aca="false">Sens!$J$6267-mw_open</f>
        <v>12720.05</v>
      </c>
      <c r="K6277" s="33" t="n">
        <f aca="false">Sens!$K$6267-mw_open</f>
        <v>16354.35</v>
      </c>
      <c r="L6277" s="33" t="n">
        <f aca="false">Sens!$L$6267-mw_open</f>
        <v>19988.65</v>
      </c>
      <c r="M6277" s="33" t="n">
        <f aca="false">Sens!$M$6267-mw_open</f>
        <v>23622.95</v>
      </c>
    </row>
    <row r="6278" customFormat="false" ht="17.15" hidden="false" customHeight="false" outlineLevel="0" collapsed="false">
      <c r="A6278" s="0" t="s">
        <v>565</v>
      </c>
      <c r="B6278" s="0" t="s">
        <v>566</v>
      </c>
      <c r="F6278" s="33" t="n">
        <f aca="false">Sens!$F$6270*Sens!$F$6274</f>
        <v>19782.2417524844</v>
      </c>
      <c r="G6278" s="33" t="n">
        <f aca="false">Sens!$F$6278</f>
        <v>19782.2417524844</v>
      </c>
      <c r="H6278" s="33" t="n">
        <f aca="false">Sens!$G$6278+Sens!$H$6270*Sens!$H$6274</f>
        <v>60563.3616992009</v>
      </c>
      <c r="I6278" s="33" t="n">
        <f aca="false">Sens!$H$6278+Sens!$I$6270*Sens!$I$6274</f>
        <v>102561.118087665</v>
      </c>
      <c r="J6278" s="33" t="n">
        <f aca="false">Sens!$I$6278+Sens!$J$6270*Sens!$J$6274</f>
        <v>144558.87447613</v>
      </c>
      <c r="K6278" s="33" t="n">
        <f aca="false">Sens!$J$6278+Sens!$K$6270*Sens!$K$6274</f>
        <v>186556.630864594</v>
      </c>
      <c r="L6278" s="33" t="n">
        <f aca="false">Sens!$K$6278+Sens!$L$6270*Sens!$L$6274</f>
        <v>228554.387253058</v>
      </c>
      <c r="M6278" s="33" t="n">
        <f aca="false">Sens!$L$6278+Sens!$M$6270*Sens!$M$6274</f>
        <v>270552.143641523</v>
      </c>
    </row>
    <row r="6279" customFormat="false" ht="17.15" hidden="false" customHeight="false" outlineLevel="0" collapsed="false">
      <c r="A6279" s="0" t="s">
        <v>567</v>
      </c>
      <c r="B6279" s="0" t="s">
        <v>566</v>
      </c>
      <c r="F6279" s="33" t="n">
        <f aca="false">Sens!$F$6270*Sens!$F$6275</f>
        <v>3602.74485070566</v>
      </c>
      <c r="G6279" s="33" t="n">
        <f aca="false">Sens!$F$6279</f>
        <v>3602.74485070566</v>
      </c>
      <c r="H6279" s="33" t="n">
        <f aca="false">Sens!$G$6279+Sens!$H$6270*Sens!$H$6275</f>
        <v>10908.9598445736</v>
      </c>
      <c r="I6279" s="33" t="n">
        <f aca="false">Sens!$H$6279+Sens!$I$6270*Sens!$I$6275</f>
        <v>18315.9001308981</v>
      </c>
      <c r="J6279" s="33" t="n">
        <f aca="false">Sens!$I$6279+Sens!$J$6270*Sens!$J$6275</f>
        <v>25722.8404172225</v>
      </c>
      <c r="K6279" s="33" t="n">
        <f aca="false">Sens!$J$6279+Sens!$K$6270*Sens!$K$6275</f>
        <v>33129.780703547</v>
      </c>
      <c r="L6279" s="33" t="n">
        <f aca="false">Sens!$K$6279+Sens!$L$6270*Sens!$L$6275</f>
        <v>40536.7209898715</v>
      </c>
      <c r="M6279" s="33" t="n">
        <f aca="false">Sens!$L$6279+Sens!$M$6270*Sens!$M$6275</f>
        <v>47943.661276196</v>
      </c>
    </row>
    <row r="6280" customFormat="false" ht="17.15" hidden="false" customHeight="false" outlineLevel="0" collapsed="false">
      <c r="A6280" s="5" t="s">
        <v>568</v>
      </c>
      <c r="B6280" s="0" t="s">
        <v>151</v>
      </c>
      <c r="F6280" s="36" t="n">
        <f aca="false">IF(Sens!$F$6277&gt;0,Sens!$F$6278/Sens!$F$6277,Sens!$F$6274)</f>
        <v>10.8864110021101</v>
      </c>
      <c r="G6280" s="36" t="n">
        <f aca="false">IF(Sens!$G$6277&gt;0,Sens!$G$6278/Sens!$G$6277,Sens!$G$6274)</f>
        <v>10.8864110021101</v>
      </c>
      <c r="H6280" s="36" t="n">
        <f aca="false">IF(Sens!$H$6277&gt;0,Sens!$H$6278/Sens!$H$6277,Sens!$H$6274)</f>
        <v>11.1095876691891</v>
      </c>
      <c r="I6280" s="36" t="n">
        <f aca="false">IF(Sens!$I$6277&gt;0,Sens!$I$6278/Sens!$I$6277,Sens!$I$6274)</f>
        <v>11.2881290028523</v>
      </c>
      <c r="J6280" s="36" t="n">
        <f aca="false">IF(Sens!$J$6277&gt;0,Sens!$J$6278/Sens!$J$6277,Sens!$J$6274)</f>
        <v>11.3646467172794</v>
      </c>
      <c r="K6280" s="36" t="n">
        <f aca="false">IF(Sens!$K$6277&gt;0,Sens!$K$6278/Sens!$K$6277,Sens!$K$6274)</f>
        <v>11.4071565586278</v>
      </c>
      <c r="L6280" s="36" t="n">
        <f aca="false">IF(Sens!$L$6277&gt;0,Sens!$L$6278/Sens!$L$6277,Sens!$L$6274)</f>
        <v>11.4342082758495</v>
      </c>
      <c r="M6280" s="36" t="n">
        <f aca="false">IF(Sens!$M$6277&gt;0,Sens!$M$6278/Sens!$M$6277,Sens!$M$6274)</f>
        <v>11.4529363877722</v>
      </c>
    </row>
    <row r="6281" customFormat="false" ht="17.15" hidden="false" customHeight="false" outlineLevel="0" collapsed="false">
      <c r="A6281" s="5" t="s">
        <v>569</v>
      </c>
      <c r="B6281" s="0" t="s">
        <v>151</v>
      </c>
      <c r="F6281" s="36" t="n">
        <f aca="false">IF(Sens!$F$6277&gt;0,Sens!$F$6279/Sens!$F$6277,Sens!$F$6275)</f>
        <v>1.98263481314457</v>
      </c>
      <c r="G6281" s="36" t="n">
        <f aca="false">IF(Sens!$G$6277&gt;0,Sens!$G$6279/Sens!$G$6277,Sens!$G$6275)</f>
        <v>1.98263481314457</v>
      </c>
      <c r="H6281" s="36" t="n">
        <f aca="false">IF(Sens!$H$6277&gt;0,Sens!$H$6279/Sens!$H$6277,Sens!$H$6275)</f>
        <v>2.00111160233948</v>
      </c>
      <c r="I6281" s="36" t="n">
        <f aca="false">IF(Sens!$I$6277&gt;0,Sens!$I$6279/Sens!$I$6277,Sens!$I$6275)</f>
        <v>2.01589303369541</v>
      </c>
      <c r="J6281" s="36" t="n">
        <f aca="false">IF(Sens!$J$6277&gt;0,Sens!$J$6279/Sens!$J$6277,Sens!$J$6275)</f>
        <v>2.02222793284795</v>
      </c>
      <c r="K6281" s="36" t="n">
        <f aca="false">IF(Sens!$K$6277&gt;0,Sens!$K$6279/Sens!$K$6277,Sens!$K$6275)</f>
        <v>2.02574732126603</v>
      </c>
      <c r="L6281" s="36" t="n">
        <f aca="false">IF(Sens!$L$6277&gt;0,Sens!$L$6279/Sens!$L$6277,Sens!$L$6275)</f>
        <v>2.02798693207753</v>
      </c>
      <c r="M6281" s="36" t="n">
        <f aca="false">IF(Sens!$M$6277&gt;0,Sens!$M$6279/Sens!$M$6277,Sens!$M$6275)</f>
        <v>2.02953743187011</v>
      </c>
    </row>
    <row r="6282" customFormat="false" ht="17.15" hidden="false" customHeight="false" outlineLevel="0" collapsed="false">
      <c r="A6282" s="14" t="s">
        <v>570</v>
      </c>
      <c r="B6282" s="13" t="s">
        <v>151</v>
      </c>
      <c r="C6282" s="13"/>
      <c r="D6282" s="13"/>
      <c r="E6282" s="13"/>
      <c r="F6282" s="37" t="n">
        <f aca="false">Sens!$F$6280*k_B</f>
        <v>10.7987645808025</v>
      </c>
      <c r="G6282" s="37" t="n">
        <f aca="false">Sens!$G$6280*k_B</f>
        <v>10.7987645808025</v>
      </c>
      <c r="H6282" s="37" t="n">
        <f aca="false">Sens!$H$6280*k_B</f>
        <v>11.0201444540452</v>
      </c>
      <c r="I6282" s="37" t="n">
        <f aca="false">Sens!$I$6280*k_B</f>
        <v>11.1972483526393</v>
      </c>
      <c r="J6282" s="37" t="n">
        <f aca="false">Sens!$J$6280*k_B</f>
        <v>11.2731500234653</v>
      </c>
      <c r="K6282" s="37" t="n">
        <f aca="false">Sens!$K$6280*k_B</f>
        <v>11.3153176183687</v>
      </c>
      <c r="L6282" s="37" t="n">
        <f aca="false">Sens!$L$6280*k_B</f>
        <v>11.3421515423981</v>
      </c>
      <c r="M6282" s="37" t="n">
        <f aca="false">Sens!$M$6280*k_B</f>
        <v>11.3607288744184</v>
      </c>
      <c r="N6282" s="13"/>
      <c r="O6282" s="13"/>
      <c r="P6282" s="5" t="s">
        <v>571</v>
      </c>
    </row>
    <row r="6283" customFormat="false" ht="17.15" hidden="false" customHeight="false" outlineLevel="0" collapsed="false">
      <c r="A6283" s="5" t="s">
        <v>572</v>
      </c>
      <c r="B6283" s="0" t="s">
        <v>108</v>
      </c>
      <c r="F6283" s="33" t="n">
        <f aca="false">Sens!$F$6277/2</f>
        <v>908.575</v>
      </c>
      <c r="H6283" s="33" t="n">
        <f aca="false">(Sens!$G$6277+Sens!$H$6277)/2</f>
        <v>3634.3</v>
      </c>
      <c r="I6283" s="33" t="n">
        <f aca="false">(Sens!$H$6277+Sens!$I$6277)/2</f>
        <v>7268.6</v>
      </c>
      <c r="J6283" s="33" t="n">
        <f aca="false">(Sens!$I$6277+Sens!$J$6277)/2</f>
        <v>10902.9</v>
      </c>
      <c r="K6283" s="33" t="n">
        <f aca="false">(Sens!$J$6277+Sens!$K$6277)/2</f>
        <v>14537.2</v>
      </c>
      <c r="L6283" s="33" t="n">
        <f aca="false">(Sens!$K$6277+Sens!$L$6277)/2</f>
        <v>18171.5</v>
      </c>
      <c r="M6283" s="33" t="n">
        <f aca="false">(Sens!$L$6277+Sens!$M$6277)/2</f>
        <v>21805.8</v>
      </c>
    </row>
    <row r="6284" customFormat="false" ht="17.15" hidden="false" customHeight="false" outlineLevel="0" collapsed="false">
      <c r="A6284" s="1" t="s">
        <v>573</v>
      </c>
    </row>
    <row r="6285" customFormat="false" ht="17.15" hidden="false" customHeight="false" outlineLevel="0" collapsed="false">
      <c r="A6285" s="1" t="s">
        <v>574</v>
      </c>
      <c r="B6285" s="8" t="s">
        <v>73</v>
      </c>
      <c r="C6285" s="38" t="n">
        <f aca="false">Sens!$C$6268*rpm_open*Sens!$C$6269/1000</f>
        <v>2.32100535697364</v>
      </c>
      <c r="D6285" s="38" t="n">
        <f aca="false">Sens!$D$6268*rpm_open*Sens!$D$6269/1000</f>
        <v>8.70377008865116</v>
      </c>
      <c r="E6285" s="38" t="n">
        <f aca="false">Sens!$E$6268*rpm_open*Sens!$E$6269/1000</f>
        <v>8.51035297557002</v>
      </c>
      <c r="F6285" s="38" t="n">
        <f aca="false">(mw_open*rpm_open+Sens!$F$6283*Sens!$F$6282)*Sens!$F$6269/1000</f>
        <v>14.9634336447205</v>
      </c>
      <c r="G6285" s="38" t="n">
        <f aca="false">Sens!$E$6285+Sens!$F$6285</f>
        <v>23.4737866202905</v>
      </c>
      <c r="H6285" s="38" t="n">
        <f aca="false">(mw_open*rpm_open+Sens!$H$6283*Sens!$H$6282)/1000</f>
        <v>60.1658907497746</v>
      </c>
      <c r="I6285" s="38" t="n">
        <f aca="false">(mw_open*rpm_open+Sens!$I$6283*Sens!$I$6282)/1000</f>
        <v>101.503699136432</v>
      </c>
      <c r="J6285" s="38" t="n">
        <f aca="false">(mw_open*rpm_open+Sens!$J$6283*Sens!$J$6282)/1000</f>
        <v>143.025407151278</v>
      </c>
      <c r="K6285" s="38" t="n">
        <f aca="false">(mw_open*rpm_open+Sens!$K$6283*Sens!$K$6282)/1000</f>
        <v>184.608415042187</v>
      </c>
      <c r="L6285" s="38" t="n">
        <f aca="false">(mw_open*rpm_open+Sens!$L$6283*Sens!$L$6282)/1000</f>
        <v>226.219286513125</v>
      </c>
      <c r="M6285" s="38" t="n">
        <f aca="false">(mw_open*rpm_open+Sens!$M$6283*Sens!$M$6282)/1000</f>
        <v>267.845161450232</v>
      </c>
      <c r="N6285" s="38" t="n">
        <f aca="false">Sens!$N$6268*rpm_open*Sens!$N$6269/1000</f>
        <v>3.04631953102791</v>
      </c>
      <c r="O6285" s="38" t="n">
        <f aca="false">Sens!$O$6268*rpm_open*Sens!$O$6269/1000</f>
        <v>5.65745055762326</v>
      </c>
      <c r="P6285" s="5" t="s">
        <v>575</v>
      </c>
    </row>
    <row r="6286" customFormat="false" ht="17.15" hidden="false" customHeight="false" outlineLevel="0" collapsed="false">
      <c r="A6286" s="5" t="s">
        <v>576</v>
      </c>
      <c r="B6286" s="0" t="s">
        <v>151</v>
      </c>
      <c r="C6286" s="36" t="n">
        <f aca="false">Sens!$C$6285*1000/(Sens!$C$6268*Sens!$C$6269)</f>
        <v>9.67085565405685</v>
      </c>
      <c r="D6286" s="36" t="n">
        <f aca="false">Sens!$D$6285*1000/(Sens!$D$6268*Sens!$D$6269)</f>
        <v>9.67085565405685</v>
      </c>
      <c r="E6286" s="36" t="n">
        <f aca="false">Sens!$E$6285*1000/(Sens!$E$6268*Sens!$E$6269)</f>
        <v>9.67085565405685</v>
      </c>
      <c r="F6286" s="36" t="n">
        <f aca="false">Sens!$F$6285*1000/(Sens!$F$6268*Sens!$F$6269)</f>
        <v>10.0137581588017</v>
      </c>
      <c r="G6286" s="36" t="n">
        <f aca="false">Sens!$G$6285*1000/(Sens!$G$6268*Sens!$G$6269)</f>
        <v>9.88666562928478</v>
      </c>
      <c r="H6286" s="36" t="n">
        <f aca="false">Sens!$H$6285*1000/(Sens!$H$6268*Sens!$H$6269)</f>
        <v>10.5290045586992</v>
      </c>
      <c r="I6286" s="36" t="n">
        <f aca="false">Sens!$I$6285*1000/(Sens!$I$6268*Sens!$I$6269)</f>
        <v>10.8576363451674</v>
      </c>
      <c r="J6286" s="36" t="n">
        <f aca="false">Sens!$J$6285*1000/(Sens!$J$6268*Sens!$J$6269)</f>
        <v>11.0164452588619</v>
      </c>
      <c r="K6286" s="36" t="n">
        <f aca="false">Sens!$K$6285*1000/(Sens!$K$6268*Sens!$K$6269)</f>
        <v>11.1094778327388</v>
      </c>
      <c r="L6286" s="36" t="n">
        <f aca="false">Sens!$L$6285*1000/(Sens!$L$6268*Sens!$L$6269)</f>
        <v>11.1704953466718</v>
      </c>
      <c r="M6286" s="36" t="n">
        <f aca="false">Sens!$M$6285*1000/(Sens!$M$6268*Sens!$M$6269)</f>
        <v>11.2135729785158</v>
      </c>
      <c r="N6286" s="36" t="n">
        <f aca="false">Sens!$N$6285*1000/(Sens!$N$6268*Sens!$N$6269)</f>
        <v>9.67085565405685</v>
      </c>
      <c r="O6286" s="36" t="n">
        <f aca="false">Sens!$O$6285*1000/(Sens!$O$6268*Sens!$O$6269)</f>
        <v>9.67085565405685</v>
      </c>
    </row>
    <row r="6287" customFormat="false" ht="17.15" hidden="false" customHeight="false" outlineLevel="0" collapsed="false">
      <c r="A6287" s="0" t="s">
        <v>577</v>
      </c>
      <c r="B6287" s="0" t="s">
        <v>73</v>
      </c>
      <c r="C6287" s="38" t="n">
        <f aca="false">Sens!$C$6268/ext_sh*(ox_open+rent_mw)*Sens!$C$6269/1000</f>
        <v>0.642569210675032</v>
      </c>
      <c r="D6287" s="38" t="n">
        <f aca="false">Sens!$D$6268/ext_sh*(ox_open+rent_mw)*Sens!$D$6269/1000</f>
        <v>2.40963454003137</v>
      </c>
      <c r="E6287" s="38" t="n">
        <f aca="false">Sens!$E$6268/ext_sh*(ox_open+rent_mw)*Sens!$E$6269/1000</f>
        <v>2.35608710580845</v>
      </c>
      <c r="F6287" s="38" t="n">
        <f aca="false">((mw_open*ox_open+Sens!$F$6283*Sens!$F$6281)/ext_sh+Sens!$F$6268/ext_sh*rent_mw)*Sens!$F$6269/1000</f>
        <v>4.05421991106232</v>
      </c>
      <c r="G6287" s="38" t="n">
        <f aca="false">Sens!$E$6287+Sens!$F$6287</f>
        <v>6.41030701687077</v>
      </c>
      <c r="H6287" s="38" t="n">
        <f aca="false">((mw_open*ox_open+Sens!$H$6283*Sens!$H$6281)/ext_sh+Sens!$H$6268/ext_sh*rent_mw)*Sens!$H$6269/1000</f>
        <v>15.8108975546616</v>
      </c>
      <c r="I6287" s="38" t="n">
        <f aca="false">((mw_open*ox_open+Sens!$I$6283*Sens!$I$6281)/ext_sh+Sens!$I$6268/ext_sh*rent_mw)*Sens!$I$6269/1000</f>
        <v>26.1871623400817</v>
      </c>
      <c r="J6287" s="38" t="n">
        <f aca="false">((mw_open*ox_open+Sens!$J$6283*Sens!$J$6281)/ext_sh+Sens!$J$6268/ext_sh*rent_mw)*Sens!$J$6269/1000</f>
        <v>36.5826128954935</v>
      </c>
      <c r="K6287" s="38" t="n">
        <f aca="false">((mw_open*ox_open+Sens!$K$6283*Sens!$K$6281)/ext_sh+Sens!$K$6268/ext_sh*rent_mw)*Sens!$K$6269/1000</f>
        <v>46.9844587075692</v>
      </c>
      <c r="L6287" s="38" t="n">
        <f aca="false">((mw_open*ox_open+Sens!$L$6283*Sens!$L$6281)/ext_sh+Sens!$L$6268/ext_sh*rent_mw)*Sens!$L$6269/1000</f>
        <v>57.3892114544922</v>
      </c>
      <c r="M6287" s="38" t="n">
        <f aca="false">((mw_open*ox_open+Sens!$M$6283*Sens!$M$6281)/ext_sh+Sens!$M$6268/ext_sh*rent_mw)*Sens!$M$6269/1000</f>
        <v>67.7955294740252</v>
      </c>
      <c r="N6287" s="38" t="n">
        <f aca="false">Sens!$N$6268/ext_sh*(ox_open+rent_mw)*Sens!$N$6269/1000</f>
        <v>0.84337208901098</v>
      </c>
      <c r="O6287" s="38" t="n">
        <f aca="false">Sens!$O$6268/ext_sh*(ox_open+rent_mw)*Sens!$O$6269/1000</f>
        <v>1.56626245102039</v>
      </c>
    </row>
    <row r="6288" customFormat="false" ht="17.15" hidden="false" customHeight="false" outlineLevel="0" collapsed="false">
      <c r="A6288" s="0" t="s">
        <v>578</v>
      </c>
      <c r="B6288" s="0" t="s">
        <v>73</v>
      </c>
      <c r="C6288" s="38" t="n">
        <f aca="false">Q!$D$7</f>
        <v>107.556</v>
      </c>
      <c r="D6288" s="38" t="n">
        <f aca="false">Q!$E$7</f>
        <v>128.725</v>
      </c>
      <c r="E6288" s="38" t="n">
        <f aca="false">Q!$P$7</f>
        <v>79.819</v>
      </c>
      <c r="N6288" s="38" t="n">
        <f aca="false">Q!$N$7</f>
        <v>60.14</v>
      </c>
      <c r="O6288" s="38" t="n">
        <f aca="false">Q!$O$7</f>
        <v>68.585</v>
      </c>
    </row>
    <row r="6289" customFormat="false" ht="17.15" hidden="false" customHeight="false" outlineLevel="0" collapsed="false">
      <c r="A6289" s="1" t="s">
        <v>579</v>
      </c>
      <c r="B6289" s="8" t="s">
        <v>73</v>
      </c>
      <c r="C6289" s="38" t="n">
        <f aca="false">Sens!$C$6288-Sens!$C$6285</f>
        <v>105.234994643026</v>
      </c>
      <c r="D6289" s="38" t="n">
        <f aca="false">Sens!$D$6288-Sens!$D$6285</f>
        <v>120.021229911349</v>
      </c>
      <c r="E6289" s="38" t="n">
        <f aca="false">Sens!$E$6288-Sens!$E$6285</f>
        <v>71.30864702443</v>
      </c>
      <c r="F6289" s="38" t="n">
        <f aca="false">Sens!$O$6289*(1+Sens!$F$6290)</f>
        <v>78.5950104186653</v>
      </c>
      <c r="G6289" s="38" t="n">
        <f aca="false">Sens!$E$6289+Sens!$F$6289</f>
        <v>149.903657443095</v>
      </c>
      <c r="H6289" s="38" t="n">
        <f aca="false">Sens!$G$6289*(1+Sens!$H$6290)</f>
        <v>180.893560768142</v>
      </c>
      <c r="I6289" s="38" t="n">
        <f aca="false">Sens!$H$6289*(1+Sens!$I$6290)</f>
        <v>210.64839721501</v>
      </c>
      <c r="J6289" s="38" t="n">
        <f aca="false">Sens!$I$6289*(1+Sens!$J$6290)</f>
        <v>236.398909446495</v>
      </c>
      <c r="K6289" s="38" t="n">
        <f aca="false">Sens!$J$6289*(1+Sens!$K$6290)</f>
        <v>255.310822202215</v>
      </c>
      <c r="L6289" s="38" t="n">
        <f aca="false">Sens!$K$6289*(1+Sens!$L$6290)</f>
        <v>275.735687978392</v>
      </c>
      <c r="M6289" s="38" t="n">
        <f aca="false">Sens!$L$6289*(1+Sens!$M$6290)</f>
        <v>297.794543016663</v>
      </c>
      <c r="N6289" s="38" t="n">
        <f aca="false">Sens!$N$6288-Sens!$N$6285</f>
        <v>57.0936804689721</v>
      </c>
      <c r="O6289" s="38" t="n">
        <f aca="false">Sens!$O$6288-Sens!$O$6285</f>
        <v>62.9275494423768</v>
      </c>
      <c r="P6289" s="5" t="s">
        <v>580</v>
      </c>
    </row>
    <row r="6290" customFormat="false" ht="17.15" hidden="false" customHeight="false" outlineLevel="0" collapsed="false">
      <c r="A6290" s="0" t="s">
        <v>581</v>
      </c>
      <c r="B6290" s="0" t="s">
        <v>52</v>
      </c>
      <c r="E6290" s="12" t="n">
        <f aca="false">Sens!$E$6289/Sens!$N$6289-1</f>
        <v>0.248976181579029</v>
      </c>
      <c r="F6290" s="12" t="n">
        <f aca="false">Sens!$E$6290</f>
        <v>0.248976181579029</v>
      </c>
      <c r="G6290" s="12" t="n">
        <f aca="false">Sens!$G$6289/Sens!$D$6289-1</f>
        <v>0.248976181579029</v>
      </c>
      <c r="H6290" s="12" t="n">
        <f aca="false">Sens!$E$6290+(g_awso_lt-Sens!$E$6290)*1/4</f>
        <v>0.206732136184272</v>
      </c>
      <c r="I6290" s="12" t="n">
        <f aca="false">Sens!$E$6290+(g_awso_lt-Sens!$E$6290)*2/4</f>
        <v>0.164488090789515</v>
      </c>
      <c r="J6290" s="12" t="n">
        <f aca="false">Sens!$E$6290+(g_awso_lt-Sens!$E$6290)*3/4</f>
        <v>0.122244045394757</v>
      </c>
      <c r="K6290" s="12" t="n">
        <f aca="false">Sens!$E$6290+(g_awso_lt-Sens!$E$6290)*4/4</f>
        <v>0.08</v>
      </c>
      <c r="L6290" s="12" t="n">
        <f aca="false">g_awso_lt</f>
        <v>0.08</v>
      </c>
      <c r="M6290" s="12" t="n">
        <f aca="false">g_awso_lt</f>
        <v>0.08</v>
      </c>
      <c r="P6290" s="8" t="s">
        <v>582</v>
      </c>
    </row>
    <row r="6291" customFormat="false" ht="17.15" hidden="false" customHeight="false" outlineLevel="0" collapsed="false">
      <c r="A6291" s="1" t="s">
        <v>583</v>
      </c>
    </row>
    <row r="6292" customFormat="false" ht="17.15" hidden="false" customHeight="false" outlineLevel="0" collapsed="false">
      <c r="A6292" s="0" t="s">
        <v>584</v>
      </c>
      <c r="B6292" s="0" t="s">
        <v>73</v>
      </c>
      <c r="F6292" s="38" t="n">
        <f aca="false">cx_rt*Sens!$F$6258+cx_awso*Sens!$F$6289</f>
        <v>36.8045765066526</v>
      </c>
    </row>
    <row r="6293" customFormat="false" ht="17.15" hidden="false" customHeight="false" outlineLevel="0" collapsed="false">
      <c r="A6293" s="0" t="s">
        <v>585</v>
      </c>
      <c r="B6293" s="0" t="s">
        <v>52</v>
      </c>
      <c r="C6293" s="12" t="n">
        <f aca="false">tk_cx_h100/(tk_cx_h100+tk_fac*(1-colo_sh))</f>
        <v>0.730756458006641</v>
      </c>
      <c r="D6293" s="12" t="n">
        <f aca="false">tk_cx_h100/(tk_cx_h100+tk_fac*(1-colo_sh))</f>
        <v>0.730756458006641</v>
      </c>
      <c r="E6293" s="12" t="n">
        <f aca="false">Sens!$F$6293</f>
        <v>0.760792334328868</v>
      </c>
      <c r="F6293" s="12" t="n">
        <f aca="false">Sens!$F$6276/(Sens!$F$6276+tk_fac*(1-colo_sh))</f>
        <v>0.760792334328868</v>
      </c>
      <c r="G6293" s="12" t="n">
        <f aca="false">Sens!$G$6276/(Sens!$G$6276+tk_fac*(1-colo_sh))</f>
        <v>0.760792334328868</v>
      </c>
      <c r="H6293" s="12" t="n">
        <f aca="false">Sens!$H$6276/(Sens!$H$6276+tk_fac*(1-colo_sh))</f>
        <v>0.768110668862996</v>
      </c>
      <c r="I6293" s="12" t="n">
        <f aca="false">Sens!$I$6276/(Sens!$I$6276+tk_fac*(1-colo_sh))</f>
        <v>0.77499450139483</v>
      </c>
      <c r="J6293" s="12" t="n">
        <f aca="false">Sens!$J$6276/(Sens!$J$6276+tk_fac*(1-colo_sh))</f>
        <v>0.77499450139483</v>
      </c>
      <c r="K6293" s="12" t="n">
        <f aca="false">Sens!$K$6276/(Sens!$K$6276+tk_fac*(1-colo_sh))</f>
        <v>0.77499450139483</v>
      </c>
      <c r="L6293" s="12" t="n">
        <f aca="false">Sens!$L$6276/(Sens!$L$6276+tk_fac*(1-colo_sh))</f>
        <v>0.77499450139483</v>
      </c>
      <c r="M6293" s="12" t="n">
        <f aca="false">Sens!$M$6276/(Sens!$M$6276+tk_fac*(1-colo_sh))</f>
        <v>0.77499450139483</v>
      </c>
    </row>
    <row r="6294" customFormat="false" ht="17.15" hidden="false" customHeight="false" outlineLevel="0" collapsed="false">
      <c r="A6294" s="1" t="s">
        <v>586</v>
      </c>
      <c r="B6294" s="8" t="s">
        <v>73</v>
      </c>
      <c r="C6294" s="38" t="n">
        <f aca="false">Q!$D$46-cx_rt*Q!$D$16-cx_awso*Sens!$C$6289</f>
        <v>25.2781053077374</v>
      </c>
      <c r="D6294" s="38" t="n">
        <f aca="false">Q!$E$46-cx_rt*Q!$E$16-cx_awso*Sens!$D$6289</f>
        <v>69.5686316310026</v>
      </c>
      <c r="E6294" s="38" t="n">
        <f aca="false">Q!$P$46-cx_rt*Q!$P$16-cx_awso*Sens!$E$6289</f>
        <v>64.1899206485108</v>
      </c>
      <c r="F6294" s="38" t="n">
        <f aca="false">MAX(Sens!$F$6271*(Sens!$F$6276+tk_fac*(1-colo_sh))/1000,capex_g26-Q!$P$46-Sens!$F$6292)</f>
        <v>96.2481299895</v>
      </c>
      <c r="G6294" s="38" t="n">
        <f aca="false">Sens!$E$6294+Sens!$F$6294</f>
        <v>160.438050638011</v>
      </c>
      <c r="H6294" s="38" t="n">
        <f aca="false">Sens!$H$6271*(Sens!$H$6276+tk_fac*(1-colo_sh))/1000+Sens!$H$6295</f>
        <v>198.57136494475</v>
      </c>
      <c r="I6294" s="38" t="n">
        <f aca="false">Sens!$I$6271*(Sens!$I$6276+tk_fac*(1-colo_sh))/1000+Sens!$I$6295</f>
        <v>204.6464699105</v>
      </c>
      <c r="J6294" s="38" t="n">
        <f aca="false">Sens!$J$6271*(Sens!$J$6276+tk_fac*(1-colo_sh))/1000+Sens!$J$6295</f>
        <v>209.8832381105</v>
      </c>
      <c r="K6294" s="38" t="n">
        <f aca="false">Sens!$K$6271*(Sens!$K$6276+tk_fac*(1-colo_sh))/1000+Sens!$K$6295</f>
        <v>215.1200063105</v>
      </c>
      <c r="L6294" s="38" t="n">
        <f aca="false">Sens!$L$6271*(Sens!$L$6276+tk_fac*(1-colo_sh))/1000+Sens!$L$6295</f>
        <v>251.7773837105</v>
      </c>
      <c r="M6294" s="38" t="n">
        <f aca="false">Sens!$M$6271*(Sens!$M$6276+tk_fac*(1-colo_sh))/1000+Sens!$M$6295</f>
        <v>311.87584476575</v>
      </c>
      <c r="P6294" s="5" t="s">
        <v>587</v>
      </c>
      <c r="R6294" s="38" t="n">
        <f aca="false">Q!$C$46-cx_rt*Q!$C$16-cx_awso*(Q!$C$7-mw_ye23/2*rpm_open/1000)</f>
        <v>1.50429979529945</v>
      </c>
      <c r="S6294" s="38" t="n">
        <f aca="false">Sens!$C$6294</f>
        <v>25.2781053077374</v>
      </c>
      <c r="T6294" s="38" t="n">
        <f aca="false">Sens!$D$6294</f>
        <v>69.5686316310026</v>
      </c>
      <c r="U6294" s="38" t="n">
        <f aca="false">Sens!$G$6294</f>
        <v>160.438050638011</v>
      </c>
      <c r="V6294" s="38" t="n">
        <f aca="false">Sens!$H$6294</f>
        <v>198.57136494475</v>
      </c>
      <c r="W6294" s="38" t="n">
        <f aca="false">Sens!$I$6294</f>
        <v>204.6464699105</v>
      </c>
      <c r="X6294" s="38" t="n">
        <f aca="false">Sens!$J$6294</f>
        <v>209.8832381105</v>
      </c>
      <c r="Y6294" s="38" t="n">
        <f aca="false">Sens!$K$6294</f>
        <v>215.1200063105</v>
      </c>
      <c r="Z6294" s="38" t="n">
        <f aca="false">Sens!$L$6294</f>
        <v>251.7773837105</v>
      </c>
      <c r="AA6294" s="38" t="n">
        <f aca="false">Sens!$M$6294</f>
        <v>311.87584476575</v>
      </c>
    </row>
    <row r="6295" customFormat="false" ht="17.15" hidden="false" customHeight="false" outlineLevel="0" collapsed="false">
      <c r="A6295" s="0" t="s">
        <v>588</v>
      </c>
      <c r="B6295" s="0" t="s">
        <v>73</v>
      </c>
      <c r="H6295" s="38" t="n">
        <f aca="false">SUMPRODUCT(--(Sens!$R$6265:$AA$6265=2027-tk_life),Sens!$R$6271:$AA$6271)*Sens!$H$6276/1000</f>
        <v>0</v>
      </c>
      <c r="I6295" s="38" t="n">
        <f aca="false">SUMPRODUCT(--(Sens!$R$6265:$AA$6265=2028-tk_life),Sens!$R$6271:$AA$6271)*Sens!$I$6276/1000</f>
        <v>0</v>
      </c>
      <c r="J6295" s="38" t="n">
        <f aca="false">SUMPRODUCT(--(Sens!$R$6265:$AA$6265=2029-tk_life),Sens!$R$6271:$AA$6271)*Sens!$J$6276/1000</f>
        <v>5.2367682</v>
      </c>
      <c r="K6295" s="38" t="n">
        <f aca="false">SUMPRODUCT(--(Sens!$R$6265:$AA$6265=2030-tk_life),Sens!$R$6271:$AA$6271)*Sens!$K$6276/1000</f>
        <v>10.4735364</v>
      </c>
      <c r="L6295" s="38" t="n">
        <f aca="false">SUMPRODUCT(--(Sens!$R$6265:$AA$6265=2031-tk_life),Sens!$R$6271:$AA$6271)*Sens!$L$6276/1000</f>
        <v>47.1309138</v>
      </c>
      <c r="M6295" s="38" t="n">
        <f aca="false">SUMPRODUCT(--(Sens!$R$6265:$AA$6265=2032-tk_life),Sens!$R$6271:$AA$6271)*Sens!$M$6276/1000</f>
        <v>107.22937485525</v>
      </c>
    </row>
    <row r="6296" customFormat="false" ht="17.15" hidden="false" customHeight="false" outlineLevel="0" collapsed="false">
      <c r="A6296" s="5" t="s">
        <v>589</v>
      </c>
      <c r="B6296" s="0" t="s">
        <v>73</v>
      </c>
      <c r="C6296" s="38" t="n">
        <f aca="false">Sens!$C$6294*Sens!$C$6293</f>
        <v>18.472138699801</v>
      </c>
      <c r="D6296" s="38" t="n">
        <f aca="false">Sens!$D$6294*Sens!$D$6293</f>
        <v>50.8377268390402</v>
      </c>
      <c r="E6296" s="38" t="n">
        <f aca="false">Sens!$E$6294*Sens!$E$6293</f>
        <v>48.8351995705653</v>
      </c>
      <c r="F6296" s="38" t="n">
        <f aca="false">Sens!$F$6294*Sens!$F$6293</f>
        <v>73.2248394895</v>
      </c>
      <c r="G6296" s="38" t="n">
        <f aca="false">Sens!$E$6296+Sens!$F$6296</f>
        <v>122.060039060065</v>
      </c>
      <c r="H6296" s="38" t="n">
        <f aca="false">(Sens!$H$6294-Sens!$H$6295)*Sens!$H$6293+Sens!$H$6295</f>
        <v>152.52478394475</v>
      </c>
      <c r="I6296" s="38" t="n">
        <f aca="false">(Sens!$I$6294-Sens!$I$6295)*Sens!$I$6293+Sens!$I$6295</f>
        <v>158.5998889105</v>
      </c>
      <c r="J6296" s="38" t="n">
        <f aca="false">(Sens!$J$6294-Sens!$J$6295)*Sens!$J$6293+Sens!$J$6295</f>
        <v>163.8366571105</v>
      </c>
      <c r="K6296" s="38" t="n">
        <f aca="false">(Sens!$K$6294-Sens!$K$6295)*Sens!$K$6293+Sens!$K$6295</f>
        <v>169.0734253105</v>
      </c>
      <c r="L6296" s="38" t="n">
        <f aca="false">(Sens!$L$6294-Sens!$L$6295)*Sens!$L$6293+Sens!$L$6295</f>
        <v>205.7308027105</v>
      </c>
      <c r="M6296" s="38" t="n">
        <f aca="false">(Sens!$M$6294-Sens!$M$6295)*Sens!$M$6293+Sens!$M$6295</f>
        <v>265.82926376575</v>
      </c>
      <c r="R6296" s="38" t="n">
        <f aca="false">Sens!$R$6294*Sens!$C$6293</f>
        <v>1.09927679019314</v>
      </c>
      <c r="S6296" s="38" t="n">
        <f aca="false">Sens!$C$6296</f>
        <v>18.472138699801</v>
      </c>
      <c r="T6296" s="38" t="n">
        <f aca="false">Sens!$D$6296</f>
        <v>50.8377268390402</v>
      </c>
      <c r="U6296" s="38" t="n">
        <f aca="false">Sens!$G$6296</f>
        <v>122.060039060065</v>
      </c>
      <c r="V6296" s="38" t="n">
        <f aca="false">Sens!$H$6296</f>
        <v>152.52478394475</v>
      </c>
      <c r="W6296" s="38" t="n">
        <f aca="false">Sens!$I$6296</f>
        <v>158.5998889105</v>
      </c>
      <c r="X6296" s="38" t="n">
        <f aca="false">Sens!$J$6296</f>
        <v>163.8366571105</v>
      </c>
      <c r="Y6296" s="38" t="n">
        <f aca="false">Sens!$K$6296</f>
        <v>169.0734253105</v>
      </c>
      <c r="Z6296" s="38" t="n">
        <f aca="false">Sens!$L$6296</f>
        <v>205.7308027105</v>
      </c>
      <c r="AA6296" s="38" t="n">
        <f aca="false">Sens!$M$6296</f>
        <v>265.82926376575</v>
      </c>
    </row>
    <row r="6297" customFormat="false" ht="15" hidden="false" customHeight="false" outlineLevel="0" collapsed="false">
      <c r="A6297" s="5" t="s">
        <v>590</v>
      </c>
      <c r="B6297" s="0" t="s">
        <v>73</v>
      </c>
      <c r="C6297" s="38" t="n">
        <f aca="false">Sens!$C$6294-Sens!$C$6296</f>
        <v>6.80596660793636</v>
      </c>
      <c r="D6297" s="38" t="n">
        <f aca="false">Sens!$D$6294-Sens!$D$6296</f>
        <v>18.7309047919624</v>
      </c>
      <c r="E6297" s="38" t="n">
        <f aca="false">Sens!$E$6294-Sens!$E$6296</f>
        <v>15.3547210779455</v>
      </c>
      <c r="F6297" s="38" t="n">
        <f aca="false">Sens!$F$6294-Sens!$F$6296</f>
        <v>23.0232905</v>
      </c>
      <c r="G6297" s="38" t="n">
        <f aca="false">Sens!$G$6294-Sens!$G$6296</f>
        <v>38.3780115779455</v>
      </c>
      <c r="H6297" s="38" t="n">
        <f aca="false">Sens!$H$6294-Sens!$H$6296</f>
        <v>46.046581</v>
      </c>
      <c r="I6297" s="38" t="n">
        <f aca="false">Sens!$I$6294-Sens!$I$6296</f>
        <v>46.046581</v>
      </c>
      <c r="J6297" s="38" t="n">
        <f aca="false">Sens!$J$6294-Sens!$J$6296</f>
        <v>46.046581</v>
      </c>
      <c r="K6297" s="38" t="n">
        <f aca="false">Sens!$K$6294-Sens!$K$6296</f>
        <v>46.046581</v>
      </c>
      <c r="L6297" s="38" t="n">
        <f aca="false">Sens!$L$6294-Sens!$L$6296</f>
        <v>46.046581</v>
      </c>
      <c r="M6297" s="38" t="n">
        <f aca="false">Sens!$M$6294-Sens!$M$6296</f>
        <v>46.046581</v>
      </c>
      <c r="R6297" s="38" t="n">
        <f aca="false">Sens!$R$6294-Sens!$R$6296</f>
        <v>0.405023005106309</v>
      </c>
      <c r="S6297" s="38" t="n">
        <f aca="false">Sens!$S$6294-Sens!$S$6296</f>
        <v>6.80596660793636</v>
      </c>
      <c r="T6297" s="38" t="n">
        <f aca="false">Sens!$T$6294-Sens!$T$6296</f>
        <v>18.7309047919624</v>
      </c>
      <c r="U6297" s="38" t="n">
        <f aca="false">Sens!$U$6294-Sens!$U$6296</f>
        <v>38.3780115779455</v>
      </c>
      <c r="V6297" s="38" t="n">
        <f aca="false">Sens!$V$6294-Sens!$V$6296</f>
        <v>46.046581</v>
      </c>
      <c r="W6297" s="38" t="n">
        <f aca="false">Sens!$W$6294-Sens!$W$6296</f>
        <v>46.046581</v>
      </c>
      <c r="X6297" s="38" t="n">
        <f aca="false">Sens!$X$6294-Sens!$X$6296</f>
        <v>46.046581</v>
      </c>
      <c r="Y6297" s="38" t="n">
        <f aca="false">Sens!$Y$6294-Sens!$Y$6296</f>
        <v>46.046581</v>
      </c>
      <c r="Z6297" s="38" t="n">
        <f aca="false">Sens!$Z$6294-Sens!$Z$6296</f>
        <v>46.046581</v>
      </c>
      <c r="AA6297" s="38" t="n">
        <f aca="false">Sens!$AA$6294-Sens!$AA$6296</f>
        <v>46.046581</v>
      </c>
    </row>
    <row r="6298" customFormat="false" ht="17.15" hidden="false" customHeight="false" outlineLevel="0" collapsed="false">
      <c r="A6298" s="0" t="s">
        <v>591</v>
      </c>
      <c r="B6298" s="0" t="s">
        <v>52</v>
      </c>
      <c r="C6298" s="12" t="n">
        <f aca="false">Sens!$C$6294/Sens!$C$6410</f>
        <v>0.325505489553393</v>
      </c>
      <c r="D6298" s="12" t="n">
        <f aca="false">Sens!$D$6294/Sens!$D$6410</f>
        <v>0.54214956071542</v>
      </c>
      <c r="E6298" s="12" t="n">
        <f aca="false">Sens!$E$6294/Sens!$E$6410</f>
        <v>0.666492790452817</v>
      </c>
      <c r="F6298" s="12" t="n">
        <f aca="false">Sens!$F$6294/Sens!$F$6410</f>
        <v>0.723383481058938</v>
      </c>
      <c r="G6298" s="12" t="n">
        <f aca="false">Sens!$G$6294/Sens!$G$6410</f>
        <v>0.699494931364102</v>
      </c>
      <c r="H6298" s="12" t="n">
        <f aca="false">Sens!$H$6294/Sens!$H$6410</f>
        <v>0.714619350171483</v>
      </c>
      <c r="I6298" s="12" t="n">
        <f aca="false">Sens!$I$6294/Sens!$I$6410</f>
        <v>0.696231624961614</v>
      </c>
      <c r="J6298" s="12" t="n">
        <f aca="false">Sens!$J$6294/Sens!$J$6410</f>
        <v>0.681286352509885</v>
      </c>
      <c r="K6298" s="12" t="n">
        <f aca="false">Sens!$K$6294/Sens!$K$6410</f>
        <v>0.671440649805508</v>
      </c>
      <c r="L6298" s="12" t="n">
        <f aca="false">Sens!$L$6294/Sens!$L$6410</f>
        <v>0.6904509846562</v>
      </c>
      <c r="M6298" s="12" t="n">
        <f aca="false">Sens!$M$6294/Sens!$M$6410</f>
        <v>0.720362080285865</v>
      </c>
    </row>
    <row r="6299" customFormat="false" ht="17.15" hidden="false" customHeight="false" outlineLevel="0" collapsed="false">
      <c r="A6299" s="0" t="s">
        <v>592</v>
      </c>
      <c r="B6299" s="0" t="s">
        <v>73</v>
      </c>
      <c r="C6299" s="38" t="n">
        <f aca="false">Sens!$S$6299</f>
        <v>0.183212798365523</v>
      </c>
      <c r="D6299" s="38" t="n">
        <f aca="false">Sens!$T$6299</f>
        <v>3.2619025816657</v>
      </c>
      <c r="E6299" s="38" t="n">
        <f aca="false">Sens!$G$6299/2</f>
        <v>5.86742852741953</v>
      </c>
      <c r="F6299" s="38" t="n">
        <f aca="false">Sens!$G$6299/2</f>
        <v>5.86742852741953</v>
      </c>
      <c r="G6299" s="38" t="n">
        <f aca="false">Sens!$U$6299</f>
        <v>11.7348570548391</v>
      </c>
      <c r="H6299" s="38" t="n">
        <f aca="false">Sens!$V$6299</f>
        <v>32.0781968981833</v>
      </c>
      <c r="I6299" s="38" t="n">
        <f aca="false">Sens!$W$6299</f>
        <v>57.4989942223083</v>
      </c>
      <c r="J6299" s="38" t="n">
        <f aca="false">Sens!$X$6299</f>
        <v>83.932309040725</v>
      </c>
      <c r="K6299" s="38" t="n">
        <f aca="false">Sens!$Y$6299</f>
        <v>111.055205760776</v>
      </c>
      <c r="L6299" s="38" t="n">
        <f aca="false">Sens!$Z$6299</f>
        <v>136.155420195893</v>
      </c>
      <c r="M6299" s="38" t="n">
        <f aca="false">Sens!$AA$6299</f>
        <v>161.970932841136</v>
      </c>
      <c r="N6299" s="38" t="n">
        <f aca="false">Sens!$D$6299/2</f>
        <v>1.63095129083285</v>
      </c>
      <c r="O6299" s="38" t="n">
        <f aca="false">Sens!$D$6299/2</f>
        <v>1.63095129083285</v>
      </c>
      <c r="R6299" s="38" t="n">
        <f aca="false">SUMPRODUCT(--(Sens!$R$6265:$AA$6265&lt;Sens!R$6265),--(Sens!$R$6265:$AA$6265&gt;=Sens!R$6265-tk_life),Sens!$R$6296:$AA$6296)/tk_life</f>
        <v>0</v>
      </c>
      <c r="S6299" s="38" t="n">
        <f aca="false">SUMPRODUCT(--(Sens!$R$6265:$AA$6265&lt;Sens!S$6265),--(Sens!$R$6265:$AA$6265&gt;=Sens!S$6265-tk_life),Sens!$R$6296:$AA$6296)/tk_life</f>
        <v>0.183212798365523</v>
      </c>
      <c r="T6299" s="38" t="n">
        <f aca="false">SUMPRODUCT(--(Sens!$R$6265:$AA$6265&lt;Sens!T$6265),--(Sens!$R$6265:$AA$6265&gt;=Sens!T$6265-tk_life),Sens!$R$6296:$AA$6296)/tk_life</f>
        <v>3.2619025816657</v>
      </c>
      <c r="U6299" s="38" t="n">
        <f aca="false">SUMPRODUCT(--(Sens!$R$6265:$AA$6265&lt;Sens!U$6265),--(Sens!$R$6265:$AA$6265&gt;=Sens!U$6265-tk_life),Sens!$R$6296:$AA$6296)/tk_life</f>
        <v>11.7348570548391</v>
      </c>
      <c r="V6299" s="38" t="n">
        <f aca="false">SUMPRODUCT(--(Sens!$R$6265:$AA$6265&lt;Sens!V$6265),--(Sens!$R$6265:$AA$6265&gt;=Sens!V$6265-tk_life),Sens!$R$6296:$AA$6296)/tk_life</f>
        <v>32.0781968981833</v>
      </c>
      <c r="W6299" s="38" t="n">
        <f aca="false">SUMPRODUCT(--(Sens!$R$6265:$AA$6265&lt;Sens!W$6265),--(Sens!$R$6265:$AA$6265&gt;=Sens!W$6265-tk_life),Sens!$R$6296:$AA$6296)/tk_life</f>
        <v>57.4989942223083</v>
      </c>
      <c r="X6299" s="38" t="n">
        <f aca="false">SUMPRODUCT(--(Sens!$R$6265:$AA$6265&lt;Sens!X$6265),--(Sens!$R$6265:$AA$6265&gt;=Sens!X$6265-tk_life),Sens!$R$6296:$AA$6296)/tk_life</f>
        <v>83.932309040725</v>
      </c>
      <c r="Y6299" s="38" t="n">
        <f aca="false">SUMPRODUCT(--(Sens!$R$6265:$AA$6265&lt;Sens!Y$6265),--(Sens!$R$6265:$AA$6265&gt;=Sens!Y$6265-tk_life),Sens!$R$6296:$AA$6296)/tk_life</f>
        <v>111.055205760776</v>
      </c>
      <c r="Z6299" s="38" t="n">
        <f aca="false">SUMPRODUCT(--(Sens!$R$6265:$AA$6265&lt;Sens!Z$6265),--(Sens!$R$6265:$AA$6265&gt;=Sens!Z$6265-tk_life),Sens!$R$6296:$AA$6296)/tk_life</f>
        <v>136.155420195893</v>
      </c>
      <c r="AA6299" s="38" t="n">
        <f aca="false">SUMPRODUCT(--(Sens!$R$6265:$AA$6265&lt;Sens!AA$6265),--(Sens!$R$6265:$AA$6265&gt;=Sens!AA$6265-tk_life),Sens!$R$6296:$AA$6296)/tk_life</f>
        <v>161.970932841136</v>
      </c>
    </row>
    <row r="6300" customFormat="false" ht="17.15" hidden="false" customHeight="false" outlineLevel="0" collapsed="false">
      <c r="A6300" s="0" t="s">
        <v>593</v>
      </c>
      <c r="B6300" s="0" t="s">
        <v>73</v>
      </c>
      <c r="C6300" s="38" t="n">
        <f aca="false">Sens!$S$6300</f>
        <v>0.0202511502553155</v>
      </c>
      <c r="D6300" s="38" t="n">
        <f aca="false">Sens!$T$6300</f>
        <v>0.360549480652134</v>
      </c>
      <c r="E6300" s="38" t="n">
        <f aca="false">Sens!$G$6300/2</f>
        <v>0.648547360125127</v>
      </c>
      <c r="F6300" s="38" t="n">
        <f aca="false">Sens!$G$6300/2</f>
        <v>0.648547360125127</v>
      </c>
      <c r="G6300" s="38" t="n">
        <f aca="false">Sens!$U$6300</f>
        <v>1.29709472025025</v>
      </c>
      <c r="H6300" s="38" t="n">
        <f aca="false">Sens!$V$6300</f>
        <v>3.21599529914753</v>
      </c>
      <c r="I6300" s="38" t="n">
        <f aca="false">Sens!$W$6300</f>
        <v>5.51832434914753</v>
      </c>
      <c r="J6300" s="38" t="n">
        <f aca="false">Sens!$X$6300</f>
        <v>7.82065339914753</v>
      </c>
      <c r="K6300" s="38" t="n">
        <f aca="false">Sens!$Y$6300</f>
        <v>10.1229824491475</v>
      </c>
      <c r="L6300" s="38" t="n">
        <f aca="false">Sens!$Z$6300</f>
        <v>12.4253114991475</v>
      </c>
      <c r="M6300" s="38" t="n">
        <f aca="false">Sens!$AA$6300</f>
        <v>14.7276405491475</v>
      </c>
      <c r="N6300" s="38" t="n">
        <f aca="false">Sens!$D$6300/2</f>
        <v>0.180274740326067</v>
      </c>
      <c r="O6300" s="38" t="n">
        <f aca="false">Sens!$D$6300/2</f>
        <v>0.180274740326067</v>
      </c>
      <c r="R6300" s="38" t="n">
        <f aca="false">SUMPRODUCT(--(Sens!$R$6265:$AA$6265&lt;Sens!R$6265),Sens!$R$6297:$AA$6297)/fac_life</f>
        <v>0</v>
      </c>
      <c r="S6300" s="38" t="n">
        <f aca="false">SUMPRODUCT(--(Sens!$R$6265:$AA$6265&lt;Sens!S$6265),Sens!$R$6297:$AA$6297)/fac_life</f>
        <v>0.0202511502553155</v>
      </c>
      <c r="T6300" s="38" t="n">
        <f aca="false">SUMPRODUCT(--(Sens!$R$6265:$AA$6265&lt;Sens!T$6265),Sens!$R$6297:$AA$6297)/fac_life</f>
        <v>0.360549480652134</v>
      </c>
      <c r="U6300" s="38" t="n">
        <f aca="false">SUMPRODUCT(--(Sens!$R$6265:$AA$6265&lt;Sens!U$6265),Sens!$R$6297:$AA$6297)/fac_life</f>
        <v>1.29709472025025</v>
      </c>
      <c r="V6300" s="38" t="n">
        <f aca="false">SUMPRODUCT(--(Sens!$R$6265:$AA$6265&lt;Sens!V$6265),Sens!$R$6297:$AA$6297)/fac_life</f>
        <v>3.21599529914753</v>
      </c>
      <c r="W6300" s="38" t="n">
        <f aca="false">SUMPRODUCT(--(Sens!$R$6265:$AA$6265&lt;Sens!W$6265),Sens!$R$6297:$AA$6297)/fac_life</f>
        <v>5.51832434914753</v>
      </c>
      <c r="X6300" s="38" t="n">
        <f aca="false">SUMPRODUCT(--(Sens!$R$6265:$AA$6265&lt;Sens!X$6265),Sens!$R$6297:$AA$6297)/fac_life</f>
        <v>7.82065339914753</v>
      </c>
      <c r="Y6300" s="38" t="n">
        <f aca="false">SUMPRODUCT(--(Sens!$R$6265:$AA$6265&lt;Sens!Y$6265),Sens!$R$6297:$AA$6297)/fac_life</f>
        <v>10.1229824491475</v>
      </c>
      <c r="Z6300" s="38" t="n">
        <f aca="false">SUMPRODUCT(--(Sens!$R$6265:$AA$6265&lt;Sens!Z$6265),Sens!$R$6297:$AA$6297)/fac_life</f>
        <v>12.4253114991475</v>
      </c>
      <c r="AA6300" s="38" t="n">
        <f aca="false">SUMPRODUCT(--(Sens!$R$6265:$AA$6265&lt;Sens!AA$6265),Sens!$R$6297:$AA$6297)/fac_life</f>
        <v>14.7276405491475</v>
      </c>
    </row>
    <row r="6301" customFormat="false" ht="17.15" hidden="false" customHeight="false" outlineLevel="0" collapsed="false">
      <c r="A6301" s="1" t="s">
        <v>594</v>
      </c>
      <c r="B6301" s="8" t="s">
        <v>73</v>
      </c>
      <c r="C6301" s="38" t="n">
        <f aca="false">Sens!$C$6299+Sens!$C$6300</f>
        <v>0.203463948620839</v>
      </c>
      <c r="D6301" s="38" t="n">
        <f aca="false">Sens!$D$6299+Sens!$D$6300</f>
        <v>3.62245206231783</v>
      </c>
      <c r="E6301" s="38" t="n">
        <f aca="false">Sens!$E$6299+Sens!$E$6300</f>
        <v>6.51597588754466</v>
      </c>
      <c r="F6301" s="38" t="n">
        <f aca="false">Sens!$F$6299+Sens!$F$6300</f>
        <v>6.51597588754466</v>
      </c>
      <c r="G6301" s="38" t="n">
        <f aca="false">Sens!$G$6299+Sens!$G$6300</f>
        <v>13.0319517750893</v>
      </c>
      <c r="H6301" s="38" t="n">
        <f aca="false">Sens!$H$6299+Sens!$H$6300</f>
        <v>35.2941921973308</v>
      </c>
      <c r="I6301" s="38" t="n">
        <f aca="false">Sens!$I$6299+Sens!$I$6300</f>
        <v>63.0173185714558</v>
      </c>
      <c r="J6301" s="38" t="n">
        <f aca="false">Sens!$J$6299+Sens!$J$6300</f>
        <v>91.7529624398725</v>
      </c>
      <c r="K6301" s="38" t="n">
        <f aca="false">Sens!$K$6299+Sens!$K$6300</f>
        <v>121.178188209924</v>
      </c>
      <c r="L6301" s="38" t="n">
        <f aca="false">Sens!$L$6299+Sens!$L$6300</f>
        <v>148.58073169504</v>
      </c>
      <c r="M6301" s="38" t="n">
        <f aca="false">Sens!$M$6299+Sens!$M$6300</f>
        <v>176.698573390283</v>
      </c>
      <c r="N6301" s="38" t="n">
        <f aca="false">Sens!$N$6299+Sens!$N$6300</f>
        <v>1.81122603115892</v>
      </c>
      <c r="O6301" s="38" t="n">
        <f aca="false">Sens!$O$6299+Sens!$O$6300</f>
        <v>1.81122603115892</v>
      </c>
      <c r="R6301" s="38" t="n">
        <f aca="false">Sens!$R$6299+Sens!$R$6300</f>
        <v>0</v>
      </c>
      <c r="S6301" s="38" t="n">
        <f aca="false">Sens!$S$6299+Sens!$S$6300</f>
        <v>0.203463948620839</v>
      </c>
      <c r="T6301" s="38" t="n">
        <f aca="false">Sens!$T$6299+Sens!$T$6300</f>
        <v>3.62245206231783</v>
      </c>
      <c r="U6301" s="38" t="n">
        <f aca="false">Sens!$U$6299+Sens!$U$6300</f>
        <v>13.0319517750893</v>
      </c>
      <c r="V6301" s="38" t="n">
        <f aca="false">Sens!$V$6299+Sens!$V$6300</f>
        <v>35.2941921973308</v>
      </c>
      <c r="W6301" s="38" t="n">
        <f aca="false">Sens!$W$6299+Sens!$W$6300</f>
        <v>63.0173185714558</v>
      </c>
      <c r="X6301" s="38" t="n">
        <f aca="false">Sens!$X$6299+Sens!$X$6300</f>
        <v>91.7529624398725</v>
      </c>
      <c r="Y6301" s="38" t="n">
        <f aca="false">Sens!$Y$6299+Sens!$Y$6300</f>
        <v>121.178188209924</v>
      </c>
      <c r="Z6301" s="38" t="n">
        <f aca="false">Sens!$Z$6299+Sens!$Z$6300</f>
        <v>148.58073169504</v>
      </c>
      <c r="AA6301" s="38" t="n">
        <f aca="false">Sens!$AA$6299+Sens!$AA$6300</f>
        <v>176.698573390283</v>
      </c>
    </row>
    <row r="6302" customFormat="false" ht="17.15" hidden="false" customHeight="false" outlineLevel="0" collapsed="false">
      <c r="A6302" s="0" t="s">
        <v>595</v>
      </c>
      <c r="B6302" s="0" t="s">
        <v>73</v>
      </c>
      <c r="C6302" s="38" t="n">
        <f aca="false">Sens!$S$6302</f>
        <v>26.578941154416</v>
      </c>
      <c r="D6302" s="38" t="n">
        <f aca="false">Sens!$T$6302</f>
        <v>92.5251207231008</v>
      </c>
      <c r="G6302" s="38" t="n">
        <f aca="false">Sens!$U$6302</f>
        <v>239.931219586022</v>
      </c>
      <c r="H6302" s="38" t="n">
        <f aca="false">Sens!$V$6302</f>
        <v>403.208392333442</v>
      </c>
      <c r="I6302" s="38" t="n">
        <f aca="false">Sens!$W$6302</f>
        <v>544.837543672486</v>
      </c>
      <c r="J6302" s="38" t="n">
        <f aca="false">Sens!$X$6302</f>
        <v>662.967819343113</v>
      </c>
      <c r="K6302" s="38" t="n">
        <f aca="false">Sens!$Y$6302</f>
        <v>756.90963744369</v>
      </c>
      <c r="L6302" s="38" t="n">
        <f aca="false">Sens!$Z$6302</f>
        <v>860.10628945915</v>
      </c>
      <c r="M6302" s="38" t="n">
        <f aca="false">Sens!$AA$6302</f>
        <v>995.283560834616</v>
      </c>
      <c r="R6302" s="38" t="n">
        <f aca="false">SUM(Sens!$R$6294:$R$6294)-SUM(Sens!$R$6301:$R$6301)</f>
        <v>1.50429979529945</v>
      </c>
      <c r="S6302" s="38" t="n">
        <f aca="false">SUM(Sens!$R$6294:$S$6294)-SUM(Sens!$R$6301:$S$6301)</f>
        <v>26.578941154416</v>
      </c>
      <c r="T6302" s="38" t="n">
        <f aca="false">SUM(Sens!$R$6294:$T$6294)-SUM(Sens!$R$6301:$T$6301)</f>
        <v>92.5251207231008</v>
      </c>
      <c r="U6302" s="38" t="n">
        <f aca="false">SUM(Sens!$R$6294:$U$6294)-SUM(Sens!$R$6301:$U$6301)</f>
        <v>239.931219586022</v>
      </c>
      <c r="V6302" s="38" t="n">
        <f aca="false">SUM(Sens!$R$6294:$V$6294)-SUM(Sens!$R$6301:$V$6301)</f>
        <v>403.208392333442</v>
      </c>
      <c r="W6302" s="38" t="n">
        <f aca="false">SUM(Sens!$R$6294:$W$6294)-SUM(Sens!$R$6301:$W$6301)</f>
        <v>544.837543672486</v>
      </c>
      <c r="X6302" s="38" t="n">
        <f aca="false">SUM(Sens!$R$6294:$X$6294)-SUM(Sens!$R$6301:$X$6301)</f>
        <v>662.967819343113</v>
      </c>
      <c r="Y6302" s="38" t="n">
        <f aca="false">SUM(Sens!$R$6294:$Y$6294)-SUM(Sens!$R$6301:$Y$6301)</f>
        <v>756.90963744369</v>
      </c>
      <c r="Z6302" s="38" t="n">
        <f aca="false">SUM(Sens!$R$6294:$Z$6294)-SUM(Sens!$R$6301:$Z$6301)</f>
        <v>860.10628945915</v>
      </c>
      <c r="AA6302" s="38" t="n">
        <f aca="false">SUM(Sens!$R$6294:$AA$6294)-SUM(Sens!$R$6301:$AA$6301)</f>
        <v>995.283560834616</v>
      </c>
    </row>
    <row r="6303" customFormat="false" ht="17.15" hidden="false" customHeight="false" outlineLevel="0" collapsed="false">
      <c r="A6303" s="1" t="s">
        <v>596</v>
      </c>
    </row>
    <row r="6304" customFormat="false" ht="17.15" hidden="false" customHeight="false" outlineLevel="0" collapsed="false">
      <c r="A6304" s="0" t="s">
        <v>597</v>
      </c>
      <c r="B6304" s="0" t="s">
        <v>73</v>
      </c>
      <c r="C6304" s="38" t="n">
        <f aca="false">Sens!$C$6285-ext_sh*Sens!$C$6287</f>
        <v>1.80694998843362</v>
      </c>
      <c r="D6304" s="38" t="n">
        <f aca="false">Sens!$D$6285-ext_sh*Sens!$D$6287</f>
        <v>6.77606245662607</v>
      </c>
      <c r="E6304" s="38" t="n">
        <f aca="false">Sens!$E$6285-ext_sh*Sens!$E$6287</f>
        <v>6.62548329092326</v>
      </c>
      <c r="F6304" s="38" t="n">
        <f aca="false">Sens!$F$6285-ext_sh*Sens!$F$6287</f>
        <v>11.7200577158706</v>
      </c>
      <c r="G6304" s="38" t="n">
        <f aca="false">Sens!$G$6285-ext_sh*Sens!$G$6287</f>
        <v>18.3455410067939</v>
      </c>
      <c r="H6304" s="38" t="n">
        <f aca="false">Sens!$H$6285-ext_sh*Sens!$H$6287</f>
        <v>47.5171727060453</v>
      </c>
      <c r="I6304" s="38" t="n">
        <f aca="false">Sens!$I$6285-ext_sh*Sens!$I$6287</f>
        <v>80.5539692643667</v>
      </c>
      <c r="J6304" s="38" t="n">
        <f aca="false">Sens!$J$6285-ext_sh*Sens!$J$6287</f>
        <v>113.759316834883</v>
      </c>
      <c r="K6304" s="38" t="n">
        <f aca="false">Sens!$K$6285-ext_sh*Sens!$K$6287</f>
        <v>147.020848076132</v>
      </c>
      <c r="L6304" s="38" t="n">
        <f aca="false">Sens!$L$6285-ext_sh*Sens!$L$6287</f>
        <v>180.307917349531</v>
      </c>
      <c r="M6304" s="38" t="n">
        <f aca="false">Sens!$M$6285-ext_sh*Sens!$M$6287</f>
        <v>213.608737871012</v>
      </c>
      <c r="N6304" s="38" t="n">
        <f aca="false">Sens!$N$6285-ext_sh*Sens!$N$6287</f>
        <v>2.37162185981912</v>
      </c>
      <c r="O6304" s="38" t="n">
        <f aca="false">Sens!$O$6285-ext_sh*Sens!$O$6287</f>
        <v>4.40444059680694</v>
      </c>
    </row>
    <row r="6305" customFormat="false" ht="17.15" hidden="false" customHeight="false" outlineLevel="0" collapsed="false">
      <c r="A6305" s="1" t="s">
        <v>598</v>
      </c>
      <c r="B6305" s="8" t="s">
        <v>73</v>
      </c>
      <c r="C6305" s="38" t="n">
        <f aca="false">Sens!$C$6304-ext_sh*Sens!$C$6301</f>
        <v>1.64417882953695</v>
      </c>
      <c r="D6305" s="38" t="n">
        <f aca="false">Sens!$D$6304-ext_sh*Sens!$D$6301</f>
        <v>3.8781008067718</v>
      </c>
      <c r="E6305" s="38" t="n">
        <f aca="false">Sens!$E$6304-ext_sh*Sens!$E$6301</f>
        <v>1.41270258088753</v>
      </c>
      <c r="F6305" s="38" t="n">
        <f aca="false">Sens!$F$6304-ext_sh*Sens!$F$6301</f>
        <v>6.50727700583486</v>
      </c>
      <c r="G6305" s="38" t="n">
        <f aca="false">Sens!$G$6304-ext_sh*Sens!$G$6301</f>
        <v>7.9199795867224</v>
      </c>
      <c r="H6305" s="38" t="n">
        <f aca="false">Sens!$H$6304-ext_sh*Sens!$H$6301</f>
        <v>19.2818189481807</v>
      </c>
      <c r="I6305" s="38" t="n">
        <f aca="false">Sens!$I$6304-ext_sh*Sens!$I$6301</f>
        <v>30.140114407202</v>
      </c>
      <c r="J6305" s="38" t="n">
        <f aca="false">Sens!$J$6304-ext_sh*Sens!$J$6301</f>
        <v>40.3569468829854</v>
      </c>
      <c r="K6305" s="38" t="n">
        <f aca="false">Sens!$K$6304-ext_sh*Sens!$K$6301</f>
        <v>50.0782975081929</v>
      </c>
      <c r="L6305" s="38" t="n">
        <f aca="false">Sens!$L$6304-ext_sh*Sens!$L$6301</f>
        <v>61.443331993499</v>
      </c>
      <c r="M6305" s="38" t="n">
        <f aca="false">Sens!$M$6304-ext_sh*Sens!$M$6301</f>
        <v>72.2498791587849</v>
      </c>
      <c r="N6305" s="38" t="n">
        <f aca="false">Sens!$N$6304-ext_sh*Sens!$N$6301</f>
        <v>0.92264103489199</v>
      </c>
      <c r="O6305" s="38" t="n">
        <f aca="false">Sens!$O$6304-ext_sh*Sens!$O$6301</f>
        <v>2.95545977187981</v>
      </c>
    </row>
    <row r="6306" customFormat="false" ht="17.15" hidden="false" customHeight="false" outlineLevel="0" collapsed="false">
      <c r="A6306" s="0" t="s">
        <v>599</v>
      </c>
      <c r="B6306" s="0" t="s">
        <v>52</v>
      </c>
      <c r="C6306" s="12" t="n">
        <f aca="false">Sens!$C$6305/Sens!$C$6285</f>
        <v>0.708390794789371</v>
      </c>
      <c r="D6306" s="12" t="n">
        <f aca="false">Sens!$D$6305/Sens!$D$6285</f>
        <v>0.445565630441968</v>
      </c>
      <c r="E6306" s="12" t="n">
        <f aca="false">Sens!$E$6305/Sens!$E$6285</f>
        <v>0.165998118402711</v>
      </c>
      <c r="F6306" s="12" t="n">
        <f aca="false">Sens!$F$6305/Sens!$F$6285</f>
        <v>0.434878595403858</v>
      </c>
      <c r="G6306" s="12" t="n">
        <f aca="false">Sens!$G$6305/Sens!$G$6285</f>
        <v>0.3373967615381</v>
      </c>
      <c r="H6306" s="12" t="n">
        <f aca="false">Sens!$H$6305/Sens!$H$6285</f>
        <v>0.320477578041224</v>
      </c>
      <c r="I6306" s="12" t="n">
        <f aca="false">Sens!$I$6305/Sens!$I$6285</f>
        <v>0.296936118226494</v>
      </c>
      <c r="J6306" s="12" t="n">
        <f aca="false">Sens!$J$6305/Sens!$J$6285</f>
        <v>0.282166278613001</v>
      </c>
      <c r="K6306" s="12" t="n">
        <f aca="false">Sens!$K$6305/Sens!$K$6285</f>
        <v>0.271267685694333</v>
      </c>
      <c r="L6306" s="12" t="n">
        <f aca="false">Sens!$L$6305/Sens!$L$6285</f>
        <v>0.27160960915653</v>
      </c>
      <c r="M6306" s="12" t="n">
        <f aca="false">Sens!$M$6305/Sens!$M$6285</f>
        <v>0.26974494804234</v>
      </c>
      <c r="N6306" s="12" t="n">
        <f aca="false">Sens!$N$6305/Sens!$N$6285</f>
        <v>0.302870734830849</v>
      </c>
      <c r="O6306" s="12" t="n">
        <f aca="false">Sens!$O$6305/Sens!$O$6285</f>
        <v>0.52240134346334</v>
      </c>
    </row>
    <row r="6307" customFormat="false" ht="17.15" hidden="false" customHeight="false" outlineLevel="0" collapsed="false">
      <c r="A6307" s="5" t="s">
        <v>600</v>
      </c>
      <c r="B6307" s="0" t="s">
        <v>73</v>
      </c>
      <c r="C6307" s="38" t="n">
        <f aca="false">rd2*(1-ext_sh)/ext_sh*Sens!$C$6268*he_open*Sens!$C$6269/1000</f>
        <v>0</v>
      </c>
      <c r="D6307" s="38" t="n">
        <f aca="false">rd2*(1-ext_sh)/ext_sh*Sens!$D$6268*he_open*Sens!$D$6269/1000</f>
        <v>0</v>
      </c>
      <c r="E6307" s="38" t="n">
        <f aca="false">rd2*(1-ext_sh)/ext_sh*Sens!$E$6268*he_open*Sens!$E$6269/1000</f>
        <v>0</v>
      </c>
      <c r="F6307" s="38" t="n">
        <f aca="false">rd2*(1-ext_sh)/ext_sh*(mw_open*he_open+Sens!$F$6283*Sens!$F$6280)*Sens!$F$6269/1000</f>
        <v>0</v>
      </c>
      <c r="G6307" s="38" t="n">
        <f aca="false">Sens!$E$6307+Sens!$F$6307</f>
        <v>0</v>
      </c>
      <c r="H6307" s="38" t="n">
        <f aca="false">rd2*(1-ext_sh)/ext_sh*(mw_open*he_open+Sens!$H$6283*Sens!$H$6280)*Sens!$H$6269/1000</f>
        <v>0</v>
      </c>
      <c r="I6307" s="38" t="n">
        <f aca="false">rd2*(1-ext_sh)/ext_sh*(mw_open*he_open+Sens!$I$6283*Sens!$I$6280)*Sens!$I$6269/1000</f>
        <v>0</v>
      </c>
      <c r="J6307" s="38" t="n">
        <f aca="false">rd2*(1-ext_sh)/ext_sh*(mw_open*he_open+Sens!$J$6283*Sens!$J$6280)*Sens!$J$6269/1000</f>
        <v>0</v>
      </c>
      <c r="K6307" s="38" t="n">
        <f aca="false">rd2*(1-ext_sh)/ext_sh*(mw_open*he_open+Sens!$K$6283*Sens!$K$6280)*Sens!$K$6269/1000</f>
        <v>0</v>
      </c>
      <c r="L6307" s="38" t="n">
        <f aca="false">rd2*(1-ext_sh)/ext_sh*(mw_open*he_open+Sens!$L$6283*Sens!$L$6280)*Sens!$L$6269/1000</f>
        <v>0</v>
      </c>
      <c r="M6307" s="38" t="n">
        <f aca="false">rd2*(1-ext_sh)/ext_sh*(mw_open*he_open+Sens!$M$6283*Sens!$M$6280)*Sens!$M$6269/1000</f>
        <v>0</v>
      </c>
      <c r="N6307" s="38" t="n">
        <f aca="false">rd2*(1-ext_sh)/ext_sh*Sens!$N$6268*he_open*Sens!$N$6269/1000</f>
        <v>0</v>
      </c>
      <c r="O6307" s="38" t="n">
        <f aca="false">rd2*(1-ext_sh)/ext_sh*Sens!$O$6268*he_open*Sens!$O$6269/1000</f>
        <v>0</v>
      </c>
      <c r="P6307" s="8" t="s">
        <v>601</v>
      </c>
    </row>
    <row r="6308" customFormat="false" ht="17.15" hidden="false" customHeight="false" outlineLevel="0" collapsed="false">
      <c r="A6308" s="5" t="s">
        <v>602</v>
      </c>
      <c r="B6308" s="0" t="s">
        <v>73</v>
      </c>
      <c r="C6308" s="38" t="n">
        <f aca="false">(1-ext_sh)*(Sens!$C$6287+Sens!$C$6301)-Sens!$C$6307</f>
        <v>0.169206631859174</v>
      </c>
      <c r="D6308" s="38" t="n">
        <f aca="false">(1-ext_sh)*(Sens!$D$6287+Sens!$D$6301)-Sens!$D$6307</f>
        <v>1.20641732046984</v>
      </c>
      <c r="E6308" s="38" t="n">
        <f aca="false">(1-ext_sh)*(Sens!$E$6287+Sens!$E$6301)-Sens!$E$6307</f>
        <v>1.77441259867062</v>
      </c>
      <c r="F6308" s="38" t="n">
        <f aca="false">(1-ext_sh)*(Sens!$F$6287+Sens!$F$6301)-Sens!$F$6307</f>
        <v>2.1140391597214</v>
      </c>
      <c r="G6308" s="38" t="n">
        <f aca="false">(1-ext_sh)*(Sens!$G$6287+Sens!$G$6301)-Sens!$G$6307</f>
        <v>3.88845175839202</v>
      </c>
      <c r="H6308" s="38" t="n">
        <f aca="false">(1-ext_sh)*(Sens!$H$6287+Sens!$H$6301)-Sens!$H$6307</f>
        <v>10.2210179503985</v>
      </c>
      <c r="I6308" s="38" t="n">
        <f aca="false">(1-ext_sh)*(Sens!$I$6287+Sens!$I$6301)-Sens!$I$6307</f>
        <v>17.8408961823075</v>
      </c>
      <c r="J6308" s="38" t="n">
        <f aca="false">(1-ext_sh)*(Sens!$J$6287+Sens!$J$6301)-Sens!$J$6307</f>
        <v>25.6671150670732</v>
      </c>
      <c r="K6308" s="38" t="n">
        <f aca="false">(1-ext_sh)*(Sens!$K$6287+Sens!$K$6301)-Sens!$K$6307</f>
        <v>33.6325293834986</v>
      </c>
      <c r="L6308" s="38" t="n">
        <f aca="false">(1-ext_sh)*(Sens!$L$6287+Sens!$L$6301)-Sens!$L$6307</f>
        <v>41.1939886299065</v>
      </c>
      <c r="M6308" s="38" t="n">
        <f aca="false">(1-ext_sh)*(Sens!$M$6287+Sens!$M$6301)-Sens!$M$6307</f>
        <v>48.8988205728617</v>
      </c>
      <c r="N6308" s="38" t="n">
        <f aca="false">(1-ext_sh)*(Sens!$N$6287+Sens!$N$6301)-Sens!$N$6307</f>
        <v>0.530919624033979</v>
      </c>
      <c r="O6308" s="38" t="n">
        <f aca="false">(1-ext_sh)*(Sens!$O$6287+Sens!$O$6301)-Sens!$O$6307</f>
        <v>0.675497696435861</v>
      </c>
    </row>
    <row r="6309" customFormat="false" ht="17.15" hidden="false" customHeight="false" outlineLevel="0" collapsed="false">
      <c r="A6309" s="0" t="s">
        <v>603</v>
      </c>
      <c r="B6309" s="0" t="s">
        <v>73</v>
      </c>
      <c r="C6309" s="38" t="n">
        <f aca="false">Q!$D$24</f>
        <v>39.834</v>
      </c>
      <c r="D6309" s="38" t="n">
        <f aca="false">Q!$E$24</f>
        <v>45.606</v>
      </c>
      <c r="E6309" s="38" t="n">
        <f aca="false">Q!$P$24</f>
        <v>30.782</v>
      </c>
      <c r="N6309" s="38" t="n">
        <f aca="false">Q!$N$24</f>
        <v>21.707</v>
      </c>
      <c r="O6309" s="38" t="n">
        <f aca="false">Q!$O$24</f>
        <v>23.899</v>
      </c>
    </row>
    <row r="6310" customFormat="false" ht="17.15" hidden="false" customHeight="false" outlineLevel="0" collapsed="false">
      <c r="A6310" s="0" t="s">
        <v>604</v>
      </c>
      <c r="B6310" s="0" t="s">
        <v>73</v>
      </c>
      <c r="C6310" s="38" t="n">
        <f aca="false">Sens!$C$6309-Sens!$C$6305</f>
        <v>38.1898211704631</v>
      </c>
      <c r="D6310" s="38" t="n">
        <f aca="false">Sens!$D$6309-Sens!$D$6305</f>
        <v>41.7278991932282</v>
      </c>
      <c r="E6310" s="38" t="n">
        <f aca="false">Sens!$E$6309-Sens!$E$6305</f>
        <v>29.3692974191125</v>
      </c>
      <c r="F6310" s="38" t="n">
        <f aca="false">Sens!$F$6289*Sens!$F$6311</f>
        <v>29.458060516894</v>
      </c>
      <c r="G6310" s="38" t="n">
        <f aca="false">Sens!$E$6310+Sens!$F$6310</f>
        <v>58.8273579360065</v>
      </c>
      <c r="H6310" s="38" t="n">
        <f aca="false">Sens!$H$6289*Sens!$H$6311</f>
        <v>67.8004040185081</v>
      </c>
      <c r="I6310" s="38" t="n">
        <f aca="false">Sens!$I$6289*Sens!$I$6311</f>
        <v>78.9527630302702</v>
      </c>
      <c r="J6310" s="38" t="n">
        <f aca="false">Sens!$J$6289*Sens!$J$6311</f>
        <v>88.6042681781841</v>
      </c>
      <c r="K6310" s="38" t="n">
        <f aca="false">Sens!$K$6289*Sens!$K$6311</f>
        <v>95.6926096324389</v>
      </c>
      <c r="L6310" s="38" t="n">
        <f aca="false">Sens!$L$6289*Sens!$L$6311</f>
        <v>103.348018403034</v>
      </c>
      <c r="M6310" s="38" t="n">
        <f aca="false">Sens!$M$6289*Sens!$M$6311</f>
        <v>111.615859875277</v>
      </c>
      <c r="N6310" s="38" t="n">
        <f aca="false">Sens!$N$6309-Sens!$N$6305</f>
        <v>20.784358965108</v>
      </c>
      <c r="O6310" s="38" t="n">
        <f aca="false">Sens!$O$6309-Sens!$O$6305</f>
        <v>20.9435402281202</v>
      </c>
      <c r="P6310" s="5" t="s">
        <v>605</v>
      </c>
    </row>
    <row r="6311" customFormat="false" ht="17.15" hidden="false" customHeight="false" outlineLevel="0" collapsed="false">
      <c r="A6311" s="0" t="s">
        <v>606</v>
      </c>
      <c r="B6311" s="0" t="s">
        <v>52</v>
      </c>
      <c r="C6311" s="12" t="n">
        <f aca="false">Sens!$C$6310/Sens!$C$6289</f>
        <v>0.362900395443635</v>
      </c>
      <c r="D6311" s="12" t="n">
        <f aca="false">Sens!$D$6310/Sens!$D$6289</f>
        <v>0.34767098474203</v>
      </c>
      <c r="E6311" s="12" t="n">
        <f aca="false">Sens!$E$6310/Sens!$E$6289</f>
        <v>0.411861655558416</v>
      </c>
      <c r="F6311" s="12" t="n">
        <f aca="false">(Sens!$O$6310+Sens!$E$6310)/(Sens!$O$6289+Sens!$E$6289)</f>
        <v>0.37480827803158</v>
      </c>
      <c r="G6311" s="12" t="n">
        <f aca="false">Sens!$G$6310/Sens!$G$6289</f>
        <v>0.392434440489471</v>
      </c>
      <c r="H6311" s="12" t="n">
        <f aca="false">Sens!$F$6311</f>
        <v>0.37480827803158</v>
      </c>
      <c r="I6311" s="12" t="n">
        <f aca="false">Sens!$F$6311</f>
        <v>0.37480827803158</v>
      </c>
      <c r="J6311" s="12" t="n">
        <f aca="false">Sens!$F$6311</f>
        <v>0.37480827803158</v>
      </c>
      <c r="K6311" s="12" t="n">
        <f aca="false">Sens!$F$6311</f>
        <v>0.37480827803158</v>
      </c>
      <c r="L6311" s="12" t="n">
        <f aca="false">Sens!$F$6311</f>
        <v>0.37480827803158</v>
      </c>
      <c r="M6311" s="12" t="n">
        <f aca="false">Sens!$F$6311</f>
        <v>0.37480827803158</v>
      </c>
      <c r="N6311" s="12" t="n">
        <f aca="false">Sens!$N$6310/Sens!$N$6289</f>
        <v>0.364039571356823</v>
      </c>
      <c r="O6311" s="12" t="n">
        <f aca="false">Sens!$O$6310/Sens!$O$6289</f>
        <v>0.332819892300086</v>
      </c>
      <c r="P6311" s="8" t="s">
        <v>607</v>
      </c>
    </row>
    <row r="6312" customFormat="false" ht="17.15" hidden="false" customHeight="false" outlineLevel="0" collapsed="false">
      <c r="A6312" s="0" t="s">
        <v>608</v>
      </c>
      <c r="B6312" s="0" t="s">
        <v>52</v>
      </c>
      <c r="D6312" s="12" t="n">
        <f aca="false">(Q!$E$31-ext_sh*Sens!$D$6301)/Sens!$D$6289</f>
        <v>0.154572973163571</v>
      </c>
    </row>
    <row r="6313" customFormat="false" ht="17.15" hidden="false" customHeight="false" outlineLevel="0" collapsed="false">
      <c r="A6313" s="0" t="s">
        <v>609</v>
      </c>
      <c r="B6313" s="0" t="s">
        <v>73</v>
      </c>
      <c r="C6313" s="38" t="n">
        <f aca="false">Q!$D$31</f>
        <v>13.32</v>
      </c>
      <c r="D6313" s="38" t="n">
        <f aca="false">Q!$E$31</f>
        <v>21.45</v>
      </c>
      <c r="E6313" s="38" t="n">
        <f aca="false">Q!$P$31</f>
        <v>15.353</v>
      </c>
      <c r="F6313" s="38" t="n">
        <f aca="false">ext_sh*Sens!$F$6301+Sens!$D$6312*Sens!$F$6289</f>
        <v>17.3614451462707</v>
      </c>
      <c r="G6313" s="38" t="n">
        <f aca="false">Sens!$E$6313+Sens!$F$6313</f>
        <v>32.7144451462707</v>
      </c>
      <c r="H6313" s="38" t="n">
        <f aca="false">ext_sh*Sens!$H$6301+Sens!$D$6312*Sens!$H$6289</f>
        <v>56.1966092719415</v>
      </c>
      <c r="I6313" s="38" t="n">
        <f aca="false">ext_sh*Sens!$I$6301+Sens!$D$6312*Sens!$I$6289</f>
        <v>82.9744039068297</v>
      </c>
      <c r="J6313" s="38" t="n">
        <f aca="false">ext_sh*Sens!$J$6301+Sens!$D$6312*Sens!$J$6289</f>
        <v>109.943252237669</v>
      </c>
      <c r="K6313" s="38" t="n">
        <f aca="false">ext_sh*Sens!$K$6301+Sens!$D$6312*Sens!$K$6289</f>
        <v>136.406703436571</v>
      </c>
      <c r="L6313" s="38" t="n">
        <f aca="false">ext_sh*Sens!$L$6301+Sens!$D$6312*Sens!$L$6289</f>
        <v>161.485870454155</v>
      </c>
      <c r="M6313" s="38" t="n">
        <f aca="false">ext_sh*Sens!$M$6301+Sens!$D$6312*Sens!$M$6289</f>
        <v>187.389846618199</v>
      </c>
      <c r="N6313" s="38" t="n">
        <f aca="false">Q!$N$31</f>
        <v>9.234</v>
      </c>
      <c r="O6313" s="38" t="n">
        <f aca="false">Q!$O$31</f>
        <v>12.216</v>
      </c>
    </row>
    <row r="6314" customFormat="false" ht="17.15" hidden="false" customHeight="false" outlineLevel="0" collapsed="false">
      <c r="A6314" s="1" t="s">
        <v>610</v>
      </c>
    </row>
    <row r="6315" customFormat="false" ht="17.15" hidden="false" customHeight="false" outlineLevel="0" collapsed="false">
      <c r="A6315" s="14" t="s">
        <v>611</v>
      </c>
      <c r="B6315" s="13" t="s">
        <v>52</v>
      </c>
      <c r="C6315" s="13"/>
      <c r="D6315" s="13"/>
      <c r="E6315" s="13"/>
      <c r="F6315" s="13"/>
      <c r="G6315" s="16" t="n">
        <f aca="false">Sens!$G$6305*(1-tax)/(ext_sh*(Sens!$D$6302+Sens!$G$6302)/2)</f>
        <v>0.0492184452944045</v>
      </c>
      <c r="H6315" s="16" t="n">
        <f aca="false">Sens!$H$6305*(1-tax)/(ext_sh*(Sens!$G$6302+Sens!$H$6302)/2)</f>
        <v>0.0619414246858107</v>
      </c>
      <c r="I6315" s="16" t="n">
        <f aca="false">Sens!$I$6305*(1-tax)/(ext_sh*(Sens!$H$6302+Sens!$I$6302)/2)</f>
        <v>0.0656831488051666</v>
      </c>
      <c r="J6315" s="16" t="n">
        <f aca="false">Sens!$J$6305*(1-tax)/(ext_sh*(Sens!$I$6302+Sens!$J$6302)/2)</f>
        <v>0.0690334849962116</v>
      </c>
      <c r="K6315" s="16" t="n">
        <f aca="false">Sens!$K$6305*(1-tax)/(ext_sh*(Sens!$J$6302+Sens!$K$6302)/2)</f>
        <v>0.0728680488295485</v>
      </c>
      <c r="L6315" s="16" t="n">
        <f aca="false">Sens!$L$6305*(1-tax)/(ext_sh*(Sens!$K$6302+Sens!$L$6302)/2)</f>
        <v>0.0785052878122331</v>
      </c>
      <c r="M6315" s="16" t="n">
        <f aca="false">Sens!$M$6305*(1-tax)/(ext_sh*(Sens!$L$6302+Sens!$M$6302)/2)</f>
        <v>0.0804526580722741</v>
      </c>
      <c r="N6315" s="13"/>
      <c r="O6315" s="13"/>
      <c r="P6315" s="8" t="s">
        <v>612</v>
      </c>
    </row>
    <row r="6316" customFormat="false" ht="17.15" hidden="false" customHeight="false" outlineLevel="0" collapsed="false">
      <c r="A6316" s="5" t="s">
        <v>613</v>
      </c>
      <c r="B6316" s="0" t="s">
        <v>57</v>
      </c>
      <c r="H6316" s="36" t="n">
        <f aca="false">Sens!$H$6285*1000/(mw_open*he_open+Sens!$H$6283*Sens!$H$6280)</f>
        <v>0.991949006767191</v>
      </c>
      <c r="I6316" s="36" t="n">
        <f aca="false">Sens!$I$6285*1000/(mw_open*he_open+Sens!$I$6283*Sens!$I$6280)</f>
        <v>0.991949006767191</v>
      </c>
      <c r="J6316" s="36" t="n">
        <f aca="false">Sens!$J$6285*1000/(mw_open*he_open+Sens!$J$6283*Sens!$J$6280)</f>
        <v>0.991949006767191</v>
      </c>
      <c r="K6316" s="36" t="n">
        <f aca="false">Sens!$K$6285*1000/(mw_open*he_open+Sens!$K$6283*Sens!$K$6280)</f>
        <v>0.991949006767191</v>
      </c>
      <c r="L6316" s="36" t="n">
        <f aca="false">Sens!$L$6285*1000/(mw_open*he_open+Sens!$L$6283*Sens!$L$6280)</f>
        <v>0.991949006767191</v>
      </c>
      <c r="M6316" s="36" t="n">
        <f aca="false">Sens!$M$6285*1000/(mw_open*he_open+Sens!$M$6283*Sens!$M$6280)</f>
        <v>0.991949006767192</v>
      </c>
    </row>
    <row r="6317" customFormat="false" ht="17.15" hidden="false" customHeight="false" outlineLevel="0" collapsed="false">
      <c r="A6317" s="5" t="s">
        <v>614</v>
      </c>
      <c r="B6317" s="0" t="s">
        <v>57</v>
      </c>
      <c r="H6317" s="36" t="n">
        <f aca="false">Sens!$H$6316*(Sens!$H$6285+wacc*ext_sh*(Sens!$G$6302+Sens!$H$6302)/2/(1-tax)-Sens!$H$6305)/Sens!$H$6285</f>
        <v>1.3149781212103</v>
      </c>
      <c r="I6317" s="36" t="n">
        <f aca="false">Sens!$I$6316*(Sens!$I$6285+wacc*ext_sh*(Sens!$H$6302+Sens!$I$6302)/2/(1-tax)-Sens!$I$6305)/Sens!$I$6285</f>
        <v>1.25742005569107</v>
      </c>
      <c r="J6317" s="36" t="n">
        <f aca="false">Sens!$J$6316*(Sens!$J$6285+wacc*ext_sh*(Sens!$I$6302+Sens!$J$6302)/2/(1-tax)-Sens!$J$6305)/Sens!$J$6285</f>
        <v>1.21838845868559</v>
      </c>
      <c r="K6317" s="36" t="n">
        <f aca="false">Sens!$K$6316*(Sens!$K$6285+wacc*ext_sh*(Sens!$J$6302+Sens!$K$6302)/2/(1-tax)-Sens!$K$6305)/Sens!$K$6285</f>
        <v>1.18402644209548</v>
      </c>
      <c r="L6317" s="36" t="n">
        <f aca="false">Sens!$L$6316*(Sens!$L$6285+wacc*ext_sh*(Sens!$K$6302+Sens!$L$6302)/2/(1-tax)-Sens!$L$6305)/Sens!$L$6285</f>
        <v>1.15111215322059</v>
      </c>
      <c r="M6317" s="36" t="n">
        <f aca="false">Sens!$M$6316*(Sens!$M$6285+wacc*ext_sh*(Sens!$L$6302+Sens!$M$6302)/2/(1-tax)-Sens!$M$6305)/Sens!$M$6285</f>
        <v>1.1397166845677</v>
      </c>
    </row>
    <row r="6318" customFormat="false" ht="17.15" hidden="false" customHeight="false" outlineLevel="0" collapsed="false">
      <c r="A6318" s="5" t="s">
        <v>615</v>
      </c>
      <c r="B6318" s="0" t="s">
        <v>52</v>
      </c>
      <c r="C6318" s="12" t="n">
        <f aca="false">Sens!$C$6286/tk_pq</f>
        <v>0.195316432429398</v>
      </c>
      <c r="D6318" s="12" t="n">
        <f aca="false">Sens!$D$6286/tk_pq</f>
        <v>0.195316432429398</v>
      </c>
      <c r="E6318" s="12" t="n">
        <f aca="false">Sens!$E$6286/tk_pq</f>
        <v>0.195316432429398</v>
      </c>
      <c r="F6318" s="12" t="n">
        <f aca="false">Sens!$F$6286/tk_pq</f>
        <v>0.202241827274866</v>
      </c>
      <c r="G6318" s="12" t="n">
        <f aca="false">Sens!$G$6286/tk_pq</f>
        <v>0.199675016194063</v>
      </c>
      <c r="H6318" s="12" t="n">
        <f aca="false">Sens!$H$6286/tk_pq</f>
        <v>0.212647947710325</v>
      </c>
      <c r="I6318" s="12" t="n">
        <f aca="false">Sens!$I$6286/tk_pq</f>
        <v>0.219285125475351</v>
      </c>
      <c r="J6318" s="12" t="n">
        <f aca="false">Sens!$J$6286/tk_pq</f>
        <v>0.222492493217189</v>
      </c>
      <c r="K6318" s="12" t="n">
        <f aca="false">Sens!$K$6286/tk_pq</f>
        <v>0.224371415939166</v>
      </c>
      <c r="L6318" s="12" t="n">
        <f aca="false">Sens!$L$6286/tk_pq</f>
        <v>0.225603749825993</v>
      </c>
      <c r="M6318" s="12" t="n">
        <f aca="false">Sens!$M$6286/tk_pq</f>
        <v>0.22647376274628</v>
      </c>
      <c r="N6318" s="12" t="n">
        <f aca="false">Sens!$N$6286/tk_pq</f>
        <v>0.195316432429398</v>
      </c>
      <c r="O6318" s="12" t="n">
        <f aca="false">Sens!$O$6286/tk_pq</f>
        <v>0.195316432429398</v>
      </c>
      <c r="P6318" s="5" t="s">
        <v>616</v>
      </c>
    </row>
    <row r="6321" customFormat="false" ht="17.15" hidden="false" customHeight="false" outlineLevel="0" collapsed="false">
      <c r="A6321" s="1" t="s">
        <v>643</v>
      </c>
    </row>
    <row r="6322" customFormat="false" ht="17.15" hidden="false" customHeight="false" outlineLevel="0" collapsed="false">
      <c r="A6322" s="0" t="s">
        <v>644</v>
      </c>
      <c r="B6322" s="0" t="s">
        <v>73</v>
      </c>
      <c r="C6322" s="38" t="n">
        <f aca="false">Sens!$C$6285</f>
        <v>2.32100535697364</v>
      </c>
      <c r="D6322" s="38" t="n">
        <f aca="false">Sens!$D$6285</f>
        <v>8.70377008865116</v>
      </c>
      <c r="E6322" s="38" t="n">
        <f aca="false">Sens!$E$6285</f>
        <v>8.51035297557002</v>
      </c>
      <c r="F6322" s="38" t="n">
        <f aca="false">Sens!$F$6285</f>
        <v>14.9634336447205</v>
      </c>
      <c r="G6322" s="38" t="n">
        <f aca="false">Sens!$G$6285</f>
        <v>23.4737866202905</v>
      </c>
      <c r="H6322" s="38" t="n">
        <f aca="false">Sens!$H$6285</f>
        <v>60.1658907497746</v>
      </c>
      <c r="I6322" s="38" t="n">
        <f aca="false">Sens!$I$6285</f>
        <v>101.503699136432</v>
      </c>
      <c r="J6322" s="38" t="n">
        <f aca="false">Sens!$J$6285</f>
        <v>143.025407151278</v>
      </c>
      <c r="K6322" s="38" t="n">
        <f aca="false">Sens!$K$6285</f>
        <v>184.608415042187</v>
      </c>
      <c r="L6322" s="38" t="n">
        <f aca="false">Sens!$L$6285</f>
        <v>226.219286513125</v>
      </c>
      <c r="M6322" s="38" t="n">
        <f aca="false">Sens!$M$6285</f>
        <v>267.845161450232</v>
      </c>
      <c r="N6322" s="38" t="n">
        <f aca="false">Sens!$N$6285</f>
        <v>3.04631953102791</v>
      </c>
      <c r="O6322" s="38" t="n">
        <f aca="false">Sens!$O$6285</f>
        <v>5.65745055762326</v>
      </c>
      <c r="P6322" s="8" t="s">
        <v>645</v>
      </c>
    </row>
    <row r="6323" customFormat="false" ht="17.15" hidden="false" customHeight="false" outlineLevel="0" collapsed="false">
      <c r="A6323" s="0" t="s">
        <v>646</v>
      </c>
      <c r="B6323" s="0" t="s">
        <v>73</v>
      </c>
      <c r="C6323" s="38" t="n">
        <f aca="false">Sens!$C$6289</f>
        <v>105.234994643026</v>
      </c>
      <c r="D6323" s="38" t="n">
        <f aca="false">Sens!$D$6289</f>
        <v>120.021229911349</v>
      </c>
      <c r="E6323" s="38" t="n">
        <f aca="false">Sens!$E$6289</f>
        <v>71.30864702443</v>
      </c>
      <c r="F6323" s="38" t="n">
        <f aca="false">Sens!$F$6289</f>
        <v>78.5950104186653</v>
      </c>
      <c r="G6323" s="38" t="n">
        <f aca="false">Sens!$G$6289</f>
        <v>149.903657443095</v>
      </c>
      <c r="H6323" s="38" t="n">
        <f aca="false">Sens!$H$6289</f>
        <v>180.893560768142</v>
      </c>
      <c r="I6323" s="38" t="n">
        <f aca="false">Sens!$I$6289</f>
        <v>210.64839721501</v>
      </c>
      <c r="J6323" s="38" t="n">
        <f aca="false">Sens!$J$6289</f>
        <v>236.398909446495</v>
      </c>
      <c r="K6323" s="38" t="n">
        <f aca="false">Sens!$K$6289</f>
        <v>255.310822202215</v>
      </c>
      <c r="L6323" s="38" t="n">
        <f aca="false">Sens!$L$6289</f>
        <v>275.735687978392</v>
      </c>
      <c r="M6323" s="38" t="n">
        <f aca="false">Sens!$M$6289</f>
        <v>297.794543016663</v>
      </c>
      <c r="N6323" s="38" t="n">
        <f aca="false">Sens!$N$6289</f>
        <v>57.0936804689721</v>
      </c>
      <c r="O6323" s="38" t="n">
        <f aca="false">Sens!$O$6289</f>
        <v>62.9275494423768</v>
      </c>
      <c r="P6323" s="8" t="s">
        <v>645</v>
      </c>
    </row>
    <row r="6324" customFormat="false" ht="17.15" hidden="false" customHeight="false" outlineLevel="0" collapsed="false">
      <c r="A6324" s="1" t="s">
        <v>476</v>
      </c>
      <c r="B6324" s="8" t="s">
        <v>73</v>
      </c>
      <c r="C6324" s="38" t="n">
        <f aca="false">Q!$D$7</f>
        <v>107.556</v>
      </c>
      <c r="D6324" s="38" t="n">
        <f aca="false">Q!$E$7</f>
        <v>128.725</v>
      </c>
      <c r="E6324" s="38" t="n">
        <f aca="false">Q!$P$7</f>
        <v>79.819</v>
      </c>
      <c r="F6324" s="38" t="n">
        <f aca="false">Sens!$F$6322+Sens!$F$6323</f>
        <v>93.5584440633857</v>
      </c>
      <c r="G6324" s="38" t="n">
        <f aca="false">Sens!$G$6322+Sens!$G$6323</f>
        <v>173.377444063386</v>
      </c>
      <c r="H6324" s="38" t="n">
        <f aca="false">Sens!$H$6322+Sens!$H$6323</f>
        <v>241.059451517916</v>
      </c>
      <c r="I6324" s="38" t="n">
        <f aca="false">Sens!$I$6322+Sens!$I$6323</f>
        <v>312.152096351442</v>
      </c>
      <c r="J6324" s="38" t="n">
        <f aca="false">Sens!$J$6322+Sens!$J$6323</f>
        <v>379.424316597773</v>
      </c>
      <c r="K6324" s="38" t="n">
        <f aca="false">Sens!$K$6322+Sens!$K$6323</f>
        <v>439.919237244402</v>
      </c>
      <c r="L6324" s="38" t="n">
        <f aca="false">Sens!$L$6322+Sens!$L$6323</f>
        <v>501.954974491517</v>
      </c>
      <c r="M6324" s="38" t="n">
        <f aca="false">Sens!$M$6322+Sens!$M$6323</f>
        <v>565.639704466895</v>
      </c>
      <c r="N6324" s="38" t="n">
        <f aca="false">Q!$N$7</f>
        <v>60.14</v>
      </c>
      <c r="O6324" s="38" t="n">
        <f aca="false">Q!$O$7</f>
        <v>68.585</v>
      </c>
      <c r="P6324" s="5" t="s">
        <v>647</v>
      </c>
    </row>
    <row r="6325" customFormat="false" ht="15" hidden="false" customHeight="false" outlineLevel="0" collapsed="false">
      <c r="A6325" s="3" t="s">
        <v>648</v>
      </c>
      <c r="B6325" s="8" t="s">
        <v>73</v>
      </c>
      <c r="C6325" s="38" t="n">
        <f aca="false">Q!$D$8</f>
        <v>637.959</v>
      </c>
      <c r="D6325" s="38" t="n">
        <f aca="false">Q!$E$8</f>
        <v>716.924</v>
      </c>
      <c r="E6325" s="38" t="n">
        <f aca="false">Q!$P$8</f>
        <v>382.125</v>
      </c>
      <c r="F6325" s="38" t="n">
        <f aca="false">Sens!$F$6258+Sens!$F$6324</f>
        <v>450.494873271816</v>
      </c>
      <c r="G6325" s="38" t="n">
        <f aca="false">Sens!$G$6258+Sens!$G$6324</f>
        <v>832.619873271816</v>
      </c>
      <c r="H6325" s="38" t="n">
        <f aca="false">Sens!$H$6258+Sens!$H$6324</f>
        <v>970.995189139617</v>
      </c>
      <c r="I6325" s="38" t="n">
        <f aca="false">Sens!$I$6258+Sens!$I$6324</f>
        <v>1110.44766604932</v>
      </c>
      <c r="J6325" s="38" t="n">
        <f aca="false">Sens!$J$6258+Sens!$J$6324</f>
        <v>1241.16113892356</v>
      </c>
      <c r="K6325" s="38" t="n">
        <f aca="false">Sens!$K$6258+Sens!$K$6324</f>
        <v>1357.47672934633</v>
      </c>
      <c r="L6325" s="38" t="n">
        <f aca="false">Sens!$L$6258+Sens!$L$6324</f>
        <v>1479.24006423468</v>
      </c>
      <c r="M6325" s="38" t="n">
        <f aca="false">Sens!$M$6258+Sens!$M$6324</f>
        <v>1606.8537230104</v>
      </c>
      <c r="N6325" s="38" t="n">
        <f aca="false">Q!$N$8</f>
        <v>323.369</v>
      </c>
      <c r="O6325" s="38" t="n">
        <f aca="false">Q!$O$8</f>
        <v>393.555</v>
      </c>
    </row>
    <row r="6326" customFormat="false" ht="17.15" hidden="false" customHeight="false" outlineLevel="0" collapsed="false">
      <c r="A6326" s="24" t="s">
        <v>656</v>
      </c>
      <c r="B6326" s="25" t="s">
        <v>73</v>
      </c>
      <c r="C6326" s="39" t="n">
        <f aca="false">Sens!$C$6258-(Sens!$C$6260+Sens!$C$6261)</f>
        <v>0</v>
      </c>
      <c r="D6326" s="39" t="n">
        <f aca="false">Sens!$D$6258-(Sens!$D$6260+Sens!$D$6261)</f>
        <v>0</v>
      </c>
      <c r="E6326" s="39" t="n">
        <f aca="false">Sens!$E$6258-(Sens!$E$6260+Sens!$E$6261)</f>
        <v>0</v>
      </c>
      <c r="F6326" s="39" t="n">
        <f aca="false">Sens!$F$6258-(Sens!$F$6260+Sens!$F$6261)</f>
        <v>0</v>
      </c>
      <c r="G6326" s="39" t="n">
        <f aca="false">Sens!$G$6258-(Sens!$G$6260+Sens!$G$6261)</f>
        <v>0</v>
      </c>
      <c r="H6326" s="39" t="n">
        <f aca="false">Sens!$H$6258-(Sens!$H$6260+Sens!$H$6261)</f>
        <v>0</v>
      </c>
      <c r="I6326" s="39" t="n">
        <f aca="false">Sens!$I$6258-(Sens!$I$6260+Sens!$I$6261)</f>
        <v>0</v>
      </c>
      <c r="J6326" s="39" t="n">
        <f aca="false">Sens!$J$6258-(Sens!$J$6260+Sens!$J$6261)</f>
        <v>0</v>
      </c>
      <c r="K6326" s="39" t="n">
        <f aca="false">Sens!$K$6258-(Sens!$K$6260+Sens!$K$6261)</f>
        <v>0</v>
      </c>
      <c r="L6326" s="39" t="n">
        <f aca="false">Sens!$L$6258-(Sens!$L$6260+Sens!$L$6261)</f>
        <v>0</v>
      </c>
      <c r="M6326" s="39" t="n">
        <f aca="false">Sens!$M$6258-(Sens!$M$6260+Sens!$M$6261)</f>
        <v>0</v>
      </c>
      <c r="N6326" s="39" t="n">
        <f aca="false">Sens!$N$6258-(Sens!$N$6260+Sens!$N$6261)</f>
        <v>0</v>
      </c>
      <c r="O6326" s="39" t="n">
        <f aca="false">Sens!$O$6258-(Sens!$O$6260+Sens!$O$6261)</f>
        <v>0</v>
      </c>
    </row>
    <row r="6327" customFormat="false" ht="17.15" hidden="false" customHeight="false" outlineLevel="0" collapsed="false">
      <c r="A6327" s="24" t="s">
        <v>657</v>
      </c>
      <c r="B6327" s="25" t="s">
        <v>73</v>
      </c>
      <c r="C6327" s="39" t="n">
        <f aca="false">Sens!$C$6322+Sens!$C$6323-Sens!$C$6324</f>
        <v>0</v>
      </c>
      <c r="D6327" s="39" t="n">
        <f aca="false">Sens!$D$6322+Sens!$D$6323-Sens!$D$6324</f>
        <v>0</v>
      </c>
      <c r="E6327" s="39" t="n">
        <f aca="false">Sens!$E$6322+Sens!$E$6323-Sens!$E$6324</f>
        <v>0</v>
      </c>
      <c r="F6327" s="39" t="n">
        <f aca="false">Sens!$F$6322+Sens!$F$6323-Sens!$F$6324</f>
        <v>0</v>
      </c>
      <c r="G6327" s="39" t="n">
        <f aca="false">Sens!$G$6322+Sens!$G$6323-Sens!$G$6324</f>
        <v>0</v>
      </c>
      <c r="H6327" s="39" t="n">
        <f aca="false">Sens!$H$6322+Sens!$H$6323-Sens!$H$6324</f>
        <v>0</v>
      </c>
      <c r="I6327" s="39" t="n">
        <f aca="false">Sens!$I$6322+Sens!$I$6323-Sens!$I$6324</f>
        <v>0</v>
      </c>
      <c r="J6327" s="39" t="n">
        <f aca="false">Sens!$J$6322+Sens!$J$6323-Sens!$J$6324</f>
        <v>0</v>
      </c>
      <c r="K6327" s="39" t="n">
        <f aca="false">Sens!$K$6322+Sens!$K$6323-Sens!$K$6324</f>
        <v>0</v>
      </c>
      <c r="L6327" s="39" t="n">
        <f aca="false">Sens!$L$6322+Sens!$L$6323-Sens!$L$6324</f>
        <v>0</v>
      </c>
      <c r="M6327" s="39" t="n">
        <f aca="false">Sens!$M$6322+Sens!$M$6323-Sens!$M$6324</f>
        <v>0</v>
      </c>
      <c r="N6327" s="39" t="n">
        <f aca="false">Sens!$N$6322+Sens!$N$6323-Sens!$N$6324</f>
        <v>0</v>
      </c>
      <c r="O6327" s="39" t="n">
        <f aca="false">Sens!$O$6322+Sens!$O$6323-Sens!$O$6324</f>
        <v>0</v>
      </c>
    </row>
    <row r="6328" customFormat="false" ht="17.15" hidden="false" customHeight="false" outlineLevel="0" collapsed="false">
      <c r="A6328" s="24" t="s">
        <v>658</v>
      </c>
      <c r="B6328" s="25" t="s">
        <v>73</v>
      </c>
      <c r="C6328" s="39" t="n">
        <f aca="false">Sens!$C$6260+Sens!$C$6261+Sens!$C$6324-Sens!$C$6325</f>
        <v>0</v>
      </c>
      <c r="D6328" s="39" t="n">
        <f aca="false">Sens!$D$6260+Sens!$D$6261+Sens!$D$6324-Sens!$D$6325</f>
        <v>0</v>
      </c>
      <c r="E6328" s="39" t="n">
        <f aca="false">Sens!$E$6260+Sens!$E$6261+Sens!$E$6324-Sens!$E$6325</f>
        <v>0</v>
      </c>
      <c r="F6328" s="39" t="n">
        <f aca="false">Sens!$F$6260+Sens!$F$6261+Sens!$F$6324-Sens!$F$6325</f>
        <v>0</v>
      </c>
      <c r="G6328" s="39" t="n">
        <f aca="false">Sens!$G$6260+Sens!$G$6261+Sens!$G$6324-Sens!$G$6325</f>
        <v>0</v>
      </c>
      <c r="H6328" s="39" t="n">
        <f aca="false">Sens!$H$6260+Sens!$H$6261+Sens!$H$6324-Sens!$H$6325</f>
        <v>0</v>
      </c>
      <c r="I6328" s="39" t="n">
        <f aca="false">Sens!$I$6260+Sens!$I$6261+Sens!$I$6324-Sens!$I$6325</f>
        <v>0</v>
      </c>
      <c r="J6328" s="39" t="n">
        <f aca="false">Sens!$J$6260+Sens!$J$6261+Sens!$J$6324-Sens!$J$6325</f>
        <v>0</v>
      </c>
      <c r="K6328" s="39" t="n">
        <f aca="false">Sens!$K$6260+Sens!$K$6261+Sens!$K$6324-Sens!$K$6325</f>
        <v>0</v>
      </c>
      <c r="L6328" s="39" t="n">
        <f aca="false">Sens!$L$6260+Sens!$L$6261+Sens!$L$6324-Sens!$L$6325</f>
        <v>0</v>
      </c>
      <c r="M6328" s="39" t="n">
        <f aca="false">Sens!$M$6260+Sens!$M$6261+Sens!$M$6324-Sens!$M$6325</f>
        <v>0</v>
      </c>
      <c r="N6328" s="39" t="n">
        <f aca="false">Sens!$N$6260+Sens!$N$6261+Sens!$N$6324-Sens!$N$6325</f>
        <v>0</v>
      </c>
      <c r="O6328" s="39" t="n">
        <f aca="false">Sens!$O$6260+Sens!$O$6261+Sens!$O$6324-Sens!$O$6325</f>
        <v>0</v>
      </c>
    </row>
    <row r="6329" customFormat="false" ht="15" hidden="false" customHeight="false" outlineLevel="0" collapsed="false">
      <c r="A6329" s="5" t="s">
        <v>652</v>
      </c>
      <c r="B6329" s="0" t="s">
        <v>52</v>
      </c>
      <c r="G6329" s="12" t="n">
        <f aca="false">Sens!$G$6325/Sens!$D$6325-1</f>
        <v>0.161378156222718</v>
      </c>
      <c r="H6329" s="12" t="n">
        <f aca="false">Sens!$H$6325/Sens!$G$6325-1</f>
        <v>0.166192665236357</v>
      </c>
      <c r="I6329" s="12" t="n">
        <f aca="false">Sens!$I$6325/Sens!$H$6325-1</f>
        <v>0.143618092519351</v>
      </c>
      <c r="J6329" s="12" t="n">
        <f aca="false">Sens!$J$6325/Sens!$I$6325-1</f>
        <v>0.117712411733268</v>
      </c>
      <c r="K6329" s="12" t="n">
        <f aca="false">Sens!$K$6325/Sens!$J$6325-1</f>
        <v>0.0937151404237868</v>
      </c>
      <c r="L6329" s="12" t="n">
        <f aca="false">Sens!$L$6325/Sens!$K$6325-1</f>
        <v>0.0896982852494186</v>
      </c>
      <c r="M6329" s="12" t="n">
        <f aca="false">Sens!$M$6325/Sens!$L$6325-1</f>
        <v>0.0862697420528154</v>
      </c>
    </row>
    <row r="6330" customFormat="false" ht="17.15" hidden="false" customHeight="false" outlineLevel="0" collapsed="false">
      <c r="A6330" s="0" t="s">
        <v>653</v>
      </c>
      <c r="B6330" s="0" t="s">
        <v>52</v>
      </c>
      <c r="C6330" s="12" t="n">
        <f aca="false">Sens!$C$6324/Sens!$C$6325</f>
        <v>0.168593906504964</v>
      </c>
      <c r="D6330" s="12" t="n">
        <f aca="false">Sens!$D$6324/Sens!$D$6325</f>
        <v>0.179551807444025</v>
      </c>
      <c r="E6330" s="12" t="n">
        <f aca="false">Sens!$E$6324/Sens!$E$6325</f>
        <v>0.208881910369643</v>
      </c>
      <c r="F6330" s="12" t="n">
        <f aca="false">Sens!$F$6324/Sens!$F$6325</f>
        <v>0.207679264769203</v>
      </c>
      <c r="G6330" s="12" t="n">
        <f aca="false">Sens!$G$6324/Sens!$G$6325</f>
        <v>0.208231210458731</v>
      </c>
      <c r="H6330" s="12" t="n">
        <f aca="false">Sens!$H$6324/Sens!$H$6325</f>
        <v>0.248260191414043</v>
      </c>
      <c r="I6330" s="12" t="n">
        <f aca="false">Sens!$I$6324/Sens!$I$6325</f>
        <v>0.28110473450946</v>
      </c>
      <c r="J6330" s="12" t="n">
        <f aca="false">Sens!$J$6324/Sens!$J$6325</f>
        <v>0.30570109287086</v>
      </c>
      <c r="K6330" s="12" t="n">
        <f aca="false">Sens!$K$6324/Sens!$K$6325</f>
        <v>0.324071291782835</v>
      </c>
      <c r="L6330" s="12" t="n">
        <f aca="false">Sens!$L$6324/Sens!$L$6325</f>
        <v>0.339333003903741</v>
      </c>
      <c r="M6330" s="12" t="n">
        <f aca="false">Sens!$M$6324/Sens!$M$6325</f>
        <v>0.3520169237354</v>
      </c>
      <c r="N6330" s="12" t="n">
        <f aca="false">Sens!$N$6324/Sens!$N$6325</f>
        <v>0.185979484737251</v>
      </c>
      <c r="O6330" s="12" t="n">
        <f aca="false">Sens!$O$6324/Sens!$O$6325</f>
        <v>0.174270432341096</v>
      </c>
    </row>
    <row r="6331" customFormat="false" ht="17.15" hidden="false" customHeight="false" outlineLevel="0" collapsed="false">
      <c r="A6331" s="0" t="s">
        <v>654</v>
      </c>
      <c r="B6331" s="0" t="s">
        <v>52</v>
      </c>
      <c r="C6331" s="12" t="n">
        <f aca="false">Sens!$C$6322/Sens!$C$6324</f>
        <v>0.0215795060896058</v>
      </c>
      <c r="D6331" s="12" t="n">
        <f aca="false">Sens!$D$6322/Sens!$D$6324</f>
        <v>0.0676152269462122</v>
      </c>
      <c r="E6331" s="12" t="n">
        <f aca="false">Sens!$E$6322/Sens!$E$6324</f>
        <v>0.106620641395783</v>
      </c>
      <c r="F6331" s="12" t="n">
        <f aca="false">Sens!$F$6322/Sens!$F$6324</f>
        <v>0.159936751776064</v>
      </c>
      <c r="G6331" s="12" t="n">
        <f aca="false">Sens!$G$6322/Sens!$G$6324</f>
        <v>0.135391237003751</v>
      </c>
      <c r="H6331" s="12" t="n">
        <f aca="false">Sens!$H$6322/Sens!$H$6324</f>
        <v>0.249589428545194</v>
      </c>
      <c r="I6331" s="12" t="n">
        <f aca="false">Sens!$I$6322/Sens!$I$6324</f>
        <v>0.325173850577483</v>
      </c>
      <c r="J6331" s="12" t="n">
        <f aca="false">Sens!$J$6322/Sens!$J$6324</f>
        <v>0.376953718817392</v>
      </c>
      <c r="K6331" s="12" t="n">
        <f aca="false">Sens!$K$6322/Sens!$K$6324</f>
        <v>0.419641605578676</v>
      </c>
      <c r="L6331" s="12" t="n">
        <f aca="false">Sens!$L$6322/Sens!$L$6324</f>
        <v>0.450676451094615</v>
      </c>
      <c r="M6331" s="12" t="n">
        <f aca="false">Sens!$M$6322/Sens!$M$6324</f>
        <v>0.473526096798086</v>
      </c>
      <c r="N6331" s="12" t="n">
        <f aca="false">Sens!$N$6322/Sens!$N$6324</f>
        <v>0.0506537999838362</v>
      </c>
      <c r="O6331" s="12" t="n">
        <f aca="false">Sens!$O$6322/Sens!$O$6324</f>
        <v>0.0824881615167056</v>
      </c>
    </row>
    <row r="6334" customFormat="false" ht="19.4" hidden="false" customHeight="false" outlineLevel="0" collapsed="false">
      <c r="A6334" s="31" t="s">
        <v>1182</v>
      </c>
    </row>
    <row r="6335" customFormat="false" ht="17.15" hidden="false" customHeight="false" outlineLevel="0" collapsed="false">
      <c r="A6335" s="6" t="s">
        <v>16</v>
      </c>
      <c r="B6335" s="6" t="s">
        <v>17</v>
      </c>
      <c r="C6335" s="20" t="s">
        <v>457</v>
      </c>
      <c r="D6335" s="20" t="s">
        <v>458</v>
      </c>
      <c r="E6335" s="20" t="s">
        <v>540</v>
      </c>
      <c r="F6335" s="20" t="s">
        <v>541</v>
      </c>
      <c r="G6335" s="20" t="s">
        <v>542</v>
      </c>
      <c r="H6335" s="20" t="s">
        <v>543</v>
      </c>
      <c r="I6335" s="20" t="s">
        <v>544</v>
      </c>
      <c r="J6335" s="20" t="s">
        <v>545</v>
      </c>
      <c r="K6335" s="20" t="s">
        <v>546</v>
      </c>
      <c r="L6335" s="20" t="s">
        <v>547</v>
      </c>
      <c r="M6335" s="20" t="s">
        <v>548</v>
      </c>
      <c r="N6335" s="20" t="s">
        <v>549</v>
      </c>
      <c r="O6335" s="20" t="s">
        <v>550</v>
      </c>
      <c r="P6335" s="6" t="s">
        <v>23</v>
      </c>
      <c r="R6335" s="20" t="n">
        <v>2023</v>
      </c>
      <c r="S6335" s="20" t="n">
        <v>2024</v>
      </c>
      <c r="T6335" s="20" t="n">
        <v>2025</v>
      </c>
      <c r="U6335" s="20" t="n">
        <v>2026</v>
      </c>
      <c r="V6335" s="20" t="n">
        <v>2027</v>
      </c>
      <c r="W6335" s="20" t="n">
        <v>2028</v>
      </c>
      <c r="X6335" s="20" t="n">
        <v>2029</v>
      </c>
      <c r="Y6335" s="20" t="n">
        <v>2030</v>
      </c>
      <c r="Z6335" s="20" t="n">
        <v>2031</v>
      </c>
      <c r="AA6335" s="20" t="n">
        <v>2032</v>
      </c>
    </row>
    <row r="6336" customFormat="false" ht="17.15" hidden="false" customHeight="false" outlineLevel="0" collapsed="false">
      <c r="A6336" s="1" t="s">
        <v>669</v>
      </c>
    </row>
    <row r="6337" customFormat="false" ht="15" hidden="false" customHeight="false" outlineLevel="0" collapsed="false">
      <c r="A6337" s="0" t="s">
        <v>479</v>
      </c>
      <c r="B6337" s="0" t="s">
        <v>73</v>
      </c>
      <c r="C6337" s="38" t="n">
        <f aca="false">Sens!$C$6246</f>
        <v>247.029</v>
      </c>
      <c r="D6337" s="38" t="n">
        <f aca="false">Sens!$D$6246</f>
        <v>269.287</v>
      </c>
      <c r="E6337" s="38" t="n">
        <f aca="false">Sens!$E$6246</f>
        <v>134.686</v>
      </c>
      <c r="F6337" s="38" t="n">
        <f aca="false">Sens!$F$6246</f>
        <v>160.728085930082</v>
      </c>
      <c r="G6337" s="38" t="n">
        <f aca="false">Sens!$G$6246</f>
        <v>295.414085930082</v>
      </c>
      <c r="H6337" s="38" t="n">
        <f aca="false">Sens!$H$6246</f>
        <v>320.828163943375</v>
      </c>
      <c r="I6337" s="38" t="n">
        <f aca="false">Sens!$I$6246</f>
        <v>344.575578072228</v>
      </c>
      <c r="J6337" s="38" t="n">
        <f aca="false">Sens!$J$6246</f>
        <v>365.942555779681</v>
      </c>
      <c r="K6337" s="38" t="n">
        <f aca="false">Sens!$K$6246</f>
        <v>384.239683568665</v>
      </c>
      <c r="L6337" s="38" t="n">
        <f aca="false">Sens!$L$6246</f>
        <v>403.451667747098</v>
      </c>
      <c r="M6337" s="38" t="n">
        <f aca="false">Sens!$M$6246</f>
        <v>423.624251134453</v>
      </c>
      <c r="N6337" s="38" t="n">
        <f aca="false">Sens!$N$6246</f>
        <v>118.892</v>
      </c>
      <c r="O6337" s="38" t="n">
        <f aca="false">Sens!$O$6246</f>
        <v>150.395</v>
      </c>
    </row>
    <row r="6338" customFormat="false" ht="15" hidden="false" customHeight="false" outlineLevel="0" collapsed="false">
      <c r="A6338" s="0" t="s">
        <v>480</v>
      </c>
      <c r="B6338" s="0" t="s">
        <v>73</v>
      </c>
      <c r="C6338" s="38" t="n">
        <f aca="false">Sens!$C$6248</f>
        <v>21.215</v>
      </c>
      <c r="D6338" s="38" t="n">
        <f aca="false">Sens!$D$6248</f>
        <v>22.561</v>
      </c>
      <c r="E6338" s="38" t="n">
        <f aca="false">Sens!$E$6248</f>
        <v>11.579</v>
      </c>
      <c r="F6338" s="38" t="n">
        <f aca="false">Sens!$F$6248</f>
        <v>12.0952613121125</v>
      </c>
      <c r="G6338" s="38" t="n">
        <f aca="false">Sens!$G$6248</f>
        <v>23.6742613121125</v>
      </c>
      <c r="H6338" s="38" t="n">
        <f aca="false">Sens!$H$6248</f>
        <v>24.8803243963206</v>
      </c>
      <c r="I6338" s="38" t="n">
        <f aca="false">Sens!$I$6248</f>
        <v>25.9741308664154</v>
      </c>
      <c r="J6338" s="38" t="n">
        <f aca="false">Sens!$J$6248</f>
        <v>26.9346894124267</v>
      </c>
      <c r="K6338" s="38" t="n">
        <f aca="false">Sens!$K$6248</f>
        <v>27.7427300947995</v>
      </c>
      <c r="L6338" s="38" t="n">
        <f aca="false">Sens!$L$6248</f>
        <v>28.5750119976435</v>
      </c>
      <c r="M6338" s="38" t="n">
        <f aca="false">Sens!$M$6248</f>
        <v>29.4322623575728</v>
      </c>
      <c r="N6338" s="38" t="n">
        <f aca="false">Sens!$N$6248</f>
        <v>11.128</v>
      </c>
      <c r="O6338" s="38" t="n">
        <f aca="false">Sens!$O$6248</f>
        <v>11.433</v>
      </c>
    </row>
    <row r="6339" customFormat="false" ht="15" hidden="false" customHeight="false" outlineLevel="0" collapsed="false">
      <c r="A6339" s="0" t="s">
        <v>481</v>
      </c>
      <c r="B6339" s="0" t="s">
        <v>73</v>
      </c>
      <c r="C6339" s="38" t="n">
        <f aca="false">Sens!$C$6250</f>
        <v>156.146</v>
      </c>
      <c r="D6339" s="38" t="n">
        <f aca="false">Sens!$D$6250</f>
        <v>172.162</v>
      </c>
      <c r="E6339" s="38" t="n">
        <f aca="false">Sens!$E$6250</f>
        <v>88.358</v>
      </c>
      <c r="F6339" s="38" t="n">
        <f aca="false">Sens!$F$6250</f>
        <v>103.62028337149</v>
      </c>
      <c r="G6339" s="38" t="n">
        <f aca="false">Sens!$G$6250</f>
        <v>191.97828337149</v>
      </c>
      <c r="H6339" s="38" t="n">
        <f aca="false">Sens!$H$6250</f>
        <v>212.128608444755</v>
      </c>
      <c r="I6339" s="38" t="n">
        <f aca="false">Sens!$I$6250</f>
        <v>231.92183134134</v>
      </c>
      <c r="J6339" s="38" t="n">
        <f aca="false">Sens!$J$6250</f>
        <v>250.859136487863</v>
      </c>
      <c r="K6339" s="38" t="n">
        <f aca="false">Sens!$K$6250</f>
        <v>268.419276042014</v>
      </c>
      <c r="L6339" s="38" t="n">
        <f aca="false">Sens!$L$6250</f>
        <v>287.208625364954</v>
      </c>
      <c r="M6339" s="38" t="n">
        <f aca="false">Sens!$M$6250</f>
        <v>307.313229140501</v>
      </c>
      <c r="N6339" s="38" t="n">
        <f aca="false">Sens!$N$6250</f>
        <v>76.86</v>
      </c>
      <c r="O6339" s="38" t="n">
        <f aca="false">Sens!$O$6250</f>
        <v>95.302</v>
      </c>
    </row>
    <row r="6340" customFormat="false" ht="15" hidden="false" customHeight="false" outlineLevel="0" collapsed="false">
      <c r="A6340" s="0" t="s">
        <v>482</v>
      </c>
      <c r="B6340" s="0" t="s">
        <v>73</v>
      </c>
      <c r="C6340" s="38" t="n">
        <f aca="false">Sens!$C$6252</f>
        <v>56.214</v>
      </c>
      <c r="D6340" s="38" t="n">
        <f aca="false">Sens!$D$6252</f>
        <v>68.635</v>
      </c>
      <c r="E6340" s="38" t="n">
        <f aca="false">Sens!$E$6252</f>
        <v>37.052</v>
      </c>
      <c r="F6340" s="38" t="n">
        <f aca="false">Sens!$F$6252</f>
        <v>48.1533381827382</v>
      </c>
      <c r="G6340" s="38" t="n">
        <f aca="false">Sens!$G$6252</f>
        <v>85.2053381827382</v>
      </c>
      <c r="H6340" s="38" t="n">
        <f aca="false">Sens!$H$6252</f>
        <v>102.29336185894</v>
      </c>
      <c r="I6340" s="38" t="n">
        <f aca="false">Sens!$I$6252</f>
        <v>119.379837585241</v>
      </c>
      <c r="J6340" s="38" t="n">
        <f aca="false">Sens!$J$6252</f>
        <v>135.319079048844</v>
      </c>
      <c r="K6340" s="38" t="n">
        <f aca="false">Sens!$K$6252</f>
        <v>148.850986953729</v>
      </c>
      <c r="L6340" s="38" t="n">
        <f aca="false">Sens!$L$6252</f>
        <v>163.736085649102</v>
      </c>
      <c r="M6340" s="38" t="n">
        <f aca="false">Sens!$M$6252</f>
        <v>180.109694214012</v>
      </c>
      <c r="N6340" s="38" t="n">
        <f aca="false">Sens!$N$6252</f>
        <v>29.615</v>
      </c>
      <c r="O6340" s="38" t="n">
        <f aca="false">Sens!$O$6252</f>
        <v>39.02</v>
      </c>
    </row>
    <row r="6341" customFormat="false" ht="15" hidden="false" customHeight="false" outlineLevel="0" collapsed="false">
      <c r="A6341" s="0" t="s">
        <v>483</v>
      </c>
      <c r="B6341" s="0" t="s">
        <v>73</v>
      </c>
      <c r="C6341" s="38" t="n">
        <f aca="false">Sens!$C$6254</f>
        <v>44.374</v>
      </c>
      <c r="D6341" s="38" t="n">
        <f aca="false">Sens!$D$6254</f>
        <v>49.619</v>
      </c>
      <c r="E6341" s="38" t="n">
        <f aca="false">Sens!$E$6254</f>
        <v>27.157</v>
      </c>
      <c r="F6341" s="38" t="n">
        <f aca="false">Sens!$F$6254</f>
        <v>28.9776360923374</v>
      </c>
      <c r="G6341" s="38" t="n">
        <f aca="false">Sens!$G$6254</f>
        <v>56.1346360923374</v>
      </c>
      <c r="H6341" s="38" t="n">
        <f aca="false">Sens!$H$6254</f>
        <v>62.4937078946075</v>
      </c>
      <c r="I6341" s="38" t="n">
        <f aca="false">Sens!$I$6254</f>
        <v>68.6715233062498</v>
      </c>
      <c r="J6341" s="38" t="n">
        <f aca="false">Sens!$J$6254</f>
        <v>74.4692882949818</v>
      </c>
      <c r="K6341" s="38" t="n">
        <f aca="false">Sens!$K$6254</f>
        <v>79.6821384756306</v>
      </c>
      <c r="L6341" s="38" t="n">
        <f aca="false">Sens!$L$6254</f>
        <v>85.2598881689247</v>
      </c>
      <c r="M6341" s="38" t="n">
        <f aca="false">Sens!$M$6254</f>
        <v>91.2280803407494</v>
      </c>
      <c r="N6341" s="38" t="n">
        <f aca="false">Sens!$N$6254</f>
        <v>23.923</v>
      </c>
      <c r="O6341" s="38" t="n">
        <f aca="false">Sens!$O$6254</f>
        <v>25.696</v>
      </c>
    </row>
    <row r="6342" customFormat="false" ht="15" hidden="false" customHeight="false" outlineLevel="0" collapsed="false">
      <c r="A6342" s="0" t="s">
        <v>484</v>
      </c>
      <c r="B6342" s="0" t="s">
        <v>73</v>
      </c>
      <c r="C6342" s="38" t="n">
        <f aca="false">Sens!$C$6256</f>
        <v>5.425</v>
      </c>
      <c r="D6342" s="38" t="n">
        <f aca="false">Sens!$D$6256</f>
        <v>5.935</v>
      </c>
      <c r="E6342" s="38" t="n">
        <f aca="false">Sens!$E$6256</f>
        <v>3.474</v>
      </c>
      <c r="F6342" s="38" t="n">
        <f aca="false">Sens!$F$6256</f>
        <v>3.36182431966931</v>
      </c>
      <c r="G6342" s="38" t="n">
        <f aca="false">Sens!$G$6256</f>
        <v>6.83582431966931</v>
      </c>
      <c r="H6342" s="38" t="n">
        <f aca="false">Sens!$H$6256</f>
        <v>7.31157108370141</v>
      </c>
      <c r="I6342" s="38" t="n">
        <f aca="false">Sens!$I$6256</f>
        <v>7.77266852639815</v>
      </c>
      <c r="J6342" s="38" t="n">
        <f aca="false">Sens!$J$6256</f>
        <v>8.2120733019884</v>
      </c>
      <c r="K6342" s="38" t="n">
        <f aca="false">Sens!$K$6256</f>
        <v>8.62267696708783</v>
      </c>
      <c r="L6342" s="38" t="n">
        <f aca="false">Sens!$L$6256</f>
        <v>9.05381081544222</v>
      </c>
      <c r="M6342" s="38" t="n">
        <f aca="false">Sens!$M$6256</f>
        <v>9.50650135621433</v>
      </c>
      <c r="N6342" s="38" t="n">
        <f aca="false">Sens!$N$6256</f>
        <v>2.811</v>
      </c>
      <c r="O6342" s="38" t="n">
        <f aca="false">Sens!$O$6256</f>
        <v>3.124</v>
      </c>
    </row>
    <row r="6343" customFormat="false" ht="17.15" hidden="false" customHeight="false" outlineLevel="0" collapsed="false">
      <c r="A6343" s="0" t="s">
        <v>670</v>
      </c>
      <c r="B6343" s="0" t="s">
        <v>73</v>
      </c>
      <c r="C6343" s="38" t="n">
        <f aca="false">Sens!$C$6324</f>
        <v>107.556</v>
      </c>
      <c r="D6343" s="38" t="n">
        <f aca="false">Sens!$D$6324</f>
        <v>128.725</v>
      </c>
      <c r="E6343" s="38" t="n">
        <f aca="false">Sens!$E$6324</f>
        <v>79.819</v>
      </c>
      <c r="F6343" s="38" t="n">
        <f aca="false">Sens!$F$6324</f>
        <v>93.5584440633857</v>
      </c>
      <c r="G6343" s="38" t="n">
        <f aca="false">Sens!$G$6324</f>
        <v>173.377444063386</v>
      </c>
      <c r="H6343" s="38" t="n">
        <f aca="false">Sens!$H$6324</f>
        <v>241.059451517916</v>
      </c>
      <c r="I6343" s="38" t="n">
        <f aca="false">Sens!$I$6324</f>
        <v>312.152096351442</v>
      </c>
      <c r="J6343" s="38" t="n">
        <f aca="false">Sens!$J$6324</f>
        <v>379.424316597773</v>
      </c>
      <c r="K6343" s="38" t="n">
        <f aca="false">Sens!$K$6324</f>
        <v>439.919237244402</v>
      </c>
      <c r="L6343" s="38" t="n">
        <f aca="false">Sens!$L$6324</f>
        <v>501.954974491517</v>
      </c>
      <c r="M6343" s="38" t="n">
        <f aca="false">Sens!$M$6324</f>
        <v>565.639704466895</v>
      </c>
      <c r="N6343" s="38" t="n">
        <f aca="false">Sens!$N$6324</f>
        <v>60.14</v>
      </c>
      <c r="O6343" s="38" t="n">
        <f aca="false">Sens!$O$6324</f>
        <v>68.585</v>
      </c>
    </row>
    <row r="6344" customFormat="false" ht="15" hidden="false" customHeight="false" outlineLevel="0" collapsed="false">
      <c r="A6344" s="1" t="s">
        <v>472</v>
      </c>
      <c r="B6344" s="8" t="s">
        <v>73</v>
      </c>
      <c r="C6344" s="38" t="n">
        <f aca="false">Sens!$C$6260</f>
        <v>387.497</v>
      </c>
      <c r="D6344" s="38" t="n">
        <f aca="false">Sens!$D$6260</f>
        <v>426.305</v>
      </c>
      <c r="E6344" s="38" t="n">
        <f aca="false">Sens!$E$6260</f>
        <v>220.32</v>
      </c>
      <c r="F6344" s="38" t="n">
        <f aca="false">Sens!$F$6260</f>
        <v>256.304015003807</v>
      </c>
      <c r="G6344" s="38" t="n">
        <f aca="false">Sens!$G$6260</f>
        <v>476.624015003807</v>
      </c>
      <c r="H6344" s="38" t="n">
        <f aca="false">Sens!$H$6260</f>
        <v>527.734391091543</v>
      </c>
      <c r="I6344" s="38" t="n">
        <f aca="false">Sens!$I$6260</f>
        <v>577.157693029577</v>
      </c>
      <c r="J6344" s="38" t="n">
        <f aca="false">Sens!$J$6260</f>
        <v>623.024923663827</v>
      </c>
      <c r="K6344" s="38" t="n">
        <f aca="false">Sens!$K$6260</f>
        <v>663.382568393781</v>
      </c>
      <c r="L6344" s="38" t="n">
        <f aca="false">Sens!$L$6260</f>
        <v>706.564873010432</v>
      </c>
      <c r="M6344" s="38" t="n">
        <f aca="false">Sens!$M$6260</f>
        <v>752.784687406019</v>
      </c>
      <c r="N6344" s="38" t="n">
        <f aca="false">Sens!$N$6260</f>
        <v>192.955</v>
      </c>
      <c r="O6344" s="38" t="n">
        <f aca="false">Sens!$O$6260</f>
        <v>233.35</v>
      </c>
    </row>
    <row r="6345" customFormat="false" ht="15" hidden="false" customHeight="false" outlineLevel="0" collapsed="false">
      <c r="A6345" s="1" t="s">
        <v>475</v>
      </c>
      <c r="B6345" s="8" t="s">
        <v>73</v>
      </c>
      <c r="C6345" s="38" t="n">
        <f aca="false">Sens!$C$6261</f>
        <v>142.906</v>
      </c>
      <c r="D6345" s="38" t="n">
        <f aca="false">Sens!$D$6261</f>
        <v>161.894</v>
      </c>
      <c r="E6345" s="38" t="n">
        <f aca="false">Sens!$E$6261</f>
        <v>81.986</v>
      </c>
      <c r="F6345" s="38" t="n">
        <f aca="false">Sens!$F$6261</f>
        <v>100.632414204623</v>
      </c>
      <c r="G6345" s="38" t="n">
        <f aca="false">Sens!$G$6261</f>
        <v>182.618414204623</v>
      </c>
      <c r="H6345" s="38" t="n">
        <f aca="false">Sens!$H$6261</f>
        <v>202.201346530158</v>
      </c>
      <c r="I6345" s="38" t="n">
        <f aca="false">Sens!$I$6261</f>
        <v>221.137876668296</v>
      </c>
      <c r="J6345" s="38" t="n">
        <f aca="false">Sens!$J$6261</f>
        <v>238.711898661958</v>
      </c>
      <c r="K6345" s="38" t="n">
        <f aca="false">Sens!$K$6261</f>
        <v>254.174923708144</v>
      </c>
      <c r="L6345" s="38" t="n">
        <f aca="false">Sens!$L$6261</f>
        <v>270.720216732733</v>
      </c>
      <c r="M6345" s="38" t="n">
        <f aca="false">Sens!$M$6261</f>
        <v>288.429331137484</v>
      </c>
      <c r="N6345" s="38" t="n">
        <f aca="false">Sens!$N$6261</f>
        <v>70.274</v>
      </c>
      <c r="O6345" s="38" t="n">
        <f aca="false">Sens!$O$6261</f>
        <v>91.62</v>
      </c>
    </row>
    <row r="6346" customFormat="false" ht="15" hidden="false" customHeight="false" outlineLevel="0" collapsed="false">
      <c r="A6346" s="1" t="s">
        <v>476</v>
      </c>
      <c r="B6346" s="8" t="s">
        <v>73</v>
      </c>
      <c r="C6346" s="38" t="n">
        <f aca="false">Sens!$C$6324</f>
        <v>107.556</v>
      </c>
      <c r="D6346" s="38" t="n">
        <f aca="false">Sens!$D$6324</f>
        <v>128.725</v>
      </c>
      <c r="E6346" s="38" t="n">
        <f aca="false">Sens!$E$6324</f>
        <v>79.819</v>
      </c>
      <c r="F6346" s="38" t="n">
        <f aca="false">Sens!$F$6324</f>
        <v>93.5584440633857</v>
      </c>
      <c r="G6346" s="38" t="n">
        <f aca="false">Sens!$G$6324</f>
        <v>173.377444063386</v>
      </c>
      <c r="H6346" s="38" t="n">
        <f aca="false">Sens!$H$6324</f>
        <v>241.059451517916</v>
      </c>
      <c r="I6346" s="38" t="n">
        <f aca="false">Sens!$I$6324</f>
        <v>312.152096351442</v>
      </c>
      <c r="J6346" s="38" t="n">
        <f aca="false">Sens!$J$6324</f>
        <v>379.424316597773</v>
      </c>
      <c r="K6346" s="38" t="n">
        <f aca="false">Sens!$K$6324</f>
        <v>439.919237244402</v>
      </c>
      <c r="L6346" s="38" t="n">
        <f aca="false">Sens!$L$6324</f>
        <v>501.954974491517</v>
      </c>
      <c r="M6346" s="38" t="n">
        <f aca="false">Sens!$M$6324</f>
        <v>565.639704466895</v>
      </c>
      <c r="N6346" s="38" t="n">
        <f aca="false">Sens!$N$6324</f>
        <v>60.14</v>
      </c>
      <c r="O6346" s="38" t="n">
        <f aca="false">Sens!$O$6324</f>
        <v>68.585</v>
      </c>
    </row>
    <row r="6347" customFormat="false" ht="17.15" hidden="false" customHeight="false" outlineLevel="0" collapsed="false">
      <c r="A6347" s="0" t="s">
        <v>644</v>
      </c>
      <c r="B6347" s="0" t="s">
        <v>73</v>
      </c>
      <c r="C6347" s="38" t="n">
        <f aca="false">Sens!$C$6322</f>
        <v>2.32100535697364</v>
      </c>
      <c r="D6347" s="38" t="n">
        <f aca="false">Sens!$D$6322</f>
        <v>8.70377008865116</v>
      </c>
      <c r="E6347" s="38" t="n">
        <f aca="false">Sens!$E$6322</f>
        <v>8.51035297557002</v>
      </c>
      <c r="F6347" s="38" t="n">
        <f aca="false">Sens!$F$6322</f>
        <v>14.9634336447205</v>
      </c>
      <c r="G6347" s="38" t="n">
        <f aca="false">Sens!$G$6322</f>
        <v>23.4737866202905</v>
      </c>
      <c r="H6347" s="38" t="n">
        <f aca="false">Sens!$H$6322</f>
        <v>60.1658907497746</v>
      </c>
      <c r="I6347" s="38" t="n">
        <f aca="false">Sens!$I$6322</f>
        <v>101.503699136432</v>
      </c>
      <c r="J6347" s="38" t="n">
        <f aca="false">Sens!$J$6322</f>
        <v>143.025407151278</v>
      </c>
      <c r="K6347" s="38" t="n">
        <f aca="false">Sens!$K$6322</f>
        <v>184.608415042187</v>
      </c>
      <c r="L6347" s="38" t="n">
        <f aca="false">Sens!$L$6322</f>
        <v>226.219286513125</v>
      </c>
      <c r="M6347" s="38" t="n">
        <f aca="false">Sens!$M$6322</f>
        <v>267.845161450232</v>
      </c>
      <c r="N6347" s="38" t="n">
        <f aca="false">Sens!$N$6322</f>
        <v>3.04631953102791</v>
      </c>
      <c r="O6347" s="38" t="n">
        <f aca="false">Sens!$O$6322</f>
        <v>5.65745055762326</v>
      </c>
    </row>
    <row r="6348" customFormat="false" ht="17.15" hidden="false" customHeight="false" outlineLevel="0" collapsed="false">
      <c r="A6348" s="0" t="s">
        <v>646</v>
      </c>
      <c r="B6348" s="0" t="s">
        <v>73</v>
      </c>
      <c r="C6348" s="38" t="n">
        <f aca="false">Sens!$C$6323</f>
        <v>105.234994643026</v>
      </c>
      <c r="D6348" s="38" t="n">
        <f aca="false">Sens!$D$6323</f>
        <v>120.021229911349</v>
      </c>
      <c r="E6348" s="38" t="n">
        <f aca="false">Sens!$E$6323</f>
        <v>71.30864702443</v>
      </c>
      <c r="F6348" s="38" t="n">
        <f aca="false">Sens!$F$6323</f>
        <v>78.5950104186653</v>
      </c>
      <c r="G6348" s="38" t="n">
        <f aca="false">Sens!$G$6323</f>
        <v>149.903657443095</v>
      </c>
      <c r="H6348" s="38" t="n">
        <f aca="false">Sens!$H$6323</f>
        <v>180.893560768142</v>
      </c>
      <c r="I6348" s="38" t="n">
        <f aca="false">Sens!$I$6323</f>
        <v>210.64839721501</v>
      </c>
      <c r="J6348" s="38" t="n">
        <f aca="false">Sens!$J$6323</f>
        <v>236.398909446495</v>
      </c>
      <c r="K6348" s="38" t="n">
        <f aca="false">Sens!$K$6323</f>
        <v>255.310822202215</v>
      </c>
      <c r="L6348" s="38" t="n">
        <f aca="false">Sens!$L$6323</f>
        <v>275.735687978392</v>
      </c>
      <c r="M6348" s="38" t="n">
        <f aca="false">Sens!$M$6323</f>
        <v>297.794543016663</v>
      </c>
      <c r="N6348" s="38" t="n">
        <f aca="false">Sens!$N$6323</f>
        <v>57.0936804689721</v>
      </c>
      <c r="O6348" s="38" t="n">
        <f aca="false">Sens!$O$6323</f>
        <v>62.9275494423768</v>
      </c>
    </row>
    <row r="6349" customFormat="false" ht="15" hidden="false" customHeight="false" outlineLevel="0" collapsed="false">
      <c r="A6349" s="3" t="s">
        <v>477</v>
      </c>
      <c r="B6349" s="8" t="s">
        <v>73</v>
      </c>
      <c r="C6349" s="38" t="n">
        <f aca="false">Sens!$C$6325</f>
        <v>637.959</v>
      </c>
      <c r="D6349" s="38" t="n">
        <f aca="false">Sens!$D$6325</f>
        <v>716.924</v>
      </c>
      <c r="E6349" s="38" t="n">
        <f aca="false">Sens!$E$6325</f>
        <v>382.125</v>
      </c>
      <c r="F6349" s="38" t="n">
        <f aca="false">Sens!$F$6325</f>
        <v>450.494873271816</v>
      </c>
      <c r="G6349" s="38" t="n">
        <f aca="false">Sens!$G$6325</f>
        <v>832.619873271816</v>
      </c>
      <c r="H6349" s="38" t="n">
        <f aca="false">Sens!$H$6325</f>
        <v>970.995189139617</v>
      </c>
      <c r="I6349" s="38" t="n">
        <f aca="false">Sens!$I$6325</f>
        <v>1110.44766604932</v>
      </c>
      <c r="J6349" s="38" t="n">
        <f aca="false">Sens!$J$6325</f>
        <v>1241.16113892356</v>
      </c>
      <c r="K6349" s="38" t="n">
        <f aca="false">Sens!$K$6325</f>
        <v>1357.47672934633</v>
      </c>
      <c r="L6349" s="38" t="n">
        <f aca="false">Sens!$L$6325</f>
        <v>1479.24006423468</v>
      </c>
      <c r="M6349" s="38" t="n">
        <f aca="false">Sens!$M$6325</f>
        <v>1606.8537230104</v>
      </c>
      <c r="N6349" s="38" t="n">
        <f aca="false">Sens!$N$6325</f>
        <v>323.369</v>
      </c>
      <c r="O6349" s="38" t="n">
        <f aca="false">Sens!$O$6325</f>
        <v>393.555</v>
      </c>
    </row>
    <row r="6350" customFormat="false" ht="17.15" hidden="false" customHeight="false" outlineLevel="0" collapsed="false">
      <c r="A6350" s="24" t="s">
        <v>656</v>
      </c>
      <c r="B6350" s="25" t="s">
        <v>73</v>
      </c>
      <c r="C6350" s="39" t="n">
        <f aca="false">Sens!$C$6337+Sens!$C$6338+Sens!$C$6339+Sens!$C$6340+Sens!$C$6341+Sens!$C$6342-(Sens!$C$6344+Sens!$C$6345)</f>
        <v>0</v>
      </c>
      <c r="D6350" s="39" t="n">
        <f aca="false">Sens!$D$6337+Sens!$D$6338+Sens!$D$6339+Sens!$D$6340+Sens!$D$6341+Sens!$D$6342-(Sens!$D$6344+Sens!$D$6345)</f>
        <v>0</v>
      </c>
      <c r="E6350" s="39" t="n">
        <f aca="false">Sens!$E$6337+Sens!$E$6338+Sens!$E$6339+Sens!$E$6340+Sens!$E$6341+Sens!$E$6342-(Sens!$E$6344+Sens!$E$6345)</f>
        <v>0</v>
      </c>
      <c r="F6350" s="39" t="n">
        <f aca="false">Sens!$F$6337+Sens!$F$6338+Sens!$F$6339+Sens!$F$6340+Sens!$F$6341+Sens!$F$6342-(Sens!$F$6344+Sens!$F$6345)</f>
        <v>0</v>
      </c>
      <c r="G6350" s="39" t="n">
        <f aca="false">Sens!$G$6337+Sens!$G$6338+Sens!$G$6339+Sens!$G$6340+Sens!$G$6341+Sens!$G$6342-(Sens!$G$6344+Sens!$G$6345)</f>
        <v>0</v>
      </c>
      <c r="H6350" s="39" t="n">
        <f aca="false">Sens!$H$6337+Sens!$H$6338+Sens!$H$6339+Sens!$H$6340+Sens!$H$6341+Sens!$H$6342-(Sens!$H$6344+Sens!$H$6345)</f>
        <v>0</v>
      </c>
      <c r="I6350" s="39" t="n">
        <f aca="false">Sens!$I$6337+Sens!$I$6338+Sens!$I$6339+Sens!$I$6340+Sens!$I$6341+Sens!$I$6342-(Sens!$I$6344+Sens!$I$6345)</f>
        <v>0</v>
      </c>
      <c r="J6350" s="39" t="n">
        <f aca="false">Sens!$J$6337+Sens!$J$6338+Sens!$J$6339+Sens!$J$6340+Sens!$J$6341+Sens!$J$6342-(Sens!$J$6344+Sens!$J$6345)</f>
        <v>0</v>
      </c>
      <c r="K6350" s="39" t="n">
        <f aca="false">Sens!$K$6337+Sens!$K$6338+Sens!$K$6339+Sens!$K$6340+Sens!$K$6341+Sens!$K$6342-(Sens!$K$6344+Sens!$K$6345)</f>
        <v>0</v>
      </c>
      <c r="L6350" s="39" t="n">
        <f aca="false">Sens!$L$6337+Sens!$L$6338+Sens!$L$6339+Sens!$L$6340+Sens!$L$6341+Sens!$L$6342-(Sens!$L$6344+Sens!$L$6345)</f>
        <v>0</v>
      </c>
      <c r="M6350" s="39" t="n">
        <f aca="false">Sens!$M$6337+Sens!$M$6338+Sens!$M$6339+Sens!$M$6340+Sens!$M$6341+Sens!$M$6342-(Sens!$M$6344+Sens!$M$6345)</f>
        <v>0</v>
      </c>
      <c r="N6350" s="39" t="n">
        <f aca="false">Sens!$N$6337+Sens!$N$6338+Sens!$N$6339+Sens!$N$6340+Sens!$N$6341+Sens!$N$6342-(Sens!$N$6344+Sens!$N$6345)</f>
        <v>0</v>
      </c>
      <c r="O6350" s="39" t="n">
        <f aca="false">Sens!$O$6337+Sens!$O$6338+Sens!$O$6339+Sens!$O$6340+Sens!$O$6341+Sens!$O$6342-(Sens!$O$6344+Sens!$O$6345)</f>
        <v>0</v>
      </c>
    </row>
    <row r="6351" customFormat="false" ht="17.15" hidden="false" customHeight="false" outlineLevel="0" collapsed="false">
      <c r="A6351" s="24" t="s">
        <v>657</v>
      </c>
      <c r="B6351" s="25" t="s">
        <v>73</v>
      </c>
      <c r="C6351" s="39" t="n">
        <f aca="false">Sens!$C$6347+Sens!$C$6348-Sens!$C$6346</f>
        <v>0</v>
      </c>
      <c r="D6351" s="39" t="n">
        <f aca="false">Sens!$D$6347+Sens!$D$6348-Sens!$D$6346</f>
        <v>0</v>
      </c>
      <c r="E6351" s="39" t="n">
        <f aca="false">Sens!$E$6347+Sens!$E$6348-Sens!$E$6346</f>
        <v>0</v>
      </c>
      <c r="F6351" s="39" t="n">
        <f aca="false">Sens!$F$6347+Sens!$F$6348-Sens!$F$6346</f>
        <v>0</v>
      </c>
      <c r="G6351" s="39" t="n">
        <f aca="false">Sens!$G$6347+Sens!$G$6348-Sens!$G$6346</f>
        <v>0</v>
      </c>
      <c r="H6351" s="39" t="n">
        <f aca="false">Sens!$H$6347+Sens!$H$6348-Sens!$H$6346</f>
        <v>0</v>
      </c>
      <c r="I6351" s="39" t="n">
        <f aca="false">Sens!$I$6347+Sens!$I$6348-Sens!$I$6346</f>
        <v>0</v>
      </c>
      <c r="J6351" s="39" t="n">
        <f aca="false">Sens!$J$6347+Sens!$J$6348-Sens!$J$6346</f>
        <v>0</v>
      </c>
      <c r="K6351" s="39" t="n">
        <f aca="false">Sens!$K$6347+Sens!$K$6348-Sens!$K$6346</f>
        <v>0</v>
      </c>
      <c r="L6351" s="39" t="n">
        <f aca="false">Sens!$L$6347+Sens!$L$6348-Sens!$L$6346</f>
        <v>0</v>
      </c>
      <c r="M6351" s="39" t="n">
        <f aca="false">Sens!$M$6347+Sens!$M$6348-Sens!$M$6346</f>
        <v>0</v>
      </c>
      <c r="N6351" s="39" t="n">
        <f aca="false">Sens!$N$6347+Sens!$N$6348-Sens!$N$6346</f>
        <v>0</v>
      </c>
      <c r="O6351" s="39" t="n">
        <f aca="false">Sens!$O$6347+Sens!$O$6348-Sens!$O$6346</f>
        <v>0</v>
      </c>
    </row>
    <row r="6352" customFormat="false" ht="17.15" hidden="false" customHeight="false" outlineLevel="0" collapsed="false">
      <c r="A6352" s="24" t="s">
        <v>711</v>
      </c>
      <c r="B6352" s="25" t="s">
        <v>73</v>
      </c>
      <c r="C6352" s="39" t="n">
        <f aca="false">Sens!$C$6337+Sens!$C$6338+Sens!$C$6339+Sens!$C$6340+Sens!$C$6341+Sens!$C$6342+Sens!$C$6343-Sens!$C$6349</f>
        <v>0</v>
      </c>
      <c r="D6352" s="39" t="n">
        <f aca="false">Sens!$D$6337+Sens!$D$6338+Sens!$D$6339+Sens!$D$6340+Sens!$D$6341+Sens!$D$6342+Sens!$D$6343-Sens!$D$6349</f>
        <v>0</v>
      </c>
      <c r="E6352" s="39" t="n">
        <f aca="false">Sens!$E$6337+Sens!$E$6338+Sens!$E$6339+Sens!$E$6340+Sens!$E$6341+Sens!$E$6342+Sens!$E$6343-Sens!$E$6349</f>
        <v>0</v>
      </c>
      <c r="F6352" s="39" t="n">
        <f aca="false">Sens!$F$6337+Sens!$F$6338+Sens!$F$6339+Sens!$F$6340+Sens!$F$6341+Sens!$F$6342+Sens!$F$6343-Sens!$F$6349</f>
        <v>0</v>
      </c>
      <c r="G6352" s="39" t="n">
        <f aca="false">Sens!$G$6337+Sens!$G$6338+Sens!$G$6339+Sens!$G$6340+Sens!$G$6341+Sens!$G$6342+Sens!$G$6343-Sens!$G$6349</f>
        <v>0</v>
      </c>
      <c r="H6352" s="39" t="n">
        <f aca="false">Sens!$H$6337+Sens!$H$6338+Sens!$H$6339+Sens!$H$6340+Sens!$H$6341+Sens!$H$6342+Sens!$H$6343-Sens!$H$6349</f>
        <v>0</v>
      </c>
      <c r="I6352" s="39" t="n">
        <f aca="false">Sens!$I$6337+Sens!$I$6338+Sens!$I$6339+Sens!$I$6340+Sens!$I$6341+Sens!$I$6342+Sens!$I$6343-Sens!$I$6349</f>
        <v>0</v>
      </c>
      <c r="J6352" s="39" t="n">
        <f aca="false">Sens!$J$6337+Sens!$J$6338+Sens!$J$6339+Sens!$J$6340+Sens!$J$6341+Sens!$J$6342+Sens!$J$6343-Sens!$J$6349</f>
        <v>0</v>
      </c>
      <c r="K6352" s="39" t="n">
        <f aca="false">Sens!$K$6337+Sens!$K$6338+Sens!$K$6339+Sens!$K$6340+Sens!$K$6341+Sens!$K$6342+Sens!$K$6343-Sens!$K$6349</f>
        <v>0</v>
      </c>
      <c r="L6352" s="39" t="n">
        <f aca="false">Sens!$L$6337+Sens!$L$6338+Sens!$L$6339+Sens!$L$6340+Sens!$L$6341+Sens!$L$6342+Sens!$L$6343-Sens!$L$6349</f>
        <v>0</v>
      </c>
      <c r="M6352" s="39" t="n">
        <f aca="false">Sens!$M$6337+Sens!$M$6338+Sens!$M$6339+Sens!$M$6340+Sens!$M$6341+Sens!$M$6342+Sens!$M$6343-Sens!$M$6349</f>
        <v>0</v>
      </c>
      <c r="N6352" s="39" t="n">
        <f aca="false">Sens!$N$6337+Sens!$N$6338+Sens!$N$6339+Sens!$N$6340+Sens!$N$6341+Sens!$N$6342+Sens!$N$6343-Sens!$N$6349</f>
        <v>0</v>
      </c>
      <c r="O6352" s="39" t="n">
        <f aca="false">Sens!$O$6337+Sens!$O$6338+Sens!$O$6339+Sens!$O$6340+Sens!$O$6341+Sens!$O$6342+Sens!$O$6343-Sens!$O$6349</f>
        <v>0</v>
      </c>
    </row>
    <row r="6353" customFormat="false" ht="17.15" hidden="false" customHeight="false" outlineLevel="0" collapsed="false">
      <c r="A6353" s="24" t="s">
        <v>658</v>
      </c>
      <c r="B6353" s="25" t="s">
        <v>73</v>
      </c>
      <c r="C6353" s="39" t="n">
        <f aca="false">Sens!$C$6344+Sens!$C$6345+Sens!$C$6346-Sens!$C$6349</f>
        <v>0</v>
      </c>
      <c r="D6353" s="39" t="n">
        <f aca="false">Sens!$D$6344+Sens!$D$6345+Sens!$D$6346-Sens!$D$6349</f>
        <v>0</v>
      </c>
      <c r="E6353" s="39" t="n">
        <f aca="false">Sens!$E$6344+Sens!$E$6345+Sens!$E$6346-Sens!$E$6349</f>
        <v>0</v>
      </c>
      <c r="F6353" s="39" t="n">
        <f aca="false">Sens!$F$6344+Sens!$F$6345+Sens!$F$6346-Sens!$F$6349</f>
        <v>0</v>
      </c>
      <c r="G6353" s="39" t="n">
        <f aca="false">Sens!$G$6344+Sens!$G$6345+Sens!$G$6346-Sens!$G$6349</f>
        <v>0</v>
      </c>
      <c r="H6353" s="39" t="n">
        <f aca="false">Sens!$H$6344+Sens!$H$6345+Sens!$H$6346-Sens!$H$6349</f>
        <v>0</v>
      </c>
      <c r="I6353" s="39" t="n">
        <f aca="false">Sens!$I$6344+Sens!$I$6345+Sens!$I$6346-Sens!$I$6349</f>
        <v>0</v>
      </c>
      <c r="J6353" s="39" t="n">
        <f aca="false">Sens!$J$6344+Sens!$J$6345+Sens!$J$6346-Sens!$J$6349</f>
        <v>0</v>
      </c>
      <c r="K6353" s="39" t="n">
        <f aca="false">Sens!$K$6344+Sens!$K$6345+Sens!$K$6346-Sens!$K$6349</f>
        <v>0</v>
      </c>
      <c r="L6353" s="39" t="n">
        <f aca="false">Sens!$L$6344+Sens!$L$6345+Sens!$L$6346-Sens!$L$6349</f>
        <v>0</v>
      </c>
      <c r="M6353" s="39" t="n">
        <f aca="false">Sens!$M$6344+Sens!$M$6345+Sens!$M$6346-Sens!$M$6349</f>
        <v>0</v>
      </c>
      <c r="N6353" s="39" t="n">
        <f aca="false">Sens!$N$6344+Sens!$N$6345+Sens!$N$6346-Sens!$N$6349</f>
        <v>0</v>
      </c>
      <c r="O6353" s="39" t="n">
        <f aca="false">Sens!$O$6344+Sens!$O$6345+Sens!$O$6346-Sens!$O$6349</f>
        <v>0</v>
      </c>
    </row>
    <row r="6354" customFormat="false" ht="17.15" hidden="false" customHeight="false" outlineLevel="0" collapsed="false">
      <c r="A6354" s="1" t="s">
        <v>672</v>
      </c>
    </row>
    <row r="6355" customFormat="false" ht="17.15" hidden="false" customHeight="false" outlineLevel="0" collapsed="false">
      <c r="A6355" s="0" t="s">
        <v>673</v>
      </c>
      <c r="B6355" s="0" t="s">
        <v>73</v>
      </c>
      <c r="C6355" s="38" t="n">
        <f aca="false">Sens!$C$6262*m_ad</f>
        <v>20.5341564414228</v>
      </c>
      <c r="D6355" s="38" t="n">
        <f aca="false">Sens!$D$6262*m_ad</f>
        <v>24.8720617299587</v>
      </c>
      <c r="E6355" s="38" t="n">
        <f aca="false">Sens!$E$6262*m_ad</f>
        <v>13.5017112462207</v>
      </c>
      <c r="F6355" s="38" t="n">
        <f aca="false">Sens!$F$6262*m_ad</f>
        <v>17.2886442824599</v>
      </c>
      <c r="G6355" s="38" t="n">
        <f aca="false">Sens!$G$6262*m_ad</f>
        <v>30.8011958765886</v>
      </c>
      <c r="H6355" s="38" t="n">
        <f aca="false">Sens!$H$6262*m_ad</f>
        <v>36.978409366026</v>
      </c>
      <c r="I6355" s="38" t="n">
        <f aca="false">Sens!$I$6262*m_ad</f>
        <v>43.155063281273</v>
      </c>
      <c r="J6355" s="38" t="n">
        <f aca="false">Sens!$J$6262*m_ad</f>
        <v>48.9169991988532</v>
      </c>
      <c r="K6355" s="38" t="n">
        <f aca="false">Sens!$K$6262*m_ad</f>
        <v>53.8086991187386</v>
      </c>
      <c r="L6355" s="38" t="n">
        <f aca="false">Sens!$L$6262*m_ad</f>
        <v>59.1895690306124</v>
      </c>
      <c r="M6355" s="38" t="n">
        <f aca="false">Sens!$M$6262*m_ad</f>
        <v>65.1085259336737</v>
      </c>
      <c r="N6355" s="38" t="n">
        <f aca="false">Sens!$N$6262*m_ad</f>
        <v>10.8543555706248</v>
      </c>
      <c r="O6355" s="38" t="n">
        <f aca="false">Sens!$O$6262*m_ad</f>
        <v>14.0094731821399</v>
      </c>
    </row>
    <row r="6356" customFormat="false" ht="17.15" hidden="false" customHeight="false" outlineLevel="0" collapsed="false">
      <c r="A6356" s="0" t="s">
        <v>674</v>
      </c>
      <c r="B6356" s="0" t="s">
        <v>73</v>
      </c>
      <c r="C6356" s="38" t="n">
        <f aca="false">Sens!$C$6260-Sens!$C$6262</f>
        <v>346.428687117154</v>
      </c>
      <c r="D6356" s="38" t="n">
        <f aca="false">Sens!$D$6260-Sens!$D$6262</f>
        <v>376.560876540083</v>
      </c>
      <c r="E6356" s="38" t="n">
        <f aca="false">Sens!$E$6260-Sens!$E$6262</f>
        <v>193.316577507559</v>
      </c>
      <c r="F6356" s="38" t="n">
        <f aca="false">Sens!$F$6260-Sens!$F$6262</f>
        <v>221.726726438887</v>
      </c>
      <c r="G6356" s="38" t="n">
        <f aca="false">Sens!$G$6260-Sens!$G$6262</f>
        <v>415.02162325063</v>
      </c>
      <c r="H6356" s="38" t="n">
        <f aca="false">Sens!$H$6260-Sens!$H$6262</f>
        <v>453.777572359491</v>
      </c>
      <c r="I6356" s="38" t="n">
        <f aca="false">Sens!$I$6260-Sens!$I$6262</f>
        <v>490.847566467031</v>
      </c>
      <c r="J6356" s="38" t="n">
        <f aca="false">Sens!$J$6260-Sens!$J$6262</f>
        <v>525.190925266121</v>
      </c>
      <c r="K6356" s="38" t="n">
        <f aca="false">Sens!$K$6260-Sens!$K$6262</f>
        <v>555.765170156304</v>
      </c>
      <c r="L6356" s="38" t="n">
        <f aca="false">Sens!$L$6260-Sens!$L$6262</f>
        <v>588.185734949207</v>
      </c>
      <c r="M6356" s="38" t="n">
        <f aca="false">Sens!$M$6260-Sens!$M$6262</f>
        <v>622.567635538672</v>
      </c>
      <c r="N6356" s="38" t="n">
        <f aca="false">Sens!$N$6260-Sens!$N$6262</f>
        <v>171.24628885875</v>
      </c>
      <c r="O6356" s="38" t="n">
        <f aca="false">Sens!$O$6260-Sens!$O$6262</f>
        <v>205.33105363572</v>
      </c>
    </row>
    <row r="6357" customFormat="false" ht="17.15" hidden="false" customHeight="false" outlineLevel="0" collapsed="false">
      <c r="A6357" s="0" t="s">
        <v>675</v>
      </c>
      <c r="B6357" s="0" t="s">
        <v>73</v>
      </c>
      <c r="C6357" s="38" t="n">
        <f aca="false">Sens!$C$6308*Sens!$C$6259</f>
        <v>0.123617442257179</v>
      </c>
      <c r="D6357" s="38" t="n">
        <f aca="false">Sens!$D$6308*Sens!$D$6259</f>
        <v>0.874366899302609</v>
      </c>
      <c r="E6357" s="38" t="n">
        <f aca="false">Sens!$E$6308*Sens!$E$6259</f>
        <v>1.29318830502574</v>
      </c>
      <c r="F6357" s="38" t="n">
        <f aca="false">Sens!$F$6308*Sens!$F$6259</f>
        <v>1.51802024162534</v>
      </c>
      <c r="G6357" s="38" t="n">
        <f aca="false">Sens!$G$6308*Sens!$G$6259</f>
        <v>2.81130189308167</v>
      </c>
      <c r="H6357" s="38" t="n">
        <f aca="false">Sens!$H$6308*Sens!$H$6259</f>
        <v>7.38966789318209</v>
      </c>
      <c r="I6357" s="38" t="n">
        <f aca="false">Sens!$I$6308*Sens!$I$6259</f>
        <v>12.8987443661473</v>
      </c>
      <c r="J6357" s="38" t="n">
        <f aca="false">Sens!$J$6308*Sens!$J$6259</f>
        <v>18.5570025453645</v>
      </c>
      <c r="K6357" s="38" t="n">
        <f aca="false">Sens!$K$6308*Sens!$K$6259</f>
        <v>24.3158972773405</v>
      </c>
      <c r="L6357" s="38" t="n">
        <f aca="false">Sens!$L$6308*Sens!$L$6259</f>
        <v>29.7827375558674</v>
      </c>
      <c r="M6357" s="38" t="n">
        <f aca="false">Sens!$M$6308*Sens!$M$6259</f>
        <v>35.3532344973194</v>
      </c>
      <c r="N6357" s="38" t="n">
        <f aca="false">Sens!$N$6308*Sens!$N$6259</f>
        <v>0.389180508437431</v>
      </c>
      <c r="O6357" s="38" t="n">
        <f aca="false">Sens!$O$6308*Sens!$O$6259</f>
        <v>0.485052120082802</v>
      </c>
    </row>
    <row r="6358" customFormat="false" ht="17.15" hidden="false" customHeight="false" outlineLevel="0" collapsed="false">
      <c r="A6358" s="0" t="s">
        <v>676</v>
      </c>
      <c r="B6358" s="0" t="s">
        <v>52</v>
      </c>
      <c r="C6358" s="28" t="n">
        <f aca="false">(Sens!$C$6359-Sens!$C$6355+Sens!$C$6357)/Sens!$C$6356</f>
        <v>0.0131526665379575</v>
      </c>
      <c r="D6358" s="28" t="n">
        <f aca="false">(Sens!$D$6359-Sens!$D$6355+Sens!$D$6357)/Sens!$D$6356</f>
        <v>0.0149280116962589</v>
      </c>
      <c r="E6358" s="28" t="n">
        <f aca="false">(Sens!$E$6359-Sens!$E$6355+Sens!$E$6357)/Sens!$E$6356</f>
        <v>0.0268030663774938</v>
      </c>
      <c r="F6358" s="28" t="n">
        <f aca="false">Sens!$O$6358+(Sens!$E$6358-Sens!$N$6358)</f>
        <v>0.0232379346966962</v>
      </c>
      <c r="G6358" s="28" t="n">
        <f aca="false">(Sens!$G$6359-Sens!$G$6355+Sens!$G$6357)/Sens!$G$6356</f>
        <v>0.0248738876928168</v>
      </c>
      <c r="H6358" s="28" t="n">
        <f aca="false">Sens!$G$6358+step_na</f>
        <v>0.0278738876928168</v>
      </c>
      <c r="I6358" s="28" t="n">
        <f aca="false">Sens!$H$6358+step_na</f>
        <v>0.0308738876928168</v>
      </c>
      <c r="J6358" s="28" t="n">
        <f aca="false">Sens!$I$6358+step_na</f>
        <v>0.0338738876928168</v>
      </c>
      <c r="K6358" s="28" t="n">
        <f aca="false">Sens!$J$6358+step_na</f>
        <v>0.0368738876928168</v>
      </c>
      <c r="L6358" s="28" t="n">
        <f aca="false">Sens!$K$6358</f>
        <v>0.0368738876928168</v>
      </c>
      <c r="M6358" s="28" t="n">
        <f aca="false">Sens!$L$6358</f>
        <v>0.0368738876928168</v>
      </c>
      <c r="N6358" s="28" t="n">
        <f aca="false">(Sens!$N$6359-Sens!$N$6355+Sens!$N$6357)/Sens!$N$6356</f>
        <v>0.0168927744775755</v>
      </c>
      <c r="O6358" s="28" t="n">
        <f aca="false">(Sens!$O$6359-Sens!$O$6355+Sens!$O$6357)/Sens!$O$6356</f>
        <v>0.0133276427967779</v>
      </c>
      <c r="P6358" s="8" t="s">
        <v>677</v>
      </c>
    </row>
    <row r="6359" customFormat="false" ht="17.15" hidden="false" customHeight="false" outlineLevel="0" collapsed="false">
      <c r="A6359" s="1" t="s">
        <v>678</v>
      </c>
      <c r="B6359" s="8" t="s">
        <v>73</v>
      </c>
      <c r="C6359" s="38" t="n">
        <f aca="false">Q!$D$22</f>
        <v>24.967</v>
      </c>
      <c r="D6359" s="38" t="n">
        <f aca="false">Q!$E$22</f>
        <v>29.619</v>
      </c>
      <c r="E6359" s="38" t="n">
        <f aca="false">Q!$P$22</f>
        <v>17.39</v>
      </c>
      <c r="F6359" s="38" t="n">
        <f aca="false">Sens!$F$6355+Sens!$F$6356*Sens!$F$6358-Sens!$F$6357</f>
        <v>20.9230952303336</v>
      </c>
      <c r="G6359" s="38" t="n">
        <f aca="false">Sens!$E$6359+Sens!$F$6359</f>
        <v>38.3130952303336</v>
      </c>
      <c r="H6359" s="38" t="n">
        <f aca="false">Sens!$H$6355+Sens!$H$6356*Sens!$H$6358-Sens!$H$6357</f>
        <v>42.2372865623114</v>
      </c>
      <c r="I6359" s="38" t="n">
        <f aca="false">Sens!$I$6355+Sens!$I$6356*Sens!$I$6358-Sens!$I$6357</f>
        <v>45.4106915565213</v>
      </c>
      <c r="J6359" s="38" t="n">
        <f aca="false">Sens!$J$6355+Sens!$J$6356*Sens!$J$6358-Sens!$J$6357</f>
        <v>48.1502550732398</v>
      </c>
      <c r="K6359" s="38" t="n">
        <f aca="false">Sens!$K$6355+Sens!$K$6356*Sens!$K$6358-Sens!$K$6357</f>
        <v>49.9860243093208</v>
      </c>
      <c r="L6359" s="38" t="n">
        <f aca="false">Sens!$L$6355+Sens!$L$6356*Sens!$L$6358-Sens!$L$6357</f>
        <v>51.095526207779</v>
      </c>
      <c r="M6359" s="38" t="n">
        <f aca="false">Sens!$M$6355+Sens!$M$6356*Sens!$M$6358-Sens!$M$6357</f>
        <v>52.7117805103898</v>
      </c>
      <c r="N6359" s="38" t="n">
        <f aca="false">Q!$N$22</f>
        <v>13.358</v>
      </c>
      <c r="O6359" s="38" t="n">
        <f aca="false">Q!$O$22</f>
        <v>16.261</v>
      </c>
    </row>
    <row r="6360" customFormat="false" ht="17.15" hidden="false" customHeight="false" outlineLevel="0" collapsed="false">
      <c r="A6360" s="0" t="s">
        <v>679</v>
      </c>
      <c r="B6360" s="0" t="s">
        <v>73</v>
      </c>
      <c r="C6360" s="38" t="n">
        <f aca="false">Sens!$C$6263*m_ad</f>
        <v>7.57284355857716</v>
      </c>
      <c r="D6360" s="38" t="n">
        <f aca="false">Sens!$D$6263*m_ad</f>
        <v>9.44543827004127</v>
      </c>
      <c r="E6360" s="38" t="n">
        <f aca="false">Sens!$E$6263*m_ad</f>
        <v>5.02428875377928</v>
      </c>
      <c r="F6360" s="38" t="n">
        <f aca="false">Sens!$F$6263*m_ad</f>
        <v>6.78802480890925</v>
      </c>
      <c r="G6360" s="38" t="n">
        <f aca="false">Sens!$G$6263*m_ad</f>
        <v>11.8014732147805</v>
      </c>
      <c r="H6360" s="38" t="n">
        <f aca="false">Sens!$H$6263*m_ad</f>
        <v>14.1682715634442</v>
      </c>
      <c r="I6360" s="38" t="n">
        <f aca="false">Sens!$I$6263*m_ad</f>
        <v>16.5348555113474</v>
      </c>
      <c r="J6360" s="38" t="n">
        <f aca="false">Sens!$J$6263*m_ad</f>
        <v>18.7425403255689</v>
      </c>
      <c r="K6360" s="38" t="n">
        <f aca="false">Sens!$K$6263*m_ad</f>
        <v>20.6167943581258</v>
      </c>
      <c r="L6360" s="38" t="n">
        <f aca="false">Sens!$L$6263*m_ad</f>
        <v>22.6784737939383</v>
      </c>
      <c r="M6360" s="38" t="n">
        <f aca="false">Sens!$M$6263*m_ad</f>
        <v>24.9463211733322</v>
      </c>
      <c r="N6360" s="38" t="n">
        <f aca="false">Sens!$N$6263*m_ad</f>
        <v>3.95314442937518</v>
      </c>
      <c r="O6360" s="38" t="n">
        <f aca="false">Sens!$O$6263*m_ad</f>
        <v>5.50052681786011</v>
      </c>
    </row>
    <row r="6361" customFormat="false" ht="17.15" hidden="false" customHeight="false" outlineLevel="0" collapsed="false">
      <c r="A6361" s="0" t="s">
        <v>680</v>
      </c>
      <c r="B6361" s="0" t="s">
        <v>73</v>
      </c>
      <c r="C6361" s="38" t="n">
        <f aca="false">Sens!$C$6261-Sens!$C$6263</f>
        <v>127.760312882846</v>
      </c>
      <c r="D6361" s="38" t="n">
        <f aca="false">Sens!$D$6261-Sens!$D$6263</f>
        <v>143.003123459917</v>
      </c>
      <c r="E6361" s="38" t="n">
        <f aca="false">Sens!$E$6261-Sens!$E$6263</f>
        <v>71.9374224924414</v>
      </c>
      <c r="F6361" s="38" t="n">
        <f aca="false">Sens!$F$6261-Sens!$F$6263</f>
        <v>87.0563645868046</v>
      </c>
      <c r="G6361" s="38" t="n">
        <f aca="false">Sens!$G$6261-Sens!$G$6263</f>
        <v>159.015467775062</v>
      </c>
      <c r="H6361" s="38" t="n">
        <f aca="false">Sens!$H$6261-Sens!$H$6263</f>
        <v>173.864803403269</v>
      </c>
      <c r="I6361" s="38" t="n">
        <f aca="false">Sens!$I$6261-Sens!$I$6263</f>
        <v>188.068165645601</v>
      </c>
      <c r="J6361" s="38" t="n">
        <f aca="false">Sens!$J$6261-Sens!$J$6263</f>
        <v>201.22681801082</v>
      </c>
      <c r="K6361" s="38" t="n">
        <f aca="false">Sens!$K$6261-Sens!$K$6263</f>
        <v>212.941334991893</v>
      </c>
      <c r="L6361" s="38" t="n">
        <f aca="false">Sens!$L$6261-Sens!$L$6263</f>
        <v>225.363269144856</v>
      </c>
      <c r="M6361" s="38" t="n">
        <f aca="false">Sens!$M$6261-Sens!$M$6263</f>
        <v>238.536688790819</v>
      </c>
      <c r="N6361" s="38" t="n">
        <f aca="false">Sens!$N$6261-Sens!$N$6263</f>
        <v>62.3677111412496</v>
      </c>
      <c r="O6361" s="38" t="n">
        <f aca="false">Sens!$O$6261-Sens!$O$6263</f>
        <v>80.6189463642798</v>
      </c>
    </row>
    <row r="6362" customFormat="false" ht="17.15" hidden="false" customHeight="false" outlineLevel="0" collapsed="false">
      <c r="A6362" s="0" t="s">
        <v>681</v>
      </c>
      <c r="B6362" s="0" t="s">
        <v>73</v>
      </c>
      <c r="C6362" s="38" t="n">
        <f aca="false">Sens!$C$6308*(1-Sens!$C$6259)</f>
        <v>0.0455891896019953</v>
      </c>
      <c r="D6362" s="38" t="n">
        <f aca="false">Sens!$D$6308*(1-Sens!$D$6259)</f>
        <v>0.332050421167231</v>
      </c>
      <c r="E6362" s="38" t="n">
        <f aca="false">Sens!$E$6308*(1-Sens!$E$6259)</f>
        <v>0.481224293644882</v>
      </c>
      <c r="F6362" s="38" t="n">
        <f aca="false">Sens!$F$6308*(1-Sens!$F$6259)</f>
        <v>0.596018918096053</v>
      </c>
      <c r="G6362" s="38" t="n">
        <f aca="false">Sens!$G$6308*(1-Sens!$G$6259)</f>
        <v>1.07714986531035</v>
      </c>
      <c r="H6362" s="38" t="n">
        <f aca="false">Sens!$H$6308*(1-Sens!$H$6259)</f>
        <v>2.83135005721638</v>
      </c>
      <c r="I6362" s="38" t="n">
        <f aca="false">Sens!$I$6308*(1-Sens!$I$6259)</f>
        <v>4.9421518161602</v>
      </c>
      <c r="J6362" s="38" t="n">
        <f aca="false">Sens!$J$6308*(1-Sens!$J$6259)</f>
        <v>7.11011252170866</v>
      </c>
      <c r="K6362" s="38" t="n">
        <f aca="false">Sens!$K$6308*(1-Sens!$K$6259)</f>
        <v>9.31663210615807</v>
      </c>
      <c r="L6362" s="38" t="n">
        <f aca="false">Sens!$L$6308*(1-Sens!$L$6259)</f>
        <v>11.411251074039</v>
      </c>
      <c r="M6362" s="38" t="n">
        <f aca="false">Sens!$M$6308*(1-Sens!$M$6259)</f>
        <v>13.5455860755423</v>
      </c>
      <c r="N6362" s="38" t="n">
        <f aca="false">Sens!$N$6308*(1-Sens!$N$6259)</f>
        <v>0.141739115596548</v>
      </c>
      <c r="O6362" s="38" t="n">
        <f aca="false">Sens!$O$6308*(1-Sens!$O$6259)</f>
        <v>0.190445576353059</v>
      </c>
    </row>
    <row r="6363" customFormat="false" ht="17.15" hidden="false" customHeight="false" outlineLevel="0" collapsed="false">
      <c r="A6363" s="0" t="s">
        <v>682</v>
      </c>
      <c r="B6363" s="0" t="s">
        <v>52</v>
      </c>
      <c r="C6363" s="28" t="n">
        <f aca="false">(Sens!$C$6364-Sens!$C$6360+Sens!$C$6362)/Sens!$C$6361</f>
        <v>-0.0292364215826579</v>
      </c>
      <c r="D6363" s="28" t="n">
        <f aca="false">(Sens!$D$6364-Sens!$D$6360+Sens!$D$6362)/Sens!$D$6361</f>
        <v>-0.0305125352740778</v>
      </c>
      <c r="E6363" s="28" t="n">
        <f aca="false">(Sens!$E$6364-Sens!$E$6360+Sens!$E$6362)/Sens!$E$6361</f>
        <v>-0.019490056934994</v>
      </c>
      <c r="F6363" s="28" t="n">
        <f aca="false">Sens!$O$6363+(Sens!$E$6363-Sens!$N$6363)</f>
        <v>-0.0367332293992226</v>
      </c>
      <c r="G6363" s="28" t="n">
        <f aca="false">(Sens!$G$6364-Sens!$G$6360+Sens!$G$6362)/Sens!$G$6361</f>
        <v>-0.0288599526442178</v>
      </c>
      <c r="H6363" s="28" t="n">
        <f aca="false">Sens!$G$6363+step_in</f>
        <v>-0.0288599526442178</v>
      </c>
      <c r="I6363" s="28" t="n">
        <f aca="false">Sens!$H$6363+step_in</f>
        <v>-0.0288599526442178</v>
      </c>
      <c r="J6363" s="28" t="n">
        <f aca="false">Sens!$I$6363+step_in</f>
        <v>-0.0288599526442178</v>
      </c>
      <c r="K6363" s="28" t="n">
        <f aca="false">Sens!$J$6363+step_in</f>
        <v>-0.0288599526442178</v>
      </c>
      <c r="L6363" s="28" t="n">
        <f aca="false">Sens!$K$6363</f>
        <v>-0.0288599526442178</v>
      </c>
      <c r="M6363" s="28" t="n">
        <f aca="false">Sens!$L$6363</f>
        <v>-0.0288599526442178</v>
      </c>
      <c r="N6363" s="28" t="n">
        <f aca="false">(Sens!$N$6364-Sens!$N$6360+Sens!$N$6362)/Sens!$N$6361</f>
        <v>-0.02085061789158</v>
      </c>
      <c r="O6363" s="28" t="n">
        <f aca="false">(Sens!$O$6364-Sens!$O$6360+Sens!$O$6362)/Sens!$O$6361</f>
        <v>-0.0380937903558086</v>
      </c>
      <c r="P6363" s="8" t="s">
        <v>677</v>
      </c>
    </row>
    <row r="6364" customFormat="false" ht="17.15" hidden="false" customHeight="false" outlineLevel="0" collapsed="false">
      <c r="A6364" s="1" t="s">
        <v>683</v>
      </c>
      <c r="B6364" s="8" t="s">
        <v>73</v>
      </c>
      <c r="C6364" s="38" t="n">
        <f aca="false">Q!$D$23</f>
        <v>3.792</v>
      </c>
      <c r="D6364" s="38" t="n">
        <f aca="false">Q!$E$23</f>
        <v>4.75</v>
      </c>
      <c r="E6364" s="38" t="n">
        <f aca="false">Q!$P$23</f>
        <v>3.141</v>
      </c>
      <c r="F6364" s="38" t="n">
        <f aca="false">Sens!$F$6360+Sens!$F$6361*Sens!$F$6363-Sens!$F$6362</f>
        <v>2.99414447978375</v>
      </c>
      <c r="G6364" s="38" t="n">
        <f aca="false">Sens!$E$6364+Sens!$F$6364</f>
        <v>6.13514447978375</v>
      </c>
      <c r="H6364" s="38" t="n">
        <f aca="false">Sens!$H$6360+Sens!$H$6361*Sens!$H$6363-Sens!$H$6362</f>
        <v>6.31919151351322</v>
      </c>
      <c r="I6364" s="38" t="n">
        <f aca="false">Sens!$I$6360+Sens!$I$6361*Sens!$I$6363-Sens!$I$6362</f>
        <v>6.16506534077027</v>
      </c>
      <c r="J6364" s="38" t="n">
        <f aca="false">Sens!$J$6360+Sens!$J$6361*Sens!$J$6363-Sens!$J$6362</f>
        <v>5.8250313653213</v>
      </c>
      <c r="K6364" s="38" t="n">
        <f aca="false">Sens!$K$6360+Sens!$K$6361*Sens!$K$6363-Sens!$K$6362</f>
        <v>5.15468540810514</v>
      </c>
      <c r="L6364" s="38" t="n">
        <f aca="false">Sens!$L$6360+Sens!$L$6361*Sens!$L$6363-Sens!$L$6362</f>
        <v>4.76324944463266</v>
      </c>
      <c r="M6364" s="38" t="n">
        <f aca="false">Sens!$M$6360+Sens!$M$6361*Sens!$M$6363-Sens!$M$6362</f>
        <v>4.51657755537829</v>
      </c>
      <c r="N6364" s="38" t="n">
        <f aca="false">Q!$N$23</f>
        <v>2.511</v>
      </c>
      <c r="O6364" s="38" t="n">
        <f aca="false">Q!$O$23</f>
        <v>2.239</v>
      </c>
    </row>
    <row r="6365" customFormat="false" ht="17.15" hidden="false" customHeight="false" outlineLevel="0" collapsed="false">
      <c r="A6365" s="0" t="s">
        <v>684</v>
      </c>
      <c r="B6365" s="0" t="s">
        <v>73</v>
      </c>
      <c r="C6365" s="38" t="n">
        <f aca="false">Sens!$C$6305</f>
        <v>1.64417882953695</v>
      </c>
      <c r="D6365" s="38" t="n">
        <f aca="false">Sens!$D$6305</f>
        <v>3.8781008067718</v>
      </c>
      <c r="E6365" s="38" t="n">
        <f aca="false">Sens!$E$6305</f>
        <v>1.41270258088753</v>
      </c>
      <c r="F6365" s="38" t="n">
        <f aca="false">Sens!$F$6305</f>
        <v>6.50727700583486</v>
      </c>
      <c r="G6365" s="38" t="n">
        <f aca="false">Sens!$G$6305</f>
        <v>7.9199795867224</v>
      </c>
      <c r="H6365" s="38" t="n">
        <f aca="false">Sens!$H$6305</f>
        <v>19.2818189481807</v>
      </c>
      <c r="I6365" s="38" t="n">
        <f aca="false">Sens!$I$6305</f>
        <v>30.140114407202</v>
      </c>
      <c r="J6365" s="38" t="n">
        <f aca="false">Sens!$J$6305</f>
        <v>40.3569468829854</v>
      </c>
      <c r="K6365" s="38" t="n">
        <f aca="false">Sens!$K$6305</f>
        <v>50.0782975081929</v>
      </c>
      <c r="L6365" s="38" t="n">
        <f aca="false">Sens!$L$6305</f>
        <v>61.443331993499</v>
      </c>
      <c r="M6365" s="38" t="n">
        <f aca="false">Sens!$M$6305</f>
        <v>72.2498791587849</v>
      </c>
      <c r="N6365" s="38" t="n">
        <f aca="false">Sens!$N$6305</f>
        <v>0.92264103489199</v>
      </c>
      <c r="O6365" s="38" t="n">
        <f aca="false">Sens!$O$6305</f>
        <v>2.95545977187981</v>
      </c>
    </row>
    <row r="6366" customFormat="false" ht="17.15" hidden="false" customHeight="false" outlineLevel="0" collapsed="false">
      <c r="A6366" s="0" t="s">
        <v>604</v>
      </c>
      <c r="B6366" s="0" t="s">
        <v>73</v>
      </c>
      <c r="C6366" s="38" t="n">
        <f aca="false">Sens!$C$6310</f>
        <v>38.1898211704631</v>
      </c>
      <c r="D6366" s="38" t="n">
        <f aca="false">Sens!$D$6310</f>
        <v>41.7278991932282</v>
      </c>
      <c r="E6366" s="38" t="n">
        <f aca="false">Sens!$E$6310</f>
        <v>29.3692974191125</v>
      </c>
      <c r="F6366" s="38" t="n">
        <f aca="false">Sens!$F$6310</f>
        <v>29.458060516894</v>
      </c>
      <c r="G6366" s="38" t="n">
        <f aca="false">Sens!$G$6310</f>
        <v>58.8273579360065</v>
      </c>
      <c r="H6366" s="38" t="n">
        <f aca="false">Sens!$H$6310</f>
        <v>67.8004040185081</v>
      </c>
      <c r="I6366" s="38" t="n">
        <f aca="false">Sens!$I$6310</f>
        <v>78.9527630302702</v>
      </c>
      <c r="J6366" s="38" t="n">
        <f aca="false">Sens!$J$6310</f>
        <v>88.6042681781841</v>
      </c>
      <c r="K6366" s="38" t="n">
        <f aca="false">Sens!$K$6310</f>
        <v>95.6926096324389</v>
      </c>
      <c r="L6366" s="38" t="n">
        <f aca="false">Sens!$L$6310</f>
        <v>103.348018403034</v>
      </c>
      <c r="M6366" s="38" t="n">
        <f aca="false">Sens!$M$6310</f>
        <v>111.615859875277</v>
      </c>
      <c r="N6366" s="38" t="n">
        <f aca="false">Sens!$N$6310</f>
        <v>20.784358965108</v>
      </c>
      <c r="O6366" s="38" t="n">
        <f aca="false">Sens!$O$6310</f>
        <v>20.9435402281202</v>
      </c>
    </row>
    <row r="6367" customFormat="false" ht="17.15" hidden="false" customHeight="false" outlineLevel="0" collapsed="false">
      <c r="A6367" s="1" t="s">
        <v>685</v>
      </c>
      <c r="B6367" s="8" t="s">
        <v>73</v>
      </c>
      <c r="C6367" s="38" t="n">
        <f aca="false">Q!$D$24</f>
        <v>39.834</v>
      </c>
      <c r="D6367" s="38" t="n">
        <f aca="false">Q!$E$24</f>
        <v>45.606</v>
      </c>
      <c r="E6367" s="38" t="n">
        <f aca="false">Q!$P$24</f>
        <v>30.782</v>
      </c>
      <c r="F6367" s="38" t="n">
        <f aca="false">Sens!$F$6365+Sens!$F$6366</f>
        <v>35.9653375227289</v>
      </c>
      <c r="G6367" s="38" t="n">
        <f aca="false">Sens!$G$6365+Sens!$G$6366</f>
        <v>66.7473375227289</v>
      </c>
      <c r="H6367" s="38" t="n">
        <f aca="false">Sens!$H$6365+Sens!$H$6366</f>
        <v>87.0822229666888</v>
      </c>
      <c r="I6367" s="38" t="n">
        <f aca="false">Sens!$I$6365+Sens!$I$6366</f>
        <v>109.092877437472</v>
      </c>
      <c r="J6367" s="38" t="n">
        <f aca="false">Sens!$J$6365+Sens!$J$6366</f>
        <v>128.96121506117</v>
      </c>
      <c r="K6367" s="38" t="n">
        <f aca="false">Sens!$K$6365+Sens!$K$6366</f>
        <v>145.770907140632</v>
      </c>
      <c r="L6367" s="38" t="n">
        <f aca="false">Sens!$L$6365+Sens!$L$6366</f>
        <v>164.791350396533</v>
      </c>
      <c r="M6367" s="38" t="n">
        <f aca="false">Sens!$M$6365+Sens!$M$6366</f>
        <v>183.865739034062</v>
      </c>
      <c r="N6367" s="38" t="n">
        <f aca="false">Q!$N$24</f>
        <v>21.707</v>
      </c>
      <c r="O6367" s="38" t="n">
        <f aca="false">Q!$O$24</f>
        <v>23.899</v>
      </c>
    </row>
    <row r="6368" customFormat="false" ht="17.15" hidden="false" customHeight="false" outlineLevel="0" collapsed="false">
      <c r="A6368" s="5" t="s">
        <v>686</v>
      </c>
      <c r="B6368" s="0" t="s">
        <v>73</v>
      </c>
      <c r="C6368" s="38" t="n">
        <f aca="false">Q!$D$26</f>
        <v>0</v>
      </c>
      <c r="D6368" s="38" t="n">
        <f aca="false">Q!$E$26</f>
        <v>0</v>
      </c>
      <c r="E6368" s="38" t="n">
        <f aca="false">Q!$P$26</f>
        <v>0</v>
      </c>
      <c r="F6368" s="41" t="n">
        <v>0</v>
      </c>
      <c r="G6368" s="38" t="n">
        <f aca="false">Sens!$E$6368+Sens!$F$6368</f>
        <v>0</v>
      </c>
      <c r="H6368" s="41" t="n">
        <v>0</v>
      </c>
      <c r="I6368" s="41" t="n">
        <v>0</v>
      </c>
      <c r="J6368" s="41" t="n">
        <v>0</v>
      </c>
      <c r="K6368" s="41" t="n">
        <v>0</v>
      </c>
      <c r="L6368" s="41" t="n">
        <v>0</v>
      </c>
      <c r="M6368" s="41" t="n">
        <v>0</v>
      </c>
      <c r="N6368" s="38" t="n">
        <f aca="false">Q!$N$26</f>
        <v>0</v>
      </c>
      <c r="O6368" s="38" t="n">
        <f aca="false">Q!$O$26</f>
        <v>0</v>
      </c>
    </row>
    <row r="6369" customFormat="false" ht="15" hidden="false" customHeight="false" outlineLevel="0" collapsed="false">
      <c r="A6369" s="3" t="s">
        <v>494</v>
      </c>
      <c r="B6369" s="8" t="s">
        <v>73</v>
      </c>
      <c r="C6369" s="38" t="n">
        <f aca="false">Q!$D$25</f>
        <v>68.593</v>
      </c>
      <c r="D6369" s="38" t="n">
        <f aca="false">Q!$E$25</f>
        <v>79.975</v>
      </c>
      <c r="E6369" s="38" t="n">
        <f aca="false">Q!$P$25</f>
        <v>51.313</v>
      </c>
      <c r="F6369" s="38" t="n">
        <f aca="false">Sens!$F$6359+Sens!$F$6364+Sens!$F$6367+Sens!$F$6368</f>
        <v>59.8825772328462</v>
      </c>
      <c r="G6369" s="38" t="n">
        <f aca="false">Sens!$G$6359+Sens!$G$6364+Sens!$G$6367+Sens!$G$6368</f>
        <v>111.195577232846</v>
      </c>
      <c r="H6369" s="38" t="n">
        <f aca="false">Sens!$H$6359+Sens!$H$6364+Sens!$H$6367+Sens!$H$6368</f>
        <v>135.638701042513</v>
      </c>
      <c r="I6369" s="38" t="n">
        <f aca="false">Sens!$I$6359+Sens!$I$6364+Sens!$I$6367+Sens!$I$6368</f>
        <v>160.668634334764</v>
      </c>
      <c r="J6369" s="38" t="n">
        <f aca="false">Sens!$J$6359+Sens!$J$6364+Sens!$J$6367+Sens!$J$6368</f>
        <v>182.936501499731</v>
      </c>
      <c r="K6369" s="38" t="n">
        <f aca="false">Sens!$K$6359+Sens!$K$6364+Sens!$K$6367+Sens!$K$6368</f>
        <v>200.911616858058</v>
      </c>
      <c r="L6369" s="38" t="n">
        <f aca="false">Sens!$L$6359+Sens!$L$6364+Sens!$L$6367+Sens!$L$6368</f>
        <v>220.650126048945</v>
      </c>
      <c r="M6369" s="38" t="n">
        <f aca="false">Sens!$M$6359+Sens!$M$6364+Sens!$M$6367+Sens!$M$6368</f>
        <v>241.09409709983</v>
      </c>
      <c r="N6369" s="38" t="n">
        <f aca="false">Q!$N$25</f>
        <v>37.576</v>
      </c>
      <c r="O6369" s="38" t="n">
        <f aca="false">Q!$O$25</f>
        <v>42.399</v>
      </c>
    </row>
    <row r="6370" customFormat="false" ht="17.15" hidden="false" customHeight="false" outlineLevel="0" collapsed="false">
      <c r="A6370" s="24" t="s">
        <v>712</v>
      </c>
      <c r="B6370" s="25" t="s">
        <v>73</v>
      </c>
      <c r="C6370" s="39" t="n">
        <f aca="false">Sens!$C$6359+Sens!$C$6364+Sens!$C$6367+Sens!$C$6368-Sens!$C$6369</f>
        <v>0</v>
      </c>
      <c r="D6370" s="39" t="n">
        <f aca="false">Sens!$D$6359+Sens!$D$6364+Sens!$D$6367+Sens!$D$6368-Sens!$D$6369</f>
        <v>0</v>
      </c>
      <c r="E6370" s="39" t="n">
        <f aca="false">Sens!$E$6359+Sens!$E$6364+Sens!$E$6367+Sens!$E$6368-Sens!$E$6369</f>
        <v>0</v>
      </c>
      <c r="F6370" s="39" t="n">
        <f aca="false">Sens!$F$6359+Sens!$F$6364+Sens!$F$6367+Sens!$F$6368-Sens!$F$6369</f>
        <v>0</v>
      </c>
      <c r="G6370" s="39" t="n">
        <f aca="false">Sens!$G$6359+Sens!$G$6364+Sens!$G$6367+Sens!$G$6368-Sens!$G$6369</f>
        <v>0</v>
      </c>
      <c r="H6370" s="39" t="n">
        <f aca="false">Sens!$H$6359+Sens!$H$6364+Sens!$H$6367+Sens!$H$6368-Sens!$H$6369</f>
        <v>0</v>
      </c>
      <c r="I6370" s="39" t="n">
        <f aca="false">Sens!$I$6359+Sens!$I$6364+Sens!$I$6367+Sens!$I$6368-Sens!$I$6369</f>
        <v>0</v>
      </c>
      <c r="J6370" s="39" t="n">
        <f aca="false">Sens!$J$6359+Sens!$J$6364+Sens!$J$6367+Sens!$J$6368-Sens!$J$6369</f>
        <v>0</v>
      </c>
      <c r="K6370" s="39" t="n">
        <f aca="false">Sens!$K$6359+Sens!$K$6364+Sens!$K$6367+Sens!$K$6368-Sens!$K$6369</f>
        <v>0</v>
      </c>
      <c r="L6370" s="39" t="n">
        <f aca="false">Sens!$L$6359+Sens!$L$6364+Sens!$L$6367+Sens!$L$6368-Sens!$L$6369</f>
        <v>0</v>
      </c>
      <c r="M6370" s="39" t="n">
        <f aca="false">Sens!$M$6359+Sens!$M$6364+Sens!$M$6367+Sens!$M$6368-Sens!$M$6369</f>
        <v>0</v>
      </c>
      <c r="N6370" s="39" t="n">
        <f aca="false">Sens!$N$6359+Sens!$N$6364+Sens!$N$6367+Sens!$N$6368-Sens!$N$6369</f>
        <v>0</v>
      </c>
      <c r="O6370" s="39" t="n">
        <f aca="false">Sens!$O$6359+Sens!$O$6364+Sens!$O$6367+Sens!$O$6368-Sens!$O$6369</f>
        <v>0</v>
      </c>
    </row>
    <row r="6371" customFormat="false" ht="17.15" hidden="false" customHeight="false" outlineLevel="0" collapsed="false">
      <c r="A6371" s="0" t="s">
        <v>688</v>
      </c>
      <c r="B6371" s="0" t="s">
        <v>52</v>
      </c>
      <c r="C6371" s="12" t="n">
        <f aca="false">Sens!$C$6359/Sens!$C$6344</f>
        <v>0.0644314665661928</v>
      </c>
      <c r="D6371" s="12" t="n">
        <f aca="false">Sens!$D$6359/Sens!$D$6344</f>
        <v>0.0694784250712518</v>
      </c>
      <c r="E6371" s="12" t="n">
        <f aca="false">Sens!$E$6359/Sens!$E$6344</f>
        <v>0.0789306463326071</v>
      </c>
      <c r="F6371" s="12" t="n">
        <f aca="false">Sens!$F$6359/Sens!$F$6344</f>
        <v>0.0816338957078875</v>
      </c>
      <c r="G6371" s="12" t="n">
        <f aca="false">Sens!$G$6359/Sens!$G$6344</f>
        <v>0.080384315570057</v>
      </c>
      <c r="H6371" s="12" t="n">
        <f aca="false">Sens!$H$6359/Sens!$H$6344</f>
        <v>0.080035122355679</v>
      </c>
      <c r="I6371" s="12" t="n">
        <f aca="false">Sens!$I$6359/Sens!$I$6344</f>
        <v>0.0786798687862144</v>
      </c>
      <c r="J6371" s="12" t="n">
        <f aca="false">Sens!$J$6359/Sens!$J$6344</f>
        <v>0.0772846370095153</v>
      </c>
      <c r="K6371" s="12" t="n">
        <f aca="false">Sens!$K$6359/Sens!$K$6344</f>
        <v>0.0753502227686655</v>
      </c>
      <c r="L6371" s="12" t="n">
        <f aca="false">Sens!$L$6359/Sens!$L$6344</f>
        <v>0.0723154067793922</v>
      </c>
      <c r="M6371" s="12" t="n">
        <f aca="false">Sens!$M$6359/Sens!$M$6344</f>
        <v>0.070022386735876</v>
      </c>
      <c r="N6371" s="12" t="n">
        <f aca="false">Sens!$N$6359/Sens!$N$6344</f>
        <v>0.069228576611127</v>
      </c>
      <c r="O6371" s="12" t="n">
        <f aca="false">Sens!$O$6359/Sens!$O$6344</f>
        <v>0.069685022498393</v>
      </c>
    </row>
    <row r="6372" customFormat="false" ht="17.15" hidden="false" customHeight="false" outlineLevel="0" collapsed="false">
      <c r="A6372" s="0" t="s">
        <v>689</v>
      </c>
      <c r="B6372" s="0" t="s">
        <v>52</v>
      </c>
      <c r="C6372" s="12" t="n">
        <f aca="false">Sens!$C$6364/Sens!$C$6345</f>
        <v>0.026534925055631</v>
      </c>
      <c r="D6372" s="12" t="n">
        <f aca="false">Sens!$D$6364/Sens!$D$6345</f>
        <v>0.0293401855535103</v>
      </c>
      <c r="E6372" s="12" t="n">
        <f aca="false">Sens!$E$6364/Sens!$E$6345</f>
        <v>0.03831141902276</v>
      </c>
      <c r="F6372" s="12" t="n">
        <f aca="false">Sens!$F$6364/Sens!$F$6345</f>
        <v>0.0297532808235678</v>
      </c>
      <c r="G6372" s="12" t="n">
        <f aca="false">Sens!$G$6364/Sens!$G$6345</f>
        <v>0.0335954317997163</v>
      </c>
      <c r="H6372" s="12" t="n">
        <f aca="false">Sens!$H$6364/Sens!$H$6345</f>
        <v>0.0312519754292078</v>
      </c>
      <c r="I6372" s="12" t="n">
        <f aca="false">Sens!$I$6364/Sens!$I$6345</f>
        <v>0.0278788303191397</v>
      </c>
      <c r="J6372" s="12" t="n">
        <f aca="false">Sens!$J$6364/Sens!$J$6345</f>
        <v>0.0244019313573061</v>
      </c>
      <c r="K6372" s="12" t="n">
        <f aca="false">Sens!$K$6364/Sens!$K$6345</f>
        <v>0.020280070641524</v>
      </c>
      <c r="L6372" s="12" t="n">
        <f aca="false">Sens!$L$6364/Sens!$L$6345</f>
        <v>0.0175947312030086</v>
      </c>
      <c r="M6372" s="12" t="n">
        <f aca="false">Sens!$M$6364/Sens!$M$6345</f>
        <v>0.0156592172424565</v>
      </c>
      <c r="N6372" s="12" t="n">
        <f aca="false">Sens!$N$6364/Sens!$N$6345</f>
        <v>0.0357315650169337</v>
      </c>
      <c r="O6372" s="12" t="n">
        <f aca="false">Sens!$O$6364/Sens!$O$6345</f>
        <v>0.0244378956559703</v>
      </c>
    </row>
    <row r="6373" customFormat="false" ht="17.15" hidden="false" customHeight="false" outlineLevel="0" collapsed="false">
      <c r="A6373" s="13" t="s">
        <v>690</v>
      </c>
      <c r="B6373" s="13" t="s">
        <v>52</v>
      </c>
      <c r="C6373" s="16" t="n">
        <f aca="false">Sens!$C$6367/Sens!$C$6346</f>
        <v>0.370355907620217</v>
      </c>
      <c r="D6373" s="16" t="n">
        <f aca="false">Sens!$D$6367/Sens!$D$6346</f>
        <v>0.35429015342785</v>
      </c>
      <c r="E6373" s="16" t="n">
        <f aca="false">Sens!$E$6367/Sens!$E$6346</f>
        <v>0.385647527531039</v>
      </c>
      <c r="F6373" s="16" t="n">
        <f aca="false">Sens!$F$6367/Sens!$F$6346</f>
        <v>0.384415729470259</v>
      </c>
      <c r="G6373" s="16" t="n">
        <f aca="false">Sens!$G$6367/Sens!$G$6346</f>
        <v>0.38498282105443</v>
      </c>
      <c r="H6373" s="16" t="n">
        <f aca="false">Sens!$H$6367/Sens!$H$6346</f>
        <v>0.361247909668527</v>
      </c>
      <c r="I6373" s="16" t="n">
        <f aca="false">Sens!$I$6367/Sens!$I$6346</f>
        <v>0.349486287974975</v>
      </c>
      <c r="J6373" s="16" t="n">
        <f aca="false">Sens!$J$6367/Sens!$J$6346</f>
        <v>0.339886531832068</v>
      </c>
      <c r="K6373" s="16" t="n">
        <f aca="false">Sens!$K$6367/Sens!$K$6346</f>
        <v>0.33135833762061</v>
      </c>
      <c r="L6373" s="16" t="n">
        <f aca="false">Sens!$L$6367/Sens!$L$6346</f>
        <v>0.328299068185284</v>
      </c>
      <c r="M6373" s="16" t="n">
        <f aca="false">Sens!$M$6367/Sens!$M$6346</f>
        <v>0.325058049465166</v>
      </c>
      <c r="N6373" s="16" t="n">
        <f aca="false">Sens!$N$6367/Sens!$N$6346</f>
        <v>0.360941137346192</v>
      </c>
      <c r="O6373" s="16" t="n">
        <f aca="false">Sens!$O$6367/Sens!$O$6346</f>
        <v>0.348458117664212</v>
      </c>
    </row>
    <row r="6374" customFormat="false" ht="17.15" hidden="false" customHeight="false" outlineLevel="0" collapsed="false">
      <c r="A6374" s="0" t="s">
        <v>691</v>
      </c>
      <c r="B6374" s="0" t="s">
        <v>52</v>
      </c>
      <c r="C6374" s="12" t="n">
        <f aca="false">Sens!$C$6365/Sens!$C$6347</f>
        <v>0.708390794789371</v>
      </c>
      <c r="D6374" s="12" t="n">
        <f aca="false">Sens!$D$6365/Sens!$D$6347</f>
        <v>0.445565630441968</v>
      </c>
      <c r="E6374" s="12" t="n">
        <f aca="false">Sens!$E$6365/Sens!$E$6347</f>
        <v>0.165998118402711</v>
      </c>
      <c r="F6374" s="12" t="n">
        <f aca="false">Sens!$F$6365/Sens!$F$6347</f>
        <v>0.434878595403858</v>
      </c>
      <c r="G6374" s="12" t="n">
        <f aca="false">Sens!$G$6365/Sens!$G$6347</f>
        <v>0.3373967615381</v>
      </c>
      <c r="H6374" s="12" t="n">
        <f aca="false">Sens!$H$6365/Sens!$H$6347</f>
        <v>0.320477578041224</v>
      </c>
      <c r="I6374" s="12" t="n">
        <f aca="false">Sens!$I$6365/Sens!$I$6347</f>
        <v>0.296936118226494</v>
      </c>
      <c r="J6374" s="12" t="n">
        <f aca="false">Sens!$J$6365/Sens!$J$6347</f>
        <v>0.282166278613001</v>
      </c>
      <c r="K6374" s="12" t="n">
        <f aca="false">Sens!$K$6365/Sens!$K$6347</f>
        <v>0.271267685694333</v>
      </c>
      <c r="L6374" s="12" t="n">
        <f aca="false">Sens!$L$6365/Sens!$L$6347</f>
        <v>0.27160960915653</v>
      </c>
      <c r="M6374" s="12" t="n">
        <f aca="false">Sens!$M$6365/Sens!$M$6347</f>
        <v>0.26974494804234</v>
      </c>
      <c r="N6374" s="12" t="n">
        <f aca="false">Sens!$N$6365/Sens!$N$6347</f>
        <v>0.302870734830849</v>
      </c>
      <c r="O6374" s="12" t="n">
        <f aca="false">Sens!$O$6365/Sens!$O$6347</f>
        <v>0.52240134346334</v>
      </c>
    </row>
    <row r="6375" customFormat="false" ht="15" hidden="false" customHeight="false" outlineLevel="0" collapsed="false">
      <c r="A6375" s="5" t="s">
        <v>692</v>
      </c>
      <c r="B6375" s="0" t="s">
        <v>52</v>
      </c>
      <c r="C6375" s="12" t="n">
        <f aca="false">Sens!$C$6369/Sens!$C$6349</f>
        <v>0.107519448742004</v>
      </c>
      <c r="D6375" s="12" t="n">
        <f aca="false">Sens!$D$6369/Sens!$D$6349</f>
        <v>0.111552967957552</v>
      </c>
      <c r="E6375" s="12" t="n">
        <f aca="false">Sens!$E$6369/Sens!$E$6349</f>
        <v>0.13428328426562</v>
      </c>
      <c r="F6375" s="12" t="n">
        <f aca="false">Sens!$F$6369/Sens!$F$6349</f>
        <v>0.132926212451512</v>
      </c>
      <c r="G6375" s="12" t="n">
        <f aca="false">Sens!$G$6369/Sens!$G$6349</f>
        <v>0.133549030959228</v>
      </c>
      <c r="H6375" s="12" t="n">
        <f aca="false">Sens!$H$6369/Sens!$H$6349</f>
        <v>0.139690394514416</v>
      </c>
      <c r="I6375" s="12" t="n">
        <f aca="false">Sens!$I$6369/Sens!$I$6349</f>
        <v>0.144688164284573</v>
      </c>
      <c r="J6375" s="12" t="n">
        <f aca="false">Sens!$J$6369/Sens!$J$6349</f>
        <v>0.147391419021054</v>
      </c>
      <c r="K6375" s="12" t="n">
        <f aca="false">Sens!$K$6369/Sens!$K$6349</f>
        <v>0.148003728177944</v>
      </c>
      <c r="L6375" s="12" t="n">
        <f aca="false">Sens!$L$6369/Sens!$L$6349</f>
        <v>0.149164514525979</v>
      </c>
      <c r="M6375" s="12" t="n">
        <f aca="false">Sens!$M$6369/Sens!$M$6349</f>
        <v>0.150041098108262</v>
      </c>
      <c r="N6375" s="12" t="n">
        <f aca="false">Sens!$N$6369/Sens!$N$6349</f>
        <v>0.116201614873411</v>
      </c>
      <c r="O6375" s="12" t="n">
        <f aca="false">Sens!$O$6369/Sens!$O$6349</f>
        <v>0.107733353660861</v>
      </c>
    </row>
    <row r="6376" customFormat="false" ht="17.15" hidden="false" customHeight="false" outlineLevel="0" collapsed="false">
      <c r="A6376" s="1" t="s">
        <v>693</v>
      </c>
    </row>
    <row r="6377" customFormat="false" ht="17.15" hidden="false" customHeight="false" outlineLevel="0" collapsed="false">
      <c r="A6377" s="5" t="s">
        <v>694</v>
      </c>
      <c r="B6377" s="0" t="s">
        <v>52</v>
      </c>
      <c r="D6377" s="28" t="n">
        <f aca="false">(Q!$E$29+Q!$E$30-(1-ext_sh)*Sens!$D$6301)/Sens!$D$6258</f>
        <v>0.0334674312393194</v>
      </c>
    </row>
    <row r="6378" customFormat="false" ht="17.15" hidden="false" customHeight="false" outlineLevel="0" collapsed="false">
      <c r="A6378" s="0" t="s">
        <v>498</v>
      </c>
      <c r="B6378" s="0" t="s">
        <v>73</v>
      </c>
      <c r="C6378" s="38" t="n">
        <f aca="false">Q!$D$29</f>
        <v>14.285</v>
      </c>
      <c r="D6378" s="38" t="n">
        <f aca="false">Q!$E$29</f>
        <v>15.503</v>
      </c>
      <c r="E6378" s="38" t="n">
        <f aca="false">Q!$P$29</f>
        <v>8.78</v>
      </c>
      <c r="F6378" s="38" t="n">
        <f aca="false">(Sens!$D$6377*Sens!$F$6258+(1-ext_sh)*Sens!$F$6301)*Sens!$F$6259</f>
        <v>9.51361751569285</v>
      </c>
      <c r="G6378" s="38" t="n">
        <f aca="false">Sens!$E$6378+Sens!$F$6378</f>
        <v>18.2936175156929</v>
      </c>
      <c r="H6378" s="38" t="n">
        <f aca="false">(Sens!$D$6377*Sens!$H$6258+(1-ext_sh)*Sens!$H$6301)*Sens!$H$6259</f>
        <v>22.7653661801943</v>
      </c>
      <c r="I6378" s="38" t="n">
        <f aca="false">(Sens!$D$6377*Sens!$I$6258+(1-ext_sh)*Sens!$I$6301)*Sens!$I$6259</f>
        <v>28.4281317305062</v>
      </c>
      <c r="J6378" s="38" t="n">
        <f aca="false">(Sens!$D$6377*Sens!$J$6258+(1-ext_sh)*Sens!$J$6301)*Sens!$J$6259</f>
        <v>34.1182922009732</v>
      </c>
      <c r="K6378" s="38" t="n">
        <f aca="false">(Sens!$D$6377*Sens!$K$6258+(1-ext_sh)*Sens!$K$6301)*Sens!$K$6259</f>
        <v>39.7237727987046</v>
      </c>
      <c r="L6378" s="38" t="n">
        <f aca="false">(Sens!$D$6377*Sens!$L$6258+(1-ext_sh)*Sens!$L$6301)*Sens!$L$6259</f>
        <v>45.1313127180263</v>
      </c>
      <c r="M6378" s="38" t="n">
        <f aca="false">(Sens!$D$6377*Sens!$M$6258+(1-ext_sh)*Sens!$M$6301)*Sens!$M$6259</f>
        <v>50.743940615442</v>
      </c>
      <c r="N6378" s="38" t="n">
        <f aca="false">Q!$N$29</f>
        <v>7.272</v>
      </c>
      <c r="O6378" s="38" t="n">
        <f aca="false">Q!$O$29</f>
        <v>8.231</v>
      </c>
    </row>
    <row r="6379" customFormat="false" ht="17.15" hidden="false" customHeight="false" outlineLevel="0" collapsed="false">
      <c r="A6379" s="0" t="s">
        <v>500</v>
      </c>
      <c r="B6379" s="0" t="s">
        <v>73</v>
      </c>
      <c r="C6379" s="38" t="n">
        <f aca="false">Q!$D$30</f>
        <v>4.462</v>
      </c>
      <c r="D6379" s="38" t="n">
        <f aca="false">Q!$E$30</f>
        <v>4.907</v>
      </c>
      <c r="E6379" s="38" t="n">
        <f aca="false">Q!$P$30</f>
        <v>2.57</v>
      </c>
      <c r="F6379" s="38" t="n">
        <f aca="false">(Sens!$D$6377*Sens!$F$6258+(1-ext_sh)*Sens!$F$6301)*(1-Sens!$F$6259)</f>
        <v>3.7353230631574</v>
      </c>
      <c r="G6379" s="38" t="n">
        <f aca="false">Sens!$E$6379+Sens!$F$6379</f>
        <v>6.3053230631574</v>
      </c>
      <c r="H6379" s="38" t="n">
        <f aca="false">(Sens!$D$6377*Sens!$H$6258+(1-ext_sh)*Sens!$H$6301)*(1-Sens!$H$6259)</f>
        <v>8.72254636724805</v>
      </c>
      <c r="I6379" s="38" t="n">
        <f aca="false">(Sens!$D$6377*Sens!$I$6258+(1-ext_sh)*Sens!$I$6301)*(1-Sens!$I$6259)</f>
        <v>10.8922340713019</v>
      </c>
      <c r="J6379" s="38" t="n">
        <f aca="false">(Sens!$D$6377*Sens!$J$6258+(1-ext_sh)*Sens!$J$6301)*(1-Sens!$J$6259)</f>
        <v>13.0724181345791</v>
      </c>
      <c r="K6379" s="38" t="n">
        <f aca="false">(Sens!$D$6377*Sens!$K$6258+(1-ext_sh)*Sens!$K$6301)*(1-Sens!$K$6259)</f>
        <v>15.2201571183236</v>
      </c>
      <c r="L6379" s="38" t="n">
        <f aca="false">(Sens!$D$6377*Sens!$L$6258+(1-ext_sh)*Sens!$L$6301)*(1-Sens!$L$6259)</f>
        <v>17.2920551631732</v>
      </c>
      <c r="M6379" s="38" t="n">
        <f aca="false">(Sens!$D$6377*Sens!$M$6258+(1-ext_sh)*Sens!$M$6301)*(1-Sens!$M$6259)</f>
        <v>19.4425326336348</v>
      </c>
      <c r="N6379" s="38" t="n">
        <f aca="false">Q!$N$30</f>
        <v>2.316</v>
      </c>
      <c r="O6379" s="38" t="n">
        <f aca="false">Q!$O$30</f>
        <v>2.591</v>
      </c>
    </row>
    <row r="6380" customFormat="false" ht="17.15" hidden="false" customHeight="false" outlineLevel="0" collapsed="false">
      <c r="A6380" s="0" t="s">
        <v>501</v>
      </c>
      <c r="B6380" s="0" t="s">
        <v>73</v>
      </c>
      <c r="C6380" s="38" t="n">
        <f aca="false">Sens!$C$6313</f>
        <v>13.32</v>
      </c>
      <c r="D6380" s="38" t="n">
        <f aca="false">Sens!$D$6313</f>
        <v>21.45</v>
      </c>
      <c r="E6380" s="38" t="n">
        <f aca="false">Sens!$E$6313</f>
        <v>15.353</v>
      </c>
      <c r="F6380" s="38" t="n">
        <f aca="false">Sens!$F$6313</f>
        <v>17.3614451462707</v>
      </c>
      <c r="G6380" s="38" t="n">
        <f aca="false">Sens!$G$6313</f>
        <v>32.7144451462707</v>
      </c>
      <c r="H6380" s="38" t="n">
        <f aca="false">Sens!$H$6313</f>
        <v>56.1966092719415</v>
      </c>
      <c r="I6380" s="38" t="n">
        <f aca="false">Sens!$I$6313</f>
        <v>82.9744039068297</v>
      </c>
      <c r="J6380" s="38" t="n">
        <f aca="false">Sens!$J$6313</f>
        <v>109.943252237669</v>
      </c>
      <c r="K6380" s="38" t="n">
        <f aca="false">Sens!$K$6313</f>
        <v>136.406703436571</v>
      </c>
      <c r="L6380" s="38" t="n">
        <f aca="false">Sens!$L$6313</f>
        <v>161.485870454155</v>
      </c>
      <c r="M6380" s="38" t="n">
        <f aca="false">Sens!$M$6313</f>
        <v>187.389846618199</v>
      </c>
      <c r="N6380" s="38" t="n">
        <f aca="false">Sens!$N$6313</f>
        <v>9.234</v>
      </c>
      <c r="O6380" s="38" t="n">
        <f aca="false">Sens!$O$6313</f>
        <v>12.216</v>
      </c>
    </row>
    <row r="6381" customFormat="false" ht="17.15" hidden="false" customHeight="false" outlineLevel="0" collapsed="false">
      <c r="A6381" s="5" t="s">
        <v>695</v>
      </c>
      <c r="B6381" s="0" t="s">
        <v>73</v>
      </c>
      <c r="C6381" s="38" t="n">
        <f aca="false">Sens!$C$6378+Sens!$C$6379+Sens!$C$6380</f>
        <v>32.067</v>
      </c>
      <c r="D6381" s="38" t="n">
        <f aca="false">Sens!$D$6378+Sens!$D$6379+Sens!$D$6380</f>
        <v>41.86</v>
      </c>
      <c r="E6381" s="38" t="n">
        <f aca="false">Sens!$E$6378+Sens!$E$6379+Sens!$E$6380</f>
        <v>26.703</v>
      </c>
      <c r="F6381" s="38" t="n">
        <f aca="false">Sens!$F$6378+Sens!$F$6379+Sens!$F$6380</f>
        <v>30.6103857251209</v>
      </c>
      <c r="G6381" s="38" t="n">
        <f aca="false">Sens!$G$6378+Sens!$G$6379+Sens!$G$6380</f>
        <v>57.3133857251209</v>
      </c>
      <c r="H6381" s="38" t="n">
        <f aca="false">Sens!$H$6378+Sens!$H$6379+Sens!$H$6380</f>
        <v>87.6845218193838</v>
      </c>
      <c r="I6381" s="38" t="n">
        <f aca="false">Sens!$I$6378+Sens!$I$6379+Sens!$I$6380</f>
        <v>122.294769708638</v>
      </c>
      <c r="J6381" s="38" t="n">
        <f aca="false">Sens!$J$6378+Sens!$J$6379+Sens!$J$6380</f>
        <v>157.133962573221</v>
      </c>
      <c r="K6381" s="38" t="n">
        <f aca="false">Sens!$K$6378+Sens!$K$6379+Sens!$K$6380</f>
        <v>191.350633353599</v>
      </c>
      <c r="L6381" s="38" t="n">
        <f aca="false">Sens!$L$6378+Sens!$L$6379+Sens!$L$6380</f>
        <v>223.909238335354</v>
      </c>
      <c r="M6381" s="38" t="n">
        <f aca="false">Sens!$M$6378+Sens!$M$6379+Sens!$M$6380</f>
        <v>257.576319867276</v>
      </c>
      <c r="N6381" s="38" t="n">
        <f aca="false">Sens!$N$6378+Sens!$N$6379+Sens!$N$6380</f>
        <v>18.822</v>
      </c>
      <c r="O6381" s="38" t="n">
        <f aca="false">Sens!$O$6378+Sens!$O$6379+Sens!$O$6380</f>
        <v>23.038</v>
      </c>
    </row>
    <row r="6382" customFormat="false" ht="17.15" hidden="false" customHeight="false" outlineLevel="0" collapsed="false">
      <c r="A6382" s="0" t="s">
        <v>696</v>
      </c>
      <c r="B6382" s="0" t="s">
        <v>73</v>
      </c>
      <c r="C6382" s="38" t="n">
        <f aca="false">Sens!$C$6355+Sens!$C$6360</f>
        <v>28.107</v>
      </c>
      <c r="D6382" s="38" t="n">
        <f aca="false">Sens!$D$6355+Sens!$D$6360</f>
        <v>34.3175</v>
      </c>
      <c r="E6382" s="38" t="n">
        <f aca="false">Sens!$E$6355+Sens!$E$6360</f>
        <v>18.526</v>
      </c>
      <c r="F6382" s="38" t="n">
        <f aca="false">Sens!$F$6355+Sens!$F$6360</f>
        <v>24.0766690913691</v>
      </c>
      <c r="G6382" s="38" t="n">
        <f aca="false">Sens!$G$6355+Sens!$G$6360</f>
        <v>42.6026690913691</v>
      </c>
      <c r="H6382" s="38" t="n">
        <f aca="false">Sens!$H$6355+Sens!$H$6360</f>
        <v>51.1466809294702</v>
      </c>
      <c r="I6382" s="38" t="n">
        <f aca="false">Sens!$I$6355+Sens!$I$6360</f>
        <v>59.6899187926205</v>
      </c>
      <c r="J6382" s="38" t="n">
        <f aca="false">Sens!$J$6355+Sens!$J$6360</f>
        <v>67.6595395244221</v>
      </c>
      <c r="K6382" s="38" t="n">
        <f aca="false">Sens!$K$6355+Sens!$K$6360</f>
        <v>74.4254934768643</v>
      </c>
      <c r="L6382" s="38" t="n">
        <f aca="false">Sens!$L$6355+Sens!$L$6360</f>
        <v>81.8680428245508</v>
      </c>
      <c r="M6382" s="38" t="n">
        <f aca="false">Sens!$M$6355+Sens!$M$6360</f>
        <v>90.0548471070059</v>
      </c>
      <c r="N6382" s="38" t="n">
        <f aca="false">Sens!$N$6355+Sens!$N$6360</f>
        <v>14.8075</v>
      </c>
      <c r="O6382" s="38" t="n">
        <f aca="false">Sens!$O$6355+Sens!$O$6360</f>
        <v>19.51</v>
      </c>
    </row>
    <row r="6383" customFormat="false" ht="17.15" hidden="false" customHeight="false" outlineLevel="0" collapsed="false">
      <c r="A6383" s="0" t="s">
        <v>697</v>
      </c>
      <c r="B6383" s="0" t="s">
        <v>73</v>
      </c>
      <c r="C6383" s="38" t="n">
        <f aca="false">Sens!$C$6359+Sens!$C$6364+Sens!$C$6378+Sens!$C$6379-Sens!$C$6382</f>
        <v>19.399</v>
      </c>
      <c r="D6383" s="38" t="n">
        <f aca="false">Sens!$D$6359+Sens!$D$6364+Sens!$D$6378+Sens!$D$6379-Sens!$D$6382</f>
        <v>20.4615</v>
      </c>
      <c r="E6383" s="38" t="n">
        <f aca="false">Sens!$E$6359+Sens!$E$6364+Sens!$E$6378+Sens!$E$6379-Sens!$E$6382</f>
        <v>13.355</v>
      </c>
      <c r="F6383" s="38" t="n">
        <f aca="false">Sens!$F$6359+Sens!$F$6364+Sens!$F$6378+Sens!$F$6379-Sens!$F$6382</f>
        <v>13.0895111975985</v>
      </c>
      <c r="G6383" s="38" t="n">
        <f aca="false">Sens!$G$6359+Sens!$G$6364+Sens!$G$6378+Sens!$G$6379-Sens!$G$6382</f>
        <v>26.4445111975985</v>
      </c>
      <c r="H6383" s="38" t="n">
        <f aca="false">Sens!$H$6359+Sens!$H$6364+Sens!$H$6378+Sens!$H$6379-Sens!$H$6382</f>
        <v>28.8977096937968</v>
      </c>
      <c r="I6383" s="38" t="n">
        <f aca="false">Sens!$I$6359+Sens!$I$6364+Sens!$I$6378+Sens!$I$6379-Sens!$I$6382</f>
        <v>31.2062039064791</v>
      </c>
      <c r="J6383" s="38" t="n">
        <f aca="false">Sens!$J$6359+Sens!$J$6364+Sens!$J$6378+Sens!$J$6379-Sens!$J$6382</f>
        <v>33.5064572496913</v>
      </c>
      <c r="K6383" s="38" t="n">
        <f aca="false">Sens!$K$6359+Sens!$K$6364+Sens!$K$6378+Sens!$K$6379-Sens!$K$6382</f>
        <v>35.6591461575899</v>
      </c>
      <c r="L6383" s="38" t="n">
        <f aca="false">Sens!$L$6359+Sens!$L$6364+Sens!$L$6378+Sens!$L$6379-Sens!$L$6382</f>
        <v>36.4141007090604</v>
      </c>
      <c r="M6383" s="38" t="n">
        <f aca="false">Sens!$M$6359+Sens!$M$6364+Sens!$M$6378+Sens!$M$6379-Sens!$M$6382</f>
        <v>37.359984207839</v>
      </c>
      <c r="N6383" s="38" t="n">
        <f aca="false">Sens!$N$6359+Sens!$N$6364+Sens!$N$6378+Sens!$N$6379-Sens!$N$6382</f>
        <v>10.6495</v>
      </c>
      <c r="O6383" s="38" t="n">
        <f aca="false">Sens!$O$6359+Sens!$O$6364+Sens!$O$6378+Sens!$O$6379-Sens!$O$6382</f>
        <v>9.81200000000001</v>
      </c>
    </row>
    <row r="6384" customFormat="false" ht="17.15" hidden="false" customHeight="false" outlineLevel="0" collapsed="false">
      <c r="A6384" s="0" t="s">
        <v>698</v>
      </c>
      <c r="B6384" s="0" t="s">
        <v>73</v>
      </c>
      <c r="C6384" s="38" t="n">
        <f aca="false">Sens!$C$6366+Sens!$C$6380-ext_sh*Sens!$C$6301</f>
        <v>51.3470500115664</v>
      </c>
      <c r="D6384" s="38" t="n">
        <f aca="false">Sens!$D$6366+Sens!$D$6380-ext_sh*Sens!$D$6301</f>
        <v>60.2799375433739</v>
      </c>
      <c r="E6384" s="38" t="n">
        <f aca="false">Sens!$E$6366+Sens!$E$6380-ext_sh*Sens!$E$6301</f>
        <v>39.5095167090767</v>
      </c>
      <c r="F6384" s="38" t="n">
        <f aca="false">Sens!$F$6366+Sens!$F$6380-ext_sh*Sens!$F$6301</f>
        <v>41.606724953129</v>
      </c>
      <c r="G6384" s="38" t="n">
        <f aca="false">Sens!$G$6366+Sens!$G$6380-ext_sh*Sens!$G$6301</f>
        <v>81.1162416622057</v>
      </c>
      <c r="H6384" s="38" t="n">
        <f aca="false">Sens!$H$6366+Sens!$H$6380-ext_sh*Sens!$H$6301</f>
        <v>95.7616595325849</v>
      </c>
      <c r="I6384" s="38" t="n">
        <f aca="false">Sens!$I$6366+Sens!$I$6380-ext_sh*Sens!$I$6301</f>
        <v>111.513312079935</v>
      </c>
      <c r="J6384" s="38" t="n">
        <f aca="false">Sens!$J$6366+Sens!$J$6380-ext_sh*Sens!$J$6301</f>
        <v>125.145150463955</v>
      </c>
      <c r="K6384" s="38" t="n">
        <f aca="false">Sens!$K$6366+Sens!$K$6380-ext_sh*Sens!$K$6301</f>
        <v>135.156762501071</v>
      </c>
      <c r="L6384" s="38" t="n">
        <f aca="false">Sens!$L$6366+Sens!$L$6380-ext_sh*Sens!$L$6301</f>
        <v>145.969303501157</v>
      </c>
      <c r="M6384" s="38" t="n">
        <f aca="false">Sens!$M$6366+Sens!$M$6380-ext_sh*Sens!$M$6301</f>
        <v>157.646847781249</v>
      </c>
      <c r="N6384" s="38" t="n">
        <f aca="false">Sens!$N$6366+Sens!$N$6380-ext_sh*Sens!$N$6301</f>
        <v>28.5693781401809</v>
      </c>
      <c r="O6384" s="38" t="n">
        <f aca="false">Sens!$O$6366+Sens!$O$6380-ext_sh*Sens!$O$6301</f>
        <v>31.7105594031931</v>
      </c>
    </row>
    <row r="6385" customFormat="false" ht="17.15" hidden="false" customHeight="false" outlineLevel="0" collapsed="false">
      <c r="A6385" s="0" t="s">
        <v>699</v>
      </c>
      <c r="B6385" s="0" t="s">
        <v>73</v>
      </c>
      <c r="C6385" s="38" t="n">
        <f aca="false">Sens!$C$6304</f>
        <v>1.80694998843362</v>
      </c>
      <c r="D6385" s="38" t="n">
        <f aca="false">Sens!$D$6304</f>
        <v>6.77606245662607</v>
      </c>
      <c r="E6385" s="38" t="n">
        <f aca="false">Sens!$E$6304</f>
        <v>6.62548329092326</v>
      </c>
      <c r="F6385" s="38" t="n">
        <f aca="false">Sens!$F$6304</f>
        <v>11.7200577158706</v>
      </c>
      <c r="G6385" s="38" t="n">
        <f aca="false">Sens!$G$6304</f>
        <v>18.3455410067939</v>
      </c>
      <c r="H6385" s="38" t="n">
        <f aca="false">Sens!$H$6304</f>
        <v>47.5171727060453</v>
      </c>
      <c r="I6385" s="38" t="n">
        <f aca="false">Sens!$I$6304</f>
        <v>80.5539692643667</v>
      </c>
      <c r="J6385" s="38" t="n">
        <f aca="false">Sens!$J$6304</f>
        <v>113.759316834883</v>
      </c>
      <c r="K6385" s="38" t="n">
        <f aca="false">Sens!$K$6304</f>
        <v>147.020848076132</v>
      </c>
      <c r="L6385" s="38" t="n">
        <f aca="false">Sens!$L$6304</f>
        <v>180.307917349531</v>
      </c>
      <c r="M6385" s="38" t="n">
        <f aca="false">Sens!$M$6304</f>
        <v>213.608737871012</v>
      </c>
      <c r="N6385" s="38" t="n">
        <f aca="false">Sens!$N$6304</f>
        <v>2.37162185981912</v>
      </c>
      <c r="O6385" s="38" t="n">
        <f aca="false">Sens!$O$6304</f>
        <v>4.40444059680694</v>
      </c>
    </row>
    <row r="6386" customFormat="false" ht="17.15" hidden="false" customHeight="false" outlineLevel="0" collapsed="false">
      <c r="A6386" s="0" t="s">
        <v>700</v>
      </c>
      <c r="B6386" s="0" t="s">
        <v>73</v>
      </c>
      <c r="C6386" s="38" t="n">
        <f aca="false">Sens!$C$6369+Sens!$C$6381</f>
        <v>100.66</v>
      </c>
      <c r="D6386" s="38" t="n">
        <f aca="false">Sens!$D$6369+Sens!$D$6381</f>
        <v>121.835</v>
      </c>
      <c r="E6386" s="38" t="n">
        <f aca="false">Sens!$E$6369+Sens!$E$6381</f>
        <v>78.016</v>
      </c>
      <c r="F6386" s="38" t="n">
        <f aca="false">Sens!$F$6369+Sens!$F$6381</f>
        <v>90.4929629579672</v>
      </c>
      <c r="G6386" s="38" t="n">
        <f aca="false">Sens!$G$6369+Sens!$G$6381</f>
        <v>168.508962957967</v>
      </c>
      <c r="H6386" s="38" t="n">
        <f aca="false">Sens!$H$6369+Sens!$H$6381</f>
        <v>223.323222861897</v>
      </c>
      <c r="I6386" s="38" t="n">
        <f aca="false">Sens!$I$6369+Sens!$I$6381</f>
        <v>282.963404043402</v>
      </c>
      <c r="J6386" s="38" t="n">
        <f aca="false">Sens!$J$6369+Sens!$J$6381</f>
        <v>340.070464072952</v>
      </c>
      <c r="K6386" s="38" t="n">
        <f aca="false">Sens!$K$6369+Sens!$K$6381</f>
        <v>392.262250211657</v>
      </c>
      <c r="L6386" s="38" t="n">
        <f aca="false">Sens!$L$6369+Sens!$L$6381</f>
        <v>444.559364384299</v>
      </c>
      <c r="M6386" s="38" t="n">
        <f aca="false">Sens!$M$6369+Sens!$M$6381</f>
        <v>498.670416967106</v>
      </c>
      <c r="N6386" s="38" t="n">
        <f aca="false">Sens!$N$6369+Sens!$N$6381</f>
        <v>56.398</v>
      </c>
      <c r="O6386" s="38" t="n">
        <f aca="false">Sens!$O$6369+Sens!$O$6381</f>
        <v>65.437</v>
      </c>
    </row>
    <row r="6387" customFormat="false" ht="17.15" hidden="false" customHeight="false" outlineLevel="0" collapsed="false">
      <c r="A6387" s="1" t="s">
        <v>701</v>
      </c>
    </row>
    <row r="6388" customFormat="false" ht="15" hidden="false" customHeight="false" outlineLevel="0" collapsed="false">
      <c r="A6388" s="5" t="s">
        <v>504</v>
      </c>
      <c r="B6388" s="0" t="s">
        <v>73</v>
      </c>
      <c r="C6388" s="38" t="n">
        <f aca="false">Q!$D$34</f>
        <v>2.406</v>
      </c>
      <c r="D6388" s="38" t="n">
        <f aca="false">Q!$E$34</f>
        <v>2.274</v>
      </c>
      <c r="E6388" s="38" t="n">
        <f aca="false">Q!$P$34</f>
        <v>2.114</v>
      </c>
      <c r="F6388" s="38" t="n">
        <f aca="false">Sens!$F$6424</f>
        <v>3.24888964316061</v>
      </c>
      <c r="G6388" s="38" t="n">
        <f aca="false">Sens!$E$6388+Sens!$F$6388</f>
        <v>5.36288964316061</v>
      </c>
      <c r="H6388" s="38" t="n">
        <f aca="false">Sens!$H$6424</f>
        <v>7.42354178632123</v>
      </c>
      <c r="I6388" s="38" t="n">
        <f aca="false">Sens!$I$6424</f>
        <v>7.51827597635917</v>
      </c>
      <c r="J6388" s="38" t="n">
        <f aca="false">Sens!$J$6424</f>
        <v>7.76994062068418</v>
      </c>
      <c r="K6388" s="38" t="n">
        <f aca="false">Sens!$K$6424</f>
        <v>7.76994062068418</v>
      </c>
      <c r="L6388" s="38" t="n">
        <f aca="false">Sens!$L$6424</f>
        <v>7.76994062068418</v>
      </c>
      <c r="M6388" s="38" t="n">
        <f aca="false">Sens!$M$6424</f>
        <v>7.76994062068418</v>
      </c>
      <c r="N6388" s="38" t="n">
        <f aca="false">Q!$N$34</f>
        <v>1.057</v>
      </c>
      <c r="O6388" s="38" t="n">
        <f aca="false">Q!$O$34</f>
        <v>1.217</v>
      </c>
    </row>
    <row r="6389" customFormat="false" ht="15" hidden="false" customHeight="false" outlineLevel="0" collapsed="false">
      <c r="A6389" s="5" t="s">
        <v>702</v>
      </c>
      <c r="B6389" s="0" t="s">
        <v>73</v>
      </c>
      <c r="F6389" s="38" t="n">
        <f aca="false">Sens!$F$6425</f>
        <v>2.59</v>
      </c>
      <c r="H6389" s="38" t="n">
        <f aca="false">Sens!$H$6425</f>
        <v>4.00971603121774</v>
      </c>
      <c r="I6389" s="38" t="n">
        <f aca="false">Sens!$I$6425</f>
        <v>2.10589651022864</v>
      </c>
      <c r="J6389" s="38" t="n">
        <f aca="false">Sens!$J$6425</f>
        <v>2.10589651022864</v>
      </c>
      <c r="K6389" s="38" t="n">
        <f aca="false">Sens!$K$6425</f>
        <v>3.77985822695893</v>
      </c>
      <c r="L6389" s="38" t="n">
        <f aca="false">Sens!$L$6425</f>
        <v>7.24081936505971</v>
      </c>
      <c r="M6389" s="38" t="n">
        <f aca="false">Sens!$M$6425</f>
        <v>11.205150593419</v>
      </c>
    </row>
    <row r="6390" customFormat="false" ht="17.15" hidden="false" customHeight="false" outlineLevel="0" collapsed="false">
      <c r="A6390" s="5" t="s">
        <v>703</v>
      </c>
      <c r="B6390" s="0" t="s">
        <v>73</v>
      </c>
      <c r="C6390" s="38" t="n">
        <f aca="false">Q!$D$39</f>
        <v>2.427</v>
      </c>
      <c r="D6390" s="38" t="n">
        <f aca="false">Q!$E$39</f>
        <v>19.61</v>
      </c>
      <c r="E6390" s="38" t="n">
        <f aca="false">Q!$P$39</f>
        <v>71.492</v>
      </c>
      <c r="F6390" s="41" t="n">
        <v>0</v>
      </c>
      <c r="G6390" s="38" t="n">
        <f aca="false">Sens!$E$6390+Sens!$F$6390</f>
        <v>71.492</v>
      </c>
      <c r="H6390" s="41" t="n">
        <v>0</v>
      </c>
      <c r="I6390" s="41" t="n">
        <v>0</v>
      </c>
      <c r="J6390" s="41" t="n">
        <v>0</v>
      </c>
      <c r="K6390" s="41" t="n">
        <v>0</v>
      </c>
      <c r="L6390" s="41" t="n">
        <v>0</v>
      </c>
      <c r="M6390" s="41" t="n">
        <v>0</v>
      </c>
      <c r="N6390" s="38" t="n">
        <f aca="false">Q!$N$39</f>
        <v>6.017</v>
      </c>
      <c r="O6390" s="38" t="n">
        <f aca="false">Q!$O$39</f>
        <v>13.593</v>
      </c>
      <c r="P6390" s="5" t="s">
        <v>704</v>
      </c>
    </row>
    <row r="6391" customFormat="false" ht="15" hidden="false" customHeight="false" outlineLevel="0" collapsed="false">
      <c r="A6391" s="5" t="s">
        <v>507</v>
      </c>
      <c r="B6391" s="0" t="s">
        <v>73</v>
      </c>
      <c r="C6391" s="38" t="n">
        <f aca="false">Q!$D$36</f>
        <v>68.614</v>
      </c>
      <c r="D6391" s="38" t="n">
        <f aca="false">Q!$E$36</f>
        <v>97.311</v>
      </c>
      <c r="E6391" s="38" t="n">
        <f aca="false">Q!$P$36</f>
        <v>120.691</v>
      </c>
      <c r="F6391" s="38" t="n">
        <f aca="false">Sens!$F$6369-Sens!$F$6388+Sens!$F$6389+Sens!$F$6390</f>
        <v>59.2236875896856</v>
      </c>
      <c r="G6391" s="38" t="n">
        <f aca="false">Sens!$E$6391+Sens!$F$6391</f>
        <v>179.914687589686</v>
      </c>
      <c r="H6391" s="38" t="n">
        <f aca="false">Sens!$H$6369-Sens!$H$6388+Sens!$H$6389+Sens!$H$6390</f>
        <v>132.22487528741</v>
      </c>
      <c r="I6391" s="38" t="n">
        <f aca="false">Sens!$I$6369-Sens!$I$6388+Sens!$I$6389+Sens!$I$6390</f>
        <v>155.256254868633</v>
      </c>
      <c r="J6391" s="38" t="n">
        <f aca="false">Sens!$J$6369-Sens!$J$6388+Sens!$J$6389+Sens!$J$6390</f>
        <v>177.272457389275</v>
      </c>
      <c r="K6391" s="38" t="n">
        <f aca="false">Sens!$K$6369-Sens!$K$6388+Sens!$K$6389+Sens!$K$6390</f>
        <v>196.921534464333</v>
      </c>
      <c r="L6391" s="38" t="n">
        <f aca="false">Sens!$L$6369-Sens!$L$6388+Sens!$L$6389+Sens!$L$6390</f>
        <v>220.12100479332</v>
      </c>
      <c r="M6391" s="38" t="n">
        <f aca="false">Sens!$M$6369-Sens!$M$6388+Sens!$M$6389+Sens!$M$6390</f>
        <v>244.529307072564</v>
      </c>
      <c r="N6391" s="38" t="n">
        <f aca="false">Q!$N$36</f>
        <v>42.536</v>
      </c>
      <c r="O6391" s="38" t="n">
        <f aca="false">Q!$O$36</f>
        <v>54.775</v>
      </c>
    </row>
    <row r="6392" customFormat="false" ht="15" hidden="false" customHeight="false" outlineLevel="0" collapsed="false">
      <c r="A6392" s="5" t="s">
        <v>508</v>
      </c>
      <c r="B6392" s="0" t="s">
        <v>73</v>
      </c>
      <c r="C6392" s="38" t="n">
        <f aca="false">Q!$D$37</f>
        <v>9.265</v>
      </c>
      <c r="D6392" s="38" t="n">
        <f aca="false">Q!$E$37</f>
        <v>19.087</v>
      </c>
      <c r="E6392" s="38" t="n">
        <f aca="false">Q!$P$37</f>
        <v>27.759</v>
      </c>
      <c r="F6392" s="38" t="n">
        <f aca="false">Sens!$F$6391*tax</f>
        <v>10.2803157750071</v>
      </c>
      <c r="G6392" s="38" t="n">
        <f aca="false">Sens!$E$6392+Sens!$F$6392</f>
        <v>38.0393157750071</v>
      </c>
      <c r="H6392" s="38" t="n">
        <f aca="false">Sens!$H$6391*tax</f>
        <v>22.9521923842892</v>
      </c>
      <c r="I6392" s="38" t="n">
        <f aca="false">Sens!$I$6391*tax</f>
        <v>26.9500835063251</v>
      </c>
      <c r="J6392" s="38" t="n">
        <f aca="false">Sens!$J$6391*tax</f>
        <v>30.7717555988633</v>
      </c>
      <c r="K6392" s="38" t="n">
        <f aca="false">Sens!$K$6391*tax</f>
        <v>34.1825313414772</v>
      </c>
      <c r="L6392" s="38" t="n">
        <f aca="false">Sens!$L$6391*tax</f>
        <v>38.209600416393</v>
      </c>
      <c r="M6392" s="38" t="n">
        <f aca="false">Sens!$M$6391*tax</f>
        <v>42.4465040131586</v>
      </c>
      <c r="N6392" s="38" t="n">
        <f aca="false">Q!$N$37</f>
        <v>7.231</v>
      </c>
      <c r="O6392" s="38" t="n">
        <f aca="false">Q!$O$37</f>
        <v>11.856</v>
      </c>
    </row>
    <row r="6393" customFormat="false" ht="15" hidden="false" customHeight="false" outlineLevel="0" collapsed="false">
      <c r="A6393" s="3" t="s">
        <v>509</v>
      </c>
      <c r="B6393" s="8" t="s">
        <v>73</v>
      </c>
      <c r="C6393" s="38" t="n">
        <f aca="false">Q!$D$38</f>
        <v>59.248</v>
      </c>
      <c r="D6393" s="38" t="n">
        <f aca="false">Q!$E$38</f>
        <v>77.67</v>
      </c>
      <c r="E6393" s="38" t="n">
        <f aca="false">Q!$P$38</f>
        <v>92.902</v>
      </c>
      <c r="F6393" s="38" t="n">
        <f aca="false">Sens!$F$6391-Sens!$F$6392</f>
        <v>48.9433718146785</v>
      </c>
      <c r="G6393" s="38" t="n">
        <f aca="false">Sens!$E$6393+Sens!$F$6393</f>
        <v>141.845371814679</v>
      </c>
      <c r="H6393" s="38" t="n">
        <f aca="false">Sens!$H$6391-Sens!$H$6392</f>
        <v>109.272682903121</v>
      </c>
      <c r="I6393" s="38" t="n">
        <f aca="false">Sens!$I$6391-Sens!$I$6392</f>
        <v>128.306171362308</v>
      </c>
      <c r="J6393" s="38" t="n">
        <f aca="false">Sens!$J$6391-Sens!$J$6392</f>
        <v>146.500701790412</v>
      </c>
      <c r="K6393" s="38" t="n">
        <f aca="false">Sens!$K$6391-Sens!$K$6392</f>
        <v>162.739003122855</v>
      </c>
      <c r="L6393" s="38" t="n">
        <f aca="false">Sens!$L$6391-Sens!$L$6392</f>
        <v>181.911404376927</v>
      </c>
      <c r="M6393" s="38" t="n">
        <f aca="false">Sens!$M$6391-Sens!$M$6392</f>
        <v>202.082803059406</v>
      </c>
      <c r="N6393" s="38" t="n">
        <f aca="false">Q!$N$38</f>
        <v>35.291</v>
      </c>
      <c r="O6393" s="38" t="n">
        <f aca="false">Q!$O$38</f>
        <v>42.379</v>
      </c>
    </row>
    <row r="6394" customFormat="false" ht="17.15" hidden="false" customHeight="false" outlineLevel="0" collapsed="false">
      <c r="A6394" s="5" t="s">
        <v>512</v>
      </c>
      <c r="B6394" s="5" t="s">
        <v>33</v>
      </c>
      <c r="C6394" s="22" t="n">
        <f aca="false">Q!$D$41</f>
        <v>10.721</v>
      </c>
      <c r="D6394" s="22" t="n">
        <f aca="false">Q!$E$41</f>
        <v>10.827</v>
      </c>
      <c r="E6394" s="22" t="n">
        <f aca="false">(Q!$L$41+Q!$M$41)/2</f>
        <v>10.8885</v>
      </c>
      <c r="F6394" s="22" t="n">
        <f aca="false">Sens!$G$6394</f>
        <v>10.924806</v>
      </c>
      <c r="G6394" s="22" t="n">
        <f aca="false">Q!$M$41*(1+sh_g*0.25)</f>
        <v>10.924806</v>
      </c>
      <c r="H6394" s="22" t="n">
        <f aca="false">Sens!$G$6394*(1+sh_g)</f>
        <v>11.012204448</v>
      </c>
      <c r="I6394" s="22" t="n">
        <f aca="false">Sens!$H$6394*(1+sh_g)</f>
        <v>11.100302083584</v>
      </c>
      <c r="J6394" s="22" t="n">
        <f aca="false">Sens!$I$6394*(1+sh_g)</f>
        <v>11.1891045002527</v>
      </c>
      <c r="K6394" s="22" t="n">
        <f aca="false">Sens!$J$6394*(1+sh_g)</f>
        <v>11.2786173362547</v>
      </c>
      <c r="L6394" s="22" t="n">
        <f aca="false">Sens!$K$6394*(1+sh_g)</f>
        <v>11.3688462749447</v>
      </c>
      <c r="M6394" s="22" t="n">
        <f aca="false">Sens!$L$6394*(1+sh_g)</f>
        <v>11.4597970451443</v>
      </c>
      <c r="P6394" s="5" t="s">
        <v>705</v>
      </c>
    </row>
    <row r="6395" customFormat="false" ht="17.15" hidden="false" customHeight="false" outlineLevel="0" collapsed="false">
      <c r="A6395" s="42" t="s">
        <v>706</v>
      </c>
      <c r="B6395" s="13" t="s">
        <v>27</v>
      </c>
      <c r="C6395" s="43" t="n">
        <f aca="false">Sens!$C$6393/Sens!$C$6394</f>
        <v>5.52635015390355</v>
      </c>
      <c r="D6395" s="43" t="n">
        <f aca="false">Sens!$D$6393/Sens!$D$6394</f>
        <v>7.1737323358271</v>
      </c>
      <c r="E6395" s="43" t="n">
        <f aca="false">Sens!$E$6393/Sens!$E$6394</f>
        <v>8.53212104513937</v>
      </c>
      <c r="F6395" s="13"/>
      <c r="G6395" s="43" t="n">
        <f aca="false">Sens!$G$6393/Sens!$G$6394</f>
        <v>12.9837886196495</v>
      </c>
      <c r="H6395" s="43" t="n">
        <f aca="false">Sens!$H$6393/Sens!$H$6394</f>
        <v>9.92287088558062</v>
      </c>
      <c r="I6395" s="43" t="n">
        <f aca="false">Sens!$I$6393/Sens!$I$6394</f>
        <v>11.5587999674403</v>
      </c>
      <c r="J6395" s="43" t="n">
        <f aca="false">Sens!$J$6393/Sens!$J$6394</f>
        <v>13.0931569892035</v>
      </c>
      <c r="K6395" s="43" t="n">
        <f aca="false">Sens!$K$6393/Sens!$K$6394</f>
        <v>14.4289852444711</v>
      </c>
      <c r="L6395" s="43" t="n">
        <f aca="false">Sens!$L$6393/Sens!$L$6394</f>
        <v>16.0008676322621</v>
      </c>
      <c r="M6395" s="43" t="n">
        <f aca="false">Sens!$M$6393/Sens!$M$6394</f>
        <v>17.6340647450673</v>
      </c>
      <c r="N6395" s="13"/>
      <c r="O6395" s="13"/>
    </row>
    <row r="6396" customFormat="false" ht="17.15" hidden="false" customHeight="false" outlineLevel="0" collapsed="false">
      <c r="A6396" s="0" t="s">
        <v>707</v>
      </c>
      <c r="B6396" s="0" t="s">
        <v>27</v>
      </c>
      <c r="C6396" s="30" t="n">
        <f aca="false">(Sens!$C$6393-Sens!$C$6390*(1-tax))/Sens!$C$6394</f>
        <v>5.33926775917445</v>
      </c>
      <c r="D6396" s="30" t="n">
        <f aca="false">(Sens!$D$6393-Sens!$D$6390*(1-tax))/Sens!$D$6394</f>
        <v>5.67691812755503</v>
      </c>
      <c r="E6396" s="30" t="n">
        <f aca="false">(Sens!$E$6393-Sens!$E$6390*(1-tax))/Sens!$E$6394</f>
        <v>3.10602057006846</v>
      </c>
      <c r="G6396" s="30" t="n">
        <f aca="false">(Sens!$G$6393-Sens!$G$6390*(1-tax))/Sens!$G$6394</f>
        <v>7.57572050175252</v>
      </c>
      <c r="H6396" s="30" t="n">
        <f aca="false">(Sens!$H$6393-Sens!$H$6390*(1-tax))/Sens!$H$6394</f>
        <v>9.92287088558062</v>
      </c>
      <c r="I6396" s="30" t="n">
        <f aca="false">(Sens!$I$6393-Sens!$I$6390*(1-tax))/Sens!$I$6394</f>
        <v>11.5587999674403</v>
      </c>
      <c r="J6396" s="30" t="n">
        <f aca="false">(Sens!$J$6393-Sens!$J$6390*(1-tax))/Sens!$J$6394</f>
        <v>13.0931569892035</v>
      </c>
      <c r="K6396" s="30" t="n">
        <f aca="false">(Sens!$K$6393-Sens!$K$6390*(1-tax))/Sens!$K$6394</f>
        <v>14.4289852444711</v>
      </c>
      <c r="L6396" s="30" t="n">
        <f aca="false">(Sens!$L$6393-Sens!$L$6390*(1-tax))/Sens!$L$6394</f>
        <v>16.0008676322621</v>
      </c>
      <c r="M6396" s="30" t="n">
        <f aca="false">(Sens!$M$6393-Sens!$M$6390*(1-tax))/Sens!$M$6394</f>
        <v>17.6340647450673</v>
      </c>
      <c r="P6396" s="5" t="s">
        <v>708</v>
      </c>
    </row>
    <row r="6397" customFormat="false" ht="17.15" hidden="false" customHeight="false" outlineLevel="0" collapsed="false">
      <c r="A6397" s="0" t="s">
        <v>709</v>
      </c>
      <c r="B6397" s="0" t="s">
        <v>52</v>
      </c>
      <c r="H6397" s="12" t="n">
        <f aca="false">Sens!$H$6395/Sens!$G$6395-1</f>
        <v>-0.23574919645846</v>
      </c>
      <c r="I6397" s="12" t="n">
        <f aca="false">Sens!$I$6395/Sens!$H$6395-1</f>
        <v>0.164864493423664</v>
      </c>
      <c r="J6397" s="12" t="n">
        <f aca="false">Sens!$J$6395/Sens!$I$6395-1</f>
        <v>0.132743626162345</v>
      </c>
      <c r="K6397" s="12" t="n">
        <f aca="false">Sens!$K$6395/Sens!$J$6395-1</f>
        <v>0.102024917013454</v>
      </c>
      <c r="L6397" s="12" t="n">
        <f aca="false">Sens!$L$6395/Sens!$K$6395-1</f>
        <v>0.108939219297719</v>
      </c>
      <c r="M6397" s="12" t="n">
        <f aca="false">Sens!$M$6395/Sens!$L$6395-1</f>
        <v>0.102069284637555</v>
      </c>
    </row>
    <row r="6400" customFormat="false" ht="19.4" hidden="false" customHeight="false" outlineLevel="0" collapsed="false">
      <c r="A6400" s="31" t="s">
        <v>1183</v>
      </c>
    </row>
    <row r="6401" customFormat="false" ht="17.15" hidden="false" customHeight="false" outlineLevel="0" collapsed="false">
      <c r="A6401" s="6" t="s">
        <v>16</v>
      </c>
      <c r="B6401" s="6" t="s">
        <v>17</v>
      </c>
      <c r="C6401" s="20" t="s">
        <v>457</v>
      </c>
      <c r="D6401" s="20" t="s">
        <v>458</v>
      </c>
      <c r="E6401" s="20" t="s">
        <v>540</v>
      </c>
      <c r="F6401" s="20" t="s">
        <v>541</v>
      </c>
      <c r="G6401" s="20" t="s">
        <v>542</v>
      </c>
      <c r="H6401" s="20" t="s">
        <v>543</v>
      </c>
      <c r="I6401" s="20" t="s">
        <v>544</v>
      </c>
      <c r="J6401" s="20" t="s">
        <v>545</v>
      </c>
      <c r="K6401" s="20" t="s">
        <v>546</v>
      </c>
      <c r="L6401" s="20" t="s">
        <v>547</v>
      </c>
      <c r="M6401" s="20" t="s">
        <v>548</v>
      </c>
      <c r="N6401" s="20" t="s">
        <v>549</v>
      </c>
      <c r="O6401" s="20" t="s">
        <v>550</v>
      </c>
      <c r="P6401" s="6" t="s">
        <v>23</v>
      </c>
      <c r="R6401" s="20" t="n">
        <v>2023</v>
      </c>
      <c r="S6401" s="20" t="n">
        <v>2024</v>
      </c>
      <c r="T6401" s="20" t="n">
        <v>2025</v>
      </c>
      <c r="U6401" s="20" t="n">
        <v>2026</v>
      </c>
      <c r="V6401" s="20" t="n">
        <v>2027</v>
      </c>
      <c r="W6401" s="20" t="n">
        <v>2028</v>
      </c>
      <c r="X6401" s="20" t="n">
        <v>2029</v>
      </c>
      <c r="Y6401" s="20" t="n">
        <v>2030</v>
      </c>
      <c r="Z6401" s="20" t="n">
        <v>2031</v>
      </c>
      <c r="AA6401" s="20" t="n">
        <v>2032</v>
      </c>
    </row>
    <row r="6402" customFormat="false" ht="15" hidden="false" customHeight="false" outlineLevel="0" collapsed="false">
      <c r="A6402" s="5" t="s">
        <v>509</v>
      </c>
      <c r="B6402" s="0" t="s">
        <v>73</v>
      </c>
      <c r="C6402" s="38" t="n">
        <f aca="false">Sens!$C$6393</f>
        <v>59.248</v>
      </c>
      <c r="D6402" s="38" t="n">
        <f aca="false">Sens!$D$6393</f>
        <v>77.67</v>
      </c>
      <c r="E6402" s="38" t="n">
        <f aca="false">Sens!$E$6393</f>
        <v>92.902</v>
      </c>
      <c r="F6402" s="38" t="n">
        <f aca="false">Sens!$F$6393</f>
        <v>48.9433718146785</v>
      </c>
      <c r="G6402" s="38" t="n">
        <f aca="false">Sens!$G$6393</f>
        <v>141.845371814679</v>
      </c>
      <c r="H6402" s="38" t="n">
        <f aca="false">Sens!$H$6393</f>
        <v>109.272682903121</v>
      </c>
      <c r="I6402" s="38" t="n">
        <f aca="false">Sens!$I$6393</f>
        <v>128.306171362308</v>
      </c>
      <c r="J6402" s="38" t="n">
        <f aca="false">Sens!$J$6393</f>
        <v>146.500701790412</v>
      </c>
      <c r="K6402" s="38" t="n">
        <f aca="false">Sens!$K$6393</f>
        <v>162.739003122855</v>
      </c>
      <c r="L6402" s="38" t="n">
        <f aca="false">Sens!$L$6393</f>
        <v>181.911404376927</v>
      </c>
      <c r="M6402" s="38" t="n">
        <f aca="false">Sens!$M$6393</f>
        <v>202.082803059406</v>
      </c>
    </row>
    <row r="6403" customFormat="false" ht="17.15" hidden="false" customHeight="false" outlineLevel="0" collapsed="false">
      <c r="A6403" s="5" t="s">
        <v>731</v>
      </c>
      <c r="B6403" s="0" t="s">
        <v>73</v>
      </c>
      <c r="C6403" s="38" t="n">
        <f aca="false">Sens!$C$6381</f>
        <v>32.067</v>
      </c>
      <c r="D6403" s="38" t="n">
        <f aca="false">Sens!$D$6381</f>
        <v>41.86</v>
      </c>
      <c r="E6403" s="38" t="n">
        <f aca="false">Sens!$E$6381</f>
        <v>26.703</v>
      </c>
      <c r="F6403" s="38" t="n">
        <f aca="false">Sens!$F$6381</f>
        <v>30.6103857251209</v>
      </c>
      <c r="G6403" s="38" t="n">
        <f aca="false">Sens!$G$6381</f>
        <v>57.3133857251209</v>
      </c>
      <c r="H6403" s="38" t="n">
        <f aca="false">Sens!$H$6381</f>
        <v>87.6845218193838</v>
      </c>
      <c r="I6403" s="38" t="n">
        <f aca="false">Sens!$I$6381</f>
        <v>122.294769708638</v>
      </c>
      <c r="J6403" s="38" t="n">
        <f aca="false">Sens!$J$6381</f>
        <v>157.133962573221</v>
      </c>
      <c r="K6403" s="38" t="n">
        <f aca="false">Sens!$K$6381</f>
        <v>191.350633353599</v>
      </c>
      <c r="L6403" s="38" t="n">
        <f aca="false">Sens!$L$6381</f>
        <v>223.909238335354</v>
      </c>
      <c r="M6403" s="38" t="n">
        <f aca="false">Sens!$M$6381</f>
        <v>257.576319867276</v>
      </c>
    </row>
    <row r="6404" customFormat="false" ht="15" hidden="false" customHeight="false" outlineLevel="0" collapsed="false">
      <c r="A6404" s="5" t="s">
        <v>732</v>
      </c>
      <c r="B6404" s="0" t="s">
        <v>73</v>
      </c>
      <c r="C6404" s="38" t="n">
        <f aca="false">Q!$D$48</f>
        <v>22.011</v>
      </c>
      <c r="D6404" s="38" t="n">
        <f aca="false">Q!$E$48</f>
        <v>19.467</v>
      </c>
      <c r="E6404" s="38" t="n">
        <f aca="false">Q!$P$48</f>
        <v>10.07</v>
      </c>
      <c r="F6404" s="38" t="n">
        <f aca="false">sbc_r*Sens!$F$6325</f>
        <v>11.2170714500462</v>
      </c>
      <c r="G6404" s="38" t="n">
        <f aca="false">Sens!$E$6404+Sens!$F$6404</f>
        <v>21.2870714500462</v>
      </c>
      <c r="H6404" s="38" t="n">
        <f aca="false">sbc_r*Sens!$H$6325</f>
        <v>24.1772394325528</v>
      </c>
      <c r="I6404" s="38" t="n">
        <f aca="false">sbc_r*Sens!$I$6325</f>
        <v>27.6495284422397</v>
      </c>
      <c r="J6404" s="38" t="n">
        <f aca="false">sbc_r*Sens!$J$6325</f>
        <v>30.9042211184633</v>
      </c>
      <c r="K6404" s="38" t="n">
        <f aca="false">sbc_r*Sens!$K$6325</f>
        <v>33.8004145402678</v>
      </c>
      <c r="L6404" s="38" t="n">
        <f aca="false">sbc_r*Sens!$L$6325</f>
        <v>36.8322537652494</v>
      </c>
      <c r="M6404" s="38" t="n">
        <f aca="false">sbc_r*Sens!$M$6325</f>
        <v>40.0097627968013</v>
      </c>
    </row>
    <row r="6405" customFormat="false" ht="17.15" hidden="false" customHeight="false" outlineLevel="0" collapsed="false">
      <c r="A6405" s="5" t="s">
        <v>733</v>
      </c>
      <c r="B6405" s="0" t="s">
        <v>73</v>
      </c>
      <c r="C6405" s="38" t="n">
        <f aca="false">Q!$D$44-Sens!$C$6402-Sens!$C$6403-Sens!$C$6404</f>
        <v>2.551</v>
      </c>
      <c r="D6405" s="38" t="n">
        <f aca="false">Q!$E$44-Sens!$D$6402-Sens!$D$6403-Sens!$D$6404</f>
        <v>0.51700000000001</v>
      </c>
      <c r="E6405" s="38" t="n">
        <f aca="false">Q!$P$44-Sens!$E$6402-Sens!$E$6403-Sens!$E$6404</f>
        <v>-58.256</v>
      </c>
      <c r="F6405" s="38" t="n">
        <f aca="false">wc_2h26+oth_r*Sens!$F$6325</f>
        <v>7.34599241893378</v>
      </c>
      <c r="G6405" s="38" t="n">
        <f aca="false">Sens!$E$6405+Sens!$F$6405</f>
        <v>-50.9100075810662</v>
      </c>
      <c r="H6405" s="38" t="n">
        <f aca="false">oth_r*Sens!$H$6325</f>
        <v>11.6369707537667</v>
      </c>
      <c r="I6405" s="38" t="n">
        <f aca="false">oth_r*Sens!$I$6325</f>
        <v>13.3082502961262</v>
      </c>
      <c r="J6405" s="38" t="n">
        <f aca="false">oth_r*Sens!$J$6325</f>
        <v>14.8747965344332</v>
      </c>
      <c r="K6405" s="38" t="n">
        <f aca="false">oth_r*Sens!$K$6325</f>
        <v>16.2687901804328</v>
      </c>
      <c r="L6405" s="38" t="n">
        <f aca="false">oth_r*Sens!$L$6325</f>
        <v>17.7280727627002</v>
      </c>
      <c r="M6405" s="38" t="n">
        <f aca="false">oth_r*Sens!$M$6325</f>
        <v>19.2574690270319</v>
      </c>
      <c r="P6405" s="8" t="s">
        <v>734</v>
      </c>
    </row>
    <row r="6406" customFormat="false" ht="15" hidden="false" customHeight="false" outlineLevel="0" collapsed="false">
      <c r="A6406" s="3" t="s">
        <v>515</v>
      </c>
      <c r="B6406" s="8" t="s">
        <v>73</v>
      </c>
      <c r="C6406" s="38" t="n">
        <f aca="false">Q!$D$44</f>
        <v>115.877</v>
      </c>
      <c r="D6406" s="38" t="n">
        <f aca="false">Q!$E$44</f>
        <v>139.514</v>
      </c>
      <c r="E6406" s="38" t="n">
        <f aca="false">Q!$P$44</f>
        <v>71.419</v>
      </c>
      <c r="F6406" s="38" t="n">
        <f aca="false">Sens!$F$6402+Sens!$F$6403+Sens!$F$6404+Sens!$F$6405</f>
        <v>98.1168214087795</v>
      </c>
      <c r="G6406" s="38" t="n">
        <f aca="false">Sens!$E$6406+Sens!$F$6406</f>
        <v>169.535821408779</v>
      </c>
      <c r="H6406" s="38" t="n">
        <f aca="false">Sens!$H$6402+Sens!$H$6403+Sens!$H$6404+Sens!$H$6405</f>
        <v>232.771414908824</v>
      </c>
      <c r="I6406" s="38" t="n">
        <f aca="false">Sens!$I$6402+Sens!$I$6403+Sens!$I$6404+Sens!$I$6405</f>
        <v>291.558719809312</v>
      </c>
      <c r="J6406" s="38" t="n">
        <f aca="false">Sens!$J$6402+Sens!$J$6403+Sens!$J$6404+Sens!$J$6405</f>
        <v>349.413682016529</v>
      </c>
      <c r="K6406" s="38" t="n">
        <f aca="false">Sens!$K$6402+Sens!$K$6403+Sens!$K$6404+Sens!$K$6405</f>
        <v>404.158841197156</v>
      </c>
      <c r="L6406" s="38" t="n">
        <f aca="false">Sens!$L$6402+Sens!$L$6403+Sens!$L$6404+Sens!$L$6405</f>
        <v>460.380969240231</v>
      </c>
      <c r="M6406" s="38" t="n">
        <f aca="false">Sens!$M$6402+Sens!$M$6403+Sens!$M$6404+Sens!$M$6405</f>
        <v>518.926354750515</v>
      </c>
    </row>
    <row r="6407" customFormat="false" ht="17.15" hidden="false" customHeight="false" outlineLevel="0" collapsed="false">
      <c r="A6407" s="5" t="s">
        <v>735</v>
      </c>
      <c r="B6407" s="0" t="s">
        <v>73</v>
      </c>
      <c r="C6407" s="38" t="n">
        <f aca="false">Sens!$C$6294</f>
        <v>25.2781053077374</v>
      </c>
      <c r="D6407" s="38" t="n">
        <f aca="false">Sens!$D$6294</f>
        <v>69.5686316310026</v>
      </c>
      <c r="E6407" s="38" t="n">
        <f aca="false">Sens!$E$6294</f>
        <v>64.1899206485108</v>
      </c>
      <c r="F6407" s="38" t="n">
        <f aca="false">Sens!$F$6294</f>
        <v>96.2481299895</v>
      </c>
      <c r="G6407" s="38" t="n">
        <f aca="false">Sens!$G$6294</f>
        <v>160.438050638011</v>
      </c>
      <c r="H6407" s="38" t="n">
        <f aca="false">Sens!$H$6294</f>
        <v>198.57136494475</v>
      </c>
      <c r="I6407" s="38" t="n">
        <f aca="false">Sens!$I$6294</f>
        <v>204.6464699105</v>
      </c>
      <c r="J6407" s="38" t="n">
        <f aca="false">Sens!$J$6294</f>
        <v>209.8832381105</v>
      </c>
      <c r="K6407" s="38" t="n">
        <f aca="false">Sens!$K$6294</f>
        <v>215.1200063105</v>
      </c>
      <c r="L6407" s="38" t="n">
        <f aca="false">Sens!$L$6294</f>
        <v>251.7773837105</v>
      </c>
      <c r="M6407" s="38" t="n">
        <f aca="false">Sens!$M$6294</f>
        <v>311.87584476575</v>
      </c>
    </row>
    <row r="6408" customFormat="false" ht="17.15" hidden="false" customHeight="false" outlineLevel="0" collapsed="false">
      <c r="A6408" s="5" t="s">
        <v>736</v>
      </c>
      <c r="B6408" s="0" t="s">
        <v>73</v>
      </c>
      <c r="C6408" s="38" t="n">
        <f aca="false">cx_awso*Sens!$C$6323</f>
        <v>21.0469989286053</v>
      </c>
      <c r="D6408" s="38" t="n">
        <f aca="false">cx_awso*Sens!$D$6323</f>
        <v>24.0042459822698</v>
      </c>
      <c r="E6408" s="38" t="n">
        <f aca="false">cx_awso*Sens!$E$6323</f>
        <v>14.261729404886</v>
      </c>
      <c r="F6408" s="38" t="n">
        <f aca="false">cx_awso*Sens!$F$6323</f>
        <v>15.7190020837331</v>
      </c>
      <c r="G6408" s="38" t="n">
        <f aca="false">Sens!$E$6408+Sens!$F$6408</f>
        <v>29.9807314886191</v>
      </c>
      <c r="H6408" s="38" t="n">
        <f aca="false">cx_awso*Sens!$H$6323</f>
        <v>36.1787121536283</v>
      </c>
      <c r="I6408" s="38" t="n">
        <f aca="false">cx_awso*Sens!$I$6323</f>
        <v>42.1296794430021</v>
      </c>
      <c r="J6408" s="38" t="n">
        <f aca="false">cx_awso*Sens!$J$6323</f>
        <v>47.279781889299</v>
      </c>
      <c r="K6408" s="38" t="n">
        <f aca="false">cx_awso*Sens!$K$6323</f>
        <v>51.0621644404429</v>
      </c>
      <c r="L6408" s="38" t="n">
        <f aca="false">cx_awso*Sens!$L$6323</f>
        <v>55.1471375956783</v>
      </c>
      <c r="M6408" s="38" t="n">
        <f aca="false">cx_awso*Sens!$M$6323</f>
        <v>59.5589086033326</v>
      </c>
    </row>
    <row r="6409" customFormat="false" ht="17.15" hidden="false" customHeight="false" outlineLevel="0" collapsed="false">
      <c r="A6409" s="5" t="s">
        <v>737</v>
      </c>
      <c r="B6409" s="0" t="s">
        <v>73</v>
      </c>
      <c r="C6409" s="38" t="n">
        <f aca="false">Q!$D$46-Sens!$C$6407-Sens!$C$6408</f>
        <v>31.3328957636573</v>
      </c>
      <c r="D6409" s="38" t="n">
        <f aca="false">Q!$E$46-Sens!$D$6407-Sens!$D$6408</f>
        <v>34.7471223867276</v>
      </c>
      <c r="E6409" s="38" t="n">
        <f aca="false">Q!$P$46-Sens!$E$6407-Sens!$E$6408</f>
        <v>17.8583499466032</v>
      </c>
      <c r="F6409" s="38" t="n">
        <f aca="false">cx_rt*Sens!$F$6258</f>
        <v>21.0855744229195</v>
      </c>
      <c r="G6409" s="38" t="n">
        <f aca="false">Sens!$E$6409+Sens!$F$6409</f>
        <v>38.9439243695228</v>
      </c>
      <c r="H6409" s="38" t="n">
        <f aca="false">cx_rt*Sens!$H$6258</f>
        <v>43.1200434029767</v>
      </c>
      <c r="I6409" s="38" t="n">
        <f aca="false">cx_rt*Sens!$I$6258</f>
        <v>47.1583152318763</v>
      </c>
      <c r="J6409" s="38" t="n">
        <f aca="false">cx_rt*Sens!$J$6258</f>
        <v>50.9060281137911</v>
      </c>
      <c r="K6409" s="38" t="n">
        <f aca="false">cx_rt*Sens!$K$6258</f>
        <v>54.2035645673053</v>
      </c>
      <c r="L6409" s="38" t="n">
        <f aca="false">cx_rt*Sens!$L$6258</f>
        <v>57.7318979121519</v>
      </c>
      <c r="M6409" s="38" t="n">
        <f aca="false">cx_rt*Sens!$M$6258</f>
        <v>61.5084196557756</v>
      </c>
    </row>
    <row r="6410" customFormat="false" ht="15" hidden="false" customHeight="false" outlineLevel="0" collapsed="false">
      <c r="A6410" s="3" t="s">
        <v>738</v>
      </c>
      <c r="B6410" s="8" t="s">
        <v>73</v>
      </c>
      <c r="C6410" s="38" t="n">
        <f aca="false">Q!$D$46</f>
        <v>77.658</v>
      </c>
      <c r="D6410" s="38" t="n">
        <f aca="false">Q!$E$46</f>
        <v>128.32</v>
      </c>
      <c r="E6410" s="38" t="n">
        <f aca="false">Q!$P$46</f>
        <v>96.31</v>
      </c>
      <c r="F6410" s="38" t="n">
        <f aca="false">Sens!$F$6407+Sens!$F$6408+Sens!$F$6409</f>
        <v>133.052706496153</v>
      </c>
      <c r="G6410" s="38" t="n">
        <f aca="false">Sens!$E$6410+Sens!$F$6410</f>
        <v>229.362706496153</v>
      </c>
      <c r="H6410" s="38" t="n">
        <f aca="false">Sens!$H$6407+Sens!$H$6408+Sens!$H$6409</f>
        <v>277.870120501355</v>
      </c>
      <c r="I6410" s="38" t="n">
        <f aca="false">Sens!$I$6407+Sens!$I$6408+Sens!$I$6409</f>
        <v>293.934464585378</v>
      </c>
      <c r="J6410" s="38" t="n">
        <f aca="false">Sens!$J$6407+Sens!$J$6408+Sens!$J$6409</f>
        <v>308.06904811359</v>
      </c>
      <c r="K6410" s="38" t="n">
        <f aca="false">Sens!$K$6407+Sens!$K$6408+Sens!$K$6409</f>
        <v>320.385735318248</v>
      </c>
      <c r="L6410" s="38" t="n">
        <f aca="false">Sens!$L$6407+Sens!$L$6408+Sens!$L$6409</f>
        <v>364.65641921833</v>
      </c>
      <c r="M6410" s="38" t="n">
        <f aca="false">Sens!$M$6407+Sens!$M$6408+Sens!$M$6409</f>
        <v>432.943173024858</v>
      </c>
    </row>
    <row r="6411" customFormat="false" ht="17.15" hidden="false" customHeight="false" outlineLevel="0" collapsed="false">
      <c r="A6411" s="5" t="s">
        <v>523</v>
      </c>
      <c r="B6411" s="0" t="s">
        <v>73</v>
      </c>
      <c r="C6411" s="38" t="n">
        <f aca="false">Q!$D$50</f>
        <v>2.043</v>
      </c>
      <c r="D6411" s="38" t="n">
        <f aca="false">Q!$E$50</f>
        <v>1.557</v>
      </c>
      <c r="E6411" s="38" t="n">
        <f aca="false">lease_pr/2</f>
        <v>0.8</v>
      </c>
      <c r="F6411" s="38" t="n">
        <f aca="false">lease_pr/2</f>
        <v>0.8</v>
      </c>
      <c r="G6411" s="38" t="n">
        <f aca="false">Sens!$E$6411+Sens!$F$6411</f>
        <v>1.6</v>
      </c>
      <c r="H6411" s="38" t="n">
        <f aca="false">lease_pr</f>
        <v>1.6</v>
      </c>
      <c r="I6411" s="38" t="n">
        <f aca="false">lease_pr</f>
        <v>1.6</v>
      </c>
      <c r="J6411" s="38" t="n">
        <f aca="false">lease_pr</f>
        <v>1.6</v>
      </c>
      <c r="K6411" s="38" t="n">
        <f aca="false">lease_pr</f>
        <v>1.6</v>
      </c>
      <c r="L6411" s="38" t="n">
        <f aca="false">lease_pr</f>
        <v>1.6</v>
      </c>
      <c r="M6411" s="38" t="n">
        <f aca="false">lease_pr</f>
        <v>1.6</v>
      </c>
      <c r="P6411" s="8" t="s">
        <v>739</v>
      </c>
    </row>
    <row r="6412" customFormat="false" ht="15" hidden="false" customHeight="false" outlineLevel="0" collapsed="false">
      <c r="A6412" s="46" t="s">
        <v>740</v>
      </c>
      <c r="B6412" s="13" t="s">
        <v>73</v>
      </c>
      <c r="C6412" s="47" t="n">
        <f aca="false">Sens!$C$6406-Sens!$C$6410-Sens!$C$6411</f>
        <v>36.176</v>
      </c>
      <c r="D6412" s="47" t="n">
        <f aca="false">Sens!$D$6406-Sens!$D$6410-Sens!$D$6411</f>
        <v>9.63700000000002</v>
      </c>
      <c r="E6412" s="47" t="n">
        <f aca="false">Sens!$E$6406-Sens!$E$6410-Sens!$E$6411</f>
        <v>-25.691</v>
      </c>
      <c r="F6412" s="47" t="n">
        <f aca="false">Sens!$F$6406-Sens!$F$6410-Sens!$F$6411</f>
        <v>-35.7358850873731</v>
      </c>
      <c r="G6412" s="47" t="n">
        <f aca="false">Sens!$G$6406-Sens!$G$6410-Sens!$G$6411</f>
        <v>-61.4268850873731</v>
      </c>
      <c r="H6412" s="47" t="n">
        <f aca="false">Sens!$H$6406-Sens!$H$6410-Sens!$H$6411</f>
        <v>-46.6987055925312</v>
      </c>
      <c r="I6412" s="47" t="n">
        <f aca="false">Sens!$I$6406-Sens!$I$6410-Sens!$I$6411</f>
        <v>-3.97574477606648</v>
      </c>
      <c r="J6412" s="47" t="n">
        <f aca="false">Sens!$J$6406-Sens!$J$6410-Sens!$J$6411</f>
        <v>39.7446339029391</v>
      </c>
      <c r="K6412" s="47" t="n">
        <f aca="false">Sens!$K$6406-Sens!$K$6410-Sens!$K$6411</f>
        <v>82.1731058789073</v>
      </c>
      <c r="L6412" s="47" t="n">
        <f aca="false">Sens!$L$6406-Sens!$L$6410-Sens!$L$6411</f>
        <v>94.1245500219009</v>
      </c>
      <c r="M6412" s="47" t="n">
        <f aca="false">Sens!$M$6406-Sens!$M$6410-Sens!$M$6411</f>
        <v>84.3831817256571</v>
      </c>
      <c r="N6412" s="13"/>
      <c r="O6412" s="13"/>
    </row>
    <row r="6413" customFormat="false" ht="17.15" hidden="false" customHeight="false" outlineLevel="0" collapsed="false">
      <c r="A6413" s="5" t="s">
        <v>741</v>
      </c>
      <c r="B6413" s="0" t="s">
        <v>73</v>
      </c>
      <c r="C6413" s="38" t="n">
        <f aca="false">dps*Sens!$C$6394</f>
        <v>0</v>
      </c>
      <c r="D6413" s="38" t="n">
        <f aca="false">dps*Sens!$D$6394</f>
        <v>0</v>
      </c>
      <c r="E6413" s="38" t="n">
        <f aca="false">dps*Sens!$E$6394</f>
        <v>0</v>
      </c>
      <c r="F6413" s="38" t="n">
        <f aca="false">0</f>
        <v>0</v>
      </c>
      <c r="G6413" s="38" t="n">
        <f aca="false">dps*Sens!$G$6394</f>
        <v>0</v>
      </c>
      <c r="H6413" s="38" t="n">
        <f aca="false">dps*Sens!$H$6394</f>
        <v>0</v>
      </c>
      <c r="I6413" s="38" t="n">
        <f aca="false">dps*Sens!$I$6394</f>
        <v>0</v>
      </c>
      <c r="J6413" s="38" t="n">
        <f aca="false">dps*Sens!$J$6394</f>
        <v>0</v>
      </c>
      <c r="K6413" s="38" t="n">
        <f aca="false">dps*Sens!$K$6394</f>
        <v>0</v>
      </c>
      <c r="L6413" s="38" t="n">
        <f aca="false">dps*Sens!$L$6394</f>
        <v>0</v>
      </c>
      <c r="M6413" s="38" t="n">
        <f aca="false">dps*Sens!$M$6394</f>
        <v>0</v>
      </c>
      <c r="P6413" s="8" t="s">
        <v>742</v>
      </c>
    </row>
    <row r="6414" customFormat="false" ht="17.15" hidden="false" customHeight="false" outlineLevel="0" collapsed="false">
      <c r="A6414" s="5" t="s">
        <v>743</v>
      </c>
      <c r="B6414" s="0" t="s">
        <v>73</v>
      </c>
      <c r="C6414" s="38" t="n">
        <f aca="false">0</f>
        <v>0</v>
      </c>
      <c r="D6414" s="38" t="n">
        <f aca="false">0</f>
        <v>0</v>
      </c>
      <c r="E6414" s="38" t="n">
        <f aca="false">0</f>
        <v>0</v>
      </c>
      <c r="F6414" s="38" t="n">
        <f aca="false">0</f>
        <v>0</v>
      </c>
      <c r="G6414" s="38" t="n">
        <f aca="false">0</f>
        <v>0</v>
      </c>
      <c r="H6414" s="38" t="n">
        <f aca="false">0</f>
        <v>0</v>
      </c>
      <c r="I6414" s="38" t="n">
        <f aca="false">0</f>
        <v>0</v>
      </c>
      <c r="J6414" s="38" t="n">
        <f aca="false">0</f>
        <v>0</v>
      </c>
      <c r="K6414" s="38" t="n">
        <f aca="false">0</f>
        <v>0</v>
      </c>
      <c r="L6414" s="38" t="n">
        <f aca="false">0</f>
        <v>0</v>
      </c>
      <c r="M6414" s="38" t="n">
        <f aca="false">0</f>
        <v>0</v>
      </c>
      <c r="P6414" s="8" t="s">
        <v>744</v>
      </c>
    </row>
    <row r="6415" customFormat="false" ht="15" hidden="false" customHeight="false" outlineLevel="0" collapsed="false">
      <c r="A6415" s="3" t="s">
        <v>745</v>
      </c>
      <c r="B6415" s="8" t="s">
        <v>73</v>
      </c>
      <c r="C6415" s="38" t="n">
        <f aca="false">Sens!$C$6412-Sens!$C$6413</f>
        <v>36.176</v>
      </c>
      <c r="D6415" s="38" t="n">
        <f aca="false">Sens!$D$6412-Sens!$D$6413</f>
        <v>9.63700000000002</v>
      </c>
      <c r="E6415" s="38" t="n">
        <f aca="false">Sens!$E$6412-Sens!$E$6413</f>
        <v>-25.691</v>
      </c>
      <c r="F6415" s="38" t="n">
        <f aca="false">Sens!$F$6412-Sens!$F$6413</f>
        <v>-35.7358850873731</v>
      </c>
      <c r="G6415" s="38" t="n">
        <f aca="false">Sens!$G$6412-Sens!$G$6413</f>
        <v>-61.4268850873731</v>
      </c>
      <c r="H6415" s="38" t="n">
        <f aca="false">Sens!$H$6412-Sens!$H$6413</f>
        <v>-46.6987055925312</v>
      </c>
      <c r="I6415" s="38" t="n">
        <f aca="false">Sens!$I$6412-Sens!$I$6413</f>
        <v>-3.97574477606648</v>
      </c>
      <c r="J6415" s="38" t="n">
        <f aca="false">Sens!$J$6412-Sens!$J$6413</f>
        <v>39.7446339029391</v>
      </c>
      <c r="K6415" s="38" t="n">
        <f aca="false">Sens!$K$6412-Sens!$K$6413</f>
        <v>82.1731058789073</v>
      </c>
      <c r="L6415" s="38" t="n">
        <f aca="false">Sens!$L$6412-Sens!$L$6413</f>
        <v>94.1245500219009</v>
      </c>
      <c r="M6415" s="38" t="n">
        <f aca="false">Sens!$M$6412-Sens!$M$6413</f>
        <v>84.3831817256571</v>
      </c>
    </row>
    <row r="6416" customFormat="false" ht="17.15" hidden="false" customHeight="false" outlineLevel="0" collapsed="false">
      <c r="A6416" s="5" t="s">
        <v>746</v>
      </c>
      <c r="B6416" s="0" t="s">
        <v>73</v>
      </c>
      <c r="E6416" s="38" t="n">
        <f aca="false">Q!$P$53</f>
        <v>39.767</v>
      </c>
      <c r="F6416" s="38" t="n">
        <f aca="false">inv_2h26</f>
        <v>21.3</v>
      </c>
      <c r="G6416" s="38" t="n">
        <f aca="false">Sens!$E$6416+Sens!$F$6416</f>
        <v>61.067</v>
      </c>
      <c r="H6416" s="41" t="n">
        <v>0</v>
      </c>
      <c r="I6416" s="41" t="n">
        <v>0</v>
      </c>
      <c r="J6416" s="41" t="n">
        <v>0</v>
      </c>
      <c r="K6416" s="41" t="n">
        <v>0</v>
      </c>
      <c r="L6416" s="41" t="n">
        <v>0</v>
      </c>
      <c r="M6416" s="41" t="n">
        <v>0</v>
      </c>
    </row>
    <row r="6417" customFormat="false" ht="17.15" hidden="false" customHeight="false" outlineLevel="0" collapsed="false">
      <c r="A6417" s="5" t="s">
        <v>747</v>
      </c>
      <c r="B6417" s="0" t="s">
        <v>73</v>
      </c>
      <c r="F6417" s="38" t="n">
        <f aca="false">iss_2h26</f>
        <v>29.25</v>
      </c>
      <c r="G6417" s="38" t="n">
        <f aca="false">Sens!$F$6417</f>
        <v>29.25</v>
      </c>
      <c r="H6417" s="41" t="n">
        <v>0</v>
      </c>
      <c r="I6417" s="41" t="n">
        <v>0</v>
      </c>
      <c r="J6417" s="41" t="n">
        <v>0</v>
      </c>
      <c r="K6417" s="41" t="n">
        <v>0</v>
      </c>
      <c r="L6417" s="41" t="n">
        <v>0</v>
      </c>
      <c r="M6417" s="41" t="n">
        <v>0</v>
      </c>
    </row>
    <row r="6418" customFormat="false" ht="17.15" hidden="false" customHeight="false" outlineLevel="0" collapsed="false">
      <c r="A6418" s="5" t="s">
        <v>748</v>
      </c>
      <c r="B6418" s="0" t="s">
        <v>73</v>
      </c>
      <c r="F6418" s="38" t="n">
        <f aca="false">cash_q2</f>
        <v>122.988</v>
      </c>
      <c r="G6418" s="38" t="n">
        <f aca="false">cash_q2</f>
        <v>122.988</v>
      </c>
      <c r="H6418" s="38" t="n">
        <f aca="false">Sens!$G$6421</f>
        <v>95.2021149126269</v>
      </c>
      <c r="I6418" s="38" t="n">
        <f aca="false">Sens!$H$6421</f>
        <v>50</v>
      </c>
      <c r="J6418" s="38" t="n">
        <f aca="false">Sens!$I$6421</f>
        <v>50</v>
      </c>
      <c r="K6418" s="38" t="n">
        <f aca="false">Sens!$J$6421</f>
        <v>89.7446339029391</v>
      </c>
      <c r="L6418" s="38" t="n">
        <f aca="false">Sens!$K$6421</f>
        <v>171.917739781846</v>
      </c>
      <c r="M6418" s="38" t="n">
        <f aca="false">Sens!$L$6421</f>
        <v>266.042289803747</v>
      </c>
    </row>
    <row r="6419" customFormat="false" ht="15" hidden="false" customHeight="false" outlineLevel="0" collapsed="false">
      <c r="A6419" s="5" t="s">
        <v>749</v>
      </c>
      <c r="B6419" s="0" t="s">
        <v>73</v>
      </c>
      <c r="F6419" s="38" t="n">
        <f aca="false">Sens!$F$6418+Sens!$F$6415-Sens!$F$6414-Sens!$F$6416+Sens!$F$6417</f>
        <v>95.2021149126269</v>
      </c>
      <c r="H6419" s="38" t="n">
        <f aca="false">Sens!$H$6418+Sens!$H$6415-Sens!$H$6414-Sens!$H$6416+Sens!$H$6417</f>
        <v>48.5034093200957</v>
      </c>
      <c r="I6419" s="38" t="n">
        <f aca="false">Sens!$I$6418+Sens!$I$6415-Sens!$I$6414-Sens!$I$6416+Sens!$I$6417</f>
        <v>46.0242552239335</v>
      </c>
      <c r="J6419" s="38" t="n">
        <f aca="false">Sens!$J$6418+Sens!$J$6415-Sens!$J$6414-Sens!$J$6416+Sens!$J$6417</f>
        <v>89.7446339029391</v>
      </c>
      <c r="K6419" s="38" t="n">
        <f aca="false">Sens!$K$6418+Sens!$K$6415-Sens!$K$6414-Sens!$K$6416+Sens!$K$6417</f>
        <v>171.917739781846</v>
      </c>
      <c r="L6419" s="38" t="n">
        <f aca="false">Sens!$L$6418+Sens!$L$6415-Sens!$L$6414-Sens!$L$6416+Sens!$L$6417</f>
        <v>266.042289803747</v>
      </c>
      <c r="M6419" s="38" t="n">
        <f aca="false">Sens!$M$6418+Sens!$M$6415-Sens!$M$6414-Sens!$M$6416+Sens!$M$6417</f>
        <v>350.425471529404</v>
      </c>
    </row>
    <row r="6420" customFormat="false" ht="17.15" hidden="false" customHeight="false" outlineLevel="0" collapsed="false">
      <c r="A6420" s="5" t="s">
        <v>750</v>
      </c>
      <c r="B6420" s="0" t="s">
        <v>73</v>
      </c>
      <c r="F6420" s="38" t="n">
        <f aca="false">MAX(0,min_cash-Sens!$F$6419)</f>
        <v>0</v>
      </c>
      <c r="G6420" s="38" t="n">
        <f aca="false">Sens!$F$6420</f>
        <v>0</v>
      </c>
      <c r="H6420" s="38" t="n">
        <f aca="false">MAX(0,min_cash-Sens!$H$6419)</f>
        <v>1.49659067990431</v>
      </c>
      <c r="I6420" s="38" t="n">
        <f aca="false">MAX(0,min_cash-Sens!$I$6419)</f>
        <v>3.97574477606648</v>
      </c>
      <c r="J6420" s="38" t="n">
        <f aca="false">MAX(0,min_cash-Sens!$J$6419)</f>
        <v>0</v>
      </c>
      <c r="K6420" s="38" t="n">
        <f aca="false">MAX(0,min_cash-Sens!$K$6419)</f>
        <v>0</v>
      </c>
      <c r="L6420" s="38" t="n">
        <f aca="false">MAX(0,min_cash-Sens!$L$6419)</f>
        <v>0</v>
      </c>
      <c r="M6420" s="38" t="n">
        <f aca="false">MAX(0,min_cash-Sens!$M$6419)</f>
        <v>0</v>
      </c>
      <c r="P6420" s="5" t="s">
        <v>751</v>
      </c>
    </row>
    <row r="6421" customFormat="false" ht="15" hidden="false" customHeight="false" outlineLevel="0" collapsed="false">
      <c r="A6421" s="5" t="s">
        <v>752</v>
      </c>
      <c r="B6421" s="0" t="s">
        <v>73</v>
      </c>
      <c r="D6421" s="38" t="n">
        <f aca="false">Q!$E$61</f>
        <v>123.029</v>
      </c>
      <c r="E6421" s="38" t="n">
        <f aca="false">Q!$M$61</f>
        <v>122.988</v>
      </c>
      <c r="F6421" s="38" t="n">
        <f aca="false">Sens!$F$6419+Sens!$F$6420</f>
        <v>95.2021149126269</v>
      </c>
      <c r="G6421" s="38" t="n">
        <f aca="false">Sens!$F$6421</f>
        <v>95.2021149126269</v>
      </c>
      <c r="H6421" s="38" t="n">
        <f aca="false">Sens!$H$6419+Sens!$H$6420</f>
        <v>50</v>
      </c>
      <c r="I6421" s="38" t="n">
        <f aca="false">Sens!$I$6419+Sens!$I$6420</f>
        <v>50</v>
      </c>
      <c r="J6421" s="38" t="n">
        <f aca="false">Sens!$J$6419+Sens!$J$6420</f>
        <v>89.7446339029391</v>
      </c>
      <c r="K6421" s="38" t="n">
        <f aca="false">Sens!$K$6419+Sens!$K$6420</f>
        <v>171.917739781846</v>
      </c>
      <c r="L6421" s="38" t="n">
        <f aca="false">Sens!$L$6419+Sens!$L$6420</f>
        <v>266.042289803747</v>
      </c>
      <c r="M6421" s="38" t="n">
        <f aca="false">Sens!$M$6419+Sens!$M$6420</f>
        <v>350.425471529404</v>
      </c>
    </row>
    <row r="6422" customFormat="false" ht="15" hidden="false" customHeight="false" outlineLevel="0" collapsed="false">
      <c r="A6422" s="5" t="s">
        <v>753</v>
      </c>
      <c r="B6422" s="0" t="s">
        <v>73</v>
      </c>
      <c r="D6422" s="38" t="n">
        <f aca="false">Q!$E$62</f>
        <v>68.836</v>
      </c>
      <c r="E6422" s="38" t="n">
        <f aca="false">Q!$M$62</f>
        <v>132.995</v>
      </c>
      <c r="F6422" s="38" t="n">
        <f aca="false">debt_q2+Sens!$F$6417+Sens!$F$6420</f>
        <v>162.245</v>
      </c>
      <c r="G6422" s="38" t="n">
        <f aca="false">Sens!$F$6422</f>
        <v>162.245</v>
      </c>
      <c r="H6422" s="38" t="n">
        <f aca="false">Sens!$G$6422+Sens!$H$6420</f>
        <v>163.741590679904</v>
      </c>
      <c r="I6422" s="38" t="n">
        <f aca="false">Sens!$H$6422+Sens!$I$6420</f>
        <v>167.717335455971</v>
      </c>
      <c r="J6422" s="38" t="n">
        <f aca="false">Sens!$I$6422+Sens!$J$6420</f>
        <v>167.717335455971</v>
      </c>
      <c r="K6422" s="38" t="n">
        <f aca="false">Sens!$J$6422+Sens!$K$6420</f>
        <v>167.717335455971</v>
      </c>
      <c r="L6422" s="38" t="n">
        <f aca="false">Sens!$K$6422+Sens!$L$6420</f>
        <v>167.717335455971</v>
      </c>
      <c r="M6422" s="38" t="n">
        <f aca="false">Sens!$L$6422+Sens!$M$6420</f>
        <v>167.717335455971</v>
      </c>
    </row>
    <row r="6423" customFormat="false" ht="15" hidden="false" customHeight="false" outlineLevel="0" collapsed="false">
      <c r="A6423" s="5" t="s">
        <v>754</v>
      </c>
      <c r="B6423" s="0" t="s">
        <v>73</v>
      </c>
      <c r="D6423" s="38" t="n">
        <f aca="false">Sens!$D$6422-Sens!$D$6421</f>
        <v>-54.193</v>
      </c>
      <c r="E6423" s="38" t="n">
        <f aca="false">Sens!$E$6422-Sens!$E$6421</f>
        <v>10.007</v>
      </c>
      <c r="F6423" s="38" t="n">
        <f aca="false">Sens!$F$6422-Sens!$F$6421</f>
        <v>67.0428850873731</v>
      </c>
      <c r="G6423" s="38" t="n">
        <f aca="false">Sens!$G$6422-Sens!$G$6421</f>
        <v>67.0428850873731</v>
      </c>
      <c r="H6423" s="38" t="n">
        <f aca="false">Sens!$H$6422-Sens!$H$6421</f>
        <v>113.741590679904</v>
      </c>
      <c r="I6423" s="38" t="n">
        <f aca="false">Sens!$I$6422-Sens!$I$6421</f>
        <v>117.717335455971</v>
      </c>
      <c r="J6423" s="38" t="n">
        <f aca="false">Sens!$J$6422-Sens!$J$6421</f>
        <v>77.9727015530317</v>
      </c>
      <c r="K6423" s="38" t="n">
        <f aca="false">Sens!$K$6422-Sens!$K$6421</f>
        <v>-4.20040432587558</v>
      </c>
      <c r="L6423" s="38" t="n">
        <f aca="false">Sens!$L$6422-Sens!$L$6421</f>
        <v>-98.3249543477765</v>
      </c>
      <c r="M6423" s="38" t="n">
        <f aca="false">Sens!$M$6422-Sens!$M$6421</f>
        <v>-182.708136073434</v>
      </c>
    </row>
    <row r="6424" customFormat="false" ht="17.15" hidden="false" customHeight="false" outlineLevel="0" collapsed="false">
      <c r="A6424" s="5" t="s">
        <v>755</v>
      </c>
      <c r="B6424" s="0" t="s">
        <v>73</v>
      </c>
      <c r="F6424" s="38" t="n">
        <f aca="false">debt_q2*kd_book*0.5+iss_2h26*kd_new*0.25</f>
        <v>3.24888964316061</v>
      </c>
      <c r="H6424" s="38" t="n">
        <f aca="false">debt_q2*kd_book+(Sens!$G$6422-debt_q2)*kd_new</f>
        <v>7.42354178632123</v>
      </c>
      <c r="I6424" s="38" t="n">
        <f aca="false">debt_q2*kd_book+(Sens!$H$6422-debt_q2)*kd_new</f>
        <v>7.51827597635917</v>
      </c>
      <c r="J6424" s="38" t="n">
        <f aca="false">debt_q2*kd_book+(Sens!$I$6422-debt_q2)*kd_new</f>
        <v>7.76994062068418</v>
      </c>
      <c r="K6424" s="38" t="n">
        <f aca="false">debt_q2*kd_book+(Sens!$J$6422-debt_q2)*kd_new</f>
        <v>7.76994062068418</v>
      </c>
      <c r="L6424" s="38" t="n">
        <f aca="false">debt_q2*kd_book+(Sens!$K$6422-debt_q2)*kd_new</f>
        <v>7.76994062068418</v>
      </c>
      <c r="M6424" s="38" t="n">
        <f aca="false">debt_q2*kd_book+(Sens!$L$6422-debt_q2)*kd_new</f>
        <v>7.76994062068418</v>
      </c>
    </row>
    <row r="6425" customFormat="false" ht="17.15" hidden="false" customHeight="false" outlineLevel="0" collapsed="false">
      <c r="A6425" s="5" t="s">
        <v>756</v>
      </c>
      <c r="B6425" s="0" t="s">
        <v>73</v>
      </c>
      <c r="F6425" s="38" t="n">
        <f aca="false">cash_q2*y_cash*0.5</f>
        <v>2.59</v>
      </c>
      <c r="H6425" s="38" t="n">
        <f aca="false">Sens!$G$6421*y_cash</f>
        <v>4.00971603121774</v>
      </c>
      <c r="I6425" s="38" t="n">
        <f aca="false">Sens!$H$6421*y_cash</f>
        <v>2.10589651022864</v>
      </c>
      <c r="J6425" s="38" t="n">
        <f aca="false">Sens!$I$6421*y_cash</f>
        <v>2.10589651022864</v>
      </c>
      <c r="K6425" s="38" t="n">
        <f aca="false">Sens!$J$6421*y_cash</f>
        <v>3.77985822695893</v>
      </c>
      <c r="L6425" s="38" t="n">
        <f aca="false">Sens!$K$6421*y_cash</f>
        <v>7.24081936505971</v>
      </c>
      <c r="M6425" s="38" t="n">
        <f aca="false">Sens!$L$6421*y_cash</f>
        <v>11.205150593419</v>
      </c>
    </row>
    <row r="6426" customFormat="false" ht="17.15" hidden="false" customHeight="false" outlineLevel="0" collapsed="false">
      <c r="A6426" s="46" t="s">
        <v>757</v>
      </c>
      <c r="B6426" s="13" t="s">
        <v>73</v>
      </c>
      <c r="C6426" s="13"/>
      <c r="D6426" s="13"/>
      <c r="E6426" s="13"/>
      <c r="F6426" s="13"/>
      <c r="G6426" s="47" t="n">
        <f aca="false">SUM(Sens!$G$6415:$K$6415)</f>
        <v>9.81640432587554</v>
      </c>
      <c r="H6426" s="13"/>
      <c r="I6426" s="13"/>
      <c r="J6426" s="13"/>
      <c r="K6426" s="13"/>
      <c r="L6426" s="13"/>
      <c r="M6426" s="13"/>
      <c r="N6426" s="13"/>
      <c r="O6426" s="13"/>
    </row>
    <row r="6427" customFormat="false" ht="17.15" hidden="false" customHeight="false" outlineLevel="0" collapsed="false">
      <c r="A6427" s="0" t="s">
        <v>724</v>
      </c>
      <c r="B6427" s="0" t="s">
        <v>73</v>
      </c>
      <c r="G6427" s="38" t="n">
        <f aca="false">SUM(Sens!$G$6420:$K$6420)</f>
        <v>5.47233545597079</v>
      </c>
    </row>
    <row r="6430" customFormat="false" ht="19.4" hidden="false" customHeight="false" outlineLevel="0" collapsed="false">
      <c r="A6430" s="31" t="s">
        <v>1184</v>
      </c>
    </row>
    <row r="6431" customFormat="false" ht="17.15" hidden="false" customHeight="false" outlineLevel="0" collapsed="false">
      <c r="A6431" s="6" t="s">
        <v>16</v>
      </c>
      <c r="B6431" s="6" t="s">
        <v>17</v>
      </c>
      <c r="C6431" s="20" t="s">
        <v>457</v>
      </c>
      <c r="D6431" s="20" t="s">
        <v>458</v>
      </c>
      <c r="E6431" s="20" t="s">
        <v>540</v>
      </c>
      <c r="F6431" s="20" t="s">
        <v>541</v>
      </c>
      <c r="G6431" s="20" t="s">
        <v>542</v>
      </c>
      <c r="H6431" s="20" t="s">
        <v>543</v>
      </c>
      <c r="I6431" s="20" t="s">
        <v>544</v>
      </c>
      <c r="J6431" s="20" t="s">
        <v>545</v>
      </c>
      <c r="K6431" s="20" t="s">
        <v>546</v>
      </c>
      <c r="L6431" s="20" t="s">
        <v>547</v>
      </c>
      <c r="M6431" s="20" t="s">
        <v>548</v>
      </c>
      <c r="N6431" s="20" t="s">
        <v>549</v>
      </c>
      <c r="O6431" s="20" t="s">
        <v>550</v>
      </c>
      <c r="P6431" s="6" t="s">
        <v>23</v>
      </c>
      <c r="R6431" s="20" t="n">
        <v>2023</v>
      </c>
      <c r="S6431" s="20" t="n">
        <v>2024</v>
      </c>
      <c r="T6431" s="20" t="n">
        <v>2025</v>
      </c>
      <c r="U6431" s="20" t="n">
        <v>2026</v>
      </c>
      <c r="V6431" s="20" t="n">
        <v>2027</v>
      </c>
      <c r="W6431" s="20" t="n">
        <v>2028</v>
      </c>
      <c r="X6431" s="20" t="n">
        <v>2029</v>
      </c>
      <c r="Y6431" s="20" t="n">
        <v>2030</v>
      </c>
      <c r="Z6431" s="20" t="n">
        <v>2031</v>
      </c>
      <c r="AA6431" s="20" t="n">
        <v>2032</v>
      </c>
    </row>
    <row r="6432" customFormat="false" ht="17.15" hidden="false" customHeight="false" outlineLevel="0" collapsed="false">
      <c r="A6432" s="1" t="s">
        <v>852</v>
      </c>
    </row>
    <row r="6433" customFormat="false" ht="17.15" hidden="false" customHeight="false" outlineLevel="0" collapsed="false">
      <c r="A6433" s="0" t="s">
        <v>853</v>
      </c>
      <c r="B6433" s="0" t="s">
        <v>73</v>
      </c>
      <c r="H6433" s="38" t="n">
        <f aca="false">Sens!$H$6369*(1-tax)</f>
        <v>112.093921330558</v>
      </c>
      <c r="I6433" s="38" t="n">
        <f aca="false">Sens!$I$6369*(1-tax)</f>
        <v>132.779045500917</v>
      </c>
      <c r="J6433" s="38" t="n">
        <f aca="false">Sens!$J$6369*(1-tax)</f>
        <v>151.181555485193</v>
      </c>
      <c r="K6433" s="38" t="n">
        <f aca="false">Sens!$K$6369*(1-tax)</f>
        <v>166.036468953087</v>
      </c>
      <c r="L6433" s="38" t="n">
        <f aca="false">Sens!$L$6369*(1-tax)</f>
        <v>182.348678369869</v>
      </c>
      <c r="M6433" s="38" t="n">
        <f aca="false">Sens!$M$6369*(1-tax)</f>
        <v>199.243892383632</v>
      </c>
    </row>
    <row r="6434" customFormat="false" ht="15" hidden="false" customHeight="false" outlineLevel="0" collapsed="false">
      <c r="A6434" s="5" t="s">
        <v>854</v>
      </c>
      <c r="B6434" s="0" t="s">
        <v>73</v>
      </c>
      <c r="H6434" s="38" t="n">
        <f aca="false">Sens!$H$6381</f>
        <v>87.6845218193838</v>
      </c>
      <c r="I6434" s="38" t="n">
        <f aca="false">Sens!$I$6381</f>
        <v>122.294769708638</v>
      </c>
      <c r="J6434" s="38" t="n">
        <f aca="false">Sens!$J$6381</f>
        <v>157.133962573221</v>
      </c>
      <c r="K6434" s="38" t="n">
        <f aca="false">Sens!$K$6381</f>
        <v>191.350633353599</v>
      </c>
      <c r="L6434" s="38" t="n">
        <f aca="false">Sens!$L$6381</f>
        <v>223.909238335354</v>
      </c>
      <c r="M6434" s="38" t="n">
        <f aca="false">Sens!$M$6381</f>
        <v>257.576319867276</v>
      </c>
    </row>
    <row r="6435" customFormat="false" ht="15" hidden="false" customHeight="false" outlineLevel="0" collapsed="false">
      <c r="A6435" s="5" t="s">
        <v>855</v>
      </c>
      <c r="B6435" s="0" t="s">
        <v>73</v>
      </c>
      <c r="H6435" s="38" t="n">
        <f aca="false">Sens!$H$6410</f>
        <v>277.870120501355</v>
      </c>
      <c r="I6435" s="38" t="n">
        <f aca="false">Sens!$I$6410</f>
        <v>293.934464585378</v>
      </c>
      <c r="J6435" s="38" t="n">
        <f aca="false">Sens!$J$6410</f>
        <v>308.06904811359</v>
      </c>
      <c r="K6435" s="38" t="n">
        <f aca="false">Sens!$K$6410</f>
        <v>320.385735318248</v>
      </c>
      <c r="L6435" s="38" t="n">
        <f aca="false">Sens!$L$6410</f>
        <v>364.65641921833</v>
      </c>
      <c r="M6435" s="38" t="n">
        <f aca="false">Sens!$M$6410</f>
        <v>432.943173024858</v>
      </c>
    </row>
    <row r="6436" customFormat="false" ht="15" hidden="false" customHeight="false" outlineLevel="0" collapsed="false">
      <c r="A6436" s="5" t="s">
        <v>856</v>
      </c>
      <c r="B6436" s="0" t="s">
        <v>73</v>
      </c>
      <c r="H6436" s="38" t="n">
        <f aca="false">Sens!$H$6411</f>
        <v>1.6</v>
      </c>
      <c r="I6436" s="38" t="n">
        <f aca="false">Sens!$I$6411</f>
        <v>1.6</v>
      </c>
      <c r="J6436" s="38" t="n">
        <f aca="false">Sens!$J$6411</f>
        <v>1.6</v>
      </c>
      <c r="K6436" s="38" t="n">
        <f aca="false">Sens!$K$6411</f>
        <v>1.6</v>
      </c>
      <c r="L6436" s="38" t="n">
        <f aca="false">Sens!$L$6411</f>
        <v>1.6</v>
      </c>
      <c r="M6436" s="38" t="n">
        <f aca="false">Sens!$M$6411</f>
        <v>1.6</v>
      </c>
    </row>
    <row r="6437" customFormat="false" ht="15" hidden="false" customHeight="false" outlineLevel="0" collapsed="false">
      <c r="A6437" s="5" t="s">
        <v>857</v>
      </c>
      <c r="B6437" s="0" t="s">
        <v>73</v>
      </c>
      <c r="H6437" s="38" t="n">
        <f aca="false">Sens!$H$6405</f>
        <v>11.6369707537667</v>
      </c>
      <c r="I6437" s="38" t="n">
        <f aca="false">Sens!$I$6405</f>
        <v>13.3082502961262</v>
      </c>
      <c r="J6437" s="38" t="n">
        <f aca="false">Sens!$J$6405</f>
        <v>14.8747965344332</v>
      </c>
      <c r="K6437" s="38" t="n">
        <f aca="false">Sens!$K$6405</f>
        <v>16.2687901804328</v>
      </c>
      <c r="L6437" s="38" t="n">
        <f aca="false">Sens!$L$6405</f>
        <v>17.7280727627002</v>
      </c>
      <c r="M6437" s="38" t="n">
        <f aca="false">Sens!$M$6405</f>
        <v>19.2574690270319</v>
      </c>
    </row>
    <row r="6438" customFormat="false" ht="17.15" hidden="false" customHeight="false" outlineLevel="0" collapsed="false">
      <c r="A6438" s="1" t="s">
        <v>858</v>
      </c>
      <c r="B6438" s="8" t="s">
        <v>73</v>
      </c>
      <c r="H6438" s="38" t="n">
        <f aca="false">Sens!$H$6433+Sens!$H$6434-Sens!$H$6435-Sens!$H$6436+Sens!$H$6437</f>
        <v>-68.0547065976468</v>
      </c>
      <c r="I6438" s="38" t="n">
        <f aca="false">Sens!$I$6433+Sens!$I$6434-Sens!$I$6435-Sens!$I$6436+Sens!$I$6437</f>
        <v>-27.1523990796972</v>
      </c>
      <c r="J6438" s="38" t="n">
        <f aca="false">Sens!$J$6433+Sens!$J$6434-Sens!$J$6435-Sens!$J$6436+Sens!$J$6437</f>
        <v>13.5212664792573</v>
      </c>
      <c r="K6438" s="38" t="n">
        <f aca="false">Sens!$K$6433+Sens!$K$6434-Sens!$K$6435-Sens!$K$6436+Sens!$K$6437</f>
        <v>51.6701571688709</v>
      </c>
      <c r="L6438" s="38" t="n">
        <f aca="false">Sens!$L$6433+Sens!$L$6434-Sens!$L$6435-Sens!$L$6436+Sens!$L$6437</f>
        <v>57.7295702495933</v>
      </c>
      <c r="M6438" s="38" t="n">
        <f aca="false">Sens!$M$6433+Sens!$M$6434-Sens!$M$6435-Sens!$M$6436+Sens!$M$6437</f>
        <v>41.534508253082</v>
      </c>
    </row>
    <row r="6439" customFormat="false" ht="15" hidden="false" customHeight="false" outlineLevel="0" collapsed="false">
      <c r="A6439" s="5" t="s">
        <v>859</v>
      </c>
      <c r="B6439" s="0" t="s">
        <v>57</v>
      </c>
      <c r="H6439" s="51" t="n">
        <f aca="false">1/(1+wacc)^(2027-2026-0.5)</f>
        <v>0.942858177653364</v>
      </c>
      <c r="I6439" s="51" t="n">
        <f aca="false">1/(1+wacc)^(2028-2026-0.5)</f>
        <v>0.838183517758688</v>
      </c>
      <c r="J6439" s="51" t="n">
        <f aca="false">1/(1+wacc)^(2029-2026-0.5)</f>
        <v>0.745129677074952</v>
      </c>
      <c r="K6439" s="51" t="n">
        <f aca="false">1/(1+wacc)^(2030-2026-0.5)</f>
        <v>0.662406530186232</v>
      </c>
      <c r="L6439" s="51" t="n">
        <f aca="false">1/(1+wacc)^(2031-2026-0.5)</f>
        <v>0.588867179409399</v>
      </c>
      <c r="M6439" s="51" t="n">
        <f aca="false">1/(1+wacc)^(2032-2026-0.5)</f>
        <v>0.52349205387225</v>
      </c>
    </row>
    <row r="6440" customFormat="false" ht="15" hidden="false" customHeight="false" outlineLevel="0" collapsed="false">
      <c r="A6440" s="5" t="s">
        <v>860</v>
      </c>
      <c r="B6440" s="0" t="s">
        <v>73</v>
      </c>
      <c r="H6440" s="38" t="n">
        <f aca="false">Sens!$H$6438*Sens!$H$6439</f>
        <v>-64.1659366433916</v>
      </c>
      <c r="I6440" s="38" t="n">
        <f aca="false">Sens!$I$6438*Sens!$I$6439</f>
        <v>-22.7586933762084</v>
      </c>
      <c r="J6440" s="38" t="n">
        <f aca="false">Sens!$J$6438*Sens!$J$6439</f>
        <v>10.0750969253334</v>
      </c>
      <c r="K6440" s="38" t="n">
        <f aca="false">Sens!$K$6438*Sens!$K$6439</f>
        <v>34.226649524409</v>
      </c>
      <c r="L6440" s="38" t="n">
        <f aca="false">Sens!$L$6438*Sens!$L$6439</f>
        <v>33.9950492013948</v>
      </c>
      <c r="M6440" s="38" t="n">
        <f aca="false">Sens!$M$6438*Sens!$M$6439</f>
        <v>21.7429850319798</v>
      </c>
    </row>
    <row r="6441" customFormat="false" ht="15" hidden="false" customHeight="false" outlineLevel="0" collapsed="false">
      <c r="A6441" s="5" t="s">
        <v>861</v>
      </c>
      <c r="B6441" s="0" t="s">
        <v>73</v>
      </c>
      <c r="C6441" s="38" t="n">
        <f aca="false">SUM(Sens!$H$6440:$M$6440)</f>
        <v>13.115150663517</v>
      </c>
    </row>
    <row r="6442" customFormat="false" ht="17.15" hidden="false" customHeight="false" outlineLevel="0" collapsed="false">
      <c r="A6442" s="5" t="s">
        <v>862</v>
      </c>
      <c r="B6442" s="0" t="s">
        <v>73</v>
      </c>
      <c r="C6442" s="38" t="n">
        <f aca="false">Sens!$M$6433*(1+tg)*(1-tg/ronic)/(wacc-tg)</f>
        <v>1643.3111431308</v>
      </c>
    </row>
    <row r="6443" customFormat="false" ht="15" hidden="false" customHeight="false" outlineLevel="0" collapsed="false">
      <c r="A6443" s="5" t="s">
        <v>863</v>
      </c>
      <c r="B6443" s="0" t="s">
        <v>73</v>
      </c>
      <c r="C6443" s="38" t="n">
        <f aca="false">Sens!$C$6442/(1+wacc)^6</f>
        <v>811.103482778908</v>
      </c>
    </row>
    <row r="6444" customFormat="false" ht="17.15" hidden="false" customHeight="false" outlineLevel="0" collapsed="false">
      <c r="A6444" s="5" t="s">
        <v>864</v>
      </c>
      <c r="B6444" s="0" t="s">
        <v>73</v>
      </c>
      <c r="C6444" s="38" t="n">
        <f aca="false">Sens!$C$6441+Sens!$C$6443</f>
        <v>824.218633442425</v>
      </c>
    </row>
    <row r="6445" customFormat="false" ht="17.15" hidden="false" customHeight="false" outlineLevel="0" collapsed="false">
      <c r="A6445" s="5" t="s">
        <v>865</v>
      </c>
      <c r="B6445" s="0" t="s">
        <v>52</v>
      </c>
      <c r="C6445" s="12" t="n">
        <f aca="false">Sens!$C$6443/Sens!$C$6444</f>
        <v>0.984087777039521</v>
      </c>
    </row>
    <row r="6446" customFormat="false" ht="17.15" hidden="false" customHeight="false" outlineLevel="0" collapsed="false">
      <c r="A6446" s="5" t="s">
        <v>866</v>
      </c>
      <c r="B6446" s="0" t="s">
        <v>73</v>
      </c>
      <c r="C6446" s="38" t="n">
        <f aca="false">Sens!$G$6423</f>
        <v>67.0428850873731</v>
      </c>
    </row>
    <row r="6447" customFormat="false" ht="17.15" hidden="false" customHeight="false" outlineLevel="0" collapsed="false">
      <c r="A6447" s="5" t="s">
        <v>867</v>
      </c>
      <c r="B6447" s="0" t="s">
        <v>73</v>
      </c>
      <c r="C6447" s="38" t="n">
        <f aca="false">(ant_val*ant_sh_lo+oai_val*oai_sh)*(1-liq_disc)</f>
        <v>155.784</v>
      </c>
    </row>
    <row r="6448" customFormat="false" ht="15" hidden="false" customHeight="false" outlineLevel="0" collapsed="false">
      <c r="A6448" s="5" t="s">
        <v>868</v>
      </c>
      <c r="B6448" s="0" t="s">
        <v>73</v>
      </c>
      <c r="C6448" s="38" t="n">
        <f aca="false">Sens!$C$6444-Sens!$C$6446+Sens!$C$6447</f>
        <v>912.959748355051</v>
      </c>
    </row>
    <row r="6449" customFormat="false" ht="17.15" hidden="false" customHeight="false" outlineLevel="0" collapsed="false">
      <c r="A6449" s="5" t="s">
        <v>869</v>
      </c>
      <c r="B6449" s="0" t="s">
        <v>27</v>
      </c>
      <c r="C6449" s="30" t="n">
        <f aca="false">Sens!$C$6448/sh_val</f>
        <v>82.7682465209106</v>
      </c>
    </row>
    <row r="6450" customFormat="false" ht="17.15" hidden="false" customHeight="false" outlineLevel="0" collapsed="false">
      <c r="A6450" s="1" t="s">
        <v>870</v>
      </c>
      <c r="B6450" s="8" t="s">
        <v>27</v>
      </c>
      <c r="C6450" s="30" t="n">
        <f aca="false">Sens!$C$6449*(1+ke)^tp_yf</f>
        <v>91.4129694422764</v>
      </c>
    </row>
    <row r="6451" customFormat="false" ht="17.15" hidden="false" customHeight="false" outlineLevel="0" collapsed="false">
      <c r="A6451" s="3" t="s">
        <v>871</v>
      </c>
    </row>
    <row r="6452" customFormat="false" ht="17.15" hidden="false" customHeight="false" outlineLevel="0" collapsed="false">
      <c r="A6452" s="5" t="s">
        <v>872</v>
      </c>
      <c r="B6452" s="0" t="s">
        <v>73</v>
      </c>
      <c r="C6452" s="38" t="n">
        <f aca="false">0.25*Sens!$H$6382+0.75*Sens!$I$6382</f>
        <v>57.5541093268329</v>
      </c>
    </row>
    <row r="6453" customFormat="false" ht="15" hidden="false" customHeight="false" outlineLevel="0" collapsed="false">
      <c r="A6453" s="5" t="s">
        <v>873</v>
      </c>
      <c r="B6453" s="0" t="s">
        <v>57</v>
      </c>
      <c r="C6453" s="30" t="n">
        <f aca="false">m_ads*m_x</f>
        <v>9.11</v>
      </c>
    </row>
    <row r="6454" customFormat="false" ht="17.15" hidden="false" customHeight="false" outlineLevel="0" collapsed="false">
      <c r="A6454" s="5" t="s">
        <v>874</v>
      </c>
      <c r="B6454" s="0" t="s">
        <v>73</v>
      </c>
      <c r="C6454" s="38" t="n">
        <f aca="false">Sens!$C$6452*Sens!$C$6453</f>
        <v>524.317935967448</v>
      </c>
    </row>
    <row r="6455" customFormat="false" ht="17.15" hidden="false" customHeight="false" outlineLevel="0" collapsed="false">
      <c r="A6455" s="5" t="s">
        <v>875</v>
      </c>
      <c r="B6455" s="0" t="s">
        <v>73</v>
      </c>
      <c r="C6455" s="38" t="n">
        <f aca="false">0.25*Sens!$H$6383+0.75*Sens!$I$6383</f>
        <v>30.6290803533085</v>
      </c>
    </row>
    <row r="6456" customFormat="false" ht="15" hidden="false" customHeight="false" outlineLevel="0" collapsed="false">
      <c r="A6456" s="5" t="s">
        <v>876</v>
      </c>
      <c r="B6456" s="0" t="s">
        <v>57</v>
      </c>
      <c r="C6456" s="30" t="n">
        <f aca="false">m_retail*m_x</f>
        <v>17.72</v>
      </c>
    </row>
    <row r="6457" customFormat="false" ht="17.15" hidden="false" customHeight="false" outlineLevel="0" collapsed="false">
      <c r="A6457" s="5" t="s">
        <v>877</v>
      </c>
      <c r="B6457" s="0" t="s">
        <v>73</v>
      </c>
      <c r="C6457" s="38" t="n">
        <f aca="false">Sens!$C$6455*Sens!$C$6456</f>
        <v>542.747303860627</v>
      </c>
    </row>
    <row r="6458" customFormat="false" ht="17.15" hidden="false" customHeight="false" outlineLevel="0" collapsed="false">
      <c r="A6458" s="0" t="s">
        <v>878</v>
      </c>
      <c r="B6458" s="0" t="s">
        <v>73</v>
      </c>
      <c r="C6458" s="38" t="n">
        <f aca="false">0.25*Sens!$H$6384+0.75*Sens!$I$6384</f>
        <v>107.575398943098</v>
      </c>
    </row>
    <row r="6459" customFormat="false" ht="17.15" hidden="false" customHeight="false" outlineLevel="0" collapsed="false">
      <c r="A6459" s="0" t="s">
        <v>879</v>
      </c>
      <c r="B6459" s="0" t="s">
        <v>57</v>
      </c>
      <c r="C6459" s="30" t="n">
        <f aca="false">m_cloud*m_x</f>
        <v>13.82</v>
      </c>
    </row>
    <row r="6460" customFormat="false" ht="17.15" hidden="false" customHeight="false" outlineLevel="0" collapsed="false">
      <c r="A6460" s="0" t="s">
        <v>880</v>
      </c>
      <c r="B6460" s="0" t="s">
        <v>73</v>
      </c>
      <c r="C6460" s="38" t="n">
        <f aca="false">Sens!$C$6458*Sens!$C$6459</f>
        <v>1486.69201339361</v>
      </c>
    </row>
    <row r="6461" customFormat="false" ht="17.15" hidden="false" customHeight="false" outlineLevel="0" collapsed="false">
      <c r="A6461" s="0" t="s">
        <v>881</v>
      </c>
      <c r="B6461" s="0" t="s">
        <v>73</v>
      </c>
      <c r="C6461" s="38" t="n">
        <f aca="false">0.25*Sens!$H$6385+0.75*Sens!$I$6385</f>
        <v>72.2947701247864</v>
      </c>
    </row>
    <row r="6462" customFormat="false" ht="17.15" hidden="false" customHeight="false" outlineLevel="0" collapsed="false">
      <c r="A6462" s="0" t="s">
        <v>882</v>
      </c>
      <c r="B6462" s="0" t="s">
        <v>57</v>
      </c>
      <c r="C6462" s="30" t="n">
        <f aca="false">m_ai</f>
        <v>6</v>
      </c>
    </row>
    <row r="6463" customFormat="false" ht="17.15" hidden="false" customHeight="false" outlineLevel="0" collapsed="false">
      <c r="A6463" s="0" t="s">
        <v>883</v>
      </c>
      <c r="B6463" s="0" t="s">
        <v>73</v>
      </c>
      <c r="C6463" s="38" t="n">
        <f aca="false">Sens!$C$6461*Sens!$C$6462</f>
        <v>433.768620748718</v>
      </c>
    </row>
    <row r="6464" customFormat="false" ht="17.15" hidden="false" customHeight="false" outlineLevel="0" collapsed="false">
      <c r="A6464" s="5" t="s">
        <v>884</v>
      </c>
      <c r="B6464" s="0" t="s">
        <v>73</v>
      </c>
      <c r="C6464" s="38" t="n">
        <f aca="false">Sens!$C$6454+Sens!$C$6457+Sens!$C$6460+Sens!$C$6463</f>
        <v>2987.5258739704</v>
      </c>
    </row>
    <row r="6465" customFormat="false" ht="17.15" hidden="false" customHeight="false" outlineLevel="0" collapsed="false">
      <c r="A6465" s="5" t="s">
        <v>885</v>
      </c>
      <c r="B6465" s="0" t="s">
        <v>73</v>
      </c>
      <c r="C6465" s="38" t="n">
        <f aca="false">Sens!$H$6423</f>
        <v>113.741590679904</v>
      </c>
    </row>
    <row r="6466" customFormat="false" ht="15" hidden="false" customHeight="false" outlineLevel="0" collapsed="false">
      <c r="A6466" s="5" t="s">
        <v>886</v>
      </c>
      <c r="B6466" s="0" t="s">
        <v>73</v>
      </c>
      <c r="C6466" s="38" t="n">
        <f aca="false">Sens!$C$6464-Sens!$C$6465+Sens!$C$6447</f>
        <v>3029.5682832905</v>
      </c>
    </row>
    <row r="6467" customFormat="false" ht="15" hidden="false" customHeight="false" outlineLevel="0" collapsed="false">
      <c r="A6467" s="3" t="s">
        <v>887</v>
      </c>
      <c r="B6467" s="8" t="s">
        <v>27</v>
      </c>
      <c r="C6467" s="30" t="n">
        <f aca="false">Sens!$C$6466/sh_val</f>
        <v>274.658389896289</v>
      </c>
    </row>
    <row r="6468" customFormat="false" ht="17.15" hidden="false" customHeight="false" outlineLevel="0" collapsed="false">
      <c r="A6468" s="46" t="s">
        <v>888</v>
      </c>
      <c r="B6468" s="13" t="s">
        <v>27</v>
      </c>
      <c r="C6468" s="43" t="n">
        <f aca="false">w_dcf*Sens!$C$6450+(1-w_dcf)*Sens!$C$6467</f>
        <v>183.035679669283</v>
      </c>
      <c r="D6468" s="13"/>
      <c r="E6468" s="13"/>
      <c r="F6468" s="13"/>
      <c r="G6468" s="13"/>
      <c r="H6468" s="13"/>
      <c r="I6468" s="13"/>
      <c r="J6468" s="13"/>
      <c r="K6468" s="13"/>
      <c r="L6468" s="13"/>
      <c r="M6468" s="13"/>
      <c r="N6468" s="13"/>
      <c r="O6468" s="13"/>
    </row>
    <row r="6469" customFormat="false" ht="17.15" hidden="false" customHeight="false" outlineLevel="0" collapsed="false">
      <c r="A6469" s="5" t="s">
        <v>889</v>
      </c>
      <c r="B6469" s="0" t="s">
        <v>27</v>
      </c>
      <c r="C6469" s="30" t="n">
        <f aca="false">0.45*Sens!$C$6450+0.55*Sens!$C$6467</f>
        <v>192.197950691984</v>
      </c>
    </row>
    <row r="6472" customFormat="false" ht="19.4" hidden="false" customHeight="false" outlineLevel="0" collapsed="false">
      <c r="A6472" s="31" t="s">
        <v>1185</v>
      </c>
    </row>
    <row r="6473" customFormat="false" ht="17.15" hidden="false" customHeight="false" outlineLevel="0" collapsed="false">
      <c r="A6473" s="6" t="s">
        <v>16</v>
      </c>
      <c r="B6473" s="6" t="s">
        <v>17</v>
      </c>
      <c r="C6473" s="20" t="s">
        <v>457</v>
      </c>
      <c r="D6473" s="20" t="s">
        <v>458</v>
      </c>
      <c r="E6473" s="20" t="s">
        <v>540</v>
      </c>
      <c r="F6473" s="20" t="s">
        <v>541</v>
      </c>
      <c r="G6473" s="20" t="s">
        <v>542</v>
      </c>
      <c r="H6473" s="20" t="s">
        <v>543</v>
      </c>
      <c r="I6473" s="20" t="s">
        <v>544</v>
      </c>
      <c r="J6473" s="20" t="s">
        <v>545</v>
      </c>
      <c r="K6473" s="20" t="s">
        <v>546</v>
      </c>
      <c r="L6473" s="20" t="s">
        <v>547</v>
      </c>
      <c r="M6473" s="20" t="s">
        <v>548</v>
      </c>
      <c r="N6473" s="20" t="s">
        <v>549</v>
      </c>
      <c r="O6473" s="20" t="s">
        <v>550</v>
      </c>
      <c r="P6473" s="6" t="s">
        <v>23</v>
      </c>
      <c r="R6473" s="20" t="n">
        <v>2023</v>
      </c>
      <c r="S6473" s="20" t="n">
        <v>2024</v>
      </c>
      <c r="T6473" s="20" t="n">
        <v>2025</v>
      </c>
      <c r="U6473" s="20" t="n">
        <v>2026</v>
      </c>
      <c r="V6473" s="20" t="n">
        <v>2027</v>
      </c>
      <c r="W6473" s="20" t="n">
        <v>2028</v>
      </c>
      <c r="X6473" s="20" t="n">
        <v>2029</v>
      </c>
      <c r="Y6473" s="20" t="n">
        <v>2030</v>
      </c>
      <c r="Z6473" s="20" t="n">
        <v>2031</v>
      </c>
      <c r="AA6473" s="20" t="n">
        <v>2032</v>
      </c>
    </row>
    <row r="6474" customFormat="false" ht="17.15" hidden="false" customHeight="false" outlineLevel="0" collapsed="false">
      <c r="A6474" s="1" t="s">
        <v>621</v>
      </c>
    </row>
    <row r="6475" customFormat="false" ht="17.15" hidden="false" customHeight="false" outlineLevel="0" collapsed="false">
      <c r="A6475" s="0" t="s">
        <v>479</v>
      </c>
      <c r="B6475" s="0" t="s">
        <v>73</v>
      </c>
      <c r="C6475" s="38" t="n">
        <f aca="false">Q!$D$10</f>
        <v>247.029</v>
      </c>
      <c r="D6475" s="38" t="n">
        <f aca="false">Q!$E$10</f>
        <v>269.287</v>
      </c>
      <c r="E6475" s="38" t="n">
        <f aca="false">Q!$P$10</f>
        <v>134.686</v>
      </c>
      <c r="F6475" s="38" t="n">
        <f aca="false">Sens!$O$6475*(1+Sens!$F$6476)-pd_amt*Q!$O$10/(Q!$O$10+Q!$O$12)</f>
        <v>160.728085930082</v>
      </c>
      <c r="G6475" s="38" t="n">
        <f aca="false">Sens!$E$6475+Sens!$F$6475</f>
        <v>295.414085930082</v>
      </c>
      <c r="H6475" s="38" t="n">
        <f aca="false">Sens!$G$6475*(1+Sens!$H$6476)</f>
        <v>320.828163943375</v>
      </c>
      <c r="I6475" s="38" t="n">
        <f aca="false">Sens!$H$6475*(1+Sens!$I$6476)</f>
        <v>344.575578072228</v>
      </c>
      <c r="J6475" s="38" t="n">
        <f aca="false">Sens!$I$6475*(1+Sens!$J$6476)</f>
        <v>365.942555779681</v>
      </c>
      <c r="K6475" s="38" t="n">
        <f aca="false">Sens!$J$6475*(1+Sens!$K$6476)</f>
        <v>384.239683568665</v>
      </c>
      <c r="L6475" s="38" t="n">
        <f aca="false">Sens!$K$6475*(1+Sens!$L$6476)</f>
        <v>403.451667747098</v>
      </c>
      <c r="M6475" s="38" t="n">
        <f aca="false">Sens!$L$6475*(1+Sens!$M$6476)</f>
        <v>423.624251134453</v>
      </c>
      <c r="N6475" s="38" t="n">
        <f aca="false">Q!$N$10</f>
        <v>118.892</v>
      </c>
      <c r="O6475" s="38" t="n">
        <f aca="false">Q!$O$10</f>
        <v>150.395</v>
      </c>
      <c r="P6475" s="8" t="s">
        <v>622</v>
      </c>
    </row>
    <row r="6476" customFormat="false" ht="17.15" hidden="false" customHeight="false" outlineLevel="0" collapsed="false">
      <c r="A6476" s="0" t="s">
        <v>623</v>
      </c>
      <c r="B6476" s="0" t="s">
        <v>52</v>
      </c>
      <c r="E6476" s="12" t="n">
        <f aca="false">Sens!$E$6475/Sens!$N$6475-1</f>
        <v>0.132843252699929</v>
      </c>
      <c r="F6476" s="12" t="n">
        <f aca="false">Sens!$O$6475/(Q!$F$10+Q!$G$10)-1</f>
        <v>0.0980382135842941</v>
      </c>
      <c r="G6476" s="12" t="n">
        <f aca="false">Sens!$G$6475/Sens!$D$6475-1</f>
        <v>0.0970231980380869</v>
      </c>
      <c r="H6476" s="12" t="n">
        <f aca="false">Sens!$F$6476+(g_os-Sens!$F$6476)*1/4</f>
        <v>0.0860286601882206</v>
      </c>
      <c r="I6476" s="12" t="n">
        <f aca="false">Sens!$F$6476+(g_os-Sens!$F$6476)*2/4</f>
        <v>0.074019106792147</v>
      </c>
      <c r="J6476" s="12" t="n">
        <f aca="false">Sens!$F$6476+(g_os-Sens!$F$6476)*3/4</f>
        <v>0.0620095533960735</v>
      </c>
      <c r="K6476" s="12" t="n">
        <f aca="false">Sens!$F$6476+(g_os-Sens!$F$6476)*4/4</f>
        <v>0.05</v>
      </c>
      <c r="L6476" s="12" t="n">
        <f aca="false">g_os</f>
        <v>0.05</v>
      </c>
      <c r="M6476" s="12" t="n">
        <f aca="false">g_os</f>
        <v>0.05</v>
      </c>
      <c r="P6476" s="8" t="s">
        <v>624</v>
      </c>
    </row>
    <row r="6477" customFormat="false" ht="17.15" hidden="false" customHeight="false" outlineLevel="0" collapsed="false">
      <c r="A6477" s="0" t="s">
        <v>480</v>
      </c>
      <c r="B6477" s="0" t="s">
        <v>73</v>
      </c>
      <c r="C6477" s="38" t="n">
        <f aca="false">Q!$D$11</f>
        <v>21.215</v>
      </c>
      <c r="D6477" s="38" t="n">
        <f aca="false">Q!$E$11</f>
        <v>22.561</v>
      </c>
      <c r="E6477" s="38" t="n">
        <f aca="false">Q!$P$11</f>
        <v>11.579</v>
      </c>
      <c r="F6477" s="38" t="n">
        <f aca="false">Sens!$O$6477*(1+Sens!$F$6478)</f>
        <v>12.0952613121125</v>
      </c>
      <c r="G6477" s="38" t="n">
        <f aca="false">Sens!$E$6477+Sens!$F$6477</f>
        <v>23.6742613121125</v>
      </c>
      <c r="H6477" s="38" t="n">
        <f aca="false">Sens!$G$6477*(1+Sens!$H$6478)</f>
        <v>24.8803243963206</v>
      </c>
      <c r="I6477" s="38" t="n">
        <f aca="false">Sens!$H$6477*(1+Sens!$I$6478)</f>
        <v>25.9741308664154</v>
      </c>
      <c r="J6477" s="38" t="n">
        <f aca="false">Sens!$I$6477*(1+Sens!$J$6478)</f>
        <v>26.9346894124267</v>
      </c>
      <c r="K6477" s="38" t="n">
        <f aca="false">Sens!$J$6477*(1+Sens!$K$6478)</f>
        <v>27.7427300947995</v>
      </c>
      <c r="L6477" s="38" t="n">
        <f aca="false">Sens!$K$6477*(1+Sens!$L$6478)</f>
        <v>28.5750119976435</v>
      </c>
      <c r="M6477" s="38" t="n">
        <f aca="false">Sens!$L$6477*(1+Sens!$M$6478)</f>
        <v>29.4322623575728</v>
      </c>
      <c r="N6477" s="38" t="n">
        <f aca="false">Q!$N$11</f>
        <v>11.128</v>
      </c>
      <c r="O6477" s="38" t="n">
        <f aca="false">Q!$O$11</f>
        <v>11.433</v>
      </c>
      <c r="P6477" s="8" t="s">
        <v>622</v>
      </c>
    </row>
    <row r="6478" customFormat="false" ht="17.15" hidden="false" customHeight="false" outlineLevel="0" collapsed="false">
      <c r="A6478" s="0" t="s">
        <v>625</v>
      </c>
      <c r="B6478" s="0" t="s">
        <v>52</v>
      </c>
      <c r="E6478" s="12" t="n">
        <f aca="false">Sens!$E$6477/Sens!$N$6477-1</f>
        <v>0.0405283968368082</v>
      </c>
      <c r="F6478" s="12" t="n">
        <f aca="false">Sens!$O$6477/(Q!$F$11+Q!$G$11)-1</f>
        <v>0.0579254187100955</v>
      </c>
      <c r="G6478" s="12" t="n">
        <f aca="false">Sens!$G$6477/Sens!$D$6477-1</f>
        <v>0.0493445021103904</v>
      </c>
      <c r="H6478" s="12" t="n">
        <f aca="false">Sens!$F$6478+(g_ps-Sens!$F$6478)*1/4</f>
        <v>0.0509440640325716</v>
      </c>
      <c r="I6478" s="12" t="n">
        <f aca="false">Sens!$F$6478+(g_ps-Sens!$F$6478)*2/4</f>
        <v>0.0439627093550477</v>
      </c>
      <c r="J6478" s="12" t="n">
        <f aca="false">Sens!$F$6478+(g_ps-Sens!$F$6478)*3/4</f>
        <v>0.0369813546775239</v>
      </c>
      <c r="K6478" s="12" t="n">
        <f aca="false">Sens!$F$6478+(g_ps-Sens!$F$6478)*4/4</f>
        <v>0.03</v>
      </c>
      <c r="L6478" s="12" t="n">
        <f aca="false">g_ps</f>
        <v>0.03</v>
      </c>
      <c r="M6478" s="12" t="n">
        <f aca="false">g_ps</f>
        <v>0.03</v>
      </c>
      <c r="P6478" s="8" t="s">
        <v>626</v>
      </c>
    </row>
    <row r="6479" customFormat="false" ht="17.15" hidden="false" customHeight="false" outlineLevel="0" collapsed="false">
      <c r="A6479" s="0" t="s">
        <v>481</v>
      </c>
      <c r="B6479" s="0" t="s">
        <v>73</v>
      </c>
      <c r="C6479" s="38" t="n">
        <f aca="false">Q!$D$12</f>
        <v>156.146</v>
      </c>
      <c r="D6479" s="38" t="n">
        <f aca="false">Q!$E$12</f>
        <v>172.162</v>
      </c>
      <c r="E6479" s="38" t="n">
        <f aca="false">Q!$P$12</f>
        <v>88.358</v>
      </c>
      <c r="F6479" s="38" t="n">
        <f aca="false">Sens!$O$6479*(1+Sens!$F$6480)-pd_amt*Q!$O$12/(Q!$O$10+Q!$O$12)</f>
        <v>103.62028337149</v>
      </c>
      <c r="G6479" s="38" t="n">
        <f aca="false">Sens!$E$6479+Sens!$F$6479</f>
        <v>191.97828337149</v>
      </c>
      <c r="H6479" s="38" t="n">
        <f aca="false">Sens!$G$6479*(1+Sens!$H$6480)</f>
        <v>212.128608444755</v>
      </c>
      <c r="I6479" s="38" t="n">
        <f aca="false">Sens!$H$6479*(1+Sens!$I$6480)</f>
        <v>231.92183134134</v>
      </c>
      <c r="J6479" s="38" t="n">
        <f aca="false">Sens!$I$6479*(1+Sens!$J$6480)</f>
        <v>250.859136487863</v>
      </c>
      <c r="K6479" s="38" t="n">
        <f aca="false">Sens!$J$6479*(1+Sens!$K$6480)</f>
        <v>268.419276042014</v>
      </c>
      <c r="L6479" s="38" t="n">
        <f aca="false">Sens!$K$6479*(1+Sens!$L$6480)</f>
        <v>287.208625364954</v>
      </c>
      <c r="M6479" s="38" t="n">
        <f aca="false">Sens!$L$6479*(1+Sens!$M$6480)</f>
        <v>307.313229140501</v>
      </c>
      <c r="N6479" s="38" t="n">
        <f aca="false">Q!$N$12</f>
        <v>76.86</v>
      </c>
      <c r="O6479" s="38" t="n">
        <f aca="false">Q!$O$12</f>
        <v>95.302</v>
      </c>
      <c r="P6479" s="8" t="s">
        <v>622</v>
      </c>
    </row>
    <row r="6480" customFormat="false" ht="17.15" hidden="false" customHeight="false" outlineLevel="0" collapsed="false">
      <c r="A6480" s="0" t="s">
        <v>627</v>
      </c>
      <c r="B6480" s="0" t="s">
        <v>52</v>
      </c>
      <c r="E6480" s="12" t="n">
        <f aca="false">Sens!$E$6479/Sens!$N$6479-1</f>
        <v>0.1495966692688</v>
      </c>
      <c r="F6480" s="12" t="n">
        <f aca="false">Sens!$O$6479/(Q!$F$12+Q!$G$12)-1</f>
        <v>0.11661530890813</v>
      </c>
      <c r="G6480" s="12" t="n">
        <f aca="false">Sens!$G$6479/Sens!$D$6479-1</f>
        <v>0.115102539303041</v>
      </c>
      <c r="H6480" s="12" t="n">
        <f aca="false">Sens!$F$6480+(g_sp-Sens!$F$6480)*1/4</f>
        <v>0.104961481681098</v>
      </c>
      <c r="I6480" s="12" t="n">
        <f aca="false">Sens!$F$6480+(g_sp-Sens!$F$6480)*2/4</f>
        <v>0.0933076544540651</v>
      </c>
      <c r="J6480" s="12" t="n">
        <f aca="false">Sens!$F$6480+(g_sp-Sens!$F$6480)*3/4</f>
        <v>0.0816538272270325</v>
      </c>
      <c r="K6480" s="12" t="n">
        <f aca="false">Sens!$F$6480+(g_sp-Sens!$F$6480)*4/4</f>
        <v>0.07</v>
      </c>
      <c r="L6480" s="12" t="n">
        <f aca="false">g_sp</f>
        <v>0.07</v>
      </c>
      <c r="M6480" s="12" t="n">
        <f aca="false">g_sp</f>
        <v>0.07</v>
      </c>
      <c r="P6480" s="8" t="s">
        <v>628</v>
      </c>
    </row>
    <row r="6481" customFormat="false" ht="17.15" hidden="false" customHeight="false" outlineLevel="0" collapsed="false">
      <c r="A6481" s="0" t="s">
        <v>482</v>
      </c>
      <c r="B6481" s="0" t="s">
        <v>73</v>
      </c>
      <c r="C6481" s="38" t="n">
        <f aca="false">Q!$D$13</f>
        <v>56.214</v>
      </c>
      <c r="D6481" s="38" t="n">
        <f aca="false">Q!$E$13</f>
        <v>68.635</v>
      </c>
      <c r="E6481" s="38" t="n">
        <f aca="false">Q!$P$13</f>
        <v>37.052</v>
      </c>
      <c r="F6481" s="38" t="n">
        <f aca="false">Sens!$O$6481*(1+Sens!$F$6482)</f>
        <v>48.1533381827382</v>
      </c>
      <c r="G6481" s="38" t="n">
        <f aca="false">Sens!$E$6481+Sens!$F$6481</f>
        <v>85.2053381827382</v>
      </c>
      <c r="H6481" s="38" t="n">
        <f aca="false">Sens!$G$6481*(1+Sens!$H$6482)</f>
        <v>102.29336185894</v>
      </c>
      <c r="I6481" s="38" t="n">
        <f aca="false">Sens!$H$6481*(1+Sens!$I$6482)</f>
        <v>119.379837585241</v>
      </c>
      <c r="J6481" s="38" t="n">
        <f aca="false">Sens!$I$6481*(1+Sens!$J$6482)</f>
        <v>135.319079048844</v>
      </c>
      <c r="K6481" s="38" t="n">
        <f aca="false">Sens!$J$6481*(1+Sens!$K$6482)</f>
        <v>148.850986953729</v>
      </c>
      <c r="L6481" s="38" t="n">
        <f aca="false">Sens!$K$6481*(1+Sens!$L$6482)</f>
        <v>163.736085649102</v>
      </c>
      <c r="M6481" s="38" t="n">
        <f aca="false">Sens!$L$6481*(1+Sens!$M$6482)</f>
        <v>180.109694214012</v>
      </c>
      <c r="N6481" s="38" t="n">
        <f aca="false">Q!$N$13</f>
        <v>29.615</v>
      </c>
      <c r="O6481" s="38" t="n">
        <f aca="false">Q!$O$13</f>
        <v>39.02</v>
      </c>
      <c r="P6481" s="8" t="s">
        <v>622</v>
      </c>
    </row>
    <row r="6482" customFormat="false" ht="17.15" hidden="false" customHeight="false" outlineLevel="0" collapsed="false">
      <c r="A6482" s="0" t="s">
        <v>629</v>
      </c>
      <c r="B6482" s="0" t="s">
        <v>52</v>
      </c>
      <c r="E6482" s="12" t="n">
        <f aca="false">Sens!$E$6481/Sens!$N$6481-1</f>
        <v>0.25112274185379</v>
      </c>
      <c r="F6482" s="12" t="n">
        <f aca="false">Sens!$O$6481/(Q!$F$13+Q!$G$13)-1</f>
        <v>0.234068123596572</v>
      </c>
      <c r="G6482" s="12" t="n">
        <f aca="false">Sens!$G$6481/Sens!$D$6481-1</f>
        <v>0.241426942270536</v>
      </c>
      <c r="H6482" s="12" t="n">
        <f aca="false">Sens!$F$6482+(g_ad-Sens!$F$6482)*1/4</f>
        <v>0.200551092697429</v>
      </c>
      <c r="I6482" s="12" t="n">
        <f aca="false">Sens!$F$6482+(g_ad-Sens!$F$6482)*2/4</f>
        <v>0.167034061798286</v>
      </c>
      <c r="J6482" s="12" t="n">
        <f aca="false">Sens!$F$6482+(g_ad-Sens!$F$6482)*3/4</f>
        <v>0.133517030899143</v>
      </c>
      <c r="K6482" s="12" t="n">
        <f aca="false">Sens!$F$6482+(g_ad-Sens!$F$6482)*4/4</f>
        <v>0.1</v>
      </c>
      <c r="L6482" s="12" t="n">
        <f aca="false">g_ad</f>
        <v>0.1</v>
      </c>
      <c r="M6482" s="12" t="n">
        <f aca="false">g_ad</f>
        <v>0.1</v>
      </c>
      <c r="P6482" s="8" t="s">
        <v>630</v>
      </c>
    </row>
    <row r="6483" customFormat="false" ht="17.15" hidden="false" customHeight="false" outlineLevel="0" collapsed="false">
      <c r="A6483" s="0" t="s">
        <v>483</v>
      </c>
      <c r="B6483" s="0" t="s">
        <v>73</v>
      </c>
      <c r="C6483" s="38" t="n">
        <f aca="false">Q!$D$14</f>
        <v>44.374</v>
      </c>
      <c r="D6483" s="38" t="n">
        <f aca="false">Q!$E$14</f>
        <v>49.619</v>
      </c>
      <c r="E6483" s="38" t="n">
        <f aca="false">Q!$P$14</f>
        <v>27.157</v>
      </c>
      <c r="F6483" s="38" t="n">
        <f aca="false">Sens!$O$6483*(1+Sens!$F$6484)</f>
        <v>28.9776360923374</v>
      </c>
      <c r="G6483" s="38" t="n">
        <f aca="false">Sens!$E$6483+Sens!$F$6483</f>
        <v>56.1346360923374</v>
      </c>
      <c r="H6483" s="38" t="n">
        <f aca="false">Sens!$G$6483*(1+Sens!$H$6484)</f>
        <v>62.4937078946075</v>
      </c>
      <c r="I6483" s="38" t="n">
        <f aca="false">Sens!$H$6483*(1+Sens!$I$6484)</f>
        <v>68.6715233062498</v>
      </c>
      <c r="J6483" s="38" t="n">
        <f aca="false">Sens!$I$6483*(1+Sens!$J$6484)</f>
        <v>74.4692882949818</v>
      </c>
      <c r="K6483" s="38" t="n">
        <f aca="false">Sens!$J$6483*(1+Sens!$K$6484)</f>
        <v>79.6821384756306</v>
      </c>
      <c r="L6483" s="38" t="n">
        <f aca="false">Sens!$K$6483*(1+Sens!$L$6484)</f>
        <v>85.2598881689247</v>
      </c>
      <c r="M6483" s="38" t="n">
        <f aca="false">Sens!$L$6483*(1+Sens!$M$6484)</f>
        <v>91.2280803407494</v>
      </c>
      <c r="N6483" s="38" t="n">
        <f aca="false">Q!$N$14</f>
        <v>23.923</v>
      </c>
      <c r="O6483" s="38" t="n">
        <f aca="false">Q!$O$14</f>
        <v>25.696</v>
      </c>
      <c r="P6483" s="8" t="s">
        <v>622</v>
      </c>
    </row>
    <row r="6484" customFormat="false" ht="17.15" hidden="false" customHeight="false" outlineLevel="0" collapsed="false">
      <c r="A6484" s="0" t="s">
        <v>631</v>
      </c>
      <c r="B6484" s="0" t="s">
        <v>52</v>
      </c>
      <c r="E6484" s="12" t="n">
        <f aca="false">Sens!$E$6483/Sens!$N$6483-1</f>
        <v>0.135183714417088</v>
      </c>
      <c r="F6484" s="12" t="n">
        <f aca="false">Sens!$O$6483/(Q!$F$14+Q!$G$14)-1</f>
        <v>0.127709997366804</v>
      </c>
      <c r="G6484" s="12" t="n">
        <f aca="false">Sens!$G$6483/Sens!$D$6483-1</f>
        <v>0.131313329416905</v>
      </c>
      <c r="H6484" s="12" t="n">
        <f aca="false">Sens!$F$6484+(g_sub-Sens!$F$6484)*1/4</f>
        <v>0.113282498025103</v>
      </c>
      <c r="I6484" s="12" t="n">
        <f aca="false">Sens!$F$6484+(g_sub-Sens!$F$6484)*2/4</f>
        <v>0.0988549986834021</v>
      </c>
      <c r="J6484" s="12" t="n">
        <f aca="false">Sens!$F$6484+(g_sub-Sens!$F$6484)*3/4</f>
        <v>0.084427499341701</v>
      </c>
      <c r="K6484" s="12" t="n">
        <f aca="false">Sens!$F$6484+(g_sub-Sens!$F$6484)*4/4</f>
        <v>0.07</v>
      </c>
      <c r="L6484" s="12" t="n">
        <f aca="false">g_sub</f>
        <v>0.07</v>
      </c>
      <c r="M6484" s="12" t="n">
        <f aca="false">g_sub</f>
        <v>0.07</v>
      </c>
      <c r="P6484" s="8" t="s">
        <v>632</v>
      </c>
    </row>
    <row r="6485" customFormat="false" ht="17.15" hidden="false" customHeight="false" outlineLevel="0" collapsed="false">
      <c r="A6485" s="0" t="s">
        <v>484</v>
      </c>
      <c r="B6485" s="0" t="s">
        <v>73</v>
      </c>
      <c r="C6485" s="38" t="n">
        <f aca="false">Q!$D$15</f>
        <v>5.425</v>
      </c>
      <c r="D6485" s="38" t="n">
        <f aca="false">Q!$E$15</f>
        <v>5.935</v>
      </c>
      <c r="E6485" s="38" t="n">
        <f aca="false">Q!$P$15</f>
        <v>3.474</v>
      </c>
      <c r="F6485" s="38" t="n">
        <f aca="false">Sens!$O$6485*(1+Sens!$F$6486)</f>
        <v>3.36182431966931</v>
      </c>
      <c r="G6485" s="38" t="n">
        <f aca="false">Sens!$E$6485+Sens!$F$6485</f>
        <v>6.83582431966931</v>
      </c>
      <c r="H6485" s="38" t="n">
        <f aca="false">Sens!$G$6485*(1+Sens!$H$6486)</f>
        <v>7.31157108370141</v>
      </c>
      <c r="I6485" s="38" t="n">
        <f aca="false">Sens!$H$6485*(1+Sens!$I$6486)</f>
        <v>7.77266852639815</v>
      </c>
      <c r="J6485" s="38" t="n">
        <f aca="false">Sens!$I$6485*(1+Sens!$J$6486)</f>
        <v>8.2120733019884</v>
      </c>
      <c r="K6485" s="38" t="n">
        <f aca="false">Sens!$J$6485*(1+Sens!$K$6486)</f>
        <v>8.62267696708783</v>
      </c>
      <c r="L6485" s="38" t="n">
        <f aca="false">Sens!$K$6485*(1+Sens!$L$6486)</f>
        <v>9.05381081544222</v>
      </c>
      <c r="M6485" s="38" t="n">
        <f aca="false">Sens!$L$6485*(1+Sens!$M$6486)</f>
        <v>9.50650135621433</v>
      </c>
      <c r="N6485" s="38" t="n">
        <f aca="false">Q!$N$15</f>
        <v>2.811</v>
      </c>
      <c r="O6485" s="38" t="n">
        <f aca="false">Q!$O$15</f>
        <v>3.124</v>
      </c>
      <c r="P6485" s="8" t="s">
        <v>622</v>
      </c>
    </row>
    <row r="6486" customFormat="false" ht="17.15" hidden="false" customHeight="false" outlineLevel="0" collapsed="false">
      <c r="A6486" s="0" t="s">
        <v>633</v>
      </c>
      <c r="B6486" s="0" t="s">
        <v>52</v>
      </c>
      <c r="E6486" s="12" t="n">
        <f aca="false">Sens!$E$6485/Sens!$N$6485-1</f>
        <v>0.235859124866596</v>
      </c>
      <c r="F6486" s="12" t="n">
        <f aca="false">Sens!$O$6485/(Q!$F$15+Q!$G$15)-1</f>
        <v>0.0761281433000345</v>
      </c>
      <c r="G6486" s="12" t="n">
        <f aca="false">Sens!$G$6485/Sens!$D$6485-1</f>
        <v>0.151781688234087</v>
      </c>
      <c r="H6486" s="12" t="n">
        <f aca="false">Sens!$F$6486+(g_ot-Sens!$F$6486)*1/4</f>
        <v>0.0695961074750259</v>
      </c>
      <c r="I6486" s="12" t="n">
        <f aca="false">Sens!$F$6486+(g_ot-Sens!$F$6486)*2/4</f>
        <v>0.0630640716500172</v>
      </c>
      <c r="J6486" s="12" t="n">
        <f aca="false">Sens!$F$6486+(g_ot-Sens!$F$6486)*3/4</f>
        <v>0.0565320358250086</v>
      </c>
      <c r="K6486" s="12" t="n">
        <f aca="false">Sens!$F$6486+(g_ot-Sens!$F$6486)*4/4</f>
        <v>0.05</v>
      </c>
      <c r="L6486" s="12" t="n">
        <f aca="false">g_ot</f>
        <v>0.05</v>
      </c>
      <c r="M6486" s="12" t="n">
        <f aca="false">g_ot</f>
        <v>0.05</v>
      </c>
      <c r="P6486" s="8" t="s">
        <v>634</v>
      </c>
    </row>
    <row r="6487" customFormat="false" ht="17.15" hidden="false" customHeight="false" outlineLevel="0" collapsed="false">
      <c r="A6487" s="3" t="s">
        <v>635</v>
      </c>
      <c r="B6487" s="8" t="s">
        <v>73</v>
      </c>
      <c r="C6487" s="38" t="n">
        <f aca="false">Sens!$C$6475+Sens!$C$6477+Sens!$C$6479+Sens!$C$6481+Sens!$C$6483+Sens!$C$6485</f>
        <v>530.403</v>
      </c>
      <c r="D6487" s="38" t="n">
        <f aca="false">Sens!$D$6475+Sens!$D$6477+Sens!$D$6479+Sens!$D$6481+Sens!$D$6483+Sens!$D$6485</f>
        <v>588.199</v>
      </c>
      <c r="E6487" s="38" t="n">
        <f aca="false">Sens!$E$6475+Sens!$E$6477+Sens!$E$6479+Sens!$E$6481+Sens!$E$6483+Sens!$E$6485</f>
        <v>302.306</v>
      </c>
      <c r="F6487" s="38" t="n">
        <f aca="false">Sens!$F$6475+Sens!$F$6477+Sens!$F$6479+Sens!$F$6481+Sens!$F$6483+Sens!$F$6485</f>
        <v>356.93642920843</v>
      </c>
      <c r="G6487" s="38" t="n">
        <f aca="false">Sens!$G$6475+Sens!$G$6477+Sens!$G$6479+Sens!$G$6481+Sens!$G$6483+Sens!$G$6485</f>
        <v>659.24242920843</v>
      </c>
      <c r="H6487" s="38" t="n">
        <f aca="false">Sens!$H$6475+Sens!$H$6477+Sens!$H$6479+Sens!$H$6481+Sens!$H$6483+Sens!$H$6485</f>
        <v>729.935737621701</v>
      </c>
      <c r="I6487" s="38" t="n">
        <f aca="false">Sens!$I$6475+Sens!$I$6477+Sens!$I$6479+Sens!$I$6481+Sens!$I$6483+Sens!$I$6485</f>
        <v>798.295569697873</v>
      </c>
      <c r="J6487" s="38" t="n">
        <f aca="false">Sens!$J$6475+Sens!$J$6477+Sens!$J$6479+Sens!$J$6481+Sens!$J$6483+Sens!$J$6485</f>
        <v>861.736822325785</v>
      </c>
      <c r="K6487" s="38" t="n">
        <f aca="false">Sens!$K$6475+Sens!$K$6477+Sens!$K$6479+Sens!$K$6481+Sens!$K$6483+Sens!$K$6485</f>
        <v>917.557492101925</v>
      </c>
      <c r="L6487" s="38" t="n">
        <f aca="false">Sens!$L$6475+Sens!$L$6477+Sens!$L$6479+Sens!$L$6481+Sens!$L$6483+Sens!$L$6485</f>
        <v>977.285089743165</v>
      </c>
      <c r="M6487" s="38" t="n">
        <f aca="false">Sens!$M$6475+Sens!$M$6477+Sens!$M$6479+Sens!$M$6481+Sens!$M$6483+Sens!$M$6485</f>
        <v>1041.2140185435</v>
      </c>
      <c r="N6487" s="38" t="n">
        <f aca="false">Sens!$N$6475+Sens!$N$6477+Sens!$N$6479+Sens!$N$6481+Sens!$N$6483+Sens!$N$6485</f>
        <v>263.229</v>
      </c>
      <c r="O6487" s="38" t="n">
        <f aca="false">Sens!$O$6475+Sens!$O$6477+Sens!$O$6479+Sens!$O$6481+Sens!$O$6483+Sens!$O$6485</f>
        <v>324.97</v>
      </c>
    </row>
    <row r="6488" customFormat="false" ht="17.15" hidden="false" customHeight="false" outlineLevel="0" collapsed="false">
      <c r="A6488" s="5" t="s">
        <v>636</v>
      </c>
      <c r="B6488" s="0" t="s">
        <v>52</v>
      </c>
      <c r="C6488" s="12" t="n">
        <f aca="false">Q!$D$5/(Q!$D$5+Q!$D$6)</f>
        <v>0.730570905519011</v>
      </c>
      <c r="D6488" s="12" t="n">
        <f aca="false">Q!$E$5/(Q!$E$5+Q!$E$6)</f>
        <v>0.724763217890544</v>
      </c>
      <c r="E6488" s="12" t="n">
        <f aca="false">Q!$P$5/(Q!$P$5+Q!$P$6)</f>
        <v>0.728797972914861</v>
      </c>
      <c r="F6488" s="12" t="n">
        <f aca="false">Sens!$O$6488</f>
        <v>0.718066283041511</v>
      </c>
      <c r="G6488" s="12" t="n">
        <f aca="false">Sens!$G$6489/Sens!$G$6487</f>
        <v>0.722987468473627</v>
      </c>
      <c r="H6488" s="12" t="n">
        <f aca="false">Sens!$G$6488</f>
        <v>0.722987468473627</v>
      </c>
      <c r="I6488" s="12" t="n">
        <f aca="false">Sens!$G$6488</f>
        <v>0.722987468473627</v>
      </c>
      <c r="J6488" s="12" t="n">
        <f aca="false">Sens!$G$6488</f>
        <v>0.722987468473627</v>
      </c>
      <c r="K6488" s="12" t="n">
        <f aca="false">Sens!$G$6488</f>
        <v>0.722987468473627</v>
      </c>
      <c r="L6488" s="12" t="n">
        <f aca="false">Sens!$G$6488</f>
        <v>0.722987468473627</v>
      </c>
      <c r="M6488" s="12" t="n">
        <f aca="false">Sens!$G$6488</f>
        <v>0.722987468473627</v>
      </c>
      <c r="N6488" s="12" t="n">
        <f aca="false">Q!$N$5/(Q!$N$5+Q!$N$6)</f>
        <v>0.733030935041352</v>
      </c>
      <c r="O6488" s="12" t="n">
        <f aca="false">Q!$O$5/(Q!$O$5+Q!$O$6)</f>
        <v>0.718066283041511</v>
      </c>
      <c r="P6488" s="8" t="s">
        <v>637</v>
      </c>
    </row>
    <row r="6489" customFormat="false" ht="17.15" hidden="false" customHeight="false" outlineLevel="0" collapsed="false">
      <c r="A6489" s="1" t="s">
        <v>472</v>
      </c>
      <c r="B6489" s="8" t="s">
        <v>73</v>
      </c>
      <c r="C6489" s="38" t="n">
        <f aca="false">Q!$D$5</f>
        <v>387.497</v>
      </c>
      <c r="D6489" s="38" t="n">
        <f aca="false">Q!$E$5</f>
        <v>426.305</v>
      </c>
      <c r="E6489" s="38" t="n">
        <f aca="false">Q!$P$5</f>
        <v>220.32</v>
      </c>
      <c r="F6489" s="38" t="n">
        <f aca="false">Sens!$F$6487*Sens!$F$6488</f>
        <v>256.304015003807</v>
      </c>
      <c r="G6489" s="38" t="n">
        <f aca="false">Sens!$E$6489+Sens!$F$6489</f>
        <v>476.624015003807</v>
      </c>
      <c r="H6489" s="38" t="n">
        <f aca="false">Sens!$H$6487*Sens!$H$6488</f>
        <v>527.734391091543</v>
      </c>
      <c r="I6489" s="38" t="n">
        <f aca="false">Sens!$I$6487*Sens!$I$6488</f>
        <v>577.157693029577</v>
      </c>
      <c r="J6489" s="38" t="n">
        <f aca="false">Sens!$J$6487*Sens!$J$6488</f>
        <v>623.024923663827</v>
      </c>
      <c r="K6489" s="38" t="n">
        <f aca="false">Sens!$K$6487*Sens!$K$6488</f>
        <v>663.382568393781</v>
      </c>
      <c r="L6489" s="38" t="n">
        <f aca="false">Sens!$L$6487*Sens!$L$6488</f>
        <v>706.564873010432</v>
      </c>
      <c r="M6489" s="38" t="n">
        <f aca="false">Sens!$M$6487*Sens!$M$6488</f>
        <v>752.784687406019</v>
      </c>
      <c r="N6489" s="38" t="n">
        <f aca="false">Q!$N$5</f>
        <v>192.955</v>
      </c>
      <c r="O6489" s="38" t="n">
        <f aca="false">Q!$O$5</f>
        <v>233.35</v>
      </c>
      <c r="P6489" s="5" t="s">
        <v>638</v>
      </c>
    </row>
    <row r="6490" customFormat="false" ht="17.15" hidden="false" customHeight="false" outlineLevel="0" collapsed="false">
      <c r="A6490" s="1" t="s">
        <v>475</v>
      </c>
      <c r="B6490" s="8" t="s">
        <v>73</v>
      </c>
      <c r="C6490" s="38" t="n">
        <f aca="false">Q!$D$6</f>
        <v>142.906</v>
      </c>
      <c r="D6490" s="38" t="n">
        <f aca="false">Q!$E$6</f>
        <v>161.894</v>
      </c>
      <c r="E6490" s="38" t="n">
        <f aca="false">Q!$P$6</f>
        <v>81.986</v>
      </c>
      <c r="F6490" s="38" t="n">
        <f aca="false">Sens!$F$6487*(1-Sens!$F$6488)</f>
        <v>100.632414204623</v>
      </c>
      <c r="G6490" s="38" t="n">
        <f aca="false">Sens!$E$6490+Sens!$F$6490</f>
        <v>182.618414204623</v>
      </c>
      <c r="H6490" s="38" t="n">
        <f aca="false">Sens!$H$6487*(1-Sens!$H$6488)</f>
        <v>202.201346530158</v>
      </c>
      <c r="I6490" s="38" t="n">
        <f aca="false">Sens!$I$6487*(1-Sens!$I$6488)</f>
        <v>221.137876668296</v>
      </c>
      <c r="J6490" s="38" t="n">
        <f aca="false">Sens!$J$6487*(1-Sens!$J$6488)</f>
        <v>238.711898661958</v>
      </c>
      <c r="K6490" s="38" t="n">
        <f aca="false">Sens!$K$6487*(1-Sens!$K$6488)</f>
        <v>254.174923708144</v>
      </c>
      <c r="L6490" s="38" t="n">
        <f aca="false">Sens!$L$6487*(1-Sens!$L$6488)</f>
        <v>270.720216732733</v>
      </c>
      <c r="M6490" s="38" t="n">
        <f aca="false">Sens!$M$6487*(1-Sens!$M$6488)</f>
        <v>288.429331137484</v>
      </c>
      <c r="N6490" s="38" t="n">
        <f aca="false">Q!$N$6</f>
        <v>70.274</v>
      </c>
      <c r="O6490" s="38" t="n">
        <f aca="false">Q!$O$6</f>
        <v>91.62</v>
      </c>
      <c r="P6490" s="5" t="s">
        <v>639</v>
      </c>
    </row>
    <row r="6491" customFormat="false" ht="17.15" hidden="false" customHeight="false" outlineLevel="0" collapsed="false">
      <c r="A6491" s="5" t="s">
        <v>640</v>
      </c>
      <c r="B6491" s="0" t="s">
        <v>73</v>
      </c>
      <c r="C6491" s="38" t="n">
        <f aca="false">Sens!$C$6481*Sens!$C$6488</f>
        <v>41.0683128828457</v>
      </c>
      <c r="D6491" s="38" t="n">
        <f aca="false">Sens!$D$6481*Sens!$D$6488</f>
        <v>49.7441234599175</v>
      </c>
      <c r="E6491" s="38" t="n">
        <f aca="false">Sens!$E$6481*Sens!$E$6488</f>
        <v>27.0034224924414</v>
      </c>
      <c r="F6491" s="38" t="n">
        <f aca="false">Sens!$F$6481*Sens!$F$6488</f>
        <v>34.5772885649197</v>
      </c>
      <c r="G6491" s="38" t="n">
        <f aca="false">Sens!$G$6481*Sens!$G$6488</f>
        <v>61.6023917531772</v>
      </c>
      <c r="H6491" s="38" t="n">
        <f aca="false">Sens!$H$6481*Sens!$H$6488</f>
        <v>73.9568187320519</v>
      </c>
      <c r="I6491" s="38" t="n">
        <f aca="false">Sens!$I$6481*Sens!$I$6488</f>
        <v>86.3101265625461</v>
      </c>
      <c r="J6491" s="38" t="n">
        <f aca="false">Sens!$J$6481*Sens!$J$6488</f>
        <v>97.8339983977065</v>
      </c>
      <c r="K6491" s="38" t="n">
        <f aca="false">Sens!$K$6481*Sens!$K$6488</f>
        <v>107.617398237477</v>
      </c>
      <c r="L6491" s="38" t="n">
        <f aca="false">Sens!$L$6481*Sens!$L$6488</f>
        <v>118.379138061225</v>
      </c>
      <c r="M6491" s="38" t="n">
        <f aca="false">Sens!$M$6481*Sens!$M$6488</f>
        <v>130.217051867347</v>
      </c>
      <c r="N6491" s="38" t="n">
        <f aca="false">Sens!$N$6481*Sens!$N$6488</f>
        <v>21.7087111412496</v>
      </c>
      <c r="O6491" s="38" t="n">
        <f aca="false">Sens!$O$6481*Sens!$O$6488</f>
        <v>28.0189463642798</v>
      </c>
      <c r="P6491" s="5" t="s">
        <v>641</v>
      </c>
    </row>
    <row r="6492" customFormat="false" ht="15" hidden="false" customHeight="false" outlineLevel="0" collapsed="false">
      <c r="A6492" s="5" t="s">
        <v>642</v>
      </c>
      <c r="B6492" s="0" t="s">
        <v>73</v>
      </c>
      <c r="C6492" s="38" t="n">
        <f aca="false">Sens!$C$6481-Sens!$C$6491</f>
        <v>15.1456871171543</v>
      </c>
      <c r="D6492" s="38" t="n">
        <f aca="false">Sens!$D$6481-Sens!$D$6491</f>
        <v>18.8908765400825</v>
      </c>
      <c r="E6492" s="38" t="n">
        <f aca="false">Sens!$E$6481-Sens!$E$6491</f>
        <v>10.0485775075586</v>
      </c>
      <c r="F6492" s="38" t="n">
        <f aca="false">Sens!$F$6481-Sens!$F$6491</f>
        <v>13.5760496178185</v>
      </c>
      <c r="G6492" s="38" t="n">
        <f aca="false">Sens!$G$6481-Sens!$G$6491</f>
        <v>23.6029464295611</v>
      </c>
      <c r="H6492" s="38" t="n">
        <f aca="false">Sens!$H$6481-Sens!$H$6491</f>
        <v>28.3365431268884</v>
      </c>
      <c r="I6492" s="38" t="n">
        <f aca="false">Sens!$I$6481-Sens!$I$6491</f>
        <v>33.0697110226949</v>
      </c>
      <c r="J6492" s="38" t="n">
        <f aca="false">Sens!$J$6481-Sens!$J$6491</f>
        <v>37.4850806511378</v>
      </c>
      <c r="K6492" s="38" t="n">
        <f aca="false">Sens!$K$6481-Sens!$K$6491</f>
        <v>41.2335887162515</v>
      </c>
      <c r="L6492" s="38" t="n">
        <f aca="false">Sens!$L$6481-Sens!$L$6491</f>
        <v>45.3569475878767</v>
      </c>
      <c r="M6492" s="38" t="n">
        <f aca="false">Sens!$M$6481-Sens!$M$6491</f>
        <v>49.8926423466644</v>
      </c>
      <c r="N6492" s="38" t="n">
        <f aca="false">Sens!$N$6481-Sens!$N$6491</f>
        <v>7.90628885875037</v>
      </c>
      <c r="O6492" s="38" t="n">
        <f aca="false">Sens!$O$6481-Sens!$O$6491</f>
        <v>11.0010536357202</v>
      </c>
    </row>
    <row r="6493" customFormat="false" ht="19.4" hidden="false" customHeight="false" outlineLevel="0" collapsed="false">
      <c r="A6493" s="31" t="s">
        <v>1186</v>
      </c>
    </row>
    <row r="6494" customFormat="false" ht="17.15" hidden="false" customHeight="false" outlineLevel="0" collapsed="false">
      <c r="A6494" s="6" t="s">
        <v>16</v>
      </c>
      <c r="B6494" s="6" t="s">
        <v>17</v>
      </c>
      <c r="C6494" s="20" t="s">
        <v>457</v>
      </c>
      <c r="D6494" s="20" t="s">
        <v>458</v>
      </c>
      <c r="E6494" s="20" t="s">
        <v>540</v>
      </c>
      <c r="F6494" s="20" t="s">
        <v>541</v>
      </c>
      <c r="G6494" s="20" t="s">
        <v>542</v>
      </c>
      <c r="H6494" s="20" t="s">
        <v>543</v>
      </c>
      <c r="I6494" s="20" t="s">
        <v>544</v>
      </c>
      <c r="J6494" s="20" t="s">
        <v>545</v>
      </c>
      <c r="K6494" s="20" t="s">
        <v>546</v>
      </c>
      <c r="L6494" s="20" t="s">
        <v>547</v>
      </c>
      <c r="M6494" s="20" t="s">
        <v>548</v>
      </c>
      <c r="N6494" s="20" t="s">
        <v>549</v>
      </c>
      <c r="O6494" s="20" t="s">
        <v>550</v>
      </c>
      <c r="P6494" s="6" t="s">
        <v>23</v>
      </c>
      <c r="R6494" s="20" t="n">
        <v>2023</v>
      </c>
      <c r="S6494" s="20" t="n">
        <v>2024</v>
      </c>
      <c r="T6494" s="20" t="n">
        <v>2025</v>
      </c>
      <c r="U6494" s="20" t="n">
        <v>2026</v>
      </c>
      <c r="V6494" s="20" t="n">
        <v>2027</v>
      </c>
      <c r="W6494" s="20" t="n">
        <v>2028</v>
      </c>
      <c r="X6494" s="20" t="n">
        <v>2029</v>
      </c>
      <c r="Y6494" s="20" t="n">
        <v>2030</v>
      </c>
      <c r="Z6494" s="20" t="n">
        <v>2031</v>
      </c>
      <c r="AA6494" s="20" t="n">
        <v>2032</v>
      </c>
    </row>
    <row r="6495" customFormat="false" ht="17.15" hidden="false" customHeight="false" outlineLevel="0" collapsed="false">
      <c r="A6495" s="1" t="s">
        <v>551</v>
      </c>
    </row>
    <row r="6496" customFormat="false" ht="17.15" hidden="false" customHeight="false" outlineLevel="0" collapsed="false">
      <c r="A6496" s="14" t="s">
        <v>552</v>
      </c>
      <c r="B6496" s="13" t="s">
        <v>108</v>
      </c>
      <c r="C6496" s="32" t="n">
        <f aca="false">mw_ye24</f>
        <v>360</v>
      </c>
      <c r="D6496" s="32" t="n">
        <f aca="false">mw_ye25</f>
        <v>1440</v>
      </c>
      <c r="E6496" s="32" t="n">
        <f aca="false">mw_open</f>
        <v>2080</v>
      </c>
      <c r="F6496" s="32" t="n">
        <f aca="false">Sens!$E$6496+pace_B*0.5</f>
        <v>3897.15</v>
      </c>
      <c r="G6496" s="32" t="n">
        <f aca="false">Sens!$F$6496</f>
        <v>3897.15</v>
      </c>
      <c r="H6496" s="32" t="n">
        <f aca="false">Sens!$G$6496+pace_B</f>
        <v>7531.45</v>
      </c>
      <c r="I6496" s="32" t="n">
        <f aca="false">Sens!$H$6496+pace_B</f>
        <v>11165.75</v>
      </c>
      <c r="J6496" s="32" t="n">
        <f aca="false">Sens!$I$6496+pace_B</f>
        <v>14800.05</v>
      </c>
      <c r="K6496" s="32" t="n">
        <f aca="false">Sens!$J$6496+pace_B</f>
        <v>18434.35</v>
      </c>
      <c r="L6496" s="32" t="n">
        <f aca="false">Sens!$K$6496+pace_B</f>
        <v>22068.65</v>
      </c>
      <c r="M6496" s="32" t="n">
        <f aca="false">Sens!$L$6496+pace_B</f>
        <v>25702.95</v>
      </c>
      <c r="N6496" s="32" t="n">
        <f aca="false">(mw_ye24+mw_ye25)/2</f>
        <v>900</v>
      </c>
      <c r="O6496" s="32" t="n">
        <f aca="false">mw_ye25</f>
        <v>1440</v>
      </c>
      <c r="P6496" s="5" t="s">
        <v>553</v>
      </c>
    </row>
    <row r="6497" customFormat="false" ht="17.15" hidden="false" customHeight="false" outlineLevel="0" collapsed="false">
      <c r="A6497" s="5" t="s">
        <v>554</v>
      </c>
      <c r="B6497" s="0" t="s">
        <v>108</v>
      </c>
      <c r="C6497" s="33" t="n">
        <f aca="false">(mw_ye23+mw_ye24)/2</f>
        <v>240</v>
      </c>
      <c r="D6497" s="33" t="n">
        <f aca="false">(Sens!$C$6496+Sens!$D$6496)/2</f>
        <v>900</v>
      </c>
      <c r="E6497" s="33" t="n">
        <f aca="false">(Sens!$D$6496+Sens!$E$6496)/2</f>
        <v>1760</v>
      </c>
      <c r="F6497" s="33" t="n">
        <f aca="false">(Sens!$E$6496+Sens!$F$6496)/2</f>
        <v>2988.575</v>
      </c>
      <c r="G6497" s="33" t="n">
        <f aca="false">(Sens!$E$6497+Sens!$F$6497)/2</f>
        <v>2374.2875</v>
      </c>
      <c r="H6497" s="33" t="n">
        <f aca="false">(Sens!$G$6496+Sens!$H$6496)/2</f>
        <v>5714.3</v>
      </c>
      <c r="I6497" s="33" t="n">
        <f aca="false">(Sens!$H$6496+Sens!$I$6496)/2</f>
        <v>9348.6</v>
      </c>
      <c r="J6497" s="33" t="n">
        <f aca="false">(Sens!$I$6496+Sens!$J$6496)/2</f>
        <v>12982.9</v>
      </c>
      <c r="K6497" s="33" t="n">
        <f aca="false">(Sens!$J$6496+Sens!$K$6496)/2</f>
        <v>16617.2</v>
      </c>
      <c r="L6497" s="33" t="n">
        <f aca="false">(Sens!$K$6496+Sens!$L$6496)/2</f>
        <v>20251.5</v>
      </c>
      <c r="M6497" s="33" t="n">
        <f aca="false">(Sens!$L$6496+Sens!$M$6496)/2</f>
        <v>23885.8</v>
      </c>
      <c r="N6497" s="33" t="n">
        <f aca="false">(Sens!$C$6496+Sens!$N$6496)/2</f>
        <v>630</v>
      </c>
      <c r="O6497" s="33" t="n">
        <f aca="false">(Sens!$N$6496+Sens!$O$6496)/2</f>
        <v>1170</v>
      </c>
    </row>
    <row r="6498" customFormat="false" ht="15" hidden="false" customHeight="false" outlineLevel="0" collapsed="false">
      <c r="A6498" s="5" t="s">
        <v>555</v>
      </c>
      <c r="B6498" s="5" t="s">
        <v>102</v>
      </c>
      <c r="C6498" s="34" t="n">
        <v>1</v>
      </c>
      <c r="D6498" s="34" t="n">
        <v>1</v>
      </c>
      <c r="E6498" s="34" t="n">
        <v>0.5</v>
      </c>
      <c r="F6498" s="34" t="n">
        <v>0.5</v>
      </c>
      <c r="G6498" s="34" t="n">
        <v>1</v>
      </c>
      <c r="H6498" s="34" t="n">
        <v>1</v>
      </c>
      <c r="I6498" s="34" t="n">
        <v>1</v>
      </c>
      <c r="J6498" s="34" t="n">
        <v>1</v>
      </c>
      <c r="K6498" s="34" t="n">
        <v>1</v>
      </c>
      <c r="L6498" s="34" t="n">
        <v>1</v>
      </c>
      <c r="M6498" s="34" t="n">
        <v>1</v>
      </c>
      <c r="N6498" s="34" t="n">
        <v>0.5</v>
      </c>
      <c r="O6498" s="34" t="n">
        <v>0.5</v>
      </c>
    </row>
    <row r="6499" customFormat="false" ht="17.15" hidden="false" customHeight="false" outlineLevel="0" collapsed="false">
      <c r="A6499" s="5" t="s">
        <v>556</v>
      </c>
      <c r="B6499" s="0" t="s">
        <v>108</v>
      </c>
      <c r="C6499" s="33" t="n">
        <f aca="false">Sens!$C$6496-mw_ye23</f>
        <v>240</v>
      </c>
      <c r="D6499" s="33" t="n">
        <f aca="false">Sens!$D$6496-Sens!$C$6496</f>
        <v>1080</v>
      </c>
      <c r="E6499" s="33" t="n">
        <f aca="false">Sens!$E$6496-Sens!$D$6496</f>
        <v>640</v>
      </c>
      <c r="F6499" s="33" t="n">
        <f aca="false">Sens!$F$6496-Sens!$E$6496</f>
        <v>1817.15</v>
      </c>
      <c r="G6499" s="33" t="n">
        <f aca="false">Sens!$E$6499+Sens!$F$6499</f>
        <v>2457.15</v>
      </c>
      <c r="H6499" s="33" t="n">
        <f aca="false">Sens!$H$6496-Sens!$G$6496</f>
        <v>3634.3</v>
      </c>
      <c r="I6499" s="33" t="n">
        <f aca="false">Sens!$I$6496-Sens!$H$6496</f>
        <v>3634.3</v>
      </c>
      <c r="J6499" s="33" t="n">
        <f aca="false">Sens!$J$6496-Sens!$I$6496</f>
        <v>3634.3</v>
      </c>
      <c r="K6499" s="33" t="n">
        <f aca="false">Sens!$K$6496-Sens!$J$6496</f>
        <v>3634.3</v>
      </c>
      <c r="L6499" s="33" t="n">
        <f aca="false">Sens!$L$6496-Sens!$K$6496</f>
        <v>3634.3</v>
      </c>
      <c r="M6499" s="33" t="n">
        <f aca="false">Sens!$M$6496-Sens!$L$6496</f>
        <v>3634.3</v>
      </c>
      <c r="N6499" s="33" t="n">
        <f aca="false">Sens!$N$6496-Sens!$C$6496</f>
        <v>540</v>
      </c>
      <c r="O6499" s="33" t="n">
        <f aca="false">Sens!$O$6496-Sens!$N$6496</f>
        <v>540</v>
      </c>
    </row>
    <row r="6500" customFormat="false" ht="17.15" hidden="false" customHeight="false" outlineLevel="0" collapsed="false">
      <c r="A6500" s="5" t="s">
        <v>557</v>
      </c>
      <c r="B6500" s="0" t="s">
        <v>108</v>
      </c>
      <c r="C6500" s="33" t="n">
        <f aca="false">Sens!$C$6499/ext_sh</f>
        <v>300</v>
      </c>
      <c r="D6500" s="33" t="n">
        <f aca="false">Sens!$D$6499/ext_sh</f>
        <v>1350</v>
      </c>
      <c r="E6500" s="33" t="n">
        <f aca="false">Sens!$E$6499/ext_sh</f>
        <v>800</v>
      </c>
      <c r="F6500" s="33" t="n">
        <f aca="false">Sens!$F$6499/ext_sh</f>
        <v>2271.4375</v>
      </c>
      <c r="G6500" s="33" t="n">
        <f aca="false">Sens!$G$6499/ext_sh</f>
        <v>3071.4375</v>
      </c>
      <c r="H6500" s="33" t="n">
        <f aca="false">Sens!$H$6499/ext_sh</f>
        <v>4542.875</v>
      </c>
      <c r="I6500" s="33" t="n">
        <f aca="false">Sens!$I$6499/ext_sh</f>
        <v>4542.875</v>
      </c>
      <c r="J6500" s="33" t="n">
        <f aca="false">Sens!$J$6499/ext_sh</f>
        <v>4542.875</v>
      </c>
      <c r="K6500" s="33" t="n">
        <f aca="false">Sens!$K$6499/ext_sh</f>
        <v>4542.875</v>
      </c>
      <c r="L6500" s="33" t="n">
        <f aca="false">Sens!$L$6499/ext_sh</f>
        <v>4542.875</v>
      </c>
      <c r="M6500" s="33" t="n">
        <f aca="false">Sens!$M$6499/ext_sh</f>
        <v>4542.875</v>
      </c>
      <c r="N6500" s="33" t="n">
        <f aca="false">Sens!$N$6499/ext_sh</f>
        <v>675</v>
      </c>
      <c r="O6500" s="33" t="n">
        <f aca="false">Sens!$O$6499/ext_sh</f>
        <v>675</v>
      </c>
      <c r="P6500" s="8" t="s">
        <v>558</v>
      </c>
      <c r="R6500" s="33" t="n">
        <f aca="false">mw_ye23/ext_sh</f>
        <v>150</v>
      </c>
      <c r="S6500" s="33" t="n">
        <f aca="false">Sens!$C$6500</f>
        <v>300</v>
      </c>
      <c r="T6500" s="33" t="n">
        <f aca="false">Sens!$D$6500</f>
        <v>1350</v>
      </c>
      <c r="U6500" s="33" t="n">
        <f aca="false">Sens!$G$6500</f>
        <v>3071.4375</v>
      </c>
      <c r="V6500" s="33" t="n">
        <f aca="false">Sens!$H$6500</f>
        <v>4542.875</v>
      </c>
      <c r="W6500" s="33" t="n">
        <f aca="false">Sens!$I$6500</f>
        <v>4542.875</v>
      </c>
      <c r="X6500" s="33" t="n">
        <f aca="false">Sens!$J$6500</f>
        <v>4542.875</v>
      </c>
      <c r="Y6500" s="33" t="n">
        <f aca="false">Sens!$K$6500</f>
        <v>4542.875</v>
      </c>
      <c r="Z6500" s="33" t="n">
        <f aca="false">Sens!$L$6500</f>
        <v>4542.875</v>
      </c>
      <c r="AA6500" s="33" t="n">
        <f aca="false">Sens!$M$6500</f>
        <v>4542.875</v>
      </c>
    </row>
    <row r="6501" customFormat="false" ht="17.15" hidden="false" customHeight="false" outlineLevel="0" collapsed="false">
      <c r="A6501" s="1" t="s">
        <v>559</v>
      </c>
    </row>
    <row r="6502" customFormat="false" ht="17.15" hidden="false" customHeight="false" outlineLevel="0" collapsed="false">
      <c r="A6502" s="0" t="s">
        <v>560</v>
      </c>
      <c r="B6502" s="0" t="s">
        <v>52</v>
      </c>
      <c r="F6502" s="35" t="n">
        <f aca="false">na_vr26</f>
        <v>0</v>
      </c>
      <c r="G6502" s="35" t="n">
        <f aca="false">na_vr26</f>
        <v>0</v>
      </c>
      <c r="H6502" s="35" t="n">
        <f aca="false">na_vr27</f>
        <v>0.5</v>
      </c>
      <c r="I6502" s="35" t="n">
        <f aca="false">na_vr28</f>
        <v>1</v>
      </c>
      <c r="J6502" s="35" t="n">
        <f aca="false">na_vr28</f>
        <v>1</v>
      </c>
      <c r="K6502" s="35" t="n">
        <f aca="false">na_vr28</f>
        <v>1</v>
      </c>
      <c r="L6502" s="35" t="n">
        <f aca="false">na_vr28</f>
        <v>1</v>
      </c>
      <c r="M6502" s="35" t="n">
        <f aca="false">na_vr28</f>
        <v>1</v>
      </c>
    </row>
    <row r="6503" customFormat="false" ht="17.15" hidden="false" customHeight="false" outlineLevel="0" collapsed="false">
      <c r="A6503" s="5" t="s">
        <v>561</v>
      </c>
      <c r="B6503" s="0" t="s">
        <v>151</v>
      </c>
      <c r="F6503" s="36" t="n">
        <f aca="false">cust_sh*tk_he_gb300*cf_chip+(1-cust_sh)*((1-Sens!$F$6502)*tk_he_gb300+Sens!$F$6502*tk_he_vr200)</f>
        <v>10.8864110021101</v>
      </c>
      <c r="G6503" s="36" t="n">
        <f aca="false">cust_sh*tk_he_gb300*cf_chip+(1-cust_sh)*((1-Sens!$G$6502)*tk_he_gb300+Sens!$G$6502*tk_he_vr200)</f>
        <v>10.8864110021101</v>
      </c>
      <c r="H6503" s="36" t="n">
        <f aca="false">cust_sh*tk_he_gb300*cf_chip+(1-cust_sh)*((1-Sens!$H$6502)*tk_he_gb300+Sens!$H$6502*tk_he_vr200)</f>
        <v>11.2211760027286</v>
      </c>
      <c r="I6503" s="36" t="n">
        <f aca="false">cust_sh*tk_he_gb300*cf_chip+(1-cust_sh)*((1-Sens!$I$6502)*tk_he_gb300+Sens!$I$6502*tk_he_vr200)</f>
        <v>11.5559410033471</v>
      </c>
      <c r="J6503" s="36" t="n">
        <f aca="false">cust_sh*tk_he_gb300*cf_chip+(1-cust_sh)*((1-Sens!$J$6502)*tk_he_gb300+Sens!$J$6502*tk_he_vr200)</f>
        <v>11.5559410033471</v>
      </c>
      <c r="K6503" s="36" t="n">
        <f aca="false">cust_sh*tk_he_gb300*cf_chip+(1-cust_sh)*((1-Sens!$K$6502)*tk_he_gb300+Sens!$K$6502*tk_he_vr200)</f>
        <v>11.5559410033471</v>
      </c>
      <c r="L6503" s="36" t="n">
        <f aca="false">cust_sh*tk_he_gb300*cf_chip+(1-cust_sh)*((1-Sens!$L$6502)*tk_he_gb300+Sens!$L$6502*tk_he_vr200)</f>
        <v>11.5559410033471</v>
      </c>
      <c r="M6503" s="36" t="n">
        <f aca="false">cust_sh*tk_he_gb300*cf_chip+(1-cust_sh)*((1-Sens!$M$6502)*tk_he_gb300+Sens!$M$6502*tk_he_vr200)</f>
        <v>11.5559410033471</v>
      </c>
    </row>
    <row r="6504" customFormat="false" ht="17.15" hidden="false" customHeight="false" outlineLevel="0" collapsed="false">
      <c r="A6504" s="5" t="s">
        <v>562</v>
      </c>
      <c r="B6504" s="0" t="s">
        <v>151</v>
      </c>
      <c r="F6504" s="36" t="n">
        <f aca="false">cust_sh*tk_ox_gb300+(1-cust_sh)*((1-Sens!$F$6502)*tk_ox_gb300+Sens!$F$6502*tk_ox_vr200)</f>
        <v>1.98263481314457</v>
      </c>
      <c r="G6504" s="36" t="n">
        <f aca="false">cust_sh*tk_ox_gb300+(1-cust_sh)*((1-Sens!$G$6502)*tk_ox_gb300+Sens!$G$6502*tk_ox_vr200)</f>
        <v>1.98263481314457</v>
      </c>
      <c r="H6504" s="36" t="n">
        <f aca="false">cust_sh*tk_ox_gb300+(1-cust_sh)*((1-Sens!$H$6502)*tk_ox_gb300+Sens!$H$6502*tk_ox_vr200)</f>
        <v>2.01034999693694</v>
      </c>
      <c r="I6504" s="36" t="n">
        <f aca="false">cust_sh*tk_ox_gb300+(1-cust_sh)*((1-Sens!$I$6502)*tk_ox_gb300+Sens!$I$6502*tk_ox_vr200)</f>
        <v>2.0380651807293</v>
      </c>
      <c r="J6504" s="36" t="n">
        <f aca="false">cust_sh*tk_ox_gb300+(1-cust_sh)*((1-Sens!$J$6502)*tk_ox_gb300+Sens!$J$6502*tk_ox_vr200)</f>
        <v>2.0380651807293</v>
      </c>
      <c r="K6504" s="36" t="n">
        <f aca="false">cust_sh*tk_ox_gb300+(1-cust_sh)*((1-Sens!$K$6502)*tk_ox_gb300+Sens!$K$6502*tk_ox_vr200)</f>
        <v>2.0380651807293</v>
      </c>
      <c r="L6504" s="36" t="n">
        <f aca="false">cust_sh*tk_ox_gb300+(1-cust_sh)*((1-Sens!$L$6502)*tk_ox_gb300+Sens!$L$6502*tk_ox_vr200)</f>
        <v>2.0380651807293</v>
      </c>
      <c r="M6504" s="36" t="n">
        <f aca="false">cust_sh*tk_ox_gb300+(1-cust_sh)*((1-Sens!$M$6502)*tk_ox_gb300+Sens!$M$6502*tk_ox_vr200)</f>
        <v>2.0380651807293</v>
      </c>
    </row>
    <row r="6505" customFormat="false" ht="17.15" hidden="false" customHeight="false" outlineLevel="0" collapsed="false">
      <c r="A6505" s="5" t="s">
        <v>563</v>
      </c>
      <c r="B6505" s="0" t="s">
        <v>170</v>
      </c>
      <c r="F6505" s="36" t="n">
        <f aca="false">cust_sh*tk_cx_gb300*cf_cx+(1-cust_sh)*((1-Sens!$F$6502)*tk_cx_gb300+Sens!$F$6502*tk_cx_vr200)</f>
        <v>32.237224</v>
      </c>
      <c r="G6505" s="36" t="n">
        <f aca="false">cust_sh*tk_cx_gb300*cf_cx+(1-cust_sh)*((1-Sens!$G$6502)*tk_cx_gb300+Sens!$G$6502*tk_cx_vr200)</f>
        <v>32.237224</v>
      </c>
      <c r="H6505" s="36" t="n">
        <f aca="false">cust_sh*tk_cx_gb300*cf_cx+(1-cust_sh)*((1-Sens!$H$6502)*tk_cx_gb300+Sens!$H$6502*tk_cx_vr200)</f>
        <v>33.574506</v>
      </c>
      <c r="I6505" s="36" t="n">
        <f aca="false">cust_sh*tk_cx_gb300*cf_cx+(1-cust_sh)*((1-Sens!$I$6502)*tk_cx_gb300+Sens!$I$6502*tk_cx_vr200)</f>
        <v>34.911788</v>
      </c>
      <c r="J6505" s="36" t="n">
        <f aca="false">cust_sh*tk_cx_gb300*cf_cx+(1-cust_sh)*((1-Sens!$J$6502)*tk_cx_gb300+Sens!$J$6502*tk_cx_vr200)</f>
        <v>34.911788</v>
      </c>
      <c r="K6505" s="36" t="n">
        <f aca="false">cust_sh*tk_cx_gb300*cf_cx+(1-cust_sh)*((1-Sens!$K$6502)*tk_cx_gb300+Sens!$K$6502*tk_cx_vr200)</f>
        <v>34.911788</v>
      </c>
      <c r="L6505" s="36" t="n">
        <f aca="false">cust_sh*tk_cx_gb300*cf_cx+(1-cust_sh)*((1-Sens!$L$6502)*tk_cx_gb300+Sens!$L$6502*tk_cx_vr200)</f>
        <v>34.911788</v>
      </c>
      <c r="M6505" s="36" t="n">
        <f aca="false">cust_sh*tk_cx_gb300*cf_cx+(1-cust_sh)*((1-Sens!$M$6502)*tk_cx_gb300+Sens!$M$6502*tk_cx_vr200)</f>
        <v>34.911788</v>
      </c>
    </row>
    <row r="6506" customFormat="false" ht="17.15" hidden="false" customHeight="false" outlineLevel="0" collapsed="false">
      <c r="A6506" s="5" t="s">
        <v>564</v>
      </c>
      <c r="B6506" s="0" t="s">
        <v>108</v>
      </c>
      <c r="F6506" s="33" t="n">
        <f aca="false">Sens!$F$6496-mw_open</f>
        <v>1817.15</v>
      </c>
      <c r="G6506" s="33" t="n">
        <f aca="false">Sens!$F$6506</f>
        <v>1817.15</v>
      </c>
      <c r="H6506" s="33" t="n">
        <f aca="false">Sens!$H$6496-mw_open</f>
        <v>5451.45</v>
      </c>
      <c r="I6506" s="33" t="n">
        <f aca="false">Sens!$I$6496-mw_open</f>
        <v>9085.75</v>
      </c>
      <c r="J6506" s="33" t="n">
        <f aca="false">Sens!$J$6496-mw_open</f>
        <v>12720.05</v>
      </c>
      <c r="K6506" s="33" t="n">
        <f aca="false">Sens!$K$6496-mw_open</f>
        <v>16354.35</v>
      </c>
      <c r="L6506" s="33" t="n">
        <f aca="false">Sens!$L$6496-mw_open</f>
        <v>19988.65</v>
      </c>
      <c r="M6506" s="33" t="n">
        <f aca="false">Sens!$M$6496-mw_open</f>
        <v>23622.95</v>
      </c>
    </row>
    <row r="6507" customFormat="false" ht="17.15" hidden="false" customHeight="false" outlineLevel="0" collapsed="false">
      <c r="A6507" s="0" t="s">
        <v>565</v>
      </c>
      <c r="B6507" s="0" t="s">
        <v>566</v>
      </c>
      <c r="F6507" s="33" t="n">
        <f aca="false">Sens!$F$6499*Sens!$F$6503</f>
        <v>19782.2417524844</v>
      </c>
      <c r="G6507" s="33" t="n">
        <f aca="false">Sens!$F$6507</f>
        <v>19782.2417524844</v>
      </c>
      <c r="H6507" s="33" t="n">
        <f aca="false">Sens!$G$6507+Sens!$H$6499*Sens!$H$6503</f>
        <v>60563.3616992009</v>
      </c>
      <c r="I6507" s="33" t="n">
        <f aca="false">Sens!$H$6507+Sens!$I$6499*Sens!$I$6503</f>
        <v>102561.118087665</v>
      </c>
      <c r="J6507" s="33" t="n">
        <f aca="false">Sens!$I$6507+Sens!$J$6499*Sens!$J$6503</f>
        <v>144558.87447613</v>
      </c>
      <c r="K6507" s="33" t="n">
        <f aca="false">Sens!$J$6507+Sens!$K$6499*Sens!$K$6503</f>
        <v>186556.630864594</v>
      </c>
      <c r="L6507" s="33" t="n">
        <f aca="false">Sens!$K$6507+Sens!$L$6499*Sens!$L$6503</f>
        <v>228554.387253058</v>
      </c>
      <c r="M6507" s="33" t="n">
        <f aca="false">Sens!$L$6507+Sens!$M$6499*Sens!$M$6503</f>
        <v>270552.143641523</v>
      </c>
    </row>
    <row r="6508" customFormat="false" ht="17.15" hidden="false" customHeight="false" outlineLevel="0" collapsed="false">
      <c r="A6508" s="0" t="s">
        <v>567</v>
      </c>
      <c r="B6508" s="0" t="s">
        <v>566</v>
      </c>
      <c r="F6508" s="33" t="n">
        <f aca="false">Sens!$F$6499*Sens!$F$6504</f>
        <v>3602.74485070566</v>
      </c>
      <c r="G6508" s="33" t="n">
        <f aca="false">Sens!$F$6508</f>
        <v>3602.74485070566</v>
      </c>
      <c r="H6508" s="33" t="n">
        <f aca="false">Sens!$G$6508+Sens!$H$6499*Sens!$H$6504</f>
        <v>10908.9598445736</v>
      </c>
      <c r="I6508" s="33" t="n">
        <f aca="false">Sens!$H$6508+Sens!$I$6499*Sens!$I$6504</f>
        <v>18315.9001308981</v>
      </c>
      <c r="J6508" s="33" t="n">
        <f aca="false">Sens!$I$6508+Sens!$J$6499*Sens!$J$6504</f>
        <v>25722.8404172225</v>
      </c>
      <c r="K6508" s="33" t="n">
        <f aca="false">Sens!$J$6508+Sens!$K$6499*Sens!$K$6504</f>
        <v>33129.780703547</v>
      </c>
      <c r="L6508" s="33" t="n">
        <f aca="false">Sens!$K$6508+Sens!$L$6499*Sens!$L$6504</f>
        <v>40536.7209898715</v>
      </c>
      <c r="M6508" s="33" t="n">
        <f aca="false">Sens!$L$6508+Sens!$M$6499*Sens!$M$6504</f>
        <v>47943.661276196</v>
      </c>
    </row>
    <row r="6509" customFormat="false" ht="17.15" hidden="false" customHeight="false" outlineLevel="0" collapsed="false">
      <c r="A6509" s="5" t="s">
        <v>568</v>
      </c>
      <c r="B6509" s="0" t="s">
        <v>151</v>
      </c>
      <c r="F6509" s="36" t="n">
        <f aca="false">IF(Sens!$F$6506&gt;0,Sens!$F$6507/Sens!$F$6506,Sens!$F$6503)</f>
        <v>10.8864110021101</v>
      </c>
      <c r="G6509" s="36" t="n">
        <f aca="false">IF(Sens!$G$6506&gt;0,Sens!$G$6507/Sens!$G$6506,Sens!$G$6503)</f>
        <v>10.8864110021101</v>
      </c>
      <c r="H6509" s="36" t="n">
        <f aca="false">IF(Sens!$H$6506&gt;0,Sens!$H$6507/Sens!$H$6506,Sens!$H$6503)</f>
        <v>11.1095876691891</v>
      </c>
      <c r="I6509" s="36" t="n">
        <f aca="false">IF(Sens!$I$6506&gt;0,Sens!$I$6507/Sens!$I$6506,Sens!$I$6503)</f>
        <v>11.2881290028523</v>
      </c>
      <c r="J6509" s="36" t="n">
        <f aca="false">IF(Sens!$J$6506&gt;0,Sens!$J$6507/Sens!$J$6506,Sens!$J$6503)</f>
        <v>11.3646467172794</v>
      </c>
      <c r="K6509" s="36" t="n">
        <f aca="false">IF(Sens!$K$6506&gt;0,Sens!$K$6507/Sens!$K$6506,Sens!$K$6503)</f>
        <v>11.4071565586278</v>
      </c>
      <c r="L6509" s="36" t="n">
        <f aca="false">IF(Sens!$L$6506&gt;0,Sens!$L$6507/Sens!$L$6506,Sens!$L$6503)</f>
        <v>11.4342082758495</v>
      </c>
      <c r="M6509" s="36" t="n">
        <f aca="false">IF(Sens!$M$6506&gt;0,Sens!$M$6507/Sens!$M$6506,Sens!$M$6503)</f>
        <v>11.4529363877722</v>
      </c>
    </row>
    <row r="6510" customFormat="false" ht="17.15" hidden="false" customHeight="false" outlineLevel="0" collapsed="false">
      <c r="A6510" s="5" t="s">
        <v>569</v>
      </c>
      <c r="B6510" s="0" t="s">
        <v>151</v>
      </c>
      <c r="F6510" s="36" t="n">
        <f aca="false">IF(Sens!$F$6506&gt;0,Sens!$F$6508/Sens!$F$6506,Sens!$F$6504)</f>
        <v>1.98263481314457</v>
      </c>
      <c r="G6510" s="36" t="n">
        <f aca="false">IF(Sens!$G$6506&gt;0,Sens!$G$6508/Sens!$G$6506,Sens!$G$6504)</f>
        <v>1.98263481314457</v>
      </c>
      <c r="H6510" s="36" t="n">
        <f aca="false">IF(Sens!$H$6506&gt;0,Sens!$H$6508/Sens!$H$6506,Sens!$H$6504)</f>
        <v>2.00111160233948</v>
      </c>
      <c r="I6510" s="36" t="n">
        <f aca="false">IF(Sens!$I$6506&gt;0,Sens!$I$6508/Sens!$I$6506,Sens!$I$6504)</f>
        <v>2.01589303369541</v>
      </c>
      <c r="J6510" s="36" t="n">
        <f aca="false">IF(Sens!$J$6506&gt;0,Sens!$J$6508/Sens!$J$6506,Sens!$J$6504)</f>
        <v>2.02222793284795</v>
      </c>
      <c r="K6510" s="36" t="n">
        <f aca="false">IF(Sens!$K$6506&gt;0,Sens!$K$6508/Sens!$K$6506,Sens!$K$6504)</f>
        <v>2.02574732126603</v>
      </c>
      <c r="L6510" s="36" t="n">
        <f aca="false">IF(Sens!$L$6506&gt;0,Sens!$L$6508/Sens!$L$6506,Sens!$L$6504)</f>
        <v>2.02798693207753</v>
      </c>
      <c r="M6510" s="36" t="n">
        <f aca="false">IF(Sens!$M$6506&gt;0,Sens!$M$6508/Sens!$M$6506,Sens!$M$6504)</f>
        <v>2.02953743187011</v>
      </c>
    </row>
    <row r="6511" customFormat="false" ht="17.15" hidden="false" customHeight="false" outlineLevel="0" collapsed="false">
      <c r="A6511" s="14" t="s">
        <v>570</v>
      </c>
      <c r="B6511" s="13" t="s">
        <v>151</v>
      </c>
      <c r="C6511" s="13"/>
      <c r="D6511" s="13"/>
      <c r="E6511" s="13"/>
      <c r="F6511" s="37" t="n">
        <f aca="false">Sens!$F$6509*k_B</f>
        <v>10.7987645808025</v>
      </c>
      <c r="G6511" s="37" t="n">
        <f aca="false">Sens!$G$6509*k_B</f>
        <v>10.7987645808025</v>
      </c>
      <c r="H6511" s="37" t="n">
        <f aca="false">Sens!$H$6509*k_B</f>
        <v>11.0201444540452</v>
      </c>
      <c r="I6511" s="37" t="n">
        <f aca="false">Sens!$I$6509*k_B</f>
        <v>11.1972483526393</v>
      </c>
      <c r="J6511" s="37" t="n">
        <f aca="false">Sens!$J$6509*k_B</f>
        <v>11.2731500234653</v>
      </c>
      <c r="K6511" s="37" t="n">
        <f aca="false">Sens!$K$6509*k_B</f>
        <v>11.3153176183687</v>
      </c>
      <c r="L6511" s="37" t="n">
        <f aca="false">Sens!$L$6509*k_B</f>
        <v>11.3421515423981</v>
      </c>
      <c r="M6511" s="37" t="n">
        <f aca="false">Sens!$M$6509*k_B</f>
        <v>11.3607288744184</v>
      </c>
      <c r="N6511" s="13"/>
      <c r="O6511" s="13"/>
      <c r="P6511" s="5" t="s">
        <v>571</v>
      </c>
    </row>
    <row r="6512" customFormat="false" ht="17.15" hidden="false" customHeight="false" outlineLevel="0" collapsed="false">
      <c r="A6512" s="5" t="s">
        <v>572</v>
      </c>
      <c r="B6512" s="0" t="s">
        <v>108</v>
      </c>
      <c r="F6512" s="33" t="n">
        <f aca="false">Sens!$F$6506/2</f>
        <v>908.575</v>
      </c>
      <c r="H6512" s="33" t="n">
        <f aca="false">(Sens!$G$6506+Sens!$H$6506)/2</f>
        <v>3634.3</v>
      </c>
      <c r="I6512" s="33" t="n">
        <f aca="false">(Sens!$H$6506+Sens!$I$6506)/2</f>
        <v>7268.6</v>
      </c>
      <c r="J6512" s="33" t="n">
        <f aca="false">(Sens!$I$6506+Sens!$J$6506)/2</f>
        <v>10902.9</v>
      </c>
      <c r="K6512" s="33" t="n">
        <f aca="false">(Sens!$J$6506+Sens!$K$6506)/2</f>
        <v>14537.2</v>
      </c>
      <c r="L6512" s="33" t="n">
        <f aca="false">(Sens!$K$6506+Sens!$L$6506)/2</f>
        <v>18171.5</v>
      </c>
      <c r="M6512" s="33" t="n">
        <f aca="false">(Sens!$L$6506+Sens!$M$6506)/2</f>
        <v>21805.8</v>
      </c>
    </row>
    <row r="6513" customFormat="false" ht="17.15" hidden="false" customHeight="false" outlineLevel="0" collapsed="false">
      <c r="A6513" s="1" t="s">
        <v>573</v>
      </c>
    </row>
    <row r="6514" customFormat="false" ht="17.15" hidden="false" customHeight="false" outlineLevel="0" collapsed="false">
      <c r="A6514" s="1" t="s">
        <v>574</v>
      </c>
      <c r="B6514" s="8" t="s">
        <v>73</v>
      </c>
      <c r="C6514" s="38" t="n">
        <f aca="false">Sens!$C$6497*rpm_open*Sens!$C$6498/1000</f>
        <v>2.32100535697364</v>
      </c>
      <c r="D6514" s="38" t="n">
        <f aca="false">Sens!$D$6497*rpm_open*Sens!$D$6498/1000</f>
        <v>8.70377008865116</v>
      </c>
      <c r="E6514" s="38" t="n">
        <f aca="false">Sens!$E$6497*rpm_open*Sens!$E$6498/1000</f>
        <v>8.51035297557002</v>
      </c>
      <c r="F6514" s="38" t="n">
        <f aca="false">(mw_open*rpm_open+Sens!$F$6512*Sens!$F$6511)*Sens!$F$6498/1000</f>
        <v>14.9634336447205</v>
      </c>
      <c r="G6514" s="38" t="n">
        <f aca="false">Sens!$E$6514+Sens!$F$6514</f>
        <v>23.4737866202905</v>
      </c>
      <c r="H6514" s="38" t="n">
        <f aca="false">(mw_open*rpm_open+Sens!$H$6512*Sens!$H$6511)/1000</f>
        <v>60.1658907497746</v>
      </c>
      <c r="I6514" s="38" t="n">
        <f aca="false">(mw_open*rpm_open+Sens!$I$6512*Sens!$I$6511)/1000</f>
        <v>101.503699136432</v>
      </c>
      <c r="J6514" s="38" t="n">
        <f aca="false">(mw_open*rpm_open+Sens!$J$6512*Sens!$J$6511)/1000</f>
        <v>143.025407151278</v>
      </c>
      <c r="K6514" s="38" t="n">
        <f aca="false">(mw_open*rpm_open+Sens!$K$6512*Sens!$K$6511)/1000</f>
        <v>184.608415042187</v>
      </c>
      <c r="L6514" s="38" t="n">
        <f aca="false">(mw_open*rpm_open+Sens!$L$6512*Sens!$L$6511)/1000</f>
        <v>226.219286513125</v>
      </c>
      <c r="M6514" s="38" t="n">
        <f aca="false">(mw_open*rpm_open+Sens!$M$6512*Sens!$M$6511)/1000</f>
        <v>267.845161450232</v>
      </c>
      <c r="N6514" s="38" t="n">
        <f aca="false">Sens!$N$6497*rpm_open*Sens!$N$6498/1000</f>
        <v>3.04631953102791</v>
      </c>
      <c r="O6514" s="38" t="n">
        <f aca="false">Sens!$O$6497*rpm_open*Sens!$O$6498/1000</f>
        <v>5.65745055762326</v>
      </c>
      <c r="P6514" s="5" t="s">
        <v>575</v>
      </c>
    </row>
    <row r="6515" customFormat="false" ht="17.15" hidden="false" customHeight="false" outlineLevel="0" collapsed="false">
      <c r="A6515" s="5" t="s">
        <v>576</v>
      </c>
      <c r="B6515" s="0" t="s">
        <v>151</v>
      </c>
      <c r="C6515" s="36" t="n">
        <f aca="false">Sens!$C$6514*1000/(Sens!$C$6497*Sens!$C$6498)</f>
        <v>9.67085565405685</v>
      </c>
      <c r="D6515" s="36" t="n">
        <f aca="false">Sens!$D$6514*1000/(Sens!$D$6497*Sens!$D$6498)</f>
        <v>9.67085565405685</v>
      </c>
      <c r="E6515" s="36" t="n">
        <f aca="false">Sens!$E$6514*1000/(Sens!$E$6497*Sens!$E$6498)</f>
        <v>9.67085565405685</v>
      </c>
      <c r="F6515" s="36" t="n">
        <f aca="false">Sens!$F$6514*1000/(Sens!$F$6497*Sens!$F$6498)</f>
        <v>10.0137581588017</v>
      </c>
      <c r="G6515" s="36" t="n">
        <f aca="false">Sens!$G$6514*1000/(Sens!$G$6497*Sens!$G$6498)</f>
        <v>9.88666562928478</v>
      </c>
      <c r="H6515" s="36" t="n">
        <f aca="false">Sens!$H$6514*1000/(Sens!$H$6497*Sens!$H$6498)</f>
        <v>10.5290045586992</v>
      </c>
      <c r="I6515" s="36" t="n">
        <f aca="false">Sens!$I$6514*1000/(Sens!$I$6497*Sens!$I$6498)</f>
        <v>10.8576363451674</v>
      </c>
      <c r="J6515" s="36" t="n">
        <f aca="false">Sens!$J$6514*1000/(Sens!$J$6497*Sens!$J$6498)</f>
        <v>11.0164452588619</v>
      </c>
      <c r="K6515" s="36" t="n">
        <f aca="false">Sens!$K$6514*1000/(Sens!$K$6497*Sens!$K$6498)</f>
        <v>11.1094778327388</v>
      </c>
      <c r="L6515" s="36" t="n">
        <f aca="false">Sens!$L$6514*1000/(Sens!$L$6497*Sens!$L$6498)</f>
        <v>11.1704953466718</v>
      </c>
      <c r="M6515" s="36" t="n">
        <f aca="false">Sens!$M$6514*1000/(Sens!$M$6497*Sens!$M$6498)</f>
        <v>11.2135729785158</v>
      </c>
      <c r="N6515" s="36" t="n">
        <f aca="false">Sens!$N$6514*1000/(Sens!$N$6497*Sens!$N$6498)</f>
        <v>9.67085565405685</v>
      </c>
      <c r="O6515" s="36" t="n">
        <f aca="false">Sens!$O$6514*1000/(Sens!$O$6497*Sens!$O$6498)</f>
        <v>9.67085565405685</v>
      </c>
    </row>
    <row r="6516" customFormat="false" ht="17.15" hidden="false" customHeight="false" outlineLevel="0" collapsed="false">
      <c r="A6516" s="0" t="s">
        <v>577</v>
      </c>
      <c r="B6516" s="0" t="s">
        <v>73</v>
      </c>
      <c r="C6516" s="38" t="n">
        <f aca="false">Sens!$C$6497/ext_sh*(ox_open+rent_mw)*Sens!$C$6498/1000</f>
        <v>0.642569210675032</v>
      </c>
      <c r="D6516" s="38" t="n">
        <f aca="false">Sens!$D$6497/ext_sh*(ox_open+rent_mw)*Sens!$D$6498/1000</f>
        <v>2.40963454003137</v>
      </c>
      <c r="E6516" s="38" t="n">
        <f aca="false">Sens!$E$6497/ext_sh*(ox_open+rent_mw)*Sens!$E$6498/1000</f>
        <v>2.35608710580845</v>
      </c>
      <c r="F6516" s="38" t="n">
        <f aca="false">((mw_open*ox_open+Sens!$F$6512*Sens!$F$6510)/ext_sh+Sens!$F$6497/ext_sh*rent_mw)*Sens!$F$6498/1000</f>
        <v>4.05421991106232</v>
      </c>
      <c r="G6516" s="38" t="n">
        <f aca="false">Sens!$E$6516+Sens!$F$6516</f>
        <v>6.41030701687077</v>
      </c>
      <c r="H6516" s="38" t="n">
        <f aca="false">((mw_open*ox_open+Sens!$H$6512*Sens!$H$6510)/ext_sh+Sens!$H$6497/ext_sh*rent_mw)*Sens!$H$6498/1000</f>
        <v>15.8108975546616</v>
      </c>
      <c r="I6516" s="38" t="n">
        <f aca="false">((mw_open*ox_open+Sens!$I$6512*Sens!$I$6510)/ext_sh+Sens!$I$6497/ext_sh*rent_mw)*Sens!$I$6498/1000</f>
        <v>26.1871623400817</v>
      </c>
      <c r="J6516" s="38" t="n">
        <f aca="false">((mw_open*ox_open+Sens!$J$6512*Sens!$J$6510)/ext_sh+Sens!$J$6497/ext_sh*rent_mw)*Sens!$J$6498/1000</f>
        <v>36.5826128954935</v>
      </c>
      <c r="K6516" s="38" t="n">
        <f aca="false">((mw_open*ox_open+Sens!$K$6512*Sens!$K$6510)/ext_sh+Sens!$K$6497/ext_sh*rent_mw)*Sens!$K$6498/1000</f>
        <v>46.9844587075692</v>
      </c>
      <c r="L6516" s="38" t="n">
        <f aca="false">((mw_open*ox_open+Sens!$L$6512*Sens!$L$6510)/ext_sh+Sens!$L$6497/ext_sh*rent_mw)*Sens!$L$6498/1000</f>
        <v>57.3892114544922</v>
      </c>
      <c r="M6516" s="38" t="n">
        <f aca="false">((mw_open*ox_open+Sens!$M$6512*Sens!$M$6510)/ext_sh+Sens!$M$6497/ext_sh*rent_mw)*Sens!$M$6498/1000</f>
        <v>67.7955294740252</v>
      </c>
      <c r="N6516" s="38" t="n">
        <f aca="false">Sens!$N$6497/ext_sh*(ox_open+rent_mw)*Sens!$N$6498/1000</f>
        <v>0.84337208901098</v>
      </c>
      <c r="O6516" s="38" t="n">
        <f aca="false">Sens!$O$6497/ext_sh*(ox_open+rent_mw)*Sens!$O$6498/1000</f>
        <v>1.56626245102039</v>
      </c>
    </row>
    <row r="6517" customFormat="false" ht="17.15" hidden="false" customHeight="false" outlineLevel="0" collapsed="false">
      <c r="A6517" s="0" t="s">
        <v>578</v>
      </c>
      <c r="B6517" s="0" t="s">
        <v>73</v>
      </c>
      <c r="C6517" s="38" t="n">
        <f aca="false">Q!$D$7</f>
        <v>107.556</v>
      </c>
      <c r="D6517" s="38" t="n">
        <f aca="false">Q!$E$7</f>
        <v>128.725</v>
      </c>
      <c r="E6517" s="38" t="n">
        <f aca="false">Q!$P$7</f>
        <v>79.819</v>
      </c>
      <c r="N6517" s="38" t="n">
        <f aca="false">Q!$N$7</f>
        <v>60.14</v>
      </c>
      <c r="O6517" s="38" t="n">
        <f aca="false">Q!$O$7</f>
        <v>68.585</v>
      </c>
    </row>
    <row r="6518" customFormat="false" ht="17.15" hidden="false" customHeight="false" outlineLevel="0" collapsed="false">
      <c r="A6518" s="1" t="s">
        <v>579</v>
      </c>
      <c r="B6518" s="8" t="s">
        <v>73</v>
      </c>
      <c r="C6518" s="38" t="n">
        <f aca="false">Sens!$C$6517-Sens!$C$6514</f>
        <v>105.234994643026</v>
      </c>
      <c r="D6518" s="38" t="n">
        <f aca="false">Sens!$D$6517-Sens!$D$6514</f>
        <v>120.021229911349</v>
      </c>
      <c r="E6518" s="38" t="n">
        <f aca="false">Sens!$E$6517-Sens!$E$6514</f>
        <v>71.30864702443</v>
      </c>
      <c r="F6518" s="38" t="n">
        <f aca="false">Sens!$O$6518*(1+Sens!$F$6519)</f>
        <v>78.5950104186653</v>
      </c>
      <c r="G6518" s="38" t="n">
        <f aca="false">Sens!$E$6518+Sens!$F$6518</f>
        <v>149.903657443095</v>
      </c>
      <c r="H6518" s="38" t="n">
        <f aca="false">Sens!$G$6518*(1+Sens!$H$6519)</f>
        <v>180.893560768142</v>
      </c>
      <c r="I6518" s="38" t="n">
        <f aca="false">Sens!$H$6518*(1+Sens!$I$6519)</f>
        <v>210.64839721501</v>
      </c>
      <c r="J6518" s="38" t="n">
        <f aca="false">Sens!$I$6518*(1+Sens!$J$6519)</f>
        <v>236.398909446495</v>
      </c>
      <c r="K6518" s="38" t="n">
        <f aca="false">Sens!$J$6518*(1+Sens!$K$6519)</f>
        <v>255.310822202215</v>
      </c>
      <c r="L6518" s="38" t="n">
        <f aca="false">Sens!$K$6518*(1+Sens!$L$6519)</f>
        <v>275.735687978392</v>
      </c>
      <c r="M6518" s="38" t="n">
        <f aca="false">Sens!$L$6518*(1+Sens!$M$6519)</f>
        <v>297.794543016663</v>
      </c>
      <c r="N6518" s="38" t="n">
        <f aca="false">Sens!$N$6517-Sens!$N$6514</f>
        <v>57.0936804689721</v>
      </c>
      <c r="O6518" s="38" t="n">
        <f aca="false">Sens!$O$6517-Sens!$O$6514</f>
        <v>62.9275494423768</v>
      </c>
      <c r="P6518" s="5" t="s">
        <v>580</v>
      </c>
    </row>
    <row r="6519" customFormat="false" ht="17.15" hidden="false" customHeight="false" outlineLevel="0" collapsed="false">
      <c r="A6519" s="0" t="s">
        <v>581</v>
      </c>
      <c r="B6519" s="0" t="s">
        <v>52</v>
      </c>
      <c r="E6519" s="12" t="n">
        <f aca="false">Sens!$E$6518/Sens!$N$6518-1</f>
        <v>0.248976181579029</v>
      </c>
      <c r="F6519" s="12" t="n">
        <f aca="false">Sens!$E$6519</f>
        <v>0.248976181579029</v>
      </c>
      <c r="G6519" s="12" t="n">
        <f aca="false">Sens!$G$6518/Sens!$D$6518-1</f>
        <v>0.248976181579029</v>
      </c>
      <c r="H6519" s="12" t="n">
        <f aca="false">Sens!$E$6519+(g_awso_lt-Sens!$E$6519)*1/4</f>
        <v>0.206732136184272</v>
      </c>
      <c r="I6519" s="12" t="n">
        <f aca="false">Sens!$E$6519+(g_awso_lt-Sens!$E$6519)*2/4</f>
        <v>0.164488090789515</v>
      </c>
      <c r="J6519" s="12" t="n">
        <f aca="false">Sens!$E$6519+(g_awso_lt-Sens!$E$6519)*3/4</f>
        <v>0.122244045394757</v>
      </c>
      <c r="K6519" s="12" t="n">
        <f aca="false">Sens!$E$6519+(g_awso_lt-Sens!$E$6519)*4/4</f>
        <v>0.08</v>
      </c>
      <c r="L6519" s="12" t="n">
        <f aca="false">g_awso_lt</f>
        <v>0.08</v>
      </c>
      <c r="M6519" s="12" t="n">
        <f aca="false">g_awso_lt</f>
        <v>0.08</v>
      </c>
      <c r="P6519" s="8" t="s">
        <v>582</v>
      </c>
    </row>
    <row r="6520" customFormat="false" ht="17.15" hidden="false" customHeight="false" outlineLevel="0" collapsed="false">
      <c r="A6520" s="1" t="s">
        <v>583</v>
      </c>
    </row>
    <row r="6521" customFormat="false" ht="17.15" hidden="false" customHeight="false" outlineLevel="0" collapsed="false">
      <c r="A6521" s="0" t="s">
        <v>584</v>
      </c>
      <c r="B6521" s="0" t="s">
        <v>73</v>
      </c>
      <c r="F6521" s="38" t="n">
        <f aca="false">cx_rt*Sens!$F$6487+cx_awso*Sens!$F$6518</f>
        <v>36.8045765066526</v>
      </c>
    </row>
    <row r="6522" customFormat="false" ht="17.15" hidden="false" customHeight="false" outlineLevel="0" collapsed="false">
      <c r="A6522" s="0" t="s">
        <v>585</v>
      </c>
      <c r="B6522" s="0" t="s">
        <v>52</v>
      </c>
      <c r="C6522" s="12" t="n">
        <f aca="false">tk_cx_h100/(tk_cx_h100+tk_fac*(1-colo_sh))</f>
        <v>0.730756458006641</v>
      </c>
      <c r="D6522" s="12" t="n">
        <f aca="false">tk_cx_h100/(tk_cx_h100+tk_fac*(1-colo_sh))</f>
        <v>0.730756458006641</v>
      </c>
      <c r="E6522" s="12" t="n">
        <f aca="false">Sens!$F$6522</f>
        <v>0.760792334328868</v>
      </c>
      <c r="F6522" s="12" t="n">
        <f aca="false">Sens!$F$6505/(Sens!$F$6505+tk_fac*(1-colo_sh))</f>
        <v>0.760792334328868</v>
      </c>
      <c r="G6522" s="12" t="n">
        <f aca="false">Sens!$G$6505/(Sens!$G$6505+tk_fac*(1-colo_sh))</f>
        <v>0.760792334328868</v>
      </c>
      <c r="H6522" s="12" t="n">
        <f aca="false">Sens!$H$6505/(Sens!$H$6505+tk_fac*(1-colo_sh))</f>
        <v>0.768110668862996</v>
      </c>
      <c r="I6522" s="12" t="n">
        <f aca="false">Sens!$I$6505/(Sens!$I$6505+tk_fac*(1-colo_sh))</f>
        <v>0.77499450139483</v>
      </c>
      <c r="J6522" s="12" t="n">
        <f aca="false">Sens!$J$6505/(Sens!$J$6505+tk_fac*(1-colo_sh))</f>
        <v>0.77499450139483</v>
      </c>
      <c r="K6522" s="12" t="n">
        <f aca="false">Sens!$K$6505/(Sens!$K$6505+tk_fac*(1-colo_sh))</f>
        <v>0.77499450139483</v>
      </c>
      <c r="L6522" s="12" t="n">
        <f aca="false">Sens!$L$6505/(Sens!$L$6505+tk_fac*(1-colo_sh))</f>
        <v>0.77499450139483</v>
      </c>
      <c r="M6522" s="12" t="n">
        <f aca="false">Sens!$M$6505/(Sens!$M$6505+tk_fac*(1-colo_sh))</f>
        <v>0.77499450139483</v>
      </c>
    </row>
    <row r="6523" customFormat="false" ht="17.15" hidden="false" customHeight="false" outlineLevel="0" collapsed="false">
      <c r="A6523" s="1" t="s">
        <v>586</v>
      </c>
      <c r="B6523" s="8" t="s">
        <v>73</v>
      </c>
      <c r="C6523" s="38" t="n">
        <f aca="false">Q!$D$46-cx_rt*Q!$D$16-cx_awso*Sens!$C$6518</f>
        <v>25.2781053077374</v>
      </c>
      <c r="D6523" s="38" t="n">
        <f aca="false">Q!$E$46-cx_rt*Q!$E$16-cx_awso*Sens!$D$6518</f>
        <v>69.5686316310026</v>
      </c>
      <c r="E6523" s="38" t="n">
        <f aca="false">Q!$P$46-cx_rt*Q!$P$16-cx_awso*Sens!$E$6518</f>
        <v>64.1899206485108</v>
      </c>
      <c r="F6523" s="38" t="n">
        <f aca="false">MAX(Sens!$F$6500*(Sens!$F$6505+tk_fac*(1-colo_sh))/1000,capex_g26-Q!$P$46-Sens!$F$6521)</f>
        <v>96.2481299895</v>
      </c>
      <c r="G6523" s="38" t="n">
        <f aca="false">Sens!$E$6523+Sens!$F$6523</f>
        <v>160.438050638011</v>
      </c>
      <c r="H6523" s="38" t="n">
        <f aca="false">Sens!$H$6500*(Sens!$H$6505+tk_fac*(1-colo_sh))/1000+Sens!$H$6524</f>
        <v>198.57136494475</v>
      </c>
      <c r="I6523" s="38" t="n">
        <f aca="false">Sens!$I$6500*(Sens!$I$6505+tk_fac*(1-colo_sh))/1000+Sens!$I$6524</f>
        <v>204.6464699105</v>
      </c>
      <c r="J6523" s="38" t="n">
        <f aca="false">Sens!$J$6500*(Sens!$J$6505+tk_fac*(1-colo_sh))/1000+Sens!$J$6524</f>
        <v>209.8832381105</v>
      </c>
      <c r="K6523" s="38" t="n">
        <f aca="false">Sens!$K$6500*(Sens!$K$6505+tk_fac*(1-colo_sh))/1000+Sens!$K$6524</f>
        <v>215.1200063105</v>
      </c>
      <c r="L6523" s="38" t="n">
        <f aca="false">Sens!$L$6500*(Sens!$L$6505+tk_fac*(1-colo_sh))/1000+Sens!$L$6524</f>
        <v>251.7773837105</v>
      </c>
      <c r="M6523" s="38" t="n">
        <f aca="false">Sens!$M$6500*(Sens!$M$6505+tk_fac*(1-colo_sh))/1000+Sens!$M$6524</f>
        <v>311.87584476575</v>
      </c>
      <c r="P6523" s="5" t="s">
        <v>587</v>
      </c>
      <c r="R6523" s="38" t="n">
        <f aca="false">Q!$C$46-cx_rt*Q!$C$16-cx_awso*(Q!$C$7-mw_ye23/2*rpm_open/1000)</f>
        <v>1.50429979529945</v>
      </c>
      <c r="S6523" s="38" t="n">
        <f aca="false">Sens!$C$6523</f>
        <v>25.2781053077374</v>
      </c>
      <c r="T6523" s="38" t="n">
        <f aca="false">Sens!$D$6523</f>
        <v>69.5686316310026</v>
      </c>
      <c r="U6523" s="38" t="n">
        <f aca="false">Sens!$G$6523</f>
        <v>160.438050638011</v>
      </c>
      <c r="V6523" s="38" t="n">
        <f aca="false">Sens!$H$6523</f>
        <v>198.57136494475</v>
      </c>
      <c r="W6523" s="38" t="n">
        <f aca="false">Sens!$I$6523</f>
        <v>204.6464699105</v>
      </c>
      <c r="X6523" s="38" t="n">
        <f aca="false">Sens!$J$6523</f>
        <v>209.8832381105</v>
      </c>
      <c r="Y6523" s="38" t="n">
        <f aca="false">Sens!$K$6523</f>
        <v>215.1200063105</v>
      </c>
      <c r="Z6523" s="38" t="n">
        <f aca="false">Sens!$L$6523</f>
        <v>251.7773837105</v>
      </c>
      <c r="AA6523" s="38" t="n">
        <f aca="false">Sens!$M$6523</f>
        <v>311.87584476575</v>
      </c>
    </row>
    <row r="6524" customFormat="false" ht="17.15" hidden="false" customHeight="false" outlineLevel="0" collapsed="false">
      <c r="A6524" s="0" t="s">
        <v>588</v>
      </c>
      <c r="B6524" s="0" t="s">
        <v>73</v>
      </c>
      <c r="H6524" s="38" t="n">
        <f aca="false">SUMPRODUCT(--(Sens!$R$6494:$AA$6494=2027-tk_life),Sens!$R$6500:$AA$6500)*Sens!$H$6505/1000</f>
        <v>0</v>
      </c>
      <c r="I6524" s="38" t="n">
        <f aca="false">SUMPRODUCT(--(Sens!$R$6494:$AA$6494=2028-tk_life),Sens!$R$6500:$AA$6500)*Sens!$I$6505/1000</f>
        <v>0</v>
      </c>
      <c r="J6524" s="38" t="n">
        <f aca="false">SUMPRODUCT(--(Sens!$R$6494:$AA$6494=2029-tk_life),Sens!$R$6500:$AA$6500)*Sens!$J$6505/1000</f>
        <v>5.2367682</v>
      </c>
      <c r="K6524" s="38" t="n">
        <f aca="false">SUMPRODUCT(--(Sens!$R$6494:$AA$6494=2030-tk_life),Sens!$R$6500:$AA$6500)*Sens!$K$6505/1000</f>
        <v>10.4735364</v>
      </c>
      <c r="L6524" s="38" t="n">
        <f aca="false">SUMPRODUCT(--(Sens!$R$6494:$AA$6494=2031-tk_life),Sens!$R$6500:$AA$6500)*Sens!$L$6505/1000</f>
        <v>47.1309138</v>
      </c>
      <c r="M6524" s="38" t="n">
        <f aca="false">SUMPRODUCT(--(Sens!$R$6494:$AA$6494=2032-tk_life),Sens!$R$6500:$AA$6500)*Sens!$M$6505/1000</f>
        <v>107.22937485525</v>
      </c>
    </row>
    <row r="6525" customFormat="false" ht="17.15" hidden="false" customHeight="false" outlineLevel="0" collapsed="false">
      <c r="A6525" s="5" t="s">
        <v>589</v>
      </c>
      <c r="B6525" s="0" t="s">
        <v>73</v>
      </c>
      <c r="C6525" s="38" t="n">
        <f aca="false">Sens!$C$6523*Sens!$C$6522</f>
        <v>18.472138699801</v>
      </c>
      <c r="D6525" s="38" t="n">
        <f aca="false">Sens!$D$6523*Sens!$D$6522</f>
        <v>50.8377268390402</v>
      </c>
      <c r="E6525" s="38" t="n">
        <f aca="false">Sens!$E$6523*Sens!$E$6522</f>
        <v>48.8351995705653</v>
      </c>
      <c r="F6525" s="38" t="n">
        <f aca="false">Sens!$F$6523*Sens!$F$6522</f>
        <v>73.2248394895</v>
      </c>
      <c r="G6525" s="38" t="n">
        <f aca="false">Sens!$E$6525+Sens!$F$6525</f>
        <v>122.060039060065</v>
      </c>
      <c r="H6525" s="38" t="n">
        <f aca="false">(Sens!$H$6523-Sens!$H$6524)*Sens!$H$6522+Sens!$H$6524</f>
        <v>152.52478394475</v>
      </c>
      <c r="I6525" s="38" t="n">
        <f aca="false">(Sens!$I$6523-Sens!$I$6524)*Sens!$I$6522+Sens!$I$6524</f>
        <v>158.5998889105</v>
      </c>
      <c r="J6525" s="38" t="n">
        <f aca="false">(Sens!$J$6523-Sens!$J$6524)*Sens!$J$6522+Sens!$J$6524</f>
        <v>163.8366571105</v>
      </c>
      <c r="K6525" s="38" t="n">
        <f aca="false">(Sens!$K$6523-Sens!$K$6524)*Sens!$K$6522+Sens!$K$6524</f>
        <v>169.0734253105</v>
      </c>
      <c r="L6525" s="38" t="n">
        <f aca="false">(Sens!$L$6523-Sens!$L$6524)*Sens!$L$6522+Sens!$L$6524</f>
        <v>205.7308027105</v>
      </c>
      <c r="M6525" s="38" t="n">
        <f aca="false">(Sens!$M$6523-Sens!$M$6524)*Sens!$M$6522+Sens!$M$6524</f>
        <v>265.82926376575</v>
      </c>
      <c r="R6525" s="38" t="n">
        <f aca="false">Sens!$R$6523*Sens!$C$6522</f>
        <v>1.09927679019314</v>
      </c>
      <c r="S6525" s="38" t="n">
        <f aca="false">Sens!$C$6525</f>
        <v>18.472138699801</v>
      </c>
      <c r="T6525" s="38" t="n">
        <f aca="false">Sens!$D$6525</f>
        <v>50.8377268390402</v>
      </c>
      <c r="U6525" s="38" t="n">
        <f aca="false">Sens!$G$6525</f>
        <v>122.060039060065</v>
      </c>
      <c r="V6525" s="38" t="n">
        <f aca="false">Sens!$H$6525</f>
        <v>152.52478394475</v>
      </c>
      <c r="W6525" s="38" t="n">
        <f aca="false">Sens!$I$6525</f>
        <v>158.5998889105</v>
      </c>
      <c r="X6525" s="38" t="n">
        <f aca="false">Sens!$J$6525</f>
        <v>163.8366571105</v>
      </c>
      <c r="Y6525" s="38" t="n">
        <f aca="false">Sens!$K$6525</f>
        <v>169.0734253105</v>
      </c>
      <c r="Z6525" s="38" t="n">
        <f aca="false">Sens!$L$6525</f>
        <v>205.7308027105</v>
      </c>
      <c r="AA6525" s="38" t="n">
        <f aca="false">Sens!$M$6525</f>
        <v>265.82926376575</v>
      </c>
    </row>
    <row r="6526" customFormat="false" ht="15" hidden="false" customHeight="false" outlineLevel="0" collapsed="false">
      <c r="A6526" s="5" t="s">
        <v>590</v>
      </c>
      <c r="B6526" s="0" t="s">
        <v>73</v>
      </c>
      <c r="C6526" s="38" t="n">
        <f aca="false">Sens!$C$6523-Sens!$C$6525</f>
        <v>6.80596660793636</v>
      </c>
      <c r="D6526" s="38" t="n">
        <f aca="false">Sens!$D$6523-Sens!$D$6525</f>
        <v>18.7309047919624</v>
      </c>
      <c r="E6526" s="38" t="n">
        <f aca="false">Sens!$E$6523-Sens!$E$6525</f>
        <v>15.3547210779455</v>
      </c>
      <c r="F6526" s="38" t="n">
        <f aca="false">Sens!$F$6523-Sens!$F$6525</f>
        <v>23.0232905</v>
      </c>
      <c r="G6526" s="38" t="n">
        <f aca="false">Sens!$G$6523-Sens!$G$6525</f>
        <v>38.3780115779455</v>
      </c>
      <c r="H6526" s="38" t="n">
        <f aca="false">Sens!$H$6523-Sens!$H$6525</f>
        <v>46.046581</v>
      </c>
      <c r="I6526" s="38" t="n">
        <f aca="false">Sens!$I$6523-Sens!$I$6525</f>
        <v>46.046581</v>
      </c>
      <c r="J6526" s="38" t="n">
        <f aca="false">Sens!$J$6523-Sens!$J$6525</f>
        <v>46.046581</v>
      </c>
      <c r="K6526" s="38" t="n">
        <f aca="false">Sens!$K$6523-Sens!$K$6525</f>
        <v>46.046581</v>
      </c>
      <c r="L6526" s="38" t="n">
        <f aca="false">Sens!$L$6523-Sens!$L$6525</f>
        <v>46.046581</v>
      </c>
      <c r="M6526" s="38" t="n">
        <f aca="false">Sens!$M$6523-Sens!$M$6525</f>
        <v>46.046581</v>
      </c>
      <c r="R6526" s="38" t="n">
        <f aca="false">Sens!$R$6523-Sens!$R$6525</f>
        <v>0.405023005106309</v>
      </c>
      <c r="S6526" s="38" t="n">
        <f aca="false">Sens!$S$6523-Sens!$S$6525</f>
        <v>6.80596660793636</v>
      </c>
      <c r="T6526" s="38" t="n">
        <f aca="false">Sens!$T$6523-Sens!$T$6525</f>
        <v>18.7309047919624</v>
      </c>
      <c r="U6526" s="38" t="n">
        <f aca="false">Sens!$U$6523-Sens!$U$6525</f>
        <v>38.3780115779455</v>
      </c>
      <c r="V6526" s="38" t="n">
        <f aca="false">Sens!$V$6523-Sens!$V$6525</f>
        <v>46.046581</v>
      </c>
      <c r="W6526" s="38" t="n">
        <f aca="false">Sens!$W$6523-Sens!$W$6525</f>
        <v>46.046581</v>
      </c>
      <c r="X6526" s="38" t="n">
        <f aca="false">Sens!$X$6523-Sens!$X$6525</f>
        <v>46.046581</v>
      </c>
      <c r="Y6526" s="38" t="n">
        <f aca="false">Sens!$Y$6523-Sens!$Y$6525</f>
        <v>46.046581</v>
      </c>
      <c r="Z6526" s="38" t="n">
        <f aca="false">Sens!$Z$6523-Sens!$Z$6525</f>
        <v>46.046581</v>
      </c>
      <c r="AA6526" s="38" t="n">
        <f aca="false">Sens!$AA$6523-Sens!$AA$6525</f>
        <v>46.046581</v>
      </c>
    </row>
    <row r="6527" customFormat="false" ht="17.15" hidden="false" customHeight="false" outlineLevel="0" collapsed="false">
      <c r="A6527" s="0" t="s">
        <v>591</v>
      </c>
      <c r="B6527" s="0" t="s">
        <v>52</v>
      </c>
      <c r="C6527" s="12" t="n">
        <f aca="false">Sens!$C$6523/Sens!$C$6639</f>
        <v>0.325505489553393</v>
      </c>
      <c r="D6527" s="12" t="n">
        <f aca="false">Sens!$D$6523/Sens!$D$6639</f>
        <v>0.54214956071542</v>
      </c>
      <c r="E6527" s="12" t="n">
        <f aca="false">Sens!$E$6523/Sens!$E$6639</f>
        <v>0.666492790452817</v>
      </c>
      <c r="F6527" s="12" t="n">
        <f aca="false">Sens!$F$6523/Sens!$F$6639</f>
        <v>0.723383481058938</v>
      </c>
      <c r="G6527" s="12" t="n">
        <f aca="false">Sens!$G$6523/Sens!$G$6639</f>
        <v>0.699494931364102</v>
      </c>
      <c r="H6527" s="12" t="n">
        <f aca="false">Sens!$H$6523/Sens!$H$6639</f>
        <v>0.714619350171483</v>
      </c>
      <c r="I6527" s="12" t="n">
        <f aca="false">Sens!$I$6523/Sens!$I$6639</f>
        <v>0.696231624961614</v>
      </c>
      <c r="J6527" s="12" t="n">
        <f aca="false">Sens!$J$6523/Sens!$J$6639</f>
        <v>0.681286352509885</v>
      </c>
      <c r="K6527" s="12" t="n">
        <f aca="false">Sens!$K$6523/Sens!$K$6639</f>
        <v>0.671440649805508</v>
      </c>
      <c r="L6527" s="12" t="n">
        <f aca="false">Sens!$L$6523/Sens!$L$6639</f>
        <v>0.6904509846562</v>
      </c>
      <c r="M6527" s="12" t="n">
        <f aca="false">Sens!$M$6523/Sens!$M$6639</f>
        <v>0.720362080285865</v>
      </c>
    </row>
    <row r="6528" customFormat="false" ht="17.15" hidden="false" customHeight="false" outlineLevel="0" collapsed="false">
      <c r="A6528" s="0" t="s">
        <v>592</v>
      </c>
      <c r="B6528" s="0" t="s">
        <v>73</v>
      </c>
      <c r="C6528" s="38" t="n">
        <f aca="false">Sens!$S$6528</f>
        <v>0.183212798365523</v>
      </c>
      <c r="D6528" s="38" t="n">
        <f aca="false">Sens!$T$6528</f>
        <v>3.2619025816657</v>
      </c>
      <c r="E6528" s="38" t="n">
        <f aca="false">Sens!$G$6528/2</f>
        <v>5.86742852741953</v>
      </c>
      <c r="F6528" s="38" t="n">
        <f aca="false">Sens!$G$6528/2</f>
        <v>5.86742852741953</v>
      </c>
      <c r="G6528" s="38" t="n">
        <f aca="false">Sens!$U$6528</f>
        <v>11.7348570548391</v>
      </c>
      <c r="H6528" s="38" t="n">
        <f aca="false">Sens!$V$6528</f>
        <v>32.0781968981833</v>
      </c>
      <c r="I6528" s="38" t="n">
        <f aca="false">Sens!$W$6528</f>
        <v>57.4989942223083</v>
      </c>
      <c r="J6528" s="38" t="n">
        <f aca="false">Sens!$X$6528</f>
        <v>83.932309040725</v>
      </c>
      <c r="K6528" s="38" t="n">
        <f aca="false">Sens!$Y$6528</f>
        <v>111.055205760776</v>
      </c>
      <c r="L6528" s="38" t="n">
        <f aca="false">Sens!$Z$6528</f>
        <v>136.155420195893</v>
      </c>
      <c r="M6528" s="38" t="n">
        <f aca="false">Sens!$AA$6528</f>
        <v>161.970932841136</v>
      </c>
      <c r="N6528" s="38" t="n">
        <f aca="false">Sens!$D$6528/2</f>
        <v>1.63095129083285</v>
      </c>
      <c r="O6528" s="38" t="n">
        <f aca="false">Sens!$D$6528/2</f>
        <v>1.63095129083285</v>
      </c>
      <c r="R6528" s="38" t="n">
        <f aca="false">SUMPRODUCT(--(Sens!$R$6494:$AA$6494&lt;Sens!R$6494),--(Sens!$R$6494:$AA$6494&gt;=Sens!R$6494-tk_life),Sens!$R$6525:$AA$6525)/tk_life</f>
        <v>0</v>
      </c>
      <c r="S6528" s="38" t="n">
        <f aca="false">SUMPRODUCT(--(Sens!$R$6494:$AA$6494&lt;Sens!S$6494),--(Sens!$R$6494:$AA$6494&gt;=Sens!S$6494-tk_life),Sens!$R$6525:$AA$6525)/tk_life</f>
        <v>0.183212798365523</v>
      </c>
      <c r="T6528" s="38" t="n">
        <f aca="false">SUMPRODUCT(--(Sens!$R$6494:$AA$6494&lt;Sens!T$6494),--(Sens!$R$6494:$AA$6494&gt;=Sens!T$6494-tk_life),Sens!$R$6525:$AA$6525)/tk_life</f>
        <v>3.2619025816657</v>
      </c>
      <c r="U6528" s="38" t="n">
        <f aca="false">SUMPRODUCT(--(Sens!$R$6494:$AA$6494&lt;Sens!U$6494),--(Sens!$R$6494:$AA$6494&gt;=Sens!U$6494-tk_life),Sens!$R$6525:$AA$6525)/tk_life</f>
        <v>11.7348570548391</v>
      </c>
      <c r="V6528" s="38" t="n">
        <f aca="false">SUMPRODUCT(--(Sens!$R$6494:$AA$6494&lt;Sens!V$6494),--(Sens!$R$6494:$AA$6494&gt;=Sens!V$6494-tk_life),Sens!$R$6525:$AA$6525)/tk_life</f>
        <v>32.0781968981833</v>
      </c>
      <c r="W6528" s="38" t="n">
        <f aca="false">SUMPRODUCT(--(Sens!$R$6494:$AA$6494&lt;Sens!W$6494),--(Sens!$R$6494:$AA$6494&gt;=Sens!W$6494-tk_life),Sens!$R$6525:$AA$6525)/tk_life</f>
        <v>57.4989942223083</v>
      </c>
      <c r="X6528" s="38" t="n">
        <f aca="false">SUMPRODUCT(--(Sens!$R$6494:$AA$6494&lt;Sens!X$6494),--(Sens!$R$6494:$AA$6494&gt;=Sens!X$6494-tk_life),Sens!$R$6525:$AA$6525)/tk_life</f>
        <v>83.932309040725</v>
      </c>
      <c r="Y6528" s="38" t="n">
        <f aca="false">SUMPRODUCT(--(Sens!$R$6494:$AA$6494&lt;Sens!Y$6494),--(Sens!$R$6494:$AA$6494&gt;=Sens!Y$6494-tk_life),Sens!$R$6525:$AA$6525)/tk_life</f>
        <v>111.055205760776</v>
      </c>
      <c r="Z6528" s="38" t="n">
        <f aca="false">SUMPRODUCT(--(Sens!$R$6494:$AA$6494&lt;Sens!Z$6494),--(Sens!$R$6494:$AA$6494&gt;=Sens!Z$6494-tk_life),Sens!$R$6525:$AA$6525)/tk_life</f>
        <v>136.155420195893</v>
      </c>
      <c r="AA6528" s="38" t="n">
        <f aca="false">SUMPRODUCT(--(Sens!$R$6494:$AA$6494&lt;Sens!AA$6494),--(Sens!$R$6494:$AA$6494&gt;=Sens!AA$6494-tk_life),Sens!$R$6525:$AA$6525)/tk_life</f>
        <v>161.970932841136</v>
      </c>
    </row>
    <row r="6529" customFormat="false" ht="17.15" hidden="false" customHeight="false" outlineLevel="0" collapsed="false">
      <c r="A6529" s="0" t="s">
        <v>593</v>
      </c>
      <c r="B6529" s="0" t="s">
        <v>73</v>
      </c>
      <c r="C6529" s="38" t="n">
        <f aca="false">Sens!$S$6529</f>
        <v>0.0202511502553155</v>
      </c>
      <c r="D6529" s="38" t="n">
        <f aca="false">Sens!$T$6529</f>
        <v>0.360549480652134</v>
      </c>
      <c r="E6529" s="38" t="n">
        <f aca="false">Sens!$G$6529/2</f>
        <v>0.648547360125127</v>
      </c>
      <c r="F6529" s="38" t="n">
        <f aca="false">Sens!$G$6529/2</f>
        <v>0.648547360125127</v>
      </c>
      <c r="G6529" s="38" t="n">
        <f aca="false">Sens!$U$6529</f>
        <v>1.29709472025025</v>
      </c>
      <c r="H6529" s="38" t="n">
        <f aca="false">Sens!$V$6529</f>
        <v>3.21599529914753</v>
      </c>
      <c r="I6529" s="38" t="n">
        <f aca="false">Sens!$W$6529</f>
        <v>5.51832434914753</v>
      </c>
      <c r="J6529" s="38" t="n">
        <f aca="false">Sens!$X$6529</f>
        <v>7.82065339914753</v>
      </c>
      <c r="K6529" s="38" t="n">
        <f aca="false">Sens!$Y$6529</f>
        <v>10.1229824491475</v>
      </c>
      <c r="L6529" s="38" t="n">
        <f aca="false">Sens!$Z$6529</f>
        <v>12.4253114991475</v>
      </c>
      <c r="M6529" s="38" t="n">
        <f aca="false">Sens!$AA$6529</f>
        <v>14.7276405491475</v>
      </c>
      <c r="N6529" s="38" t="n">
        <f aca="false">Sens!$D$6529/2</f>
        <v>0.180274740326067</v>
      </c>
      <c r="O6529" s="38" t="n">
        <f aca="false">Sens!$D$6529/2</f>
        <v>0.180274740326067</v>
      </c>
      <c r="R6529" s="38" t="n">
        <f aca="false">SUMPRODUCT(--(Sens!$R$6494:$AA$6494&lt;Sens!R$6494),Sens!$R$6526:$AA$6526)/fac_life</f>
        <v>0</v>
      </c>
      <c r="S6529" s="38" t="n">
        <f aca="false">SUMPRODUCT(--(Sens!$R$6494:$AA$6494&lt;Sens!S$6494),Sens!$R$6526:$AA$6526)/fac_life</f>
        <v>0.0202511502553155</v>
      </c>
      <c r="T6529" s="38" t="n">
        <f aca="false">SUMPRODUCT(--(Sens!$R$6494:$AA$6494&lt;Sens!T$6494),Sens!$R$6526:$AA$6526)/fac_life</f>
        <v>0.360549480652134</v>
      </c>
      <c r="U6529" s="38" t="n">
        <f aca="false">SUMPRODUCT(--(Sens!$R$6494:$AA$6494&lt;Sens!U$6494),Sens!$R$6526:$AA$6526)/fac_life</f>
        <v>1.29709472025025</v>
      </c>
      <c r="V6529" s="38" t="n">
        <f aca="false">SUMPRODUCT(--(Sens!$R$6494:$AA$6494&lt;Sens!V$6494),Sens!$R$6526:$AA$6526)/fac_life</f>
        <v>3.21599529914753</v>
      </c>
      <c r="W6529" s="38" t="n">
        <f aca="false">SUMPRODUCT(--(Sens!$R$6494:$AA$6494&lt;Sens!W$6494),Sens!$R$6526:$AA$6526)/fac_life</f>
        <v>5.51832434914753</v>
      </c>
      <c r="X6529" s="38" t="n">
        <f aca="false">SUMPRODUCT(--(Sens!$R$6494:$AA$6494&lt;Sens!X$6494),Sens!$R$6526:$AA$6526)/fac_life</f>
        <v>7.82065339914753</v>
      </c>
      <c r="Y6529" s="38" t="n">
        <f aca="false">SUMPRODUCT(--(Sens!$R$6494:$AA$6494&lt;Sens!Y$6494),Sens!$R$6526:$AA$6526)/fac_life</f>
        <v>10.1229824491475</v>
      </c>
      <c r="Z6529" s="38" t="n">
        <f aca="false">SUMPRODUCT(--(Sens!$R$6494:$AA$6494&lt;Sens!Z$6494),Sens!$R$6526:$AA$6526)/fac_life</f>
        <v>12.4253114991475</v>
      </c>
      <c r="AA6529" s="38" t="n">
        <f aca="false">SUMPRODUCT(--(Sens!$R$6494:$AA$6494&lt;Sens!AA$6494),Sens!$R$6526:$AA$6526)/fac_life</f>
        <v>14.7276405491475</v>
      </c>
    </row>
    <row r="6530" customFormat="false" ht="17.15" hidden="false" customHeight="false" outlineLevel="0" collapsed="false">
      <c r="A6530" s="1" t="s">
        <v>594</v>
      </c>
      <c r="B6530" s="8" t="s">
        <v>73</v>
      </c>
      <c r="C6530" s="38" t="n">
        <f aca="false">Sens!$C$6528+Sens!$C$6529</f>
        <v>0.203463948620839</v>
      </c>
      <c r="D6530" s="38" t="n">
        <f aca="false">Sens!$D$6528+Sens!$D$6529</f>
        <v>3.62245206231783</v>
      </c>
      <c r="E6530" s="38" t="n">
        <f aca="false">Sens!$E$6528+Sens!$E$6529</f>
        <v>6.51597588754466</v>
      </c>
      <c r="F6530" s="38" t="n">
        <f aca="false">Sens!$F$6528+Sens!$F$6529</f>
        <v>6.51597588754466</v>
      </c>
      <c r="G6530" s="38" t="n">
        <f aca="false">Sens!$G$6528+Sens!$G$6529</f>
        <v>13.0319517750893</v>
      </c>
      <c r="H6530" s="38" t="n">
        <f aca="false">Sens!$H$6528+Sens!$H$6529</f>
        <v>35.2941921973308</v>
      </c>
      <c r="I6530" s="38" t="n">
        <f aca="false">Sens!$I$6528+Sens!$I$6529</f>
        <v>63.0173185714558</v>
      </c>
      <c r="J6530" s="38" t="n">
        <f aca="false">Sens!$J$6528+Sens!$J$6529</f>
        <v>91.7529624398725</v>
      </c>
      <c r="K6530" s="38" t="n">
        <f aca="false">Sens!$K$6528+Sens!$K$6529</f>
        <v>121.178188209924</v>
      </c>
      <c r="L6530" s="38" t="n">
        <f aca="false">Sens!$L$6528+Sens!$L$6529</f>
        <v>148.58073169504</v>
      </c>
      <c r="M6530" s="38" t="n">
        <f aca="false">Sens!$M$6528+Sens!$M$6529</f>
        <v>176.698573390283</v>
      </c>
      <c r="N6530" s="38" t="n">
        <f aca="false">Sens!$N$6528+Sens!$N$6529</f>
        <v>1.81122603115892</v>
      </c>
      <c r="O6530" s="38" t="n">
        <f aca="false">Sens!$O$6528+Sens!$O$6529</f>
        <v>1.81122603115892</v>
      </c>
      <c r="R6530" s="38" t="n">
        <f aca="false">Sens!$R$6528+Sens!$R$6529</f>
        <v>0</v>
      </c>
      <c r="S6530" s="38" t="n">
        <f aca="false">Sens!$S$6528+Sens!$S$6529</f>
        <v>0.203463948620839</v>
      </c>
      <c r="T6530" s="38" t="n">
        <f aca="false">Sens!$T$6528+Sens!$T$6529</f>
        <v>3.62245206231783</v>
      </c>
      <c r="U6530" s="38" t="n">
        <f aca="false">Sens!$U$6528+Sens!$U$6529</f>
        <v>13.0319517750893</v>
      </c>
      <c r="V6530" s="38" t="n">
        <f aca="false">Sens!$V$6528+Sens!$V$6529</f>
        <v>35.2941921973308</v>
      </c>
      <c r="W6530" s="38" t="n">
        <f aca="false">Sens!$W$6528+Sens!$W$6529</f>
        <v>63.0173185714558</v>
      </c>
      <c r="X6530" s="38" t="n">
        <f aca="false">Sens!$X$6528+Sens!$X$6529</f>
        <v>91.7529624398725</v>
      </c>
      <c r="Y6530" s="38" t="n">
        <f aca="false">Sens!$Y$6528+Sens!$Y$6529</f>
        <v>121.178188209924</v>
      </c>
      <c r="Z6530" s="38" t="n">
        <f aca="false">Sens!$Z$6528+Sens!$Z$6529</f>
        <v>148.58073169504</v>
      </c>
      <c r="AA6530" s="38" t="n">
        <f aca="false">Sens!$AA$6528+Sens!$AA$6529</f>
        <v>176.698573390283</v>
      </c>
    </row>
    <row r="6531" customFormat="false" ht="17.15" hidden="false" customHeight="false" outlineLevel="0" collapsed="false">
      <c r="A6531" s="0" t="s">
        <v>595</v>
      </c>
      <c r="B6531" s="0" t="s">
        <v>73</v>
      </c>
      <c r="C6531" s="38" t="n">
        <f aca="false">Sens!$S$6531</f>
        <v>26.578941154416</v>
      </c>
      <c r="D6531" s="38" t="n">
        <f aca="false">Sens!$T$6531</f>
        <v>92.5251207231008</v>
      </c>
      <c r="G6531" s="38" t="n">
        <f aca="false">Sens!$U$6531</f>
        <v>239.931219586022</v>
      </c>
      <c r="H6531" s="38" t="n">
        <f aca="false">Sens!$V$6531</f>
        <v>403.208392333442</v>
      </c>
      <c r="I6531" s="38" t="n">
        <f aca="false">Sens!$W$6531</f>
        <v>544.837543672486</v>
      </c>
      <c r="J6531" s="38" t="n">
        <f aca="false">Sens!$X$6531</f>
        <v>662.967819343113</v>
      </c>
      <c r="K6531" s="38" t="n">
        <f aca="false">Sens!$Y$6531</f>
        <v>756.90963744369</v>
      </c>
      <c r="L6531" s="38" t="n">
        <f aca="false">Sens!$Z$6531</f>
        <v>860.10628945915</v>
      </c>
      <c r="M6531" s="38" t="n">
        <f aca="false">Sens!$AA$6531</f>
        <v>995.283560834616</v>
      </c>
      <c r="R6531" s="38" t="n">
        <f aca="false">SUM(Sens!$R$6523:$R$6523)-SUM(Sens!$R$6530:$R$6530)</f>
        <v>1.50429979529945</v>
      </c>
      <c r="S6531" s="38" t="n">
        <f aca="false">SUM(Sens!$R$6523:$S$6523)-SUM(Sens!$R$6530:$S$6530)</f>
        <v>26.578941154416</v>
      </c>
      <c r="T6531" s="38" t="n">
        <f aca="false">SUM(Sens!$R$6523:$T$6523)-SUM(Sens!$R$6530:$T$6530)</f>
        <v>92.5251207231008</v>
      </c>
      <c r="U6531" s="38" t="n">
        <f aca="false">SUM(Sens!$R$6523:$U$6523)-SUM(Sens!$R$6530:$U$6530)</f>
        <v>239.931219586022</v>
      </c>
      <c r="V6531" s="38" t="n">
        <f aca="false">SUM(Sens!$R$6523:$V$6523)-SUM(Sens!$R$6530:$V$6530)</f>
        <v>403.208392333442</v>
      </c>
      <c r="W6531" s="38" t="n">
        <f aca="false">SUM(Sens!$R$6523:$W$6523)-SUM(Sens!$R$6530:$W$6530)</f>
        <v>544.837543672486</v>
      </c>
      <c r="X6531" s="38" t="n">
        <f aca="false">SUM(Sens!$R$6523:$X$6523)-SUM(Sens!$R$6530:$X$6530)</f>
        <v>662.967819343113</v>
      </c>
      <c r="Y6531" s="38" t="n">
        <f aca="false">SUM(Sens!$R$6523:$Y$6523)-SUM(Sens!$R$6530:$Y$6530)</f>
        <v>756.90963744369</v>
      </c>
      <c r="Z6531" s="38" t="n">
        <f aca="false">SUM(Sens!$R$6523:$Z$6523)-SUM(Sens!$R$6530:$Z$6530)</f>
        <v>860.10628945915</v>
      </c>
      <c r="AA6531" s="38" t="n">
        <f aca="false">SUM(Sens!$R$6523:$AA$6523)-SUM(Sens!$R$6530:$AA$6530)</f>
        <v>995.283560834616</v>
      </c>
    </row>
    <row r="6532" customFormat="false" ht="17.15" hidden="false" customHeight="false" outlineLevel="0" collapsed="false">
      <c r="A6532" s="1" t="s">
        <v>596</v>
      </c>
    </row>
    <row r="6533" customFormat="false" ht="17.15" hidden="false" customHeight="false" outlineLevel="0" collapsed="false">
      <c r="A6533" s="0" t="s">
        <v>597</v>
      </c>
      <c r="B6533" s="0" t="s">
        <v>73</v>
      </c>
      <c r="C6533" s="38" t="n">
        <f aca="false">Sens!$C$6514-ext_sh*Sens!$C$6516</f>
        <v>1.80694998843362</v>
      </c>
      <c r="D6533" s="38" t="n">
        <f aca="false">Sens!$D$6514-ext_sh*Sens!$D$6516</f>
        <v>6.77606245662607</v>
      </c>
      <c r="E6533" s="38" t="n">
        <f aca="false">Sens!$E$6514-ext_sh*Sens!$E$6516</f>
        <v>6.62548329092326</v>
      </c>
      <c r="F6533" s="38" t="n">
        <f aca="false">Sens!$F$6514-ext_sh*Sens!$F$6516</f>
        <v>11.7200577158706</v>
      </c>
      <c r="G6533" s="38" t="n">
        <f aca="false">Sens!$G$6514-ext_sh*Sens!$G$6516</f>
        <v>18.3455410067939</v>
      </c>
      <c r="H6533" s="38" t="n">
        <f aca="false">Sens!$H$6514-ext_sh*Sens!$H$6516</f>
        <v>47.5171727060453</v>
      </c>
      <c r="I6533" s="38" t="n">
        <f aca="false">Sens!$I$6514-ext_sh*Sens!$I$6516</f>
        <v>80.5539692643667</v>
      </c>
      <c r="J6533" s="38" t="n">
        <f aca="false">Sens!$J$6514-ext_sh*Sens!$J$6516</f>
        <v>113.759316834883</v>
      </c>
      <c r="K6533" s="38" t="n">
        <f aca="false">Sens!$K$6514-ext_sh*Sens!$K$6516</f>
        <v>147.020848076132</v>
      </c>
      <c r="L6533" s="38" t="n">
        <f aca="false">Sens!$L$6514-ext_sh*Sens!$L$6516</f>
        <v>180.307917349531</v>
      </c>
      <c r="M6533" s="38" t="n">
        <f aca="false">Sens!$M$6514-ext_sh*Sens!$M$6516</f>
        <v>213.608737871012</v>
      </c>
      <c r="N6533" s="38" t="n">
        <f aca="false">Sens!$N$6514-ext_sh*Sens!$N$6516</f>
        <v>2.37162185981912</v>
      </c>
      <c r="O6533" s="38" t="n">
        <f aca="false">Sens!$O$6514-ext_sh*Sens!$O$6516</f>
        <v>4.40444059680694</v>
      </c>
    </row>
    <row r="6534" customFormat="false" ht="17.15" hidden="false" customHeight="false" outlineLevel="0" collapsed="false">
      <c r="A6534" s="1" t="s">
        <v>598</v>
      </c>
      <c r="B6534" s="8" t="s">
        <v>73</v>
      </c>
      <c r="C6534" s="38" t="n">
        <f aca="false">Sens!$C$6533-ext_sh*Sens!$C$6530</f>
        <v>1.64417882953695</v>
      </c>
      <c r="D6534" s="38" t="n">
        <f aca="false">Sens!$D$6533-ext_sh*Sens!$D$6530</f>
        <v>3.8781008067718</v>
      </c>
      <c r="E6534" s="38" t="n">
        <f aca="false">Sens!$E$6533-ext_sh*Sens!$E$6530</f>
        <v>1.41270258088753</v>
      </c>
      <c r="F6534" s="38" t="n">
        <f aca="false">Sens!$F$6533-ext_sh*Sens!$F$6530</f>
        <v>6.50727700583486</v>
      </c>
      <c r="G6534" s="38" t="n">
        <f aca="false">Sens!$G$6533-ext_sh*Sens!$G$6530</f>
        <v>7.9199795867224</v>
      </c>
      <c r="H6534" s="38" t="n">
        <f aca="false">Sens!$H$6533-ext_sh*Sens!$H$6530</f>
        <v>19.2818189481807</v>
      </c>
      <c r="I6534" s="38" t="n">
        <f aca="false">Sens!$I$6533-ext_sh*Sens!$I$6530</f>
        <v>30.140114407202</v>
      </c>
      <c r="J6534" s="38" t="n">
        <f aca="false">Sens!$J$6533-ext_sh*Sens!$J$6530</f>
        <v>40.3569468829854</v>
      </c>
      <c r="K6534" s="38" t="n">
        <f aca="false">Sens!$K$6533-ext_sh*Sens!$K$6530</f>
        <v>50.0782975081929</v>
      </c>
      <c r="L6534" s="38" t="n">
        <f aca="false">Sens!$L$6533-ext_sh*Sens!$L$6530</f>
        <v>61.443331993499</v>
      </c>
      <c r="M6534" s="38" t="n">
        <f aca="false">Sens!$M$6533-ext_sh*Sens!$M$6530</f>
        <v>72.2498791587849</v>
      </c>
      <c r="N6534" s="38" t="n">
        <f aca="false">Sens!$N$6533-ext_sh*Sens!$N$6530</f>
        <v>0.92264103489199</v>
      </c>
      <c r="O6534" s="38" t="n">
        <f aca="false">Sens!$O$6533-ext_sh*Sens!$O$6530</f>
        <v>2.95545977187981</v>
      </c>
    </row>
    <row r="6535" customFormat="false" ht="17.15" hidden="false" customHeight="false" outlineLevel="0" collapsed="false">
      <c r="A6535" s="0" t="s">
        <v>599</v>
      </c>
      <c r="B6535" s="0" t="s">
        <v>52</v>
      </c>
      <c r="C6535" s="12" t="n">
        <f aca="false">Sens!$C$6534/Sens!$C$6514</f>
        <v>0.708390794789371</v>
      </c>
      <c r="D6535" s="12" t="n">
        <f aca="false">Sens!$D$6534/Sens!$D$6514</f>
        <v>0.445565630441968</v>
      </c>
      <c r="E6535" s="12" t="n">
        <f aca="false">Sens!$E$6534/Sens!$E$6514</f>
        <v>0.165998118402711</v>
      </c>
      <c r="F6535" s="12" t="n">
        <f aca="false">Sens!$F$6534/Sens!$F$6514</f>
        <v>0.434878595403858</v>
      </c>
      <c r="G6535" s="12" t="n">
        <f aca="false">Sens!$G$6534/Sens!$G$6514</f>
        <v>0.3373967615381</v>
      </c>
      <c r="H6535" s="12" t="n">
        <f aca="false">Sens!$H$6534/Sens!$H$6514</f>
        <v>0.320477578041224</v>
      </c>
      <c r="I6535" s="12" t="n">
        <f aca="false">Sens!$I$6534/Sens!$I$6514</f>
        <v>0.296936118226494</v>
      </c>
      <c r="J6535" s="12" t="n">
        <f aca="false">Sens!$J$6534/Sens!$J$6514</f>
        <v>0.282166278613001</v>
      </c>
      <c r="K6535" s="12" t="n">
        <f aca="false">Sens!$K$6534/Sens!$K$6514</f>
        <v>0.271267685694333</v>
      </c>
      <c r="L6535" s="12" t="n">
        <f aca="false">Sens!$L$6534/Sens!$L$6514</f>
        <v>0.27160960915653</v>
      </c>
      <c r="M6535" s="12" t="n">
        <f aca="false">Sens!$M$6534/Sens!$M$6514</f>
        <v>0.26974494804234</v>
      </c>
      <c r="N6535" s="12" t="n">
        <f aca="false">Sens!$N$6534/Sens!$N$6514</f>
        <v>0.302870734830849</v>
      </c>
      <c r="O6535" s="12" t="n">
        <f aca="false">Sens!$O$6534/Sens!$O$6514</f>
        <v>0.52240134346334</v>
      </c>
    </row>
    <row r="6536" customFormat="false" ht="17.15" hidden="false" customHeight="false" outlineLevel="0" collapsed="false">
      <c r="A6536" s="5" t="s">
        <v>600</v>
      </c>
      <c r="B6536" s="0" t="s">
        <v>73</v>
      </c>
      <c r="C6536" s="38" t="n">
        <f aca="false">rd2*(1-ext_sh)/ext_sh*Sens!$C$6497*he_open*Sens!$C$6498/1000</f>
        <v>0</v>
      </c>
      <c r="D6536" s="38" t="n">
        <f aca="false">rd2*(1-ext_sh)/ext_sh*Sens!$D$6497*he_open*Sens!$D$6498/1000</f>
        <v>0</v>
      </c>
      <c r="E6536" s="38" t="n">
        <f aca="false">rd2*(1-ext_sh)/ext_sh*Sens!$E$6497*he_open*Sens!$E$6498/1000</f>
        <v>0</v>
      </c>
      <c r="F6536" s="38" t="n">
        <f aca="false">rd2*(1-ext_sh)/ext_sh*(mw_open*he_open+Sens!$F$6512*Sens!$F$6509)*Sens!$F$6498/1000</f>
        <v>0</v>
      </c>
      <c r="G6536" s="38" t="n">
        <f aca="false">Sens!$E$6536+Sens!$F$6536</f>
        <v>0</v>
      </c>
      <c r="H6536" s="38" t="n">
        <f aca="false">rd2*(1-ext_sh)/ext_sh*(mw_open*he_open+Sens!$H$6512*Sens!$H$6509)*Sens!$H$6498/1000</f>
        <v>0</v>
      </c>
      <c r="I6536" s="38" t="n">
        <f aca="false">rd2*(1-ext_sh)/ext_sh*(mw_open*he_open+Sens!$I$6512*Sens!$I$6509)*Sens!$I$6498/1000</f>
        <v>0</v>
      </c>
      <c r="J6536" s="38" t="n">
        <f aca="false">rd2*(1-ext_sh)/ext_sh*(mw_open*he_open+Sens!$J$6512*Sens!$J$6509)*Sens!$J$6498/1000</f>
        <v>0</v>
      </c>
      <c r="K6536" s="38" t="n">
        <f aca="false">rd2*(1-ext_sh)/ext_sh*(mw_open*he_open+Sens!$K$6512*Sens!$K$6509)*Sens!$K$6498/1000</f>
        <v>0</v>
      </c>
      <c r="L6536" s="38" t="n">
        <f aca="false">rd2*(1-ext_sh)/ext_sh*(mw_open*he_open+Sens!$L$6512*Sens!$L$6509)*Sens!$L$6498/1000</f>
        <v>0</v>
      </c>
      <c r="M6536" s="38" t="n">
        <f aca="false">rd2*(1-ext_sh)/ext_sh*(mw_open*he_open+Sens!$M$6512*Sens!$M$6509)*Sens!$M$6498/1000</f>
        <v>0</v>
      </c>
      <c r="N6536" s="38" t="n">
        <f aca="false">rd2*(1-ext_sh)/ext_sh*Sens!$N$6497*he_open*Sens!$N$6498/1000</f>
        <v>0</v>
      </c>
      <c r="O6536" s="38" t="n">
        <f aca="false">rd2*(1-ext_sh)/ext_sh*Sens!$O$6497*he_open*Sens!$O$6498/1000</f>
        <v>0</v>
      </c>
      <c r="P6536" s="8" t="s">
        <v>601</v>
      </c>
    </row>
    <row r="6537" customFormat="false" ht="17.15" hidden="false" customHeight="false" outlineLevel="0" collapsed="false">
      <c r="A6537" s="5" t="s">
        <v>602</v>
      </c>
      <c r="B6537" s="0" t="s">
        <v>73</v>
      </c>
      <c r="C6537" s="38" t="n">
        <f aca="false">(1-ext_sh)*(Sens!$C$6516+Sens!$C$6530)-Sens!$C$6536</f>
        <v>0.169206631859174</v>
      </c>
      <c r="D6537" s="38" t="n">
        <f aca="false">(1-ext_sh)*(Sens!$D$6516+Sens!$D$6530)-Sens!$D$6536</f>
        <v>1.20641732046984</v>
      </c>
      <c r="E6537" s="38" t="n">
        <f aca="false">(1-ext_sh)*(Sens!$E$6516+Sens!$E$6530)-Sens!$E$6536</f>
        <v>1.77441259867062</v>
      </c>
      <c r="F6537" s="38" t="n">
        <f aca="false">(1-ext_sh)*(Sens!$F$6516+Sens!$F$6530)-Sens!$F$6536</f>
        <v>2.1140391597214</v>
      </c>
      <c r="G6537" s="38" t="n">
        <f aca="false">(1-ext_sh)*(Sens!$G$6516+Sens!$G$6530)-Sens!$G$6536</f>
        <v>3.88845175839202</v>
      </c>
      <c r="H6537" s="38" t="n">
        <f aca="false">(1-ext_sh)*(Sens!$H$6516+Sens!$H$6530)-Sens!$H$6536</f>
        <v>10.2210179503985</v>
      </c>
      <c r="I6537" s="38" t="n">
        <f aca="false">(1-ext_sh)*(Sens!$I$6516+Sens!$I$6530)-Sens!$I$6536</f>
        <v>17.8408961823075</v>
      </c>
      <c r="J6537" s="38" t="n">
        <f aca="false">(1-ext_sh)*(Sens!$J$6516+Sens!$J$6530)-Sens!$J$6536</f>
        <v>25.6671150670732</v>
      </c>
      <c r="K6537" s="38" t="n">
        <f aca="false">(1-ext_sh)*(Sens!$K$6516+Sens!$K$6530)-Sens!$K$6536</f>
        <v>33.6325293834986</v>
      </c>
      <c r="L6537" s="38" t="n">
        <f aca="false">(1-ext_sh)*(Sens!$L$6516+Sens!$L$6530)-Sens!$L$6536</f>
        <v>41.1939886299065</v>
      </c>
      <c r="M6537" s="38" t="n">
        <f aca="false">(1-ext_sh)*(Sens!$M$6516+Sens!$M$6530)-Sens!$M$6536</f>
        <v>48.8988205728617</v>
      </c>
      <c r="N6537" s="38" t="n">
        <f aca="false">(1-ext_sh)*(Sens!$N$6516+Sens!$N$6530)-Sens!$N$6536</f>
        <v>0.530919624033979</v>
      </c>
      <c r="O6537" s="38" t="n">
        <f aca="false">(1-ext_sh)*(Sens!$O$6516+Sens!$O$6530)-Sens!$O$6536</f>
        <v>0.675497696435861</v>
      </c>
    </row>
    <row r="6538" customFormat="false" ht="17.15" hidden="false" customHeight="false" outlineLevel="0" collapsed="false">
      <c r="A6538" s="0" t="s">
        <v>603</v>
      </c>
      <c r="B6538" s="0" t="s">
        <v>73</v>
      </c>
      <c r="C6538" s="38" t="n">
        <f aca="false">Q!$D$24</f>
        <v>39.834</v>
      </c>
      <c r="D6538" s="38" t="n">
        <f aca="false">Q!$E$24</f>
        <v>45.606</v>
      </c>
      <c r="E6538" s="38" t="n">
        <f aca="false">Q!$P$24</f>
        <v>30.782</v>
      </c>
      <c r="N6538" s="38" t="n">
        <f aca="false">Q!$N$24</f>
        <v>21.707</v>
      </c>
      <c r="O6538" s="38" t="n">
        <f aca="false">Q!$O$24</f>
        <v>23.899</v>
      </c>
    </row>
    <row r="6539" customFormat="false" ht="17.15" hidden="false" customHeight="false" outlineLevel="0" collapsed="false">
      <c r="A6539" s="0" t="s">
        <v>604</v>
      </c>
      <c r="B6539" s="0" t="s">
        <v>73</v>
      </c>
      <c r="C6539" s="38" t="n">
        <f aca="false">Sens!$C$6538-Sens!$C$6534</f>
        <v>38.1898211704631</v>
      </c>
      <c r="D6539" s="38" t="n">
        <f aca="false">Sens!$D$6538-Sens!$D$6534</f>
        <v>41.7278991932282</v>
      </c>
      <c r="E6539" s="38" t="n">
        <f aca="false">Sens!$E$6538-Sens!$E$6534</f>
        <v>29.3692974191125</v>
      </c>
      <c r="F6539" s="38" t="n">
        <f aca="false">Sens!$F$6518*Sens!$F$6540</f>
        <v>29.458060516894</v>
      </c>
      <c r="G6539" s="38" t="n">
        <f aca="false">Sens!$E$6539+Sens!$F$6539</f>
        <v>58.8273579360065</v>
      </c>
      <c r="H6539" s="38" t="n">
        <f aca="false">Sens!$H$6518*Sens!$H$6540</f>
        <v>67.8004040185081</v>
      </c>
      <c r="I6539" s="38" t="n">
        <f aca="false">Sens!$I$6518*Sens!$I$6540</f>
        <v>78.9527630302702</v>
      </c>
      <c r="J6539" s="38" t="n">
        <f aca="false">Sens!$J$6518*Sens!$J$6540</f>
        <v>88.6042681781841</v>
      </c>
      <c r="K6539" s="38" t="n">
        <f aca="false">Sens!$K$6518*Sens!$K$6540</f>
        <v>95.6926096324389</v>
      </c>
      <c r="L6539" s="38" t="n">
        <f aca="false">Sens!$L$6518*Sens!$L$6540</f>
        <v>103.348018403034</v>
      </c>
      <c r="M6539" s="38" t="n">
        <f aca="false">Sens!$M$6518*Sens!$M$6540</f>
        <v>111.615859875277</v>
      </c>
      <c r="N6539" s="38" t="n">
        <f aca="false">Sens!$N$6538-Sens!$N$6534</f>
        <v>20.784358965108</v>
      </c>
      <c r="O6539" s="38" t="n">
        <f aca="false">Sens!$O$6538-Sens!$O$6534</f>
        <v>20.9435402281202</v>
      </c>
      <c r="P6539" s="5" t="s">
        <v>605</v>
      </c>
    </row>
    <row r="6540" customFormat="false" ht="17.15" hidden="false" customHeight="false" outlineLevel="0" collapsed="false">
      <c r="A6540" s="0" t="s">
        <v>606</v>
      </c>
      <c r="B6540" s="0" t="s">
        <v>52</v>
      </c>
      <c r="C6540" s="12" t="n">
        <f aca="false">Sens!$C$6539/Sens!$C$6518</f>
        <v>0.362900395443635</v>
      </c>
      <c r="D6540" s="12" t="n">
        <f aca="false">Sens!$D$6539/Sens!$D$6518</f>
        <v>0.34767098474203</v>
      </c>
      <c r="E6540" s="12" t="n">
        <f aca="false">Sens!$E$6539/Sens!$E$6518</f>
        <v>0.411861655558416</v>
      </c>
      <c r="F6540" s="12" t="n">
        <f aca="false">(Sens!$O$6539+Sens!$E$6539)/(Sens!$O$6518+Sens!$E$6518)</f>
        <v>0.37480827803158</v>
      </c>
      <c r="G6540" s="12" t="n">
        <f aca="false">Sens!$G$6539/Sens!$G$6518</f>
        <v>0.392434440489471</v>
      </c>
      <c r="H6540" s="12" t="n">
        <f aca="false">Sens!$F$6540</f>
        <v>0.37480827803158</v>
      </c>
      <c r="I6540" s="12" t="n">
        <f aca="false">Sens!$F$6540</f>
        <v>0.37480827803158</v>
      </c>
      <c r="J6540" s="12" t="n">
        <f aca="false">Sens!$F$6540</f>
        <v>0.37480827803158</v>
      </c>
      <c r="K6540" s="12" t="n">
        <f aca="false">Sens!$F$6540</f>
        <v>0.37480827803158</v>
      </c>
      <c r="L6540" s="12" t="n">
        <f aca="false">Sens!$F$6540</f>
        <v>0.37480827803158</v>
      </c>
      <c r="M6540" s="12" t="n">
        <f aca="false">Sens!$F$6540</f>
        <v>0.37480827803158</v>
      </c>
      <c r="N6540" s="12" t="n">
        <f aca="false">Sens!$N$6539/Sens!$N$6518</f>
        <v>0.364039571356823</v>
      </c>
      <c r="O6540" s="12" t="n">
        <f aca="false">Sens!$O$6539/Sens!$O$6518</f>
        <v>0.332819892300086</v>
      </c>
      <c r="P6540" s="8" t="s">
        <v>607</v>
      </c>
    </row>
    <row r="6541" customFormat="false" ht="17.15" hidden="false" customHeight="false" outlineLevel="0" collapsed="false">
      <c r="A6541" s="0" t="s">
        <v>608</v>
      </c>
      <c r="B6541" s="0" t="s">
        <v>52</v>
      </c>
      <c r="D6541" s="12" t="n">
        <f aca="false">(Q!$E$31-ext_sh*Sens!$D$6530)/Sens!$D$6518</f>
        <v>0.154572973163571</v>
      </c>
    </row>
    <row r="6542" customFormat="false" ht="17.15" hidden="false" customHeight="false" outlineLevel="0" collapsed="false">
      <c r="A6542" s="0" t="s">
        <v>609</v>
      </c>
      <c r="B6542" s="0" t="s">
        <v>73</v>
      </c>
      <c r="C6542" s="38" t="n">
        <f aca="false">Q!$D$31</f>
        <v>13.32</v>
      </c>
      <c r="D6542" s="38" t="n">
        <f aca="false">Q!$E$31</f>
        <v>21.45</v>
      </c>
      <c r="E6542" s="38" t="n">
        <f aca="false">Q!$P$31</f>
        <v>15.353</v>
      </c>
      <c r="F6542" s="38" t="n">
        <f aca="false">ext_sh*Sens!$F$6530+Sens!$D$6541*Sens!$F$6518</f>
        <v>17.3614451462707</v>
      </c>
      <c r="G6542" s="38" t="n">
        <f aca="false">Sens!$E$6542+Sens!$F$6542</f>
        <v>32.7144451462707</v>
      </c>
      <c r="H6542" s="38" t="n">
        <f aca="false">ext_sh*Sens!$H$6530+Sens!$D$6541*Sens!$H$6518</f>
        <v>56.1966092719415</v>
      </c>
      <c r="I6542" s="38" t="n">
        <f aca="false">ext_sh*Sens!$I$6530+Sens!$D$6541*Sens!$I$6518</f>
        <v>82.9744039068297</v>
      </c>
      <c r="J6542" s="38" t="n">
        <f aca="false">ext_sh*Sens!$J$6530+Sens!$D$6541*Sens!$J$6518</f>
        <v>109.943252237669</v>
      </c>
      <c r="K6542" s="38" t="n">
        <f aca="false">ext_sh*Sens!$K$6530+Sens!$D$6541*Sens!$K$6518</f>
        <v>136.406703436571</v>
      </c>
      <c r="L6542" s="38" t="n">
        <f aca="false">ext_sh*Sens!$L$6530+Sens!$D$6541*Sens!$L$6518</f>
        <v>161.485870454155</v>
      </c>
      <c r="M6542" s="38" t="n">
        <f aca="false">ext_sh*Sens!$M$6530+Sens!$D$6541*Sens!$M$6518</f>
        <v>187.389846618199</v>
      </c>
      <c r="N6542" s="38" t="n">
        <f aca="false">Q!$N$31</f>
        <v>9.234</v>
      </c>
      <c r="O6542" s="38" t="n">
        <f aca="false">Q!$O$31</f>
        <v>12.216</v>
      </c>
    </row>
    <row r="6543" customFormat="false" ht="17.15" hidden="false" customHeight="false" outlineLevel="0" collapsed="false">
      <c r="A6543" s="1" t="s">
        <v>610</v>
      </c>
    </row>
    <row r="6544" customFormat="false" ht="17.15" hidden="false" customHeight="false" outlineLevel="0" collapsed="false">
      <c r="A6544" s="14" t="s">
        <v>611</v>
      </c>
      <c r="B6544" s="13" t="s">
        <v>52</v>
      </c>
      <c r="C6544" s="13"/>
      <c r="D6544" s="13"/>
      <c r="E6544" s="13"/>
      <c r="F6544" s="13"/>
      <c r="G6544" s="16" t="n">
        <f aca="false">Sens!$G$6534*(1-tax)/(ext_sh*(Sens!$D$6531+Sens!$G$6531)/2)</f>
        <v>0.0492184452944045</v>
      </c>
      <c r="H6544" s="16" t="n">
        <f aca="false">Sens!$H$6534*(1-tax)/(ext_sh*(Sens!$G$6531+Sens!$H$6531)/2)</f>
        <v>0.0619414246858107</v>
      </c>
      <c r="I6544" s="16" t="n">
        <f aca="false">Sens!$I$6534*(1-tax)/(ext_sh*(Sens!$H$6531+Sens!$I$6531)/2)</f>
        <v>0.0656831488051666</v>
      </c>
      <c r="J6544" s="16" t="n">
        <f aca="false">Sens!$J$6534*(1-tax)/(ext_sh*(Sens!$I$6531+Sens!$J$6531)/2)</f>
        <v>0.0690334849962116</v>
      </c>
      <c r="K6544" s="16" t="n">
        <f aca="false">Sens!$K$6534*(1-tax)/(ext_sh*(Sens!$J$6531+Sens!$K$6531)/2)</f>
        <v>0.0728680488295485</v>
      </c>
      <c r="L6544" s="16" t="n">
        <f aca="false">Sens!$L$6534*(1-tax)/(ext_sh*(Sens!$K$6531+Sens!$L$6531)/2)</f>
        <v>0.0785052878122331</v>
      </c>
      <c r="M6544" s="16" t="n">
        <f aca="false">Sens!$M$6534*(1-tax)/(ext_sh*(Sens!$L$6531+Sens!$M$6531)/2)</f>
        <v>0.0804526580722741</v>
      </c>
      <c r="N6544" s="13"/>
      <c r="O6544" s="13"/>
      <c r="P6544" s="8" t="s">
        <v>612</v>
      </c>
    </row>
    <row r="6545" customFormat="false" ht="17.15" hidden="false" customHeight="false" outlineLevel="0" collapsed="false">
      <c r="A6545" s="5" t="s">
        <v>613</v>
      </c>
      <c r="B6545" s="0" t="s">
        <v>57</v>
      </c>
      <c r="H6545" s="36" t="n">
        <f aca="false">Sens!$H$6514*1000/(mw_open*he_open+Sens!$H$6512*Sens!$H$6509)</f>
        <v>0.991949006767191</v>
      </c>
      <c r="I6545" s="36" t="n">
        <f aca="false">Sens!$I$6514*1000/(mw_open*he_open+Sens!$I$6512*Sens!$I$6509)</f>
        <v>0.991949006767191</v>
      </c>
      <c r="J6545" s="36" t="n">
        <f aca="false">Sens!$J$6514*1000/(mw_open*he_open+Sens!$J$6512*Sens!$J$6509)</f>
        <v>0.991949006767191</v>
      </c>
      <c r="K6545" s="36" t="n">
        <f aca="false">Sens!$K$6514*1000/(mw_open*he_open+Sens!$K$6512*Sens!$K$6509)</f>
        <v>0.991949006767191</v>
      </c>
      <c r="L6545" s="36" t="n">
        <f aca="false">Sens!$L$6514*1000/(mw_open*he_open+Sens!$L$6512*Sens!$L$6509)</f>
        <v>0.991949006767191</v>
      </c>
      <c r="M6545" s="36" t="n">
        <f aca="false">Sens!$M$6514*1000/(mw_open*he_open+Sens!$M$6512*Sens!$M$6509)</f>
        <v>0.991949006767192</v>
      </c>
    </row>
    <row r="6546" customFormat="false" ht="17.15" hidden="false" customHeight="false" outlineLevel="0" collapsed="false">
      <c r="A6546" s="5" t="s">
        <v>614</v>
      </c>
      <c r="B6546" s="0" t="s">
        <v>57</v>
      </c>
      <c r="H6546" s="36" t="n">
        <f aca="false">Sens!$H$6545*(Sens!$H$6514+wacc*ext_sh*(Sens!$G$6531+Sens!$H$6531)/2/(1-tax)-Sens!$H$6534)/Sens!$H$6514</f>
        <v>1.3149781212103</v>
      </c>
      <c r="I6546" s="36" t="n">
        <f aca="false">Sens!$I$6545*(Sens!$I$6514+wacc*ext_sh*(Sens!$H$6531+Sens!$I$6531)/2/(1-tax)-Sens!$I$6534)/Sens!$I$6514</f>
        <v>1.25742005569107</v>
      </c>
      <c r="J6546" s="36" t="n">
        <f aca="false">Sens!$J$6545*(Sens!$J$6514+wacc*ext_sh*(Sens!$I$6531+Sens!$J$6531)/2/(1-tax)-Sens!$J$6534)/Sens!$J$6514</f>
        <v>1.21838845868559</v>
      </c>
      <c r="K6546" s="36" t="n">
        <f aca="false">Sens!$K$6545*(Sens!$K$6514+wacc*ext_sh*(Sens!$J$6531+Sens!$K$6531)/2/(1-tax)-Sens!$K$6534)/Sens!$K$6514</f>
        <v>1.18402644209548</v>
      </c>
      <c r="L6546" s="36" t="n">
        <f aca="false">Sens!$L$6545*(Sens!$L$6514+wacc*ext_sh*(Sens!$K$6531+Sens!$L$6531)/2/(1-tax)-Sens!$L$6534)/Sens!$L$6514</f>
        <v>1.15111215322059</v>
      </c>
      <c r="M6546" s="36" t="n">
        <f aca="false">Sens!$M$6545*(Sens!$M$6514+wacc*ext_sh*(Sens!$L$6531+Sens!$M$6531)/2/(1-tax)-Sens!$M$6534)/Sens!$M$6514</f>
        <v>1.1397166845677</v>
      </c>
    </row>
    <row r="6547" customFormat="false" ht="17.15" hidden="false" customHeight="false" outlineLevel="0" collapsed="false">
      <c r="A6547" s="5" t="s">
        <v>615</v>
      </c>
      <c r="B6547" s="0" t="s">
        <v>52</v>
      </c>
      <c r="C6547" s="12" t="n">
        <f aca="false">Sens!$C$6515/tk_pq</f>
        <v>0.195316432429398</v>
      </c>
      <c r="D6547" s="12" t="n">
        <f aca="false">Sens!$D$6515/tk_pq</f>
        <v>0.195316432429398</v>
      </c>
      <c r="E6547" s="12" t="n">
        <f aca="false">Sens!$E$6515/tk_pq</f>
        <v>0.195316432429398</v>
      </c>
      <c r="F6547" s="12" t="n">
        <f aca="false">Sens!$F$6515/tk_pq</f>
        <v>0.202241827274866</v>
      </c>
      <c r="G6547" s="12" t="n">
        <f aca="false">Sens!$G$6515/tk_pq</f>
        <v>0.199675016194063</v>
      </c>
      <c r="H6547" s="12" t="n">
        <f aca="false">Sens!$H$6515/tk_pq</f>
        <v>0.212647947710325</v>
      </c>
      <c r="I6547" s="12" t="n">
        <f aca="false">Sens!$I$6515/tk_pq</f>
        <v>0.219285125475351</v>
      </c>
      <c r="J6547" s="12" t="n">
        <f aca="false">Sens!$J$6515/tk_pq</f>
        <v>0.222492493217189</v>
      </c>
      <c r="K6547" s="12" t="n">
        <f aca="false">Sens!$K$6515/tk_pq</f>
        <v>0.224371415939166</v>
      </c>
      <c r="L6547" s="12" t="n">
        <f aca="false">Sens!$L$6515/tk_pq</f>
        <v>0.225603749825993</v>
      </c>
      <c r="M6547" s="12" t="n">
        <f aca="false">Sens!$M$6515/tk_pq</f>
        <v>0.22647376274628</v>
      </c>
      <c r="N6547" s="12" t="n">
        <f aca="false">Sens!$N$6515/tk_pq</f>
        <v>0.195316432429398</v>
      </c>
      <c r="O6547" s="12" t="n">
        <f aca="false">Sens!$O$6515/tk_pq</f>
        <v>0.195316432429398</v>
      </c>
      <c r="P6547" s="5" t="s">
        <v>616</v>
      </c>
    </row>
    <row r="6550" customFormat="false" ht="17.15" hidden="false" customHeight="false" outlineLevel="0" collapsed="false">
      <c r="A6550" s="1" t="s">
        <v>643</v>
      </c>
    </row>
    <row r="6551" customFormat="false" ht="17.15" hidden="false" customHeight="false" outlineLevel="0" collapsed="false">
      <c r="A6551" s="0" t="s">
        <v>644</v>
      </c>
      <c r="B6551" s="0" t="s">
        <v>73</v>
      </c>
      <c r="C6551" s="38" t="n">
        <f aca="false">Sens!$C$6514</f>
        <v>2.32100535697364</v>
      </c>
      <c r="D6551" s="38" t="n">
        <f aca="false">Sens!$D$6514</f>
        <v>8.70377008865116</v>
      </c>
      <c r="E6551" s="38" t="n">
        <f aca="false">Sens!$E$6514</f>
        <v>8.51035297557002</v>
      </c>
      <c r="F6551" s="38" t="n">
        <f aca="false">Sens!$F$6514</f>
        <v>14.9634336447205</v>
      </c>
      <c r="G6551" s="38" t="n">
        <f aca="false">Sens!$G$6514</f>
        <v>23.4737866202905</v>
      </c>
      <c r="H6551" s="38" t="n">
        <f aca="false">Sens!$H$6514</f>
        <v>60.1658907497746</v>
      </c>
      <c r="I6551" s="38" t="n">
        <f aca="false">Sens!$I$6514</f>
        <v>101.503699136432</v>
      </c>
      <c r="J6551" s="38" t="n">
        <f aca="false">Sens!$J$6514</f>
        <v>143.025407151278</v>
      </c>
      <c r="K6551" s="38" t="n">
        <f aca="false">Sens!$K$6514</f>
        <v>184.608415042187</v>
      </c>
      <c r="L6551" s="38" t="n">
        <f aca="false">Sens!$L$6514</f>
        <v>226.219286513125</v>
      </c>
      <c r="M6551" s="38" t="n">
        <f aca="false">Sens!$M$6514</f>
        <v>267.845161450232</v>
      </c>
      <c r="N6551" s="38" t="n">
        <f aca="false">Sens!$N$6514</f>
        <v>3.04631953102791</v>
      </c>
      <c r="O6551" s="38" t="n">
        <f aca="false">Sens!$O$6514</f>
        <v>5.65745055762326</v>
      </c>
      <c r="P6551" s="8" t="s">
        <v>645</v>
      </c>
    </row>
    <row r="6552" customFormat="false" ht="17.15" hidden="false" customHeight="false" outlineLevel="0" collapsed="false">
      <c r="A6552" s="0" t="s">
        <v>646</v>
      </c>
      <c r="B6552" s="0" t="s">
        <v>73</v>
      </c>
      <c r="C6552" s="38" t="n">
        <f aca="false">Sens!$C$6518</f>
        <v>105.234994643026</v>
      </c>
      <c r="D6552" s="38" t="n">
        <f aca="false">Sens!$D$6518</f>
        <v>120.021229911349</v>
      </c>
      <c r="E6552" s="38" t="n">
        <f aca="false">Sens!$E$6518</f>
        <v>71.30864702443</v>
      </c>
      <c r="F6552" s="38" t="n">
        <f aca="false">Sens!$F$6518</f>
        <v>78.5950104186653</v>
      </c>
      <c r="G6552" s="38" t="n">
        <f aca="false">Sens!$G$6518</f>
        <v>149.903657443095</v>
      </c>
      <c r="H6552" s="38" t="n">
        <f aca="false">Sens!$H$6518</f>
        <v>180.893560768142</v>
      </c>
      <c r="I6552" s="38" t="n">
        <f aca="false">Sens!$I$6518</f>
        <v>210.64839721501</v>
      </c>
      <c r="J6552" s="38" t="n">
        <f aca="false">Sens!$J$6518</f>
        <v>236.398909446495</v>
      </c>
      <c r="K6552" s="38" t="n">
        <f aca="false">Sens!$K$6518</f>
        <v>255.310822202215</v>
      </c>
      <c r="L6552" s="38" t="n">
        <f aca="false">Sens!$L$6518</f>
        <v>275.735687978392</v>
      </c>
      <c r="M6552" s="38" t="n">
        <f aca="false">Sens!$M$6518</f>
        <v>297.794543016663</v>
      </c>
      <c r="N6552" s="38" t="n">
        <f aca="false">Sens!$N$6518</f>
        <v>57.0936804689721</v>
      </c>
      <c r="O6552" s="38" t="n">
        <f aca="false">Sens!$O$6518</f>
        <v>62.9275494423768</v>
      </c>
      <c r="P6552" s="8" t="s">
        <v>645</v>
      </c>
    </row>
    <row r="6553" customFormat="false" ht="17.15" hidden="false" customHeight="false" outlineLevel="0" collapsed="false">
      <c r="A6553" s="1" t="s">
        <v>476</v>
      </c>
      <c r="B6553" s="8" t="s">
        <v>73</v>
      </c>
      <c r="C6553" s="38" t="n">
        <f aca="false">Q!$D$7</f>
        <v>107.556</v>
      </c>
      <c r="D6553" s="38" t="n">
        <f aca="false">Q!$E$7</f>
        <v>128.725</v>
      </c>
      <c r="E6553" s="38" t="n">
        <f aca="false">Q!$P$7</f>
        <v>79.819</v>
      </c>
      <c r="F6553" s="38" t="n">
        <f aca="false">Sens!$F$6551+Sens!$F$6552</f>
        <v>93.5584440633857</v>
      </c>
      <c r="G6553" s="38" t="n">
        <f aca="false">Sens!$G$6551+Sens!$G$6552</f>
        <v>173.377444063386</v>
      </c>
      <c r="H6553" s="38" t="n">
        <f aca="false">Sens!$H$6551+Sens!$H$6552</f>
        <v>241.059451517916</v>
      </c>
      <c r="I6553" s="38" t="n">
        <f aca="false">Sens!$I$6551+Sens!$I$6552</f>
        <v>312.152096351442</v>
      </c>
      <c r="J6553" s="38" t="n">
        <f aca="false">Sens!$J$6551+Sens!$J$6552</f>
        <v>379.424316597773</v>
      </c>
      <c r="K6553" s="38" t="n">
        <f aca="false">Sens!$K$6551+Sens!$K$6552</f>
        <v>439.919237244402</v>
      </c>
      <c r="L6553" s="38" t="n">
        <f aca="false">Sens!$L$6551+Sens!$L$6552</f>
        <v>501.954974491517</v>
      </c>
      <c r="M6553" s="38" t="n">
        <f aca="false">Sens!$M$6551+Sens!$M$6552</f>
        <v>565.639704466895</v>
      </c>
      <c r="N6553" s="38" t="n">
        <f aca="false">Q!$N$7</f>
        <v>60.14</v>
      </c>
      <c r="O6553" s="38" t="n">
        <f aca="false">Q!$O$7</f>
        <v>68.585</v>
      </c>
      <c r="P6553" s="5" t="s">
        <v>647</v>
      </c>
    </row>
    <row r="6554" customFormat="false" ht="15" hidden="false" customHeight="false" outlineLevel="0" collapsed="false">
      <c r="A6554" s="3" t="s">
        <v>648</v>
      </c>
      <c r="B6554" s="8" t="s">
        <v>73</v>
      </c>
      <c r="C6554" s="38" t="n">
        <f aca="false">Q!$D$8</f>
        <v>637.959</v>
      </c>
      <c r="D6554" s="38" t="n">
        <f aca="false">Q!$E$8</f>
        <v>716.924</v>
      </c>
      <c r="E6554" s="38" t="n">
        <f aca="false">Q!$P$8</f>
        <v>382.125</v>
      </c>
      <c r="F6554" s="38" t="n">
        <f aca="false">Sens!$F$6487+Sens!$F$6553</f>
        <v>450.494873271816</v>
      </c>
      <c r="G6554" s="38" t="n">
        <f aca="false">Sens!$G$6487+Sens!$G$6553</f>
        <v>832.619873271816</v>
      </c>
      <c r="H6554" s="38" t="n">
        <f aca="false">Sens!$H$6487+Sens!$H$6553</f>
        <v>970.995189139617</v>
      </c>
      <c r="I6554" s="38" t="n">
        <f aca="false">Sens!$I$6487+Sens!$I$6553</f>
        <v>1110.44766604932</v>
      </c>
      <c r="J6554" s="38" t="n">
        <f aca="false">Sens!$J$6487+Sens!$J$6553</f>
        <v>1241.16113892356</v>
      </c>
      <c r="K6554" s="38" t="n">
        <f aca="false">Sens!$K$6487+Sens!$K$6553</f>
        <v>1357.47672934633</v>
      </c>
      <c r="L6554" s="38" t="n">
        <f aca="false">Sens!$L$6487+Sens!$L$6553</f>
        <v>1479.24006423468</v>
      </c>
      <c r="M6554" s="38" t="n">
        <f aca="false">Sens!$M$6487+Sens!$M$6553</f>
        <v>1606.8537230104</v>
      </c>
      <c r="N6554" s="38" t="n">
        <f aca="false">Q!$N$8</f>
        <v>323.369</v>
      </c>
      <c r="O6554" s="38" t="n">
        <f aca="false">Q!$O$8</f>
        <v>393.555</v>
      </c>
    </row>
    <row r="6555" customFormat="false" ht="17.15" hidden="false" customHeight="false" outlineLevel="0" collapsed="false">
      <c r="A6555" s="24" t="s">
        <v>656</v>
      </c>
      <c r="B6555" s="25" t="s">
        <v>73</v>
      </c>
      <c r="C6555" s="39" t="n">
        <f aca="false">Sens!$C$6487-(Sens!$C$6489+Sens!$C$6490)</f>
        <v>0</v>
      </c>
      <c r="D6555" s="39" t="n">
        <f aca="false">Sens!$D$6487-(Sens!$D$6489+Sens!$D$6490)</f>
        <v>0</v>
      </c>
      <c r="E6555" s="39" t="n">
        <f aca="false">Sens!$E$6487-(Sens!$E$6489+Sens!$E$6490)</f>
        <v>0</v>
      </c>
      <c r="F6555" s="39" t="n">
        <f aca="false">Sens!$F$6487-(Sens!$F$6489+Sens!$F$6490)</f>
        <v>0</v>
      </c>
      <c r="G6555" s="39" t="n">
        <f aca="false">Sens!$G$6487-(Sens!$G$6489+Sens!$G$6490)</f>
        <v>0</v>
      </c>
      <c r="H6555" s="39" t="n">
        <f aca="false">Sens!$H$6487-(Sens!$H$6489+Sens!$H$6490)</f>
        <v>0</v>
      </c>
      <c r="I6555" s="39" t="n">
        <f aca="false">Sens!$I$6487-(Sens!$I$6489+Sens!$I$6490)</f>
        <v>0</v>
      </c>
      <c r="J6555" s="39" t="n">
        <f aca="false">Sens!$J$6487-(Sens!$J$6489+Sens!$J$6490)</f>
        <v>0</v>
      </c>
      <c r="K6555" s="39" t="n">
        <f aca="false">Sens!$K$6487-(Sens!$K$6489+Sens!$K$6490)</f>
        <v>0</v>
      </c>
      <c r="L6555" s="39" t="n">
        <f aca="false">Sens!$L$6487-(Sens!$L$6489+Sens!$L$6490)</f>
        <v>0</v>
      </c>
      <c r="M6555" s="39" t="n">
        <f aca="false">Sens!$M$6487-(Sens!$M$6489+Sens!$M$6490)</f>
        <v>0</v>
      </c>
      <c r="N6555" s="39" t="n">
        <f aca="false">Sens!$N$6487-(Sens!$N$6489+Sens!$N$6490)</f>
        <v>0</v>
      </c>
      <c r="O6555" s="39" t="n">
        <f aca="false">Sens!$O$6487-(Sens!$O$6489+Sens!$O$6490)</f>
        <v>0</v>
      </c>
    </row>
    <row r="6556" customFormat="false" ht="17.15" hidden="false" customHeight="false" outlineLevel="0" collapsed="false">
      <c r="A6556" s="24" t="s">
        <v>657</v>
      </c>
      <c r="B6556" s="25" t="s">
        <v>73</v>
      </c>
      <c r="C6556" s="39" t="n">
        <f aca="false">Sens!$C$6551+Sens!$C$6552-Sens!$C$6553</f>
        <v>0</v>
      </c>
      <c r="D6556" s="39" t="n">
        <f aca="false">Sens!$D$6551+Sens!$D$6552-Sens!$D$6553</f>
        <v>0</v>
      </c>
      <c r="E6556" s="39" t="n">
        <f aca="false">Sens!$E$6551+Sens!$E$6552-Sens!$E$6553</f>
        <v>0</v>
      </c>
      <c r="F6556" s="39" t="n">
        <f aca="false">Sens!$F$6551+Sens!$F$6552-Sens!$F$6553</f>
        <v>0</v>
      </c>
      <c r="G6556" s="39" t="n">
        <f aca="false">Sens!$G$6551+Sens!$G$6552-Sens!$G$6553</f>
        <v>0</v>
      </c>
      <c r="H6556" s="39" t="n">
        <f aca="false">Sens!$H$6551+Sens!$H$6552-Sens!$H$6553</f>
        <v>0</v>
      </c>
      <c r="I6556" s="39" t="n">
        <f aca="false">Sens!$I$6551+Sens!$I$6552-Sens!$I$6553</f>
        <v>0</v>
      </c>
      <c r="J6556" s="39" t="n">
        <f aca="false">Sens!$J$6551+Sens!$J$6552-Sens!$J$6553</f>
        <v>0</v>
      </c>
      <c r="K6556" s="39" t="n">
        <f aca="false">Sens!$K$6551+Sens!$K$6552-Sens!$K$6553</f>
        <v>0</v>
      </c>
      <c r="L6556" s="39" t="n">
        <f aca="false">Sens!$L$6551+Sens!$L$6552-Sens!$L$6553</f>
        <v>0</v>
      </c>
      <c r="M6556" s="39" t="n">
        <f aca="false">Sens!$M$6551+Sens!$M$6552-Sens!$M$6553</f>
        <v>0</v>
      </c>
      <c r="N6556" s="39" t="n">
        <f aca="false">Sens!$N$6551+Sens!$N$6552-Sens!$N$6553</f>
        <v>0</v>
      </c>
      <c r="O6556" s="39" t="n">
        <f aca="false">Sens!$O$6551+Sens!$O$6552-Sens!$O$6553</f>
        <v>0</v>
      </c>
    </row>
    <row r="6557" customFormat="false" ht="17.15" hidden="false" customHeight="false" outlineLevel="0" collapsed="false">
      <c r="A6557" s="24" t="s">
        <v>658</v>
      </c>
      <c r="B6557" s="25" t="s">
        <v>73</v>
      </c>
      <c r="C6557" s="39" t="n">
        <f aca="false">Sens!$C$6489+Sens!$C$6490+Sens!$C$6553-Sens!$C$6554</f>
        <v>0</v>
      </c>
      <c r="D6557" s="39" t="n">
        <f aca="false">Sens!$D$6489+Sens!$D$6490+Sens!$D$6553-Sens!$D$6554</f>
        <v>0</v>
      </c>
      <c r="E6557" s="39" t="n">
        <f aca="false">Sens!$E$6489+Sens!$E$6490+Sens!$E$6553-Sens!$E$6554</f>
        <v>0</v>
      </c>
      <c r="F6557" s="39" t="n">
        <f aca="false">Sens!$F$6489+Sens!$F$6490+Sens!$F$6553-Sens!$F$6554</f>
        <v>0</v>
      </c>
      <c r="G6557" s="39" t="n">
        <f aca="false">Sens!$G$6489+Sens!$G$6490+Sens!$G$6553-Sens!$G$6554</f>
        <v>0</v>
      </c>
      <c r="H6557" s="39" t="n">
        <f aca="false">Sens!$H$6489+Sens!$H$6490+Sens!$H$6553-Sens!$H$6554</f>
        <v>0</v>
      </c>
      <c r="I6557" s="39" t="n">
        <f aca="false">Sens!$I$6489+Sens!$I$6490+Sens!$I$6553-Sens!$I$6554</f>
        <v>0</v>
      </c>
      <c r="J6557" s="39" t="n">
        <f aca="false">Sens!$J$6489+Sens!$J$6490+Sens!$J$6553-Sens!$J$6554</f>
        <v>0</v>
      </c>
      <c r="K6557" s="39" t="n">
        <f aca="false">Sens!$K$6489+Sens!$K$6490+Sens!$K$6553-Sens!$K$6554</f>
        <v>0</v>
      </c>
      <c r="L6557" s="39" t="n">
        <f aca="false">Sens!$L$6489+Sens!$L$6490+Sens!$L$6553-Sens!$L$6554</f>
        <v>0</v>
      </c>
      <c r="M6557" s="39" t="n">
        <f aca="false">Sens!$M$6489+Sens!$M$6490+Sens!$M$6553-Sens!$M$6554</f>
        <v>0</v>
      </c>
      <c r="N6557" s="39" t="n">
        <f aca="false">Sens!$N$6489+Sens!$N$6490+Sens!$N$6553-Sens!$N$6554</f>
        <v>0</v>
      </c>
      <c r="O6557" s="39" t="n">
        <f aca="false">Sens!$O$6489+Sens!$O$6490+Sens!$O$6553-Sens!$O$6554</f>
        <v>0</v>
      </c>
    </row>
    <row r="6558" customFormat="false" ht="15" hidden="false" customHeight="false" outlineLevel="0" collapsed="false">
      <c r="A6558" s="5" t="s">
        <v>652</v>
      </c>
      <c r="B6558" s="0" t="s">
        <v>52</v>
      </c>
      <c r="G6558" s="12" t="n">
        <f aca="false">Sens!$G$6554/Sens!$D$6554-1</f>
        <v>0.161378156222718</v>
      </c>
      <c r="H6558" s="12" t="n">
        <f aca="false">Sens!$H$6554/Sens!$G$6554-1</f>
        <v>0.166192665236357</v>
      </c>
      <c r="I6558" s="12" t="n">
        <f aca="false">Sens!$I$6554/Sens!$H$6554-1</f>
        <v>0.143618092519351</v>
      </c>
      <c r="J6558" s="12" t="n">
        <f aca="false">Sens!$J$6554/Sens!$I$6554-1</f>
        <v>0.117712411733268</v>
      </c>
      <c r="K6558" s="12" t="n">
        <f aca="false">Sens!$K$6554/Sens!$J$6554-1</f>
        <v>0.0937151404237868</v>
      </c>
      <c r="L6558" s="12" t="n">
        <f aca="false">Sens!$L$6554/Sens!$K$6554-1</f>
        <v>0.0896982852494186</v>
      </c>
      <c r="M6558" s="12" t="n">
        <f aca="false">Sens!$M$6554/Sens!$L$6554-1</f>
        <v>0.0862697420528154</v>
      </c>
    </row>
    <row r="6559" customFormat="false" ht="17.15" hidden="false" customHeight="false" outlineLevel="0" collapsed="false">
      <c r="A6559" s="0" t="s">
        <v>653</v>
      </c>
      <c r="B6559" s="0" t="s">
        <v>52</v>
      </c>
      <c r="C6559" s="12" t="n">
        <f aca="false">Sens!$C$6553/Sens!$C$6554</f>
        <v>0.168593906504964</v>
      </c>
      <c r="D6559" s="12" t="n">
        <f aca="false">Sens!$D$6553/Sens!$D$6554</f>
        <v>0.179551807444025</v>
      </c>
      <c r="E6559" s="12" t="n">
        <f aca="false">Sens!$E$6553/Sens!$E$6554</f>
        <v>0.208881910369643</v>
      </c>
      <c r="F6559" s="12" t="n">
        <f aca="false">Sens!$F$6553/Sens!$F$6554</f>
        <v>0.207679264769203</v>
      </c>
      <c r="G6559" s="12" t="n">
        <f aca="false">Sens!$G$6553/Sens!$G$6554</f>
        <v>0.208231210458731</v>
      </c>
      <c r="H6559" s="12" t="n">
        <f aca="false">Sens!$H$6553/Sens!$H$6554</f>
        <v>0.248260191414043</v>
      </c>
      <c r="I6559" s="12" t="n">
        <f aca="false">Sens!$I$6553/Sens!$I$6554</f>
        <v>0.28110473450946</v>
      </c>
      <c r="J6559" s="12" t="n">
        <f aca="false">Sens!$J$6553/Sens!$J$6554</f>
        <v>0.30570109287086</v>
      </c>
      <c r="K6559" s="12" t="n">
        <f aca="false">Sens!$K$6553/Sens!$K$6554</f>
        <v>0.324071291782835</v>
      </c>
      <c r="L6559" s="12" t="n">
        <f aca="false">Sens!$L$6553/Sens!$L$6554</f>
        <v>0.339333003903741</v>
      </c>
      <c r="M6559" s="12" t="n">
        <f aca="false">Sens!$M$6553/Sens!$M$6554</f>
        <v>0.3520169237354</v>
      </c>
      <c r="N6559" s="12" t="n">
        <f aca="false">Sens!$N$6553/Sens!$N$6554</f>
        <v>0.185979484737251</v>
      </c>
      <c r="O6559" s="12" t="n">
        <f aca="false">Sens!$O$6553/Sens!$O$6554</f>
        <v>0.174270432341096</v>
      </c>
    </row>
    <row r="6560" customFormat="false" ht="17.15" hidden="false" customHeight="false" outlineLevel="0" collapsed="false">
      <c r="A6560" s="0" t="s">
        <v>654</v>
      </c>
      <c r="B6560" s="0" t="s">
        <v>52</v>
      </c>
      <c r="C6560" s="12" t="n">
        <f aca="false">Sens!$C$6551/Sens!$C$6553</f>
        <v>0.0215795060896058</v>
      </c>
      <c r="D6560" s="12" t="n">
        <f aca="false">Sens!$D$6551/Sens!$D$6553</f>
        <v>0.0676152269462122</v>
      </c>
      <c r="E6560" s="12" t="n">
        <f aca="false">Sens!$E$6551/Sens!$E$6553</f>
        <v>0.106620641395783</v>
      </c>
      <c r="F6560" s="12" t="n">
        <f aca="false">Sens!$F$6551/Sens!$F$6553</f>
        <v>0.159936751776064</v>
      </c>
      <c r="G6560" s="12" t="n">
        <f aca="false">Sens!$G$6551/Sens!$G$6553</f>
        <v>0.135391237003751</v>
      </c>
      <c r="H6560" s="12" t="n">
        <f aca="false">Sens!$H$6551/Sens!$H$6553</f>
        <v>0.249589428545194</v>
      </c>
      <c r="I6560" s="12" t="n">
        <f aca="false">Sens!$I$6551/Sens!$I$6553</f>
        <v>0.325173850577483</v>
      </c>
      <c r="J6560" s="12" t="n">
        <f aca="false">Sens!$J$6551/Sens!$J$6553</f>
        <v>0.376953718817392</v>
      </c>
      <c r="K6560" s="12" t="n">
        <f aca="false">Sens!$K$6551/Sens!$K$6553</f>
        <v>0.419641605578676</v>
      </c>
      <c r="L6560" s="12" t="n">
        <f aca="false">Sens!$L$6551/Sens!$L$6553</f>
        <v>0.450676451094615</v>
      </c>
      <c r="M6560" s="12" t="n">
        <f aca="false">Sens!$M$6551/Sens!$M$6553</f>
        <v>0.473526096798086</v>
      </c>
      <c r="N6560" s="12" t="n">
        <f aca="false">Sens!$N$6551/Sens!$N$6553</f>
        <v>0.0506537999838362</v>
      </c>
      <c r="O6560" s="12" t="n">
        <f aca="false">Sens!$O$6551/Sens!$O$6553</f>
        <v>0.0824881615167056</v>
      </c>
    </row>
    <row r="6563" customFormat="false" ht="19.4" hidden="false" customHeight="false" outlineLevel="0" collapsed="false">
      <c r="A6563" s="31" t="s">
        <v>1187</v>
      </c>
    </row>
    <row r="6564" customFormat="false" ht="17.15" hidden="false" customHeight="false" outlineLevel="0" collapsed="false">
      <c r="A6564" s="6" t="s">
        <v>16</v>
      </c>
      <c r="B6564" s="6" t="s">
        <v>17</v>
      </c>
      <c r="C6564" s="20" t="s">
        <v>457</v>
      </c>
      <c r="D6564" s="20" t="s">
        <v>458</v>
      </c>
      <c r="E6564" s="20" t="s">
        <v>540</v>
      </c>
      <c r="F6564" s="20" t="s">
        <v>541</v>
      </c>
      <c r="G6564" s="20" t="s">
        <v>542</v>
      </c>
      <c r="H6564" s="20" t="s">
        <v>543</v>
      </c>
      <c r="I6564" s="20" t="s">
        <v>544</v>
      </c>
      <c r="J6564" s="20" t="s">
        <v>545</v>
      </c>
      <c r="K6564" s="20" t="s">
        <v>546</v>
      </c>
      <c r="L6564" s="20" t="s">
        <v>547</v>
      </c>
      <c r="M6564" s="20" t="s">
        <v>548</v>
      </c>
      <c r="N6564" s="20" t="s">
        <v>549</v>
      </c>
      <c r="O6564" s="20" t="s">
        <v>550</v>
      </c>
      <c r="P6564" s="6" t="s">
        <v>23</v>
      </c>
      <c r="R6564" s="20" t="n">
        <v>2023</v>
      </c>
      <c r="S6564" s="20" t="n">
        <v>2024</v>
      </c>
      <c r="T6564" s="20" t="n">
        <v>2025</v>
      </c>
      <c r="U6564" s="20" t="n">
        <v>2026</v>
      </c>
      <c r="V6564" s="20" t="n">
        <v>2027</v>
      </c>
      <c r="W6564" s="20" t="n">
        <v>2028</v>
      </c>
      <c r="X6564" s="20" t="n">
        <v>2029</v>
      </c>
      <c r="Y6564" s="20" t="n">
        <v>2030</v>
      </c>
      <c r="Z6564" s="20" t="n">
        <v>2031</v>
      </c>
      <c r="AA6564" s="20" t="n">
        <v>2032</v>
      </c>
    </row>
    <row r="6565" customFormat="false" ht="17.15" hidden="false" customHeight="false" outlineLevel="0" collapsed="false">
      <c r="A6565" s="1" t="s">
        <v>669</v>
      </c>
    </row>
    <row r="6566" customFormat="false" ht="15" hidden="false" customHeight="false" outlineLevel="0" collapsed="false">
      <c r="A6566" s="0" t="s">
        <v>479</v>
      </c>
      <c r="B6566" s="0" t="s">
        <v>73</v>
      </c>
      <c r="C6566" s="38" t="n">
        <f aca="false">Sens!$C$6475</f>
        <v>247.029</v>
      </c>
      <c r="D6566" s="38" t="n">
        <f aca="false">Sens!$D$6475</f>
        <v>269.287</v>
      </c>
      <c r="E6566" s="38" t="n">
        <f aca="false">Sens!$E$6475</f>
        <v>134.686</v>
      </c>
      <c r="F6566" s="38" t="n">
        <f aca="false">Sens!$F$6475</f>
        <v>160.728085930082</v>
      </c>
      <c r="G6566" s="38" t="n">
        <f aca="false">Sens!$G$6475</f>
        <v>295.414085930082</v>
      </c>
      <c r="H6566" s="38" t="n">
        <f aca="false">Sens!$H$6475</f>
        <v>320.828163943375</v>
      </c>
      <c r="I6566" s="38" t="n">
        <f aca="false">Sens!$I$6475</f>
        <v>344.575578072228</v>
      </c>
      <c r="J6566" s="38" t="n">
        <f aca="false">Sens!$J$6475</f>
        <v>365.942555779681</v>
      </c>
      <c r="K6566" s="38" t="n">
        <f aca="false">Sens!$K$6475</f>
        <v>384.239683568665</v>
      </c>
      <c r="L6566" s="38" t="n">
        <f aca="false">Sens!$L$6475</f>
        <v>403.451667747098</v>
      </c>
      <c r="M6566" s="38" t="n">
        <f aca="false">Sens!$M$6475</f>
        <v>423.624251134453</v>
      </c>
      <c r="N6566" s="38" t="n">
        <f aca="false">Sens!$N$6475</f>
        <v>118.892</v>
      </c>
      <c r="O6566" s="38" t="n">
        <f aca="false">Sens!$O$6475</f>
        <v>150.395</v>
      </c>
    </row>
    <row r="6567" customFormat="false" ht="15" hidden="false" customHeight="false" outlineLevel="0" collapsed="false">
      <c r="A6567" s="0" t="s">
        <v>480</v>
      </c>
      <c r="B6567" s="0" t="s">
        <v>73</v>
      </c>
      <c r="C6567" s="38" t="n">
        <f aca="false">Sens!$C$6477</f>
        <v>21.215</v>
      </c>
      <c r="D6567" s="38" t="n">
        <f aca="false">Sens!$D$6477</f>
        <v>22.561</v>
      </c>
      <c r="E6567" s="38" t="n">
        <f aca="false">Sens!$E$6477</f>
        <v>11.579</v>
      </c>
      <c r="F6567" s="38" t="n">
        <f aca="false">Sens!$F$6477</f>
        <v>12.0952613121125</v>
      </c>
      <c r="G6567" s="38" t="n">
        <f aca="false">Sens!$G$6477</f>
        <v>23.6742613121125</v>
      </c>
      <c r="H6567" s="38" t="n">
        <f aca="false">Sens!$H$6477</f>
        <v>24.8803243963206</v>
      </c>
      <c r="I6567" s="38" t="n">
        <f aca="false">Sens!$I$6477</f>
        <v>25.9741308664154</v>
      </c>
      <c r="J6567" s="38" t="n">
        <f aca="false">Sens!$J$6477</f>
        <v>26.9346894124267</v>
      </c>
      <c r="K6567" s="38" t="n">
        <f aca="false">Sens!$K$6477</f>
        <v>27.7427300947995</v>
      </c>
      <c r="L6567" s="38" t="n">
        <f aca="false">Sens!$L$6477</f>
        <v>28.5750119976435</v>
      </c>
      <c r="M6567" s="38" t="n">
        <f aca="false">Sens!$M$6477</f>
        <v>29.4322623575728</v>
      </c>
      <c r="N6567" s="38" t="n">
        <f aca="false">Sens!$N$6477</f>
        <v>11.128</v>
      </c>
      <c r="O6567" s="38" t="n">
        <f aca="false">Sens!$O$6477</f>
        <v>11.433</v>
      </c>
    </row>
    <row r="6568" customFormat="false" ht="15" hidden="false" customHeight="false" outlineLevel="0" collapsed="false">
      <c r="A6568" s="0" t="s">
        <v>481</v>
      </c>
      <c r="B6568" s="0" t="s">
        <v>73</v>
      </c>
      <c r="C6568" s="38" t="n">
        <f aca="false">Sens!$C$6479</f>
        <v>156.146</v>
      </c>
      <c r="D6568" s="38" t="n">
        <f aca="false">Sens!$D$6479</f>
        <v>172.162</v>
      </c>
      <c r="E6568" s="38" t="n">
        <f aca="false">Sens!$E$6479</f>
        <v>88.358</v>
      </c>
      <c r="F6568" s="38" t="n">
        <f aca="false">Sens!$F$6479</f>
        <v>103.62028337149</v>
      </c>
      <c r="G6568" s="38" t="n">
        <f aca="false">Sens!$G$6479</f>
        <v>191.97828337149</v>
      </c>
      <c r="H6568" s="38" t="n">
        <f aca="false">Sens!$H$6479</f>
        <v>212.128608444755</v>
      </c>
      <c r="I6568" s="38" t="n">
        <f aca="false">Sens!$I$6479</f>
        <v>231.92183134134</v>
      </c>
      <c r="J6568" s="38" t="n">
        <f aca="false">Sens!$J$6479</f>
        <v>250.859136487863</v>
      </c>
      <c r="K6568" s="38" t="n">
        <f aca="false">Sens!$K$6479</f>
        <v>268.419276042014</v>
      </c>
      <c r="L6568" s="38" t="n">
        <f aca="false">Sens!$L$6479</f>
        <v>287.208625364954</v>
      </c>
      <c r="M6568" s="38" t="n">
        <f aca="false">Sens!$M$6479</f>
        <v>307.313229140501</v>
      </c>
      <c r="N6568" s="38" t="n">
        <f aca="false">Sens!$N$6479</f>
        <v>76.86</v>
      </c>
      <c r="O6568" s="38" t="n">
        <f aca="false">Sens!$O$6479</f>
        <v>95.302</v>
      </c>
    </row>
    <row r="6569" customFormat="false" ht="15" hidden="false" customHeight="false" outlineLevel="0" collapsed="false">
      <c r="A6569" s="0" t="s">
        <v>482</v>
      </c>
      <c r="B6569" s="0" t="s">
        <v>73</v>
      </c>
      <c r="C6569" s="38" t="n">
        <f aca="false">Sens!$C$6481</f>
        <v>56.214</v>
      </c>
      <c r="D6569" s="38" t="n">
        <f aca="false">Sens!$D$6481</f>
        <v>68.635</v>
      </c>
      <c r="E6569" s="38" t="n">
        <f aca="false">Sens!$E$6481</f>
        <v>37.052</v>
      </c>
      <c r="F6569" s="38" t="n">
        <f aca="false">Sens!$F$6481</f>
        <v>48.1533381827382</v>
      </c>
      <c r="G6569" s="38" t="n">
        <f aca="false">Sens!$G$6481</f>
        <v>85.2053381827382</v>
      </c>
      <c r="H6569" s="38" t="n">
        <f aca="false">Sens!$H$6481</f>
        <v>102.29336185894</v>
      </c>
      <c r="I6569" s="38" t="n">
        <f aca="false">Sens!$I$6481</f>
        <v>119.379837585241</v>
      </c>
      <c r="J6569" s="38" t="n">
        <f aca="false">Sens!$J$6481</f>
        <v>135.319079048844</v>
      </c>
      <c r="K6569" s="38" t="n">
        <f aca="false">Sens!$K$6481</f>
        <v>148.850986953729</v>
      </c>
      <c r="L6569" s="38" t="n">
        <f aca="false">Sens!$L$6481</f>
        <v>163.736085649102</v>
      </c>
      <c r="M6569" s="38" t="n">
        <f aca="false">Sens!$M$6481</f>
        <v>180.109694214012</v>
      </c>
      <c r="N6569" s="38" t="n">
        <f aca="false">Sens!$N$6481</f>
        <v>29.615</v>
      </c>
      <c r="O6569" s="38" t="n">
        <f aca="false">Sens!$O$6481</f>
        <v>39.02</v>
      </c>
    </row>
    <row r="6570" customFormat="false" ht="15" hidden="false" customHeight="false" outlineLevel="0" collapsed="false">
      <c r="A6570" s="0" t="s">
        <v>483</v>
      </c>
      <c r="B6570" s="0" t="s">
        <v>73</v>
      </c>
      <c r="C6570" s="38" t="n">
        <f aca="false">Sens!$C$6483</f>
        <v>44.374</v>
      </c>
      <c r="D6570" s="38" t="n">
        <f aca="false">Sens!$D$6483</f>
        <v>49.619</v>
      </c>
      <c r="E6570" s="38" t="n">
        <f aca="false">Sens!$E$6483</f>
        <v>27.157</v>
      </c>
      <c r="F6570" s="38" t="n">
        <f aca="false">Sens!$F$6483</f>
        <v>28.9776360923374</v>
      </c>
      <c r="G6570" s="38" t="n">
        <f aca="false">Sens!$G$6483</f>
        <v>56.1346360923374</v>
      </c>
      <c r="H6570" s="38" t="n">
        <f aca="false">Sens!$H$6483</f>
        <v>62.4937078946075</v>
      </c>
      <c r="I6570" s="38" t="n">
        <f aca="false">Sens!$I$6483</f>
        <v>68.6715233062498</v>
      </c>
      <c r="J6570" s="38" t="n">
        <f aca="false">Sens!$J$6483</f>
        <v>74.4692882949818</v>
      </c>
      <c r="K6570" s="38" t="n">
        <f aca="false">Sens!$K$6483</f>
        <v>79.6821384756306</v>
      </c>
      <c r="L6570" s="38" t="n">
        <f aca="false">Sens!$L$6483</f>
        <v>85.2598881689247</v>
      </c>
      <c r="M6570" s="38" t="n">
        <f aca="false">Sens!$M$6483</f>
        <v>91.2280803407494</v>
      </c>
      <c r="N6570" s="38" t="n">
        <f aca="false">Sens!$N$6483</f>
        <v>23.923</v>
      </c>
      <c r="O6570" s="38" t="n">
        <f aca="false">Sens!$O$6483</f>
        <v>25.696</v>
      </c>
    </row>
    <row r="6571" customFormat="false" ht="15" hidden="false" customHeight="false" outlineLevel="0" collapsed="false">
      <c r="A6571" s="0" t="s">
        <v>484</v>
      </c>
      <c r="B6571" s="0" t="s">
        <v>73</v>
      </c>
      <c r="C6571" s="38" t="n">
        <f aca="false">Sens!$C$6485</f>
        <v>5.425</v>
      </c>
      <c r="D6571" s="38" t="n">
        <f aca="false">Sens!$D$6485</f>
        <v>5.935</v>
      </c>
      <c r="E6571" s="38" t="n">
        <f aca="false">Sens!$E$6485</f>
        <v>3.474</v>
      </c>
      <c r="F6571" s="38" t="n">
        <f aca="false">Sens!$F$6485</f>
        <v>3.36182431966931</v>
      </c>
      <c r="G6571" s="38" t="n">
        <f aca="false">Sens!$G$6485</f>
        <v>6.83582431966931</v>
      </c>
      <c r="H6571" s="38" t="n">
        <f aca="false">Sens!$H$6485</f>
        <v>7.31157108370141</v>
      </c>
      <c r="I6571" s="38" t="n">
        <f aca="false">Sens!$I$6485</f>
        <v>7.77266852639815</v>
      </c>
      <c r="J6571" s="38" t="n">
        <f aca="false">Sens!$J$6485</f>
        <v>8.2120733019884</v>
      </c>
      <c r="K6571" s="38" t="n">
        <f aca="false">Sens!$K$6485</f>
        <v>8.62267696708783</v>
      </c>
      <c r="L6571" s="38" t="n">
        <f aca="false">Sens!$L$6485</f>
        <v>9.05381081544222</v>
      </c>
      <c r="M6571" s="38" t="n">
        <f aca="false">Sens!$M$6485</f>
        <v>9.50650135621433</v>
      </c>
      <c r="N6571" s="38" t="n">
        <f aca="false">Sens!$N$6485</f>
        <v>2.811</v>
      </c>
      <c r="O6571" s="38" t="n">
        <f aca="false">Sens!$O$6485</f>
        <v>3.124</v>
      </c>
    </row>
    <row r="6572" customFormat="false" ht="17.15" hidden="false" customHeight="false" outlineLevel="0" collapsed="false">
      <c r="A6572" s="0" t="s">
        <v>670</v>
      </c>
      <c r="B6572" s="0" t="s">
        <v>73</v>
      </c>
      <c r="C6572" s="38" t="n">
        <f aca="false">Sens!$C$6553</f>
        <v>107.556</v>
      </c>
      <c r="D6572" s="38" t="n">
        <f aca="false">Sens!$D$6553</f>
        <v>128.725</v>
      </c>
      <c r="E6572" s="38" t="n">
        <f aca="false">Sens!$E$6553</f>
        <v>79.819</v>
      </c>
      <c r="F6572" s="38" t="n">
        <f aca="false">Sens!$F$6553</f>
        <v>93.5584440633857</v>
      </c>
      <c r="G6572" s="38" t="n">
        <f aca="false">Sens!$G$6553</f>
        <v>173.377444063386</v>
      </c>
      <c r="H6572" s="38" t="n">
        <f aca="false">Sens!$H$6553</f>
        <v>241.059451517916</v>
      </c>
      <c r="I6572" s="38" t="n">
        <f aca="false">Sens!$I$6553</f>
        <v>312.152096351442</v>
      </c>
      <c r="J6572" s="38" t="n">
        <f aca="false">Sens!$J$6553</f>
        <v>379.424316597773</v>
      </c>
      <c r="K6572" s="38" t="n">
        <f aca="false">Sens!$K$6553</f>
        <v>439.919237244402</v>
      </c>
      <c r="L6572" s="38" t="n">
        <f aca="false">Sens!$L$6553</f>
        <v>501.954974491517</v>
      </c>
      <c r="M6572" s="38" t="n">
        <f aca="false">Sens!$M$6553</f>
        <v>565.639704466895</v>
      </c>
      <c r="N6572" s="38" t="n">
        <f aca="false">Sens!$N$6553</f>
        <v>60.14</v>
      </c>
      <c r="O6572" s="38" t="n">
        <f aca="false">Sens!$O$6553</f>
        <v>68.585</v>
      </c>
    </row>
    <row r="6573" customFormat="false" ht="15" hidden="false" customHeight="false" outlineLevel="0" collapsed="false">
      <c r="A6573" s="1" t="s">
        <v>472</v>
      </c>
      <c r="B6573" s="8" t="s">
        <v>73</v>
      </c>
      <c r="C6573" s="38" t="n">
        <f aca="false">Sens!$C$6489</f>
        <v>387.497</v>
      </c>
      <c r="D6573" s="38" t="n">
        <f aca="false">Sens!$D$6489</f>
        <v>426.305</v>
      </c>
      <c r="E6573" s="38" t="n">
        <f aca="false">Sens!$E$6489</f>
        <v>220.32</v>
      </c>
      <c r="F6573" s="38" t="n">
        <f aca="false">Sens!$F$6489</f>
        <v>256.304015003807</v>
      </c>
      <c r="G6573" s="38" t="n">
        <f aca="false">Sens!$G$6489</f>
        <v>476.624015003807</v>
      </c>
      <c r="H6573" s="38" t="n">
        <f aca="false">Sens!$H$6489</f>
        <v>527.734391091543</v>
      </c>
      <c r="I6573" s="38" t="n">
        <f aca="false">Sens!$I$6489</f>
        <v>577.157693029577</v>
      </c>
      <c r="J6573" s="38" t="n">
        <f aca="false">Sens!$J$6489</f>
        <v>623.024923663827</v>
      </c>
      <c r="K6573" s="38" t="n">
        <f aca="false">Sens!$K$6489</f>
        <v>663.382568393781</v>
      </c>
      <c r="L6573" s="38" t="n">
        <f aca="false">Sens!$L$6489</f>
        <v>706.564873010432</v>
      </c>
      <c r="M6573" s="38" t="n">
        <f aca="false">Sens!$M$6489</f>
        <v>752.784687406019</v>
      </c>
      <c r="N6573" s="38" t="n">
        <f aca="false">Sens!$N$6489</f>
        <v>192.955</v>
      </c>
      <c r="O6573" s="38" t="n">
        <f aca="false">Sens!$O$6489</f>
        <v>233.35</v>
      </c>
    </row>
    <row r="6574" customFormat="false" ht="15" hidden="false" customHeight="false" outlineLevel="0" collapsed="false">
      <c r="A6574" s="1" t="s">
        <v>475</v>
      </c>
      <c r="B6574" s="8" t="s">
        <v>73</v>
      </c>
      <c r="C6574" s="38" t="n">
        <f aca="false">Sens!$C$6490</f>
        <v>142.906</v>
      </c>
      <c r="D6574" s="38" t="n">
        <f aca="false">Sens!$D$6490</f>
        <v>161.894</v>
      </c>
      <c r="E6574" s="38" t="n">
        <f aca="false">Sens!$E$6490</f>
        <v>81.986</v>
      </c>
      <c r="F6574" s="38" t="n">
        <f aca="false">Sens!$F$6490</f>
        <v>100.632414204623</v>
      </c>
      <c r="G6574" s="38" t="n">
        <f aca="false">Sens!$G$6490</f>
        <v>182.618414204623</v>
      </c>
      <c r="H6574" s="38" t="n">
        <f aca="false">Sens!$H$6490</f>
        <v>202.201346530158</v>
      </c>
      <c r="I6574" s="38" t="n">
        <f aca="false">Sens!$I$6490</f>
        <v>221.137876668296</v>
      </c>
      <c r="J6574" s="38" t="n">
        <f aca="false">Sens!$J$6490</f>
        <v>238.711898661958</v>
      </c>
      <c r="K6574" s="38" t="n">
        <f aca="false">Sens!$K$6490</f>
        <v>254.174923708144</v>
      </c>
      <c r="L6574" s="38" t="n">
        <f aca="false">Sens!$L$6490</f>
        <v>270.720216732733</v>
      </c>
      <c r="M6574" s="38" t="n">
        <f aca="false">Sens!$M$6490</f>
        <v>288.429331137484</v>
      </c>
      <c r="N6574" s="38" t="n">
        <f aca="false">Sens!$N$6490</f>
        <v>70.274</v>
      </c>
      <c r="O6574" s="38" t="n">
        <f aca="false">Sens!$O$6490</f>
        <v>91.62</v>
      </c>
    </row>
    <row r="6575" customFormat="false" ht="15" hidden="false" customHeight="false" outlineLevel="0" collapsed="false">
      <c r="A6575" s="1" t="s">
        <v>476</v>
      </c>
      <c r="B6575" s="8" t="s">
        <v>73</v>
      </c>
      <c r="C6575" s="38" t="n">
        <f aca="false">Sens!$C$6553</f>
        <v>107.556</v>
      </c>
      <c r="D6575" s="38" t="n">
        <f aca="false">Sens!$D$6553</f>
        <v>128.725</v>
      </c>
      <c r="E6575" s="38" t="n">
        <f aca="false">Sens!$E$6553</f>
        <v>79.819</v>
      </c>
      <c r="F6575" s="38" t="n">
        <f aca="false">Sens!$F$6553</f>
        <v>93.5584440633857</v>
      </c>
      <c r="G6575" s="38" t="n">
        <f aca="false">Sens!$G$6553</f>
        <v>173.377444063386</v>
      </c>
      <c r="H6575" s="38" t="n">
        <f aca="false">Sens!$H$6553</f>
        <v>241.059451517916</v>
      </c>
      <c r="I6575" s="38" t="n">
        <f aca="false">Sens!$I$6553</f>
        <v>312.152096351442</v>
      </c>
      <c r="J6575" s="38" t="n">
        <f aca="false">Sens!$J$6553</f>
        <v>379.424316597773</v>
      </c>
      <c r="K6575" s="38" t="n">
        <f aca="false">Sens!$K$6553</f>
        <v>439.919237244402</v>
      </c>
      <c r="L6575" s="38" t="n">
        <f aca="false">Sens!$L$6553</f>
        <v>501.954974491517</v>
      </c>
      <c r="M6575" s="38" t="n">
        <f aca="false">Sens!$M$6553</f>
        <v>565.639704466895</v>
      </c>
      <c r="N6575" s="38" t="n">
        <f aca="false">Sens!$N$6553</f>
        <v>60.14</v>
      </c>
      <c r="O6575" s="38" t="n">
        <f aca="false">Sens!$O$6553</f>
        <v>68.585</v>
      </c>
    </row>
    <row r="6576" customFormat="false" ht="17.15" hidden="false" customHeight="false" outlineLevel="0" collapsed="false">
      <c r="A6576" s="0" t="s">
        <v>644</v>
      </c>
      <c r="B6576" s="0" t="s">
        <v>73</v>
      </c>
      <c r="C6576" s="38" t="n">
        <f aca="false">Sens!$C$6551</f>
        <v>2.32100535697364</v>
      </c>
      <c r="D6576" s="38" t="n">
        <f aca="false">Sens!$D$6551</f>
        <v>8.70377008865116</v>
      </c>
      <c r="E6576" s="38" t="n">
        <f aca="false">Sens!$E$6551</f>
        <v>8.51035297557002</v>
      </c>
      <c r="F6576" s="38" t="n">
        <f aca="false">Sens!$F$6551</f>
        <v>14.9634336447205</v>
      </c>
      <c r="G6576" s="38" t="n">
        <f aca="false">Sens!$G$6551</f>
        <v>23.4737866202905</v>
      </c>
      <c r="H6576" s="38" t="n">
        <f aca="false">Sens!$H$6551</f>
        <v>60.1658907497746</v>
      </c>
      <c r="I6576" s="38" t="n">
        <f aca="false">Sens!$I$6551</f>
        <v>101.503699136432</v>
      </c>
      <c r="J6576" s="38" t="n">
        <f aca="false">Sens!$J$6551</f>
        <v>143.025407151278</v>
      </c>
      <c r="K6576" s="38" t="n">
        <f aca="false">Sens!$K$6551</f>
        <v>184.608415042187</v>
      </c>
      <c r="L6576" s="38" t="n">
        <f aca="false">Sens!$L$6551</f>
        <v>226.219286513125</v>
      </c>
      <c r="M6576" s="38" t="n">
        <f aca="false">Sens!$M$6551</f>
        <v>267.845161450232</v>
      </c>
      <c r="N6576" s="38" t="n">
        <f aca="false">Sens!$N$6551</f>
        <v>3.04631953102791</v>
      </c>
      <c r="O6576" s="38" t="n">
        <f aca="false">Sens!$O$6551</f>
        <v>5.65745055762326</v>
      </c>
    </row>
    <row r="6577" customFormat="false" ht="17.15" hidden="false" customHeight="false" outlineLevel="0" collapsed="false">
      <c r="A6577" s="0" t="s">
        <v>646</v>
      </c>
      <c r="B6577" s="0" t="s">
        <v>73</v>
      </c>
      <c r="C6577" s="38" t="n">
        <f aca="false">Sens!$C$6552</f>
        <v>105.234994643026</v>
      </c>
      <c r="D6577" s="38" t="n">
        <f aca="false">Sens!$D$6552</f>
        <v>120.021229911349</v>
      </c>
      <c r="E6577" s="38" t="n">
        <f aca="false">Sens!$E$6552</f>
        <v>71.30864702443</v>
      </c>
      <c r="F6577" s="38" t="n">
        <f aca="false">Sens!$F$6552</f>
        <v>78.5950104186653</v>
      </c>
      <c r="G6577" s="38" t="n">
        <f aca="false">Sens!$G$6552</f>
        <v>149.903657443095</v>
      </c>
      <c r="H6577" s="38" t="n">
        <f aca="false">Sens!$H$6552</f>
        <v>180.893560768142</v>
      </c>
      <c r="I6577" s="38" t="n">
        <f aca="false">Sens!$I$6552</f>
        <v>210.64839721501</v>
      </c>
      <c r="J6577" s="38" t="n">
        <f aca="false">Sens!$J$6552</f>
        <v>236.398909446495</v>
      </c>
      <c r="K6577" s="38" t="n">
        <f aca="false">Sens!$K$6552</f>
        <v>255.310822202215</v>
      </c>
      <c r="L6577" s="38" t="n">
        <f aca="false">Sens!$L$6552</f>
        <v>275.735687978392</v>
      </c>
      <c r="M6577" s="38" t="n">
        <f aca="false">Sens!$M$6552</f>
        <v>297.794543016663</v>
      </c>
      <c r="N6577" s="38" t="n">
        <f aca="false">Sens!$N$6552</f>
        <v>57.0936804689721</v>
      </c>
      <c r="O6577" s="38" t="n">
        <f aca="false">Sens!$O$6552</f>
        <v>62.9275494423768</v>
      </c>
    </row>
    <row r="6578" customFormat="false" ht="15" hidden="false" customHeight="false" outlineLevel="0" collapsed="false">
      <c r="A6578" s="3" t="s">
        <v>477</v>
      </c>
      <c r="B6578" s="8" t="s">
        <v>73</v>
      </c>
      <c r="C6578" s="38" t="n">
        <f aca="false">Sens!$C$6554</f>
        <v>637.959</v>
      </c>
      <c r="D6578" s="38" t="n">
        <f aca="false">Sens!$D$6554</f>
        <v>716.924</v>
      </c>
      <c r="E6578" s="38" t="n">
        <f aca="false">Sens!$E$6554</f>
        <v>382.125</v>
      </c>
      <c r="F6578" s="38" t="n">
        <f aca="false">Sens!$F$6554</f>
        <v>450.494873271816</v>
      </c>
      <c r="G6578" s="38" t="n">
        <f aca="false">Sens!$G$6554</f>
        <v>832.619873271816</v>
      </c>
      <c r="H6578" s="38" t="n">
        <f aca="false">Sens!$H$6554</f>
        <v>970.995189139617</v>
      </c>
      <c r="I6578" s="38" t="n">
        <f aca="false">Sens!$I$6554</f>
        <v>1110.44766604932</v>
      </c>
      <c r="J6578" s="38" t="n">
        <f aca="false">Sens!$J$6554</f>
        <v>1241.16113892356</v>
      </c>
      <c r="K6578" s="38" t="n">
        <f aca="false">Sens!$K$6554</f>
        <v>1357.47672934633</v>
      </c>
      <c r="L6578" s="38" t="n">
        <f aca="false">Sens!$L$6554</f>
        <v>1479.24006423468</v>
      </c>
      <c r="M6578" s="38" t="n">
        <f aca="false">Sens!$M$6554</f>
        <v>1606.8537230104</v>
      </c>
      <c r="N6578" s="38" t="n">
        <f aca="false">Sens!$N$6554</f>
        <v>323.369</v>
      </c>
      <c r="O6578" s="38" t="n">
        <f aca="false">Sens!$O$6554</f>
        <v>393.555</v>
      </c>
    </row>
    <row r="6579" customFormat="false" ht="17.15" hidden="false" customHeight="false" outlineLevel="0" collapsed="false">
      <c r="A6579" s="24" t="s">
        <v>656</v>
      </c>
      <c r="B6579" s="25" t="s">
        <v>73</v>
      </c>
      <c r="C6579" s="39" t="n">
        <f aca="false">Sens!$C$6566+Sens!$C$6567+Sens!$C$6568+Sens!$C$6569+Sens!$C$6570+Sens!$C$6571-(Sens!$C$6573+Sens!$C$6574)</f>
        <v>0</v>
      </c>
      <c r="D6579" s="39" t="n">
        <f aca="false">Sens!$D$6566+Sens!$D$6567+Sens!$D$6568+Sens!$D$6569+Sens!$D$6570+Sens!$D$6571-(Sens!$D$6573+Sens!$D$6574)</f>
        <v>0</v>
      </c>
      <c r="E6579" s="39" t="n">
        <f aca="false">Sens!$E$6566+Sens!$E$6567+Sens!$E$6568+Sens!$E$6569+Sens!$E$6570+Sens!$E$6571-(Sens!$E$6573+Sens!$E$6574)</f>
        <v>0</v>
      </c>
      <c r="F6579" s="39" t="n">
        <f aca="false">Sens!$F$6566+Sens!$F$6567+Sens!$F$6568+Sens!$F$6569+Sens!$F$6570+Sens!$F$6571-(Sens!$F$6573+Sens!$F$6574)</f>
        <v>0</v>
      </c>
      <c r="G6579" s="39" t="n">
        <f aca="false">Sens!$G$6566+Sens!$G$6567+Sens!$G$6568+Sens!$G$6569+Sens!$G$6570+Sens!$G$6571-(Sens!$G$6573+Sens!$G$6574)</f>
        <v>0</v>
      </c>
      <c r="H6579" s="39" t="n">
        <f aca="false">Sens!$H$6566+Sens!$H$6567+Sens!$H$6568+Sens!$H$6569+Sens!$H$6570+Sens!$H$6571-(Sens!$H$6573+Sens!$H$6574)</f>
        <v>0</v>
      </c>
      <c r="I6579" s="39" t="n">
        <f aca="false">Sens!$I$6566+Sens!$I$6567+Sens!$I$6568+Sens!$I$6569+Sens!$I$6570+Sens!$I$6571-(Sens!$I$6573+Sens!$I$6574)</f>
        <v>0</v>
      </c>
      <c r="J6579" s="39" t="n">
        <f aca="false">Sens!$J$6566+Sens!$J$6567+Sens!$J$6568+Sens!$J$6569+Sens!$J$6570+Sens!$J$6571-(Sens!$J$6573+Sens!$J$6574)</f>
        <v>0</v>
      </c>
      <c r="K6579" s="39" t="n">
        <f aca="false">Sens!$K$6566+Sens!$K$6567+Sens!$K$6568+Sens!$K$6569+Sens!$K$6570+Sens!$K$6571-(Sens!$K$6573+Sens!$K$6574)</f>
        <v>0</v>
      </c>
      <c r="L6579" s="39" t="n">
        <f aca="false">Sens!$L$6566+Sens!$L$6567+Sens!$L$6568+Sens!$L$6569+Sens!$L$6570+Sens!$L$6571-(Sens!$L$6573+Sens!$L$6574)</f>
        <v>0</v>
      </c>
      <c r="M6579" s="39" t="n">
        <f aca="false">Sens!$M$6566+Sens!$M$6567+Sens!$M$6568+Sens!$M$6569+Sens!$M$6570+Sens!$M$6571-(Sens!$M$6573+Sens!$M$6574)</f>
        <v>0</v>
      </c>
      <c r="N6579" s="39" t="n">
        <f aca="false">Sens!$N$6566+Sens!$N$6567+Sens!$N$6568+Sens!$N$6569+Sens!$N$6570+Sens!$N$6571-(Sens!$N$6573+Sens!$N$6574)</f>
        <v>0</v>
      </c>
      <c r="O6579" s="39" t="n">
        <f aca="false">Sens!$O$6566+Sens!$O$6567+Sens!$O$6568+Sens!$O$6569+Sens!$O$6570+Sens!$O$6571-(Sens!$O$6573+Sens!$O$6574)</f>
        <v>0</v>
      </c>
    </row>
    <row r="6580" customFormat="false" ht="17.15" hidden="false" customHeight="false" outlineLevel="0" collapsed="false">
      <c r="A6580" s="24" t="s">
        <v>657</v>
      </c>
      <c r="B6580" s="25" t="s">
        <v>73</v>
      </c>
      <c r="C6580" s="39" t="n">
        <f aca="false">Sens!$C$6576+Sens!$C$6577-Sens!$C$6575</f>
        <v>0</v>
      </c>
      <c r="D6580" s="39" t="n">
        <f aca="false">Sens!$D$6576+Sens!$D$6577-Sens!$D$6575</f>
        <v>0</v>
      </c>
      <c r="E6580" s="39" t="n">
        <f aca="false">Sens!$E$6576+Sens!$E$6577-Sens!$E$6575</f>
        <v>0</v>
      </c>
      <c r="F6580" s="39" t="n">
        <f aca="false">Sens!$F$6576+Sens!$F$6577-Sens!$F$6575</f>
        <v>0</v>
      </c>
      <c r="G6580" s="39" t="n">
        <f aca="false">Sens!$G$6576+Sens!$G$6577-Sens!$G$6575</f>
        <v>0</v>
      </c>
      <c r="H6580" s="39" t="n">
        <f aca="false">Sens!$H$6576+Sens!$H$6577-Sens!$H$6575</f>
        <v>0</v>
      </c>
      <c r="I6580" s="39" t="n">
        <f aca="false">Sens!$I$6576+Sens!$I$6577-Sens!$I$6575</f>
        <v>0</v>
      </c>
      <c r="J6580" s="39" t="n">
        <f aca="false">Sens!$J$6576+Sens!$J$6577-Sens!$J$6575</f>
        <v>0</v>
      </c>
      <c r="K6580" s="39" t="n">
        <f aca="false">Sens!$K$6576+Sens!$K$6577-Sens!$K$6575</f>
        <v>0</v>
      </c>
      <c r="L6580" s="39" t="n">
        <f aca="false">Sens!$L$6576+Sens!$L$6577-Sens!$L$6575</f>
        <v>0</v>
      </c>
      <c r="M6580" s="39" t="n">
        <f aca="false">Sens!$M$6576+Sens!$M$6577-Sens!$M$6575</f>
        <v>0</v>
      </c>
      <c r="N6580" s="39" t="n">
        <f aca="false">Sens!$N$6576+Sens!$N$6577-Sens!$N$6575</f>
        <v>0</v>
      </c>
      <c r="O6580" s="39" t="n">
        <f aca="false">Sens!$O$6576+Sens!$O$6577-Sens!$O$6575</f>
        <v>0</v>
      </c>
    </row>
    <row r="6581" customFormat="false" ht="17.15" hidden="false" customHeight="false" outlineLevel="0" collapsed="false">
      <c r="A6581" s="24" t="s">
        <v>711</v>
      </c>
      <c r="B6581" s="25" t="s">
        <v>73</v>
      </c>
      <c r="C6581" s="39" t="n">
        <f aca="false">Sens!$C$6566+Sens!$C$6567+Sens!$C$6568+Sens!$C$6569+Sens!$C$6570+Sens!$C$6571+Sens!$C$6572-Sens!$C$6578</f>
        <v>0</v>
      </c>
      <c r="D6581" s="39" t="n">
        <f aca="false">Sens!$D$6566+Sens!$D$6567+Sens!$D$6568+Sens!$D$6569+Sens!$D$6570+Sens!$D$6571+Sens!$D$6572-Sens!$D$6578</f>
        <v>0</v>
      </c>
      <c r="E6581" s="39" t="n">
        <f aca="false">Sens!$E$6566+Sens!$E$6567+Sens!$E$6568+Sens!$E$6569+Sens!$E$6570+Sens!$E$6571+Sens!$E$6572-Sens!$E$6578</f>
        <v>0</v>
      </c>
      <c r="F6581" s="39" t="n">
        <f aca="false">Sens!$F$6566+Sens!$F$6567+Sens!$F$6568+Sens!$F$6569+Sens!$F$6570+Sens!$F$6571+Sens!$F$6572-Sens!$F$6578</f>
        <v>0</v>
      </c>
      <c r="G6581" s="39" t="n">
        <f aca="false">Sens!$G$6566+Sens!$G$6567+Sens!$G$6568+Sens!$G$6569+Sens!$G$6570+Sens!$G$6571+Sens!$G$6572-Sens!$G$6578</f>
        <v>0</v>
      </c>
      <c r="H6581" s="39" t="n">
        <f aca="false">Sens!$H$6566+Sens!$H$6567+Sens!$H$6568+Sens!$H$6569+Sens!$H$6570+Sens!$H$6571+Sens!$H$6572-Sens!$H$6578</f>
        <v>0</v>
      </c>
      <c r="I6581" s="39" t="n">
        <f aca="false">Sens!$I$6566+Sens!$I$6567+Sens!$I$6568+Sens!$I$6569+Sens!$I$6570+Sens!$I$6571+Sens!$I$6572-Sens!$I$6578</f>
        <v>0</v>
      </c>
      <c r="J6581" s="39" t="n">
        <f aca="false">Sens!$J$6566+Sens!$J$6567+Sens!$J$6568+Sens!$J$6569+Sens!$J$6570+Sens!$J$6571+Sens!$J$6572-Sens!$J$6578</f>
        <v>0</v>
      </c>
      <c r="K6581" s="39" t="n">
        <f aca="false">Sens!$K$6566+Sens!$K$6567+Sens!$K$6568+Sens!$K$6569+Sens!$K$6570+Sens!$K$6571+Sens!$K$6572-Sens!$K$6578</f>
        <v>0</v>
      </c>
      <c r="L6581" s="39" t="n">
        <f aca="false">Sens!$L$6566+Sens!$L$6567+Sens!$L$6568+Sens!$L$6569+Sens!$L$6570+Sens!$L$6571+Sens!$L$6572-Sens!$L$6578</f>
        <v>0</v>
      </c>
      <c r="M6581" s="39" t="n">
        <f aca="false">Sens!$M$6566+Sens!$M$6567+Sens!$M$6568+Sens!$M$6569+Sens!$M$6570+Sens!$M$6571+Sens!$M$6572-Sens!$M$6578</f>
        <v>0</v>
      </c>
      <c r="N6581" s="39" t="n">
        <f aca="false">Sens!$N$6566+Sens!$N$6567+Sens!$N$6568+Sens!$N$6569+Sens!$N$6570+Sens!$N$6571+Sens!$N$6572-Sens!$N$6578</f>
        <v>0</v>
      </c>
      <c r="O6581" s="39" t="n">
        <f aca="false">Sens!$O$6566+Sens!$O$6567+Sens!$O$6568+Sens!$O$6569+Sens!$O$6570+Sens!$O$6571+Sens!$O$6572-Sens!$O$6578</f>
        <v>0</v>
      </c>
    </row>
    <row r="6582" customFormat="false" ht="17.15" hidden="false" customHeight="false" outlineLevel="0" collapsed="false">
      <c r="A6582" s="24" t="s">
        <v>658</v>
      </c>
      <c r="B6582" s="25" t="s">
        <v>73</v>
      </c>
      <c r="C6582" s="39" t="n">
        <f aca="false">Sens!$C$6573+Sens!$C$6574+Sens!$C$6575-Sens!$C$6578</f>
        <v>0</v>
      </c>
      <c r="D6582" s="39" t="n">
        <f aca="false">Sens!$D$6573+Sens!$D$6574+Sens!$D$6575-Sens!$D$6578</f>
        <v>0</v>
      </c>
      <c r="E6582" s="39" t="n">
        <f aca="false">Sens!$E$6573+Sens!$E$6574+Sens!$E$6575-Sens!$E$6578</f>
        <v>0</v>
      </c>
      <c r="F6582" s="39" t="n">
        <f aca="false">Sens!$F$6573+Sens!$F$6574+Sens!$F$6575-Sens!$F$6578</f>
        <v>0</v>
      </c>
      <c r="G6582" s="39" t="n">
        <f aca="false">Sens!$G$6573+Sens!$G$6574+Sens!$G$6575-Sens!$G$6578</f>
        <v>0</v>
      </c>
      <c r="H6582" s="39" t="n">
        <f aca="false">Sens!$H$6573+Sens!$H$6574+Sens!$H$6575-Sens!$H$6578</f>
        <v>0</v>
      </c>
      <c r="I6582" s="39" t="n">
        <f aca="false">Sens!$I$6573+Sens!$I$6574+Sens!$I$6575-Sens!$I$6578</f>
        <v>0</v>
      </c>
      <c r="J6582" s="39" t="n">
        <f aca="false">Sens!$J$6573+Sens!$J$6574+Sens!$J$6575-Sens!$J$6578</f>
        <v>0</v>
      </c>
      <c r="K6582" s="39" t="n">
        <f aca="false">Sens!$K$6573+Sens!$K$6574+Sens!$K$6575-Sens!$K$6578</f>
        <v>0</v>
      </c>
      <c r="L6582" s="39" t="n">
        <f aca="false">Sens!$L$6573+Sens!$L$6574+Sens!$L$6575-Sens!$L$6578</f>
        <v>0</v>
      </c>
      <c r="M6582" s="39" t="n">
        <f aca="false">Sens!$M$6573+Sens!$M$6574+Sens!$M$6575-Sens!$M$6578</f>
        <v>0</v>
      </c>
      <c r="N6582" s="39" t="n">
        <f aca="false">Sens!$N$6573+Sens!$N$6574+Sens!$N$6575-Sens!$N$6578</f>
        <v>0</v>
      </c>
      <c r="O6582" s="39" t="n">
        <f aca="false">Sens!$O$6573+Sens!$O$6574+Sens!$O$6575-Sens!$O$6578</f>
        <v>0</v>
      </c>
    </row>
    <row r="6583" customFormat="false" ht="17.15" hidden="false" customHeight="false" outlineLevel="0" collapsed="false">
      <c r="A6583" s="1" t="s">
        <v>672</v>
      </c>
    </row>
    <row r="6584" customFormat="false" ht="17.15" hidden="false" customHeight="false" outlineLevel="0" collapsed="false">
      <c r="A6584" s="0" t="s">
        <v>673</v>
      </c>
      <c r="B6584" s="0" t="s">
        <v>73</v>
      </c>
      <c r="C6584" s="38" t="n">
        <f aca="false">Sens!$C$6491*m_ad</f>
        <v>20.5341564414228</v>
      </c>
      <c r="D6584" s="38" t="n">
        <f aca="false">Sens!$D$6491*m_ad</f>
        <v>24.8720617299587</v>
      </c>
      <c r="E6584" s="38" t="n">
        <f aca="false">Sens!$E$6491*m_ad</f>
        <v>13.5017112462207</v>
      </c>
      <c r="F6584" s="38" t="n">
        <f aca="false">Sens!$F$6491*m_ad</f>
        <v>17.2886442824599</v>
      </c>
      <c r="G6584" s="38" t="n">
        <f aca="false">Sens!$G$6491*m_ad</f>
        <v>30.8011958765886</v>
      </c>
      <c r="H6584" s="38" t="n">
        <f aca="false">Sens!$H$6491*m_ad</f>
        <v>36.978409366026</v>
      </c>
      <c r="I6584" s="38" t="n">
        <f aca="false">Sens!$I$6491*m_ad</f>
        <v>43.155063281273</v>
      </c>
      <c r="J6584" s="38" t="n">
        <f aca="false">Sens!$J$6491*m_ad</f>
        <v>48.9169991988532</v>
      </c>
      <c r="K6584" s="38" t="n">
        <f aca="false">Sens!$K$6491*m_ad</f>
        <v>53.8086991187386</v>
      </c>
      <c r="L6584" s="38" t="n">
        <f aca="false">Sens!$L$6491*m_ad</f>
        <v>59.1895690306124</v>
      </c>
      <c r="M6584" s="38" t="n">
        <f aca="false">Sens!$M$6491*m_ad</f>
        <v>65.1085259336737</v>
      </c>
      <c r="N6584" s="38" t="n">
        <f aca="false">Sens!$N$6491*m_ad</f>
        <v>10.8543555706248</v>
      </c>
      <c r="O6584" s="38" t="n">
        <f aca="false">Sens!$O$6491*m_ad</f>
        <v>14.0094731821399</v>
      </c>
    </row>
    <row r="6585" customFormat="false" ht="17.15" hidden="false" customHeight="false" outlineLevel="0" collapsed="false">
      <c r="A6585" s="0" t="s">
        <v>674</v>
      </c>
      <c r="B6585" s="0" t="s">
        <v>73</v>
      </c>
      <c r="C6585" s="38" t="n">
        <f aca="false">Sens!$C$6489-Sens!$C$6491</f>
        <v>346.428687117154</v>
      </c>
      <c r="D6585" s="38" t="n">
        <f aca="false">Sens!$D$6489-Sens!$D$6491</f>
        <v>376.560876540083</v>
      </c>
      <c r="E6585" s="38" t="n">
        <f aca="false">Sens!$E$6489-Sens!$E$6491</f>
        <v>193.316577507559</v>
      </c>
      <c r="F6585" s="38" t="n">
        <f aca="false">Sens!$F$6489-Sens!$F$6491</f>
        <v>221.726726438887</v>
      </c>
      <c r="G6585" s="38" t="n">
        <f aca="false">Sens!$G$6489-Sens!$G$6491</f>
        <v>415.02162325063</v>
      </c>
      <c r="H6585" s="38" t="n">
        <f aca="false">Sens!$H$6489-Sens!$H$6491</f>
        <v>453.777572359491</v>
      </c>
      <c r="I6585" s="38" t="n">
        <f aca="false">Sens!$I$6489-Sens!$I$6491</f>
        <v>490.847566467031</v>
      </c>
      <c r="J6585" s="38" t="n">
        <f aca="false">Sens!$J$6489-Sens!$J$6491</f>
        <v>525.190925266121</v>
      </c>
      <c r="K6585" s="38" t="n">
        <f aca="false">Sens!$K$6489-Sens!$K$6491</f>
        <v>555.765170156304</v>
      </c>
      <c r="L6585" s="38" t="n">
        <f aca="false">Sens!$L$6489-Sens!$L$6491</f>
        <v>588.185734949207</v>
      </c>
      <c r="M6585" s="38" t="n">
        <f aca="false">Sens!$M$6489-Sens!$M$6491</f>
        <v>622.567635538672</v>
      </c>
      <c r="N6585" s="38" t="n">
        <f aca="false">Sens!$N$6489-Sens!$N$6491</f>
        <v>171.24628885875</v>
      </c>
      <c r="O6585" s="38" t="n">
        <f aca="false">Sens!$O$6489-Sens!$O$6491</f>
        <v>205.33105363572</v>
      </c>
    </row>
    <row r="6586" customFormat="false" ht="17.15" hidden="false" customHeight="false" outlineLevel="0" collapsed="false">
      <c r="A6586" s="0" t="s">
        <v>675</v>
      </c>
      <c r="B6586" s="0" t="s">
        <v>73</v>
      </c>
      <c r="C6586" s="38" t="n">
        <f aca="false">Sens!$C$6537*Sens!$C$6488</f>
        <v>0.123617442257179</v>
      </c>
      <c r="D6586" s="38" t="n">
        <f aca="false">Sens!$D$6537*Sens!$D$6488</f>
        <v>0.874366899302609</v>
      </c>
      <c r="E6586" s="38" t="n">
        <f aca="false">Sens!$E$6537*Sens!$E$6488</f>
        <v>1.29318830502574</v>
      </c>
      <c r="F6586" s="38" t="n">
        <f aca="false">Sens!$F$6537*Sens!$F$6488</f>
        <v>1.51802024162534</v>
      </c>
      <c r="G6586" s="38" t="n">
        <f aca="false">Sens!$G$6537*Sens!$G$6488</f>
        <v>2.81130189308167</v>
      </c>
      <c r="H6586" s="38" t="n">
        <f aca="false">Sens!$H$6537*Sens!$H$6488</f>
        <v>7.38966789318209</v>
      </c>
      <c r="I6586" s="38" t="n">
        <f aca="false">Sens!$I$6537*Sens!$I$6488</f>
        <v>12.8987443661473</v>
      </c>
      <c r="J6586" s="38" t="n">
        <f aca="false">Sens!$J$6537*Sens!$J$6488</f>
        <v>18.5570025453645</v>
      </c>
      <c r="K6586" s="38" t="n">
        <f aca="false">Sens!$K$6537*Sens!$K$6488</f>
        <v>24.3158972773405</v>
      </c>
      <c r="L6586" s="38" t="n">
        <f aca="false">Sens!$L$6537*Sens!$L$6488</f>
        <v>29.7827375558674</v>
      </c>
      <c r="M6586" s="38" t="n">
        <f aca="false">Sens!$M$6537*Sens!$M$6488</f>
        <v>35.3532344973194</v>
      </c>
      <c r="N6586" s="38" t="n">
        <f aca="false">Sens!$N$6537*Sens!$N$6488</f>
        <v>0.389180508437431</v>
      </c>
      <c r="O6586" s="38" t="n">
        <f aca="false">Sens!$O$6537*Sens!$O$6488</f>
        <v>0.485052120082802</v>
      </c>
    </row>
    <row r="6587" customFormat="false" ht="17.15" hidden="false" customHeight="false" outlineLevel="0" collapsed="false">
      <c r="A6587" s="0" t="s">
        <v>676</v>
      </c>
      <c r="B6587" s="0" t="s">
        <v>52</v>
      </c>
      <c r="C6587" s="28" t="n">
        <f aca="false">(Sens!$C$6588-Sens!$C$6584+Sens!$C$6586)/Sens!$C$6585</f>
        <v>0.0131526665379575</v>
      </c>
      <c r="D6587" s="28" t="n">
        <f aca="false">(Sens!$D$6588-Sens!$D$6584+Sens!$D$6586)/Sens!$D$6585</f>
        <v>0.0149280116962589</v>
      </c>
      <c r="E6587" s="28" t="n">
        <f aca="false">(Sens!$E$6588-Sens!$E$6584+Sens!$E$6586)/Sens!$E$6585</f>
        <v>0.0268030663774938</v>
      </c>
      <c r="F6587" s="28" t="n">
        <f aca="false">Sens!$O$6587+(Sens!$E$6587-Sens!$N$6587)</f>
        <v>0.0232379346966962</v>
      </c>
      <c r="G6587" s="28" t="n">
        <f aca="false">(Sens!$G$6588-Sens!$G$6584+Sens!$G$6586)/Sens!$G$6585</f>
        <v>0.0248738876928168</v>
      </c>
      <c r="H6587" s="28" t="n">
        <f aca="false">Sens!$G$6587+step_na</f>
        <v>0.0278738876928168</v>
      </c>
      <c r="I6587" s="28" t="n">
        <f aca="false">Sens!$H$6587+step_na</f>
        <v>0.0308738876928168</v>
      </c>
      <c r="J6587" s="28" t="n">
        <f aca="false">Sens!$I$6587+step_na</f>
        <v>0.0338738876928168</v>
      </c>
      <c r="K6587" s="28" t="n">
        <f aca="false">Sens!$J$6587+step_na</f>
        <v>0.0368738876928168</v>
      </c>
      <c r="L6587" s="28" t="n">
        <f aca="false">Sens!$K$6587</f>
        <v>0.0368738876928168</v>
      </c>
      <c r="M6587" s="28" t="n">
        <f aca="false">Sens!$L$6587</f>
        <v>0.0368738876928168</v>
      </c>
      <c r="N6587" s="28" t="n">
        <f aca="false">(Sens!$N$6588-Sens!$N$6584+Sens!$N$6586)/Sens!$N$6585</f>
        <v>0.0168927744775755</v>
      </c>
      <c r="O6587" s="28" t="n">
        <f aca="false">(Sens!$O$6588-Sens!$O$6584+Sens!$O$6586)/Sens!$O$6585</f>
        <v>0.0133276427967779</v>
      </c>
      <c r="P6587" s="8" t="s">
        <v>677</v>
      </c>
    </row>
    <row r="6588" customFormat="false" ht="17.15" hidden="false" customHeight="false" outlineLevel="0" collapsed="false">
      <c r="A6588" s="1" t="s">
        <v>678</v>
      </c>
      <c r="B6588" s="8" t="s">
        <v>73</v>
      </c>
      <c r="C6588" s="38" t="n">
        <f aca="false">Q!$D$22</f>
        <v>24.967</v>
      </c>
      <c r="D6588" s="38" t="n">
        <f aca="false">Q!$E$22</f>
        <v>29.619</v>
      </c>
      <c r="E6588" s="38" t="n">
        <f aca="false">Q!$P$22</f>
        <v>17.39</v>
      </c>
      <c r="F6588" s="38" t="n">
        <f aca="false">Sens!$F$6584+Sens!$F$6585*Sens!$F$6587-Sens!$F$6586</f>
        <v>20.9230952303336</v>
      </c>
      <c r="G6588" s="38" t="n">
        <f aca="false">Sens!$E$6588+Sens!$F$6588</f>
        <v>38.3130952303336</v>
      </c>
      <c r="H6588" s="38" t="n">
        <f aca="false">Sens!$H$6584+Sens!$H$6585*Sens!$H$6587-Sens!$H$6586</f>
        <v>42.2372865623114</v>
      </c>
      <c r="I6588" s="38" t="n">
        <f aca="false">Sens!$I$6584+Sens!$I$6585*Sens!$I$6587-Sens!$I$6586</f>
        <v>45.4106915565213</v>
      </c>
      <c r="J6588" s="38" t="n">
        <f aca="false">Sens!$J$6584+Sens!$J$6585*Sens!$J$6587-Sens!$J$6586</f>
        <v>48.1502550732398</v>
      </c>
      <c r="K6588" s="38" t="n">
        <f aca="false">Sens!$K$6584+Sens!$K$6585*Sens!$K$6587-Sens!$K$6586</f>
        <v>49.9860243093208</v>
      </c>
      <c r="L6588" s="38" t="n">
        <f aca="false">Sens!$L$6584+Sens!$L$6585*Sens!$L$6587-Sens!$L$6586</f>
        <v>51.095526207779</v>
      </c>
      <c r="M6588" s="38" t="n">
        <f aca="false">Sens!$M$6584+Sens!$M$6585*Sens!$M$6587-Sens!$M$6586</f>
        <v>52.7117805103898</v>
      </c>
      <c r="N6588" s="38" t="n">
        <f aca="false">Q!$N$22</f>
        <v>13.358</v>
      </c>
      <c r="O6588" s="38" t="n">
        <f aca="false">Q!$O$22</f>
        <v>16.261</v>
      </c>
    </row>
    <row r="6589" customFormat="false" ht="17.15" hidden="false" customHeight="false" outlineLevel="0" collapsed="false">
      <c r="A6589" s="0" t="s">
        <v>679</v>
      </c>
      <c r="B6589" s="0" t="s">
        <v>73</v>
      </c>
      <c r="C6589" s="38" t="n">
        <f aca="false">Sens!$C$6492*m_ad</f>
        <v>7.57284355857716</v>
      </c>
      <c r="D6589" s="38" t="n">
        <f aca="false">Sens!$D$6492*m_ad</f>
        <v>9.44543827004127</v>
      </c>
      <c r="E6589" s="38" t="n">
        <f aca="false">Sens!$E$6492*m_ad</f>
        <v>5.02428875377928</v>
      </c>
      <c r="F6589" s="38" t="n">
        <f aca="false">Sens!$F$6492*m_ad</f>
        <v>6.78802480890925</v>
      </c>
      <c r="G6589" s="38" t="n">
        <f aca="false">Sens!$G$6492*m_ad</f>
        <v>11.8014732147805</v>
      </c>
      <c r="H6589" s="38" t="n">
        <f aca="false">Sens!$H$6492*m_ad</f>
        <v>14.1682715634442</v>
      </c>
      <c r="I6589" s="38" t="n">
        <f aca="false">Sens!$I$6492*m_ad</f>
        <v>16.5348555113474</v>
      </c>
      <c r="J6589" s="38" t="n">
        <f aca="false">Sens!$J$6492*m_ad</f>
        <v>18.7425403255689</v>
      </c>
      <c r="K6589" s="38" t="n">
        <f aca="false">Sens!$K$6492*m_ad</f>
        <v>20.6167943581258</v>
      </c>
      <c r="L6589" s="38" t="n">
        <f aca="false">Sens!$L$6492*m_ad</f>
        <v>22.6784737939383</v>
      </c>
      <c r="M6589" s="38" t="n">
        <f aca="false">Sens!$M$6492*m_ad</f>
        <v>24.9463211733322</v>
      </c>
      <c r="N6589" s="38" t="n">
        <f aca="false">Sens!$N$6492*m_ad</f>
        <v>3.95314442937518</v>
      </c>
      <c r="O6589" s="38" t="n">
        <f aca="false">Sens!$O$6492*m_ad</f>
        <v>5.50052681786011</v>
      </c>
    </row>
    <row r="6590" customFormat="false" ht="17.15" hidden="false" customHeight="false" outlineLevel="0" collapsed="false">
      <c r="A6590" s="0" t="s">
        <v>680</v>
      </c>
      <c r="B6590" s="0" t="s">
        <v>73</v>
      </c>
      <c r="C6590" s="38" t="n">
        <f aca="false">Sens!$C$6490-Sens!$C$6492</f>
        <v>127.760312882846</v>
      </c>
      <c r="D6590" s="38" t="n">
        <f aca="false">Sens!$D$6490-Sens!$D$6492</f>
        <v>143.003123459917</v>
      </c>
      <c r="E6590" s="38" t="n">
        <f aca="false">Sens!$E$6490-Sens!$E$6492</f>
        <v>71.9374224924414</v>
      </c>
      <c r="F6590" s="38" t="n">
        <f aca="false">Sens!$F$6490-Sens!$F$6492</f>
        <v>87.0563645868046</v>
      </c>
      <c r="G6590" s="38" t="n">
        <f aca="false">Sens!$G$6490-Sens!$G$6492</f>
        <v>159.015467775062</v>
      </c>
      <c r="H6590" s="38" t="n">
        <f aca="false">Sens!$H$6490-Sens!$H$6492</f>
        <v>173.864803403269</v>
      </c>
      <c r="I6590" s="38" t="n">
        <f aca="false">Sens!$I$6490-Sens!$I$6492</f>
        <v>188.068165645601</v>
      </c>
      <c r="J6590" s="38" t="n">
        <f aca="false">Sens!$J$6490-Sens!$J$6492</f>
        <v>201.22681801082</v>
      </c>
      <c r="K6590" s="38" t="n">
        <f aca="false">Sens!$K$6490-Sens!$K$6492</f>
        <v>212.941334991893</v>
      </c>
      <c r="L6590" s="38" t="n">
        <f aca="false">Sens!$L$6490-Sens!$L$6492</f>
        <v>225.363269144856</v>
      </c>
      <c r="M6590" s="38" t="n">
        <f aca="false">Sens!$M$6490-Sens!$M$6492</f>
        <v>238.536688790819</v>
      </c>
      <c r="N6590" s="38" t="n">
        <f aca="false">Sens!$N$6490-Sens!$N$6492</f>
        <v>62.3677111412496</v>
      </c>
      <c r="O6590" s="38" t="n">
        <f aca="false">Sens!$O$6490-Sens!$O$6492</f>
        <v>80.6189463642798</v>
      </c>
    </row>
    <row r="6591" customFormat="false" ht="17.15" hidden="false" customHeight="false" outlineLevel="0" collapsed="false">
      <c r="A6591" s="0" t="s">
        <v>681</v>
      </c>
      <c r="B6591" s="0" t="s">
        <v>73</v>
      </c>
      <c r="C6591" s="38" t="n">
        <f aca="false">Sens!$C$6537*(1-Sens!$C$6488)</f>
        <v>0.0455891896019953</v>
      </c>
      <c r="D6591" s="38" t="n">
        <f aca="false">Sens!$D$6537*(1-Sens!$D$6488)</f>
        <v>0.332050421167231</v>
      </c>
      <c r="E6591" s="38" t="n">
        <f aca="false">Sens!$E$6537*(1-Sens!$E$6488)</f>
        <v>0.481224293644882</v>
      </c>
      <c r="F6591" s="38" t="n">
        <f aca="false">Sens!$F$6537*(1-Sens!$F$6488)</f>
        <v>0.596018918096053</v>
      </c>
      <c r="G6591" s="38" t="n">
        <f aca="false">Sens!$G$6537*(1-Sens!$G$6488)</f>
        <v>1.07714986531035</v>
      </c>
      <c r="H6591" s="38" t="n">
        <f aca="false">Sens!$H$6537*(1-Sens!$H$6488)</f>
        <v>2.83135005721638</v>
      </c>
      <c r="I6591" s="38" t="n">
        <f aca="false">Sens!$I$6537*(1-Sens!$I$6488)</f>
        <v>4.9421518161602</v>
      </c>
      <c r="J6591" s="38" t="n">
        <f aca="false">Sens!$J$6537*(1-Sens!$J$6488)</f>
        <v>7.11011252170866</v>
      </c>
      <c r="K6591" s="38" t="n">
        <f aca="false">Sens!$K$6537*(1-Sens!$K$6488)</f>
        <v>9.31663210615807</v>
      </c>
      <c r="L6591" s="38" t="n">
        <f aca="false">Sens!$L$6537*(1-Sens!$L$6488)</f>
        <v>11.411251074039</v>
      </c>
      <c r="M6591" s="38" t="n">
        <f aca="false">Sens!$M$6537*(1-Sens!$M$6488)</f>
        <v>13.5455860755423</v>
      </c>
      <c r="N6591" s="38" t="n">
        <f aca="false">Sens!$N$6537*(1-Sens!$N$6488)</f>
        <v>0.141739115596548</v>
      </c>
      <c r="O6591" s="38" t="n">
        <f aca="false">Sens!$O$6537*(1-Sens!$O$6488)</f>
        <v>0.190445576353059</v>
      </c>
    </row>
    <row r="6592" customFormat="false" ht="17.15" hidden="false" customHeight="false" outlineLevel="0" collapsed="false">
      <c r="A6592" s="0" t="s">
        <v>682</v>
      </c>
      <c r="B6592" s="0" t="s">
        <v>52</v>
      </c>
      <c r="C6592" s="28" t="n">
        <f aca="false">(Sens!$C$6593-Sens!$C$6589+Sens!$C$6591)/Sens!$C$6590</f>
        <v>-0.0292364215826579</v>
      </c>
      <c r="D6592" s="28" t="n">
        <f aca="false">(Sens!$D$6593-Sens!$D$6589+Sens!$D$6591)/Sens!$D$6590</f>
        <v>-0.0305125352740778</v>
      </c>
      <c r="E6592" s="28" t="n">
        <f aca="false">(Sens!$E$6593-Sens!$E$6589+Sens!$E$6591)/Sens!$E$6590</f>
        <v>-0.019490056934994</v>
      </c>
      <c r="F6592" s="28" t="n">
        <f aca="false">Sens!$O$6592+(Sens!$E$6592-Sens!$N$6592)</f>
        <v>-0.0367332293992226</v>
      </c>
      <c r="G6592" s="28" t="n">
        <f aca="false">(Sens!$G$6593-Sens!$G$6589+Sens!$G$6591)/Sens!$G$6590</f>
        <v>-0.0288599526442178</v>
      </c>
      <c r="H6592" s="28" t="n">
        <f aca="false">Sens!$G$6592+step_in</f>
        <v>-0.0288599526442178</v>
      </c>
      <c r="I6592" s="28" t="n">
        <f aca="false">Sens!$H$6592+step_in</f>
        <v>-0.0288599526442178</v>
      </c>
      <c r="J6592" s="28" t="n">
        <f aca="false">Sens!$I$6592+step_in</f>
        <v>-0.0288599526442178</v>
      </c>
      <c r="K6592" s="28" t="n">
        <f aca="false">Sens!$J$6592+step_in</f>
        <v>-0.0288599526442178</v>
      </c>
      <c r="L6592" s="28" t="n">
        <f aca="false">Sens!$K$6592</f>
        <v>-0.0288599526442178</v>
      </c>
      <c r="M6592" s="28" t="n">
        <f aca="false">Sens!$L$6592</f>
        <v>-0.0288599526442178</v>
      </c>
      <c r="N6592" s="28" t="n">
        <f aca="false">(Sens!$N$6593-Sens!$N$6589+Sens!$N$6591)/Sens!$N$6590</f>
        <v>-0.02085061789158</v>
      </c>
      <c r="O6592" s="28" t="n">
        <f aca="false">(Sens!$O$6593-Sens!$O$6589+Sens!$O$6591)/Sens!$O$6590</f>
        <v>-0.0380937903558086</v>
      </c>
      <c r="P6592" s="8" t="s">
        <v>677</v>
      </c>
    </row>
    <row r="6593" customFormat="false" ht="17.15" hidden="false" customHeight="false" outlineLevel="0" collapsed="false">
      <c r="A6593" s="1" t="s">
        <v>683</v>
      </c>
      <c r="B6593" s="8" t="s">
        <v>73</v>
      </c>
      <c r="C6593" s="38" t="n">
        <f aca="false">Q!$D$23</f>
        <v>3.792</v>
      </c>
      <c r="D6593" s="38" t="n">
        <f aca="false">Q!$E$23</f>
        <v>4.75</v>
      </c>
      <c r="E6593" s="38" t="n">
        <f aca="false">Q!$P$23</f>
        <v>3.141</v>
      </c>
      <c r="F6593" s="38" t="n">
        <f aca="false">Sens!$F$6589+Sens!$F$6590*Sens!$F$6592-Sens!$F$6591</f>
        <v>2.99414447978375</v>
      </c>
      <c r="G6593" s="38" t="n">
        <f aca="false">Sens!$E$6593+Sens!$F$6593</f>
        <v>6.13514447978375</v>
      </c>
      <c r="H6593" s="38" t="n">
        <f aca="false">Sens!$H$6589+Sens!$H$6590*Sens!$H$6592-Sens!$H$6591</f>
        <v>6.31919151351322</v>
      </c>
      <c r="I6593" s="38" t="n">
        <f aca="false">Sens!$I$6589+Sens!$I$6590*Sens!$I$6592-Sens!$I$6591</f>
        <v>6.16506534077027</v>
      </c>
      <c r="J6593" s="38" t="n">
        <f aca="false">Sens!$J$6589+Sens!$J$6590*Sens!$J$6592-Sens!$J$6591</f>
        <v>5.8250313653213</v>
      </c>
      <c r="K6593" s="38" t="n">
        <f aca="false">Sens!$K$6589+Sens!$K$6590*Sens!$K$6592-Sens!$K$6591</f>
        <v>5.15468540810514</v>
      </c>
      <c r="L6593" s="38" t="n">
        <f aca="false">Sens!$L$6589+Sens!$L$6590*Sens!$L$6592-Sens!$L$6591</f>
        <v>4.76324944463266</v>
      </c>
      <c r="M6593" s="38" t="n">
        <f aca="false">Sens!$M$6589+Sens!$M$6590*Sens!$M$6592-Sens!$M$6591</f>
        <v>4.51657755537829</v>
      </c>
      <c r="N6593" s="38" t="n">
        <f aca="false">Q!$N$23</f>
        <v>2.511</v>
      </c>
      <c r="O6593" s="38" t="n">
        <f aca="false">Q!$O$23</f>
        <v>2.239</v>
      </c>
    </row>
    <row r="6594" customFormat="false" ht="17.15" hidden="false" customHeight="false" outlineLevel="0" collapsed="false">
      <c r="A6594" s="0" t="s">
        <v>684</v>
      </c>
      <c r="B6594" s="0" t="s">
        <v>73</v>
      </c>
      <c r="C6594" s="38" t="n">
        <f aca="false">Sens!$C$6534</f>
        <v>1.64417882953695</v>
      </c>
      <c r="D6594" s="38" t="n">
        <f aca="false">Sens!$D$6534</f>
        <v>3.8781008067718</v>
      </c>
      <c r="E6594" s="38" t="n">
        <f aca="false">Sens!$E$6534</f>
        <v>1.41270258088753</v>
      </c>
      <c r="F6594" s="38" t="n">
        <f aca="false">Sens!$F$6534</f>
        <v>6.50727700583486</v>
      </c>
      <c r="G6594" s="38" t="n">
        <f aca="false">Sens!$G$6534</f>
        <v>7.9199795867224</v>
      </c>
      <c r="H6594" s="38" t="n">
        <f aca="false">Sens!$H$6534</f>
        <v>19.2818189481807</v>
      </c>
      <c r="I6594" s="38" t="n">
        <f aca="false">Sens!$I$6534</f>
        <v>30.140114407202</v>
      </c>
      <c r="J6594" s="38" t="n">
        <f aca="false">Sens!$J$6534</f>
        <v>40.3569468829854</v>
      </c>
      <c r="K6594" s="38" t="n">
        <f aca="false">Sens!$K$6534</f>
        <v>50.0782975081929</v>
      </c>
      <c r="L6594" s="38" t="n">
        <f aca="false">Sens!$L$6534</f>
        <v>61.443331993499</v>
      </c>
      <c r="M6594" s="38" t="n">
        <f aca="false">Sens!$M$6534</f>
        <v>72.2498791587849</v>
      </c>
      <c r="N6594" s="38" t="n">
        <f aca="false">Sens!$N$6534</f>
        <v>0.92264103489199</v>
      </c>
      <c r="O6594" s="38" t="n">
        <f aca="false">Sens!$O$6534</f>
        <v>2.95545977187981</v>
      </c>
    </row>
    <row r="6595" customFormat="false" ht="17.15" hidden="false" customHeight="false" outlineLevel="0" collapsed="false">
      <c r="A6595" s="0" t="s">
        <v>604</v>
      </c>
      <c r="B6595" s="0" t="s">
        <v>73</v>
      </c>
      <c r="C6595" s="38" t="n">
        <f aca="false">Sens!$C$6539</f>
        <v>38.1898211704631</v>
      </c>
      <c r="D6595" s="38" t="n">
        <f aca="false">Sens!$D$6539</f>
        <v>41.7278991932282</v>
      </c>
      <c r="E6595" s="38" t="n">
        <f aca="false">Sens!$E$6539</f>
        <v>29.3692974191125</v>
      </c>
      <c r="F6595" s="38" t="n">
        <f aca="false">Sens!$F$6539</f>
        <v>29.458060516894</v>
      </c>
      <c r="G6595" s="38" t="n">
        <f aca="false">Sens!$G$6539</f>
        <v>58.8273579360065</v>
      </c>
      <c r="H6595" s="38" t="n">
        <f aca="false">Sens!$H$6539</f>
        <v>67.8004040185081</v>
      </c>
      <c r="I6595" s="38" t="n">
        <f aca="false">Sens!$I$6539</f>
        <v>78.9527630302702</v>
      </c>
      <c r="J6595" s="38" t="n">
        <f aca="false">Sens!$J$6539</f>
        <v>88.6042681781841</v>
      </c>
      <c r="K6595" s="38" t="n">
        <f aca="false">Sens!$K$6539</f>
        <v>95.6926096324389</v>
      </c>
      <c r="L6595" s="38" t="n">
        <f aca="false">Sens!$L$6539</f>
        <v>103.348018403034</v>
      </c>
      <c r="M6595" s="38" t="n">
        <f aca="false">Sens!$M$6539</f>
        <v>111.615859875277</v>
      </c>
      <c r="N6595" s="38" t="n">
        <f aca="false">Sens!$N$6539</f>
        <v>20.784358965108</v>
      </c>
      <c r="O6595" s="38" t="n">
        <f aca="false">Sens!$O$6539</f>
        <v>20.9435402281202</v>
      </c>
    </row>
    <row r="6596" customFormat="false" ht="17.15" hidden="false" customHeight="false" outlineLevel="0" collapsed="false">
      <c r="A6596" s="1" t="s">
        <v>685</v>
      </c>
      <c r="B6596" s="8" t="s">
        <v>73</v>
      </c>
      <c r="C6596" s="38" t="n">
        <f aca="false">Q!$D$24</f>
        <v>39.834</v>
      </c>
      <c r="D6596" s="38" t="n">
        <f aca="false">Q!$E$24</f>
        <v>45.606</v>
      </c>
      <c r="E6596" s="38" t="n">
        <f aca="false">Q!$P$24</f>
        <v>30.782</v>
      </c>
      <c r="F6596" s="38" t="n">
        <f aca="false">Sens!$F$6594+Sens!$F$6595</f>
        <v>35.9653375227289</v>
      </c>
      <c r="G6596" s="38" t="n">
        <f aca="false">Sens!$G$6594+Sens!$G$6595</f>
        <v>66.7473375227289</v>
      </c>
      <c r="H6596" s="38" t="n">
        <f aca="false">Sens!$H$6594+Sens!$H$6595</f>
        <v>87.0822229666888</v>
      </c>
      <c r="I6596" s="38" t="n">
        <f aca="false">Sens!$I$6594+Sens!$I$6595</f>
        <v>109.092877437472</v>
      </c>
      <c r="J6596" s="38" t="n">
        <f aca="false">Sens!$J$6594+Sens!$J$6595</f>
        <v>128.96121506117</v>
      </c>
      <c r="K6596" s="38" t="n">
        <f aca="false">Sens!$K$6594+Sens!$K$6595</f>
        <v>145.770907140632</v>
      </c>
      <c r="L6596" s="38" t="n">
        <f aca="false">Sens!$L$6594+Sens!$L$6595</f>
        <v>164.791350396533</v>
      </c>
      <c r="M6596" s="38" t="n">
        <f aca="false">Sens!$M$6594+Sens!$M$6595</f>
        <v>183.865739034062</v>
      </c>
      <c r="N6596" s="38" t="n">
        <f aca="false">Q!$N$24</f>
        <v>21.707</v>
      </c>
      <c r="O6596" s="38" t="n">
        <f aca="false">Q!$O$24</f>
        <v>23.899</v>
      </c>
    </row>
    <row r="6597" customFormat="false" ht="17.15" hidden="false" customHeight="false" outlineLevel="0" collapsed="false">
      <c r="A6597" s="5" t="s">
        <v>686</v>
      </c>
      <c r="B6597" s="0" t="s">
        <v>73</v>
      </c>
      <c r="C6597" s="38" t="n">
        <f aca="false">Q!$D$26</f>
        <v>0</v>
      </c>
      <c r="D6597" s="38" t="n">
        <f aca="false">Q!$E$26</f>
        <v>0</v>
      </c>
      <c r="E6597" s="38" t="n">
        <f aca="false">Q!$P$26</f>
        <v>0</v>
      </c>
      <c r="F6597" s="41" t="n">
        <v>0</v>
      </c>
      <c r="G6597" s="38" t="n">
        <f aca="false">Sens!$E$6597+Sens!$F$6597</f>
        <v>0</v>
      </c>
      <c r="H6597" s="41" t="n">
        <v>0</v>
      </c>
      <c r="I6597" s="41" t="n">
        <v>0</v>
      </c>
      <c r="J6597" s="41" t="n">
        <v>0</v>
      </c>
      <c r="K6597" s="41" t="n">
        <v>0</v>
      </c>
      <c r="L6597" s="41" t="n">
        <v>0</v>
      </c>
      <c r="M6597" s="41" t="n">
        <v>0</v>
      </c>
      <c r="N6597" s="38" t="n">
        <f aca="false">Q!$N$26</f>
        <v>0</v>
      </c>
      <c r="O6597" s="38" t="n">
        <f aca="false">Q!$O$26</f>
        <v>0</v>
      </c>
    </row>
    <row r="6598" customFormat="false" ht="15" hidden="false" customHeight="false" outlineLevel="0" collapsed="false">
      <c r="A6598" s="3" t="s">
        <v>494</v>
      </c>
      <c r="B6598" s="8" t="s">
        <v>73</v>
      </c>
      <c r="C6598" s="38" t="n">
        <f aca="false">Q!$D$25</f>
        <v>68.593</v>
      </c>
      <c r="D6598" s="38" t="n">
        <f aca="false">Q!$E$25</f>
        <v>79.975</v>
      </c>
      <c r="E6598" s="38" t="n">
        <f aca="false">Q!$P$25</f>
        <v>51.313</v>
      </c>
      <c r="F6598" s="38" t="n">
        <f aca="false">Sens!$F$6588+Sens!$F$6593+Sens!$F$6596+Sens!$F$6597</f>
        <v>59.8825772328462</v>
      </c>
      <c r="G6598" s="38" t="n">
        <f aca="false">Sens!$G$6588+Sens!$G$6593+Sens!$G$6596+Sens!$G$6597</f>
        <v>111.195577232846</v>
      </c>
      <c r="H6598" s="38" t="n">
        <f aca="false">Sens!$H$6588+Sens!$H$6593+Sens!$H$6596+Sens!$H$6597</f>
        <v>135.638701042513</v>
      </c>
      <c r="I6598" s="38" t="n">
        <f aca="false">Sens!$I$6588+Sens!$I$6593+Sens!$I$6596+Sens!$I$6597</f>
        <v>160.668634334764</v>
      </c>
      <c r="J6598" s="38" t="n">
        <f aca="false">Sens!$J$6588+Sens!$J$6593+Sens!$J$6596+Sens!$J$6597</f>
        <v>182.936501499731</v>
      </c>
      <c r="K6598" s="38" t="n">
        <f aca="false">Sens!$K$6588+Sens!$K$6593+Sens!$K$6596+Sens!$K$6597</f>
        <v>200.911616858058</v>
      </c>
      <c r="L6598" s="38" t="n">
        <f aca="false">Sens!$L$6588+Sens!$L$6593+Sens!$L$6596+Sens!$L$6597</f>
        <v>220.650126048945</v>
      </c>
      <c r="M6598" s="38" t="n">
        <f aca="false">Sens!$M$6588+Sens!$M$6593+Sens!$M$6596+Sens!$M$6597</f>
        <v>241.09409709983</v>
      </c>
      <c r="N6598" s="38" t="n">
        <f aca="false">Q!$N$25</f>
        <v>37.576</v>
      </c>
      <c r="O6598" s="38" t="n">
        <f aca="false">Q!$O$25</f>
        <v>42.399</v>
      </c>
    </row>
    <row r="6599" customFormat="false" ht="17.15" hidden="false" customHeight="false" outlineLevel="0" collapsed="false">
      <c r="A6599" s="24" t="s">
        <v>712</v>
      </c>
      <c r="B6599" s="25" t="s">
        <v>73</v>
      </c>
      <c r="C6599" s="39" t="n">
        <f aca="false">Sens!$C$6588+Sens!$C$6593+Sens!$C$6596+Sens!$C$6597-Sens!$C$6598</f>
        <v>0</v>
      </c>
      <c r="D6599" s="39" t="n">
        <f aca="false">Sens!$D$6588+Sens!$D$6593+Sens!$D$6596+Sens!$D$6597-Sens!$D$6598</f>
        <v>0</v>
      </c>
      <c r="E6599" s="39" t="n">
        <f aca="false">Sens!$E$6588+Sens!$E$6593+Sens!$E$6596+Sens!$E$6597-Sens!$E$6598</f>
        <v>0</v>
      </c>
      <c r="F6599" s="39" t="n">
        <f aca="false">Sens!$F$6588+Sens!$F$6593+Sens!$F$6596+Sens!$F$6597-Sens!$F$6598</f>
        <v>0</v>
      </c>
      <c r="G6599" s="39" t="n">
        <f aca="false">Sens!$G$6588+Sens!$G$6593+Sens!$G$6596+Sens!$G$6597-Sens!$G$6598</f>
        <v>0</v>
      </c>
      <c r="H6599" s="39" t="n">
        <f aca="false">Sens!$H$6588+Sens!$H$6593+Sens!$H$6596+Sens!$H$6597-Sens!$H$6598</f>
        <v>0</v>
      </c>
      <c r="I6599" s="39" t="n">
        <f aca="false">Sens!$I$6588+Sens!$I$6593+Sens!$I$6596+Sens!$I$6597-Sens!$I$6598</f>
        <v>0</v>
      </c>
      <c r="J6599" s="39" t="n">
        <f aca="false">Sens!$J$6588+Sens!$J$6593+Sens!$J$6596+Sens!$J$6597-Sens!$J$6598</f>
        <v>0</v>
      </c>
      <c r="K6599" s="39" t="n">
        <f aca="false">Sens!$K$6588+Sens!$K$6593+Sens!$K$6596+Sens!$K$6597-Sens!$K$6598</f>
        <v>0</v>
      </c>
      <c r="L6599" s="39" t="n">
        <f aca="false">Sens!$L$6588+Sens!$L$6593+Sens!$L$6596+Sens!$L$6597-Sens!$L$6598</f>
        <v>0</v>
      </c>
      <c r="M6599" s="39" t="n">
        <f aca="false">Sens!$M$6588+Sens!$M$6593+Sens!$M$6596+Sens!$M$6597-Sens!$M$6598</f>
        <v>0</v>
      </c>
      <c r="N6599" s="39" t="n">
        <f aca="false">Sens!$N$6588+Sens!$N$6593+Sens!$N$6596+Sens!$N$6597-Sens!$N$6598</f>
        <v>0</v>
      </c>
      <c r="O6599" s="39" t="n">
        <f aca="false">Sens!$O$6588+Sens!$O$6593+Sens!$O$6596+Sens!$O$6597-Sens!$O$6598</f>
        <v>0</v>
      </c>
    </row>
    <row r="6600" customFormat="false" ht="17.15" hidden="false" customHeight="false" outlineLevel="0" collapsed="false">
      <c r="A6600" s="0" t="s">
        <v>688</v>
      </c>
      <c r="B6600" s="0" t="s">
        <v>52</v>
      </c>
      <c r="C6600" s="12" t="n">
        <f aca="false">Sens!$C$6588/Sens!$C$6573</f>
        <v>0.0644314665661928</v>
      </c>
      <c r="D6600" s="12" t="n">
        <f aca="false">Sens!$D$6588/Sens!$D$6573</f>
        <v>0.0694784250712518</v>
      </c>
      <c r="E6600" s="12" t="n">
        <f aca="false">Sens!$E$6588/Sens!$E$6573</f>
        <v>0.0789306463326071</v>
      </c>
      <c r="F6600" s="12" t="n">
        <f aca="false">Sens!$F$6588/Sens!$F$6573</f>
        <v>0.0816338957078875</v>
      </c>
      <c r="G6600" s="12" t="n">
        <f aca="false">Sens!$G$6588/Sens!$G$6573</f>
        <v>0.080384315570057</v>
      </c>
      <c r="H6600" s="12" t="n">
        <f aca="false">Sens!$H$6588/Sens!$H$6573</f>
        <v>0.080035122355679</v>
      </c>
      <c r="I6600" s="12" t="n">
        <f aca="false">Sens!$I$6588/Sens!$I$6573</f>
        <v>0.0786798687862144</v>
      </c>
      <c r="J6600" s="12" t="n">
        <f aca="false">Sens!$J$6588/Sens!$J$6573</f>
        <v>0.0772846370095153</v>
      </c>
      <c r="K6600" s="12" t="n">
        <f aca="false">Sens!$K$6588/Sens!$K$6573</f>
        <v>0.0753502227686655</v>
      </c>
      <c r="L6600" s="12" t="n">
        <f aca="false">Sens!$L$6588/Sens!$L$6573</f>
        <v>0.0723154067793922</v>
      </c>
      <c r="M6600" s="12" t="n">
        <f aca="false">Sens!$M$6588/Sens!$M$6573</f>
        <v>0.070022386735876</v>
      </c>
      <c r="N6600" s="12" t="n">
        <f aca="false">Sens!$N$6588/Sens!$N$6573</f>
        <v>0.069228576611127</v>
      </c>
      <c r="O6600" s="12" t="n">
        <f aca="false">Sens!$O$6588/Sens!$O$6573</f>
        <v>0.069685022498393</v>
      </c>
    </row>
    <row r="6601" customFormat="false" ht="17.15" hidden="false" customHeight="false" outlineLevel="0" collapsed="false">
      <c r="A6601" s="0" t="s">
        <v>689</v>
      </c>
      <c r="B6601" s="0" t="s">
        <v>52</v>
      </c>
      <c r="C6601" s="12" t="n">
        <f aca="false">Sens!$C$6593/Sens!$C$6574</f>
        <v>0.026534925055631</v>
      </c>
      <c r="D6601" s="12" t="n">
        <f aca="false">Sens!$D$6593/Sens!$D$6574</f>
        <v>0.0293401855535103</v>
      </c>
      <c r="E6601" s="12" t="n">
        <f aca="false">Sens!$E$6593/Sens!$E$6574</f>
        <v>0.03831141902276</v>
      </c>
      <c r="F6601" s="12" t="n">
        <f aca="false">Sens!$F$6593/Sens!$F$6574</f>
        <v>0.0297532808235678</v>
      </c>
      <c r="G6601" s="12" t="n">
        <f aca="false">Sens!$G$6593/Sens!$G$6574</f>
        <v>0.0335954317997163</v>
      </c>
      <c r="H6601" s="12" t="n">
        <f aca="false">Sens!$H$6593/Sens!$H$6574</f>
        <v>0.0312519754292078</v>
      </c>
      <c r="I6601" s="12" t="n">
        <f aca="false">Sens!$I$6593/Sens!$I$6574</f>
        <v>0.0278788303191397</v>
      </c>
      <c r="J6601" s="12" t="n">
        <f aca="false">Sens!$J$6593/Sens!$J$6574</f>
        <v>0.0244019313573061</v>
      </c>
      <c r="K6601" s="12" t="n">
        <f aca="false">Sens!$K$6593/Sens!$K$6574</f>
        <v>0.020280070641524</v>
      </c>
      <c r="L6601" s="12" t="n">
        <f aca="false">Sens!$L$6593/Sens!$L$6574</f>
        <v>0.0175947312030086</v>
      </c>
      <c r="M6601" s="12" t="n">
        <f aca="false">Sens!$M$6593/Sens!$M$6574</f>
        <v>0.0156592172424565</v>
      </c>
      <c r="N6601" s="12" t="n">
        <f aca="false">Sens!$N$6593/Sens!$N$6574</f>
        <v>0.0357315650169337</v>
      </c>
      <c r="O6601" s="12" t="n">
        <f aca="false">Sens!$O$6593/Sens!$O$6574</f>
        <v>0.0244378956559703</v>
      </c>
    </row>
    <row r="6602" customFormat="false" ht="17.15" hidden="false" customHeight="false" outlineLevel="0" collapsed="false">
      <c r="A6602" s="13" t="s">
        <v>690</v>
      </c>
      <c r="B6602" s="13" t="s">
        <v>52</v>
      </c>
      <c r="C6602" s="16" t="n">
        <f aca="false">Sens!$C$6596/Sens!$C$6575</f>
        <v>0.370355907620217</v>
      </c>
      <c r="D6602" s="16" t="n">
        <f aca="false">Sens!$D$6596/Sens!$D$6575</f>
        <v>0.35429015342785</v>
      </c>
      <c r="E6602" s="16" t="n">
        <f aca="false">Sens!$E$6596/Sens!$E$6575</f>
        <v>0.385647527531039</v>
      </c>
      <c r="F6602" s="16" t="n">
        <f aca="false">Sens!$F$6596/Sens!$F$6575</f>
        <v>0.384415729470259</v>
      </c>
      <c r="G6602" s="16" t="n">
        <f aca="false">Sens!$G$6596/Sens!$G$6575</f>
        <v>0.38498282105443</v>
      </c>
      <c r="H6602" s="16" t="n">
        <f aca="false">Sens!$H$6596/Sens!$H$6575</f>
        <v>0.361247909668527</v>
      </c>
      <c r="I6602" s="16" t="n">
        <f aca="false">Sens!$I$6596/Sens!$I$6575</f>
        <v>0.349486287974975</v>
      </c>
      <c r="J6602" s="16" t="n">
        <f aca="false">Sens!$J$6596/Sens!$J$6575</f>
        <v>0.339886531832068</v>
      </c>
      <c r="K6602" s="16" t="n">
        <f aca="false">Sens!$K$6596/Sens!$K$6575</f>
        <v>0.33135833762061</v>
      </c>
      <c r="L6602" s="16" t="n">
        <f aca="false">Sens!$L$6596/Sens!$L$6575</f>
        <v>0.328299068185284</v>
      </c>
      <c r="M6602" s="16" t="n">
        <f aca="false">Sens!$M$6596/Sens!$M$6575</f>
        <v>0.325058049465166</v>
      </c>
      <c r="N6602" s="16" t="n">
        <f aca="false">Sens!$N$6596/Sens!$N$6575</f>
        <v>0.360941137346192</v>
      </c>
      <c r="O6602" s="16" t="n">
        <f aca="false">Sens!$O$6596/Sens!$O$6575</f>
        <v>0.348458117664212</v>
      </c>
    </row>
    <row r="6603" customFormat="false" ht="17.15" hidden="false" customHeight="false" outlineLevel="0" collapsed="false">
      <c r="A6603" s="0" t="s">
        <v>691</v>
      </c>
      <c r="B6603" s="0" t="s">
        <v>52</v>
      </c>
      <c r="C6603" s="12" t="n">
        <f aca="false">Sens!$C$6594/Sens!$C$6576</f>
        <v>0.708390794789371</v>
      </c>
      <c r="D6603" s="12" t="n">
        <f aca="false">Sens!$D$6594/Sens!$D$6576</f>
        <v>0.445565630441968</v>
      </c>
      <c r="E6603" s="12" t="n">
        <f aca="false">Sens!$E$6594/Sens!$E$6576</f>
        <v>0.165998118402711</v>
      </c>
      <c r="F6603" s="12" t="n">
        <f aca="false">Sens!$F$6594/Sens!$F$6576</f>
        <v>0.434878595403858</v>
      </c>
      <c r="G6603" s="12" t="n">
        <f aca="false">Sens!$G$6594/Sens!$G$6576</f>
        <v>0.3373967615381</v>
      </c>
      <c r="H6603" s="12" t="n">
        <f aca="false">Sens!$H$6594/Sens!$H$6576</f>
        <v>0.320477578041224</v>
      </c>
      <c r="I6603" s="12" t="n">
        <f aca="false">Sens!$I$6594/Sens!$I$6576</f>
        <v>0.296936118226494</v>
      </c>
      <c r="J6603" s="12" t="n">
        <f aca="false">Sens!$J$6594/Sens!$J$6576</f>
        <v>0.282166278613001</v>
      </c>
      <c r="K6603" s="12" t="n">
        <f aca="false">Sens!$K$6594/Sens!$K$6576</f>
        <v>0.271267685694333</v>
      </c>
      <c r="L6603" s="12" t="n">
        <f aca="false">Sens!$L$6594/Sens!$L$6576</f>
        <v>0.27160960915653</v>
      </c>
      <c r="M6603" s="12" t="n">
        <f aca="false">Sens!$M$6594/Sens!$M$6576</f>
        <v>0.26974494804234</v>
      </c>
      <c r="N6603" s="12" t="n">
        <f aca="false">Sens!$N$6594/Sens!$N$6576</f>
        <v>0.302870734830849</v>
      </c>
      <c r="O6603" s="12" t="n">
        <f aca="false">Sens!$O$6594/Sens!$O$6576</f>
        <v>0.52240134346334</v>
      </c>
    </row>
    <row r="6604" customFormat="false" ht="15" hidden="false" customHeight="false" outlineLevel="0" collapsed="false">
      <c r="A6604" s="5" t="s">
        <v>692</v>
      </c>
      <c r="B6604" s="0" t="s">
        <v>52</v>
      </c>
      <c r="C6604" s="12" t="n">
        <f aca="false">Sens!$C$6598/Sens!$C$6578</f>
        <v>0.107519448742004</v>
      </c>
      <c r="D6604" s="12" t="n">
        <f aca="false">Sens!$D$6598/Sens!$D$6578</f>
        <v>0.111552967957552</v>
      </c>
      <c r="E6604" s="12" t="n">
        <f aca="false">Sens!$E$6598/Sens!$E$6578</f>
        <v>0.13428328426562</v>
      </c>
      <c r="F6604" s="12" t="n">
        <f aca="false">Sens!$F$6598/Sens!$F$6578</f>
        <v>0.132926212451512</v>
      </c>
      <c r="G6604" s="12" t="n">
        <f aca="false">Sens!$G$6598/Sens!$G$6578</f>
        <v>0.133549030959228</v>
      </c>
      <c r="H6604" s="12" t="n">
        <f aca="false">Sens!$H$6598/Sens!$H$6578</f>
        <v>0.139690394514416</v>
      </c>
      <c r="I6604" s="12" t="n">
        <f aca="false">Sens!$I$6598/Sens!$I$6578</f>
        <v>0.144688164284573</v>
      </c>
      <c r="J6604" s="12" t="n">
        <f aca="false">Sens!$J$6598/Sens!$J$6578</f>
        <v>0.147391419021054</v>
      </c>
      <c r="K6604" s="12" t="n">
        <f aca="false">Sens!$K$6598/Sens!$K$6578</f>
        <v>0.148003728177944</v>
      </c>
      <c r="L6604" s="12" t="n">
        <f aca="false">Sens!$L$6598/Sens!$L$6578</f>
        <v>0.149164514525979</v>
      </c>
      <c r="M6604" s="12" t="n">
        <f aca="false">Sens!$M$6598/Sens!$M$6578</f>
        <v>0.150041098108262</v>
      </c>
      <c r="N6604" s="12" t="n">
        <f aca="false">Sens!$N$6598/Sens!$N$6578</f>
        <v>0.116201614873411</v>
      </c>
      <c r="O6604" s="12" t="n">
        <f aca="false">Sens!$O$6598/Sens!$O$6578</f>
        <v>0.107733353660861</v>
      </c>
    </row>
    <row r="6605" customFormat="false" ht="17.15" hidden="false" customHeight="false" outlineLevel="0" collapsed="false">
      <c r="A6605" s="1" t="s">
        <v>693</v>
      </c>
    </row>
    <row r="6606" customFormat="false" ht="17.15" hidden="false" customHeight="false" outlineLevel="0" collapsed="false">
      <c r="A6606" s="5" t="s">
        <v>694</v>
      </c>
      <c r="B6606" s="0" t="s">
        <v>52</v>
      </c>
      <c r="D6606" s="28" t="n">
        <f aca="false">(Q!$E$29+Q!$E$30-(1-ext_sh)*Sens!$D$6530)/Sens!$D$6487</f>
        <v>0.0334674312393194</v>
      </c>
    </row>
    <row r="6607" customFormat="false" ht="17.15" hidden="false" customHeight="false" outlineLevel="0" collapsed="false">
      <c r="A6607" s="0" t="s">
        <v>498</v>
      </c>
      <c r="B6607" s="0" t="s">
        <v>73</v>
      </c>
      <c r="C6607" s="38" t="n">
        <f aca="false">Q!$D$29</f>
        <v>14.285</v>
      </c>
      <c r="D6607" s="38" t="n">
        <f aca="false">Q!$E$29</f>
        <v>15.503</v>
      </c>
      <c r="E6607" s="38" t="n">
        <f aca="false">Q!$P$29</f>
        <v>8.78</v>
      </c>
      <c r="F6607" s="38" t="n">
        <f aca="false">(Sens!$D$6606*Sens!$F$6487+(1-ext_sh)*Sens!$F$6530)*Sens!$F$6488</f>
        <v>9.51361751569285</v>
      </c>
      <c r="G6607" s="38" t="n">
        <f aca="false">Sens!$E$6607+Sens!$F$6607</f>
        <v>18.2936175156929</v>
      </c>
      <c r="H6607" s="38" t="n">
        <f aca="false">(Sens!$D$6606*Sens!$H$6487+(1-ext_sh)*Sens!$H$6530)*Sens!$H$6488</f>
        <v>22.7653661801943</v>
      </c>
      <c r="I6607" s="38" t="n">
        <f aca="false">(Sens!$D$6606*Sens!$I$6487+(1-ext_sh)*Sens!$I$6530)*Sens!$I$6488</f>
        <v>28.4281317305062</v>
      </c>
      <c r="J6607" s="38" t="n">
        <f aca="false">(Sens!$D$6606*Sens!$J$6487+(1-ext_sh)*Sens!$J$6530)*Sens!$J$6488</f>
        <v>34.1182922009732</v>
      </c>
      <c r="K6607" s="38" t="n">
        <f aca="false">(Sens!$D$6606*Sens!$K$6487+(1-ext_sh)*Sens!$K$6530)*Sens!$K$6488</f>
        <v>39.7237727987046</v>
      </c>
      <c r="L6607" s="38" t="n">
        <f aca="false">(Sens!$D$6606*Sens!$L$6487+(1-ext_sh)*Sens!$L$6530)*Sens!$L$6488</f>
        <v>45.1313127180263</v>
      </c>
      <c r="M6607" s="38" t="n">
        <f aca="false">(Sens!$D$6606*Sens!$M$6487+(1-ext_sh)*Sens!$M$6530)*Sens!$M$6488</f>
        <v>50.743940615442</v>
      </c>
      <c r="N6607" s="38" t="n">
        <f aca="false">Q!$N$29</f>
        <v>7.272</v>
      </c>
      <c r="O6607" s="38" t="n">
        <f aca="false">Q!$O$29</f>
        <v>8.231</v>
      </c>
    </row>
    <row r="6608" customFormat="false" ht="17.15" hidden="false" customHeight="false" outlineLevel="0" collapsed="false">
      <c r="A6608" s="0" t="s">
        <v>500</v>
      </c>
      <c r="B6608" s="0" t="s">
        <v>73</v>
      </c>
      <c r="C6608" s="38" t="n">
        <f aca="false">Q!$D$30</f>
        <v>4.462</v>
      </c>
      <c r="D6608" s="38" t="n">
        <f aca="false">Q!$E$30</f>
        <v>4.907</v>
      </c>
      <c r="E6608" s="38" t="n">
        <f aca="false">Q!$P$30</f>
        <v>2.57</v>
      </c>
      <c r="F6608" s="38" t="n">
        <f aca="false">(Sens!$D$6606*Sens!$F$6487+(1-ext_sh)*Sens!$F$6530)*(1-Sens!$F$6488)</f>
        <v>3.7353230631574</v>
      </c>
      <c r="G6608" s="38" t="n">
        <f aca="false">Sens!$E$6608+Sens!$F$6608</f>
        <v>6.3053230631574</v>
      </c>
      <c r="H6608" s="38" t="n">
        <f aca="false">(Sens!$D$6606*Sens!$H$6487+(1-ext_sh)*Sens!$H$6530)*(1-Sens!$H$6488)</f>
        <v>8.72254636724805</v>
      </c>
      <c r="I6608" s="38" t="n">
        <f aca="false">(Sens!$D$6606*Sens!$I$6487+(1-ext_sh)*Sens!$I$6530)*(1-Sens!$I$6488)</f>
        <v>10.8922340713019</v>
      </c>
      <c r="J6608" s="38" t="n">
        <f aca="false">(Sens!$D$6606*Sens!$J$6487+(1-ext_sh)*Sens!$J$6530)*(1-Sens!$J$6488)</f>
        <v>13.0724181345791</v>
      </c>
      <c r="K6608" s="38" t="n">
        <f aca="false">(Sens!$D$6606*Sens!$K$6487+(1-ext_sh)*Sens!$K$6530)*(1-Sens!$K$6488)</f>
        <v>15.2201571183236</v>
      </c>
      <c r="L6608" s="38" t="n">
        <f aca="false">(Sens!$D$6606*Sens!$L$6487+(1-ext_sh)*Sens!$L$6530)*(1-Sens!$L$6488)</f>
        <v>17.2920551631732</v>
      </c>
      <c r="M6608" s="38" t="n">
        <f aca="false">(Sens!$D$6606*Sens!$M$6487+(1-ext_sh)*Sens!$M$6530)*(1-Sens!$M$6488)</f>
        <v>19.4425326336348</v>
      </c>
      <c r="N6608" s="38" t="n">
        <f aca="false">Q!$N$30</f>
        <v>2.316</v>
      </c>
      <c r="O6608" s="38" t="n">
        <f aca="false">Q!$O$30</f>
        <v>2.591</v>
      </c>
    </row>
    <row r="6609" customFormat="false" ht="17.15" hidden="false" customHeight="false" outlineLevel="0" collapsed="false">
      <c r="A6609" s="0" t="s">
        <v>501</v>
      </c>
      <c r="B6609" s="0" t="s">
        <v>73</v>
      </c>
      <c r="C6609" s="38" t="n">
        <f aca="false">Sens!$C$6542</f>
        <v>13.32</v>
      </c>
      <c r="D6609" s="38" t="n">
        <f aca="false">Sens!$D$6542</f>
        <v>21.45</v>
      </c>
      <c r="E6609" s="38" t="n">
        <f aca="false">Sens!$E$6542</f>
        <v>15.353</v>
      </c>
      <c r="F6609" s="38" t="n">
        <f aca="false">Sens!$F$6542</f>
        <v>17.3614451462707</v>
      </c>
      <c r="G6609" s="38" t="n">
        <f aca="false">Sens!$G$6542</f>
        <v>32.7144451462707</v>
      </c>
      <c r="H6609" s="38" t="n">
        <f aca="false">Sens!$H$6542</f>
        <v>56.1966092719415</v>
      </c>
      <c r="I6609" s="38" t="n">
        <f aca="false">Sens!$I$6542</f>
        <v>82.9744039068297</v>
      </c>
      <c r="J6609" s="38" t="n">
        <f aca="false">Sens!$J$6542</f>
        <v>109.943252237669</v>
      </c>
      <c r="K6609" s="38" t="n">
        <f aca="false">Sens!$K$6542</f>
        <v>136.406703436571</v>
      </c>
      <c r="L6609" s="38" t="n">
        <f aca="false">Sens!$L$6542</f>
        <v>161.485870454155</v>
      </c>
      <c r="M6609" s="38" t="n">
        <f aca="false">Sens!$M$6542</f>
        <v>187.389846618199</v>
      </c>
      <c r="N6609" s="38" t="n">
        <f aca="false">Sens!$N$6542</f>
        <v>9.234</v>
      </c>
      <c r="O6609" s="38" t="n">
        <f aca="false">Sens!$O$6542</f>
        <v>12.216</v>
      </c>
    </row>
    <row r="6610" customFormat="false" ht="17.15" hidden="false" customHeight="false" outlineLevel="0" collapsed="false">
      <c r="A6610" s="5" t="s">
        <v>695</v>
      </c>
      <c r="B6610" s="0" t="s">
        <v>73</v>
      </c>
      <c r="C6610" s="38" t="n">
        <f aca="false">Sens!$C$6607+Sens!$C$6608+Sens!$C$6609</f>
        <v>32.067</v>
      </c>
      <c r="D6610" s="38" t="n">
        <f aca="false">Sens!$D$6607+Sens!$D$6608+Sens!$D$6609</f>
        <v>41.86</v>
      </c>
      <c r="E6610" s="38" t="n">
        <f aca="false">Sens!$E$6607+Sens!$E$6608+Sens!$E$6609</f>
        <v>26.703</v>
      </c>
      <c r="F6610" s="38" t="n">
        <f aca="false">Sens!$F$6607+Sens!$F$6608+Sens!$F$6609</f>
        <v>30.6103857251209</v>
      </c>
      <c r="G6610" s="38" t="n">
        <f aca="false">Sens!$G$6607+Sens!$G$6608+Sens!$G$6609</f>
        <v>57.3133857251209</v>
      </c>
      <c r="H6610" s="38" t="n">
        <f aca="false">Sens!$H$6607+Sens!$H$6608+Sens!$H$6609</f>
        <v>87.6845218193838</v>
      </c>
      <c r="I6610" s="38" t="n">
        <f aca="false">Sens!$I$6607+Sens!$I$6608+Sens!$I$6609</f>
        <v>122.294769708638</v>
      </c>
      <c r="J6610" s="38" t="n">
        <f aca="false">Sens!$J$6607+Sens!$J$6608+Sens!$J$6609</f>
        <v>157.133962573221</v>
      </c>
      <c r="K6610" s="38" t="n">
        <f aca="false">Sens!$K$6607+Sens!$K$6608+Sens!$K$6609</f>
        <v>191.350633353599</v>
      </c>
      <c r="L6610" s="38" t="n">
        <f aca="false">Sens!$L$6607+Sens!$L$6608+Sens!$L$6609</f>
        <v>223.909238335354</v>
      </c>
      <c r="M6610" s="38" t="n">
        <f aca="false">Sens!$M$6607+Sens!$M$6608+Sens!$M$6609</f>
        <v>257.576319867276</v>
      </c>
      <c r="N6610" s="38" t="n">
        <f aca="false">Sens!$N$6607+Sens!$N$6608+Sens!$N$6609</f>
        <v>18.822</v>
      </c>
      <c r="O6610" s="38" t="n">
        <f aca="false">Sens!$O$6607+Sens!$O$6608+Sens!$O$6609</f>
        <v>23.038</v>
      </c>
    </row>
    <row r="6611" customFormat="false" ht="17.15" hidden="false" customHeight="false" outlineLevel="0" collapsed="false">
      <c r="A6611" s="0" t="s">
        <v>696</v>
      </c>
      <c r="B6611" s="0" t="s">
        <v>73</v>
      </c>
      <c r="C6611" s="38" t="n">
        <f aca="false">Sens!$C$6584+Sens!$C$6589</f>
        <v>28.107</v>
      </c>
      <c r="D6611" s="38" t="n">
        <f aca="false">Sens!$D$6584+Sens!$D$6589</f>
        <v>34.3175</v>
      </c>
      <c r="E6611" s="38" t="n">
        <f aca="false">Sens!$E$6584+Sens!$E$6589</f>
        <v>18.526</v>
      </c>
      <c r="F6611" s="38" t="n">
        <f aca="false">Sens!$F$6584+Sens!$F$6589</f>
        <v>24.0766690913691</v>
      </c>
      <c r="G6611" s="38" t="n">
        <f aca="false">Sens!$G$6584+Sens!$G$6589</f>
        <v>42.6026690913691</v>
      </c>
      <c r="H6611" s="38" t="n">
        <f aca="false">Sens!$H$6584+Sens!$H$6589</f>
        <v>51.1466809294702</v>
      </c>
      <c r="I6611" s="38" t="n">
        <f aca="false">Sens!$I$6584+Sens!$I$6589</f>
        <v>59.6899187926205</v>
      </c>
      <c r="J6611" s="38" t="n">
        <f aca="false">Sens!$J$6584+Sens!$J$6589</f>
        <v>67.6595395244221</v>
      </c>
      <c r="K6611" s="38" t="n">
        <f aca="false">Sens!$K$6584+Sens!$K$6589</f>
        <v>74.4254934768643</v>
      </c>
      <c r="L6611" s="38" t="n">
        <f aca="false">Sens!$L$6584+Sens!$L$6589</f>
        <v>81.8680428245508</v>
      </c>
      <c r="M6611" s="38" t="n">
        <f aca="false">Sens!$M$6584+Sens!$M$6589</f>
        <v>90.0548471070059</v>
      </c>
      <c r="N6611" s="38" t="n">
        <f aca="false">Sens!$N$6584+Sens!$N$6589</f>
        <v>14.8075</v>
      </c>
      <c r="O6611" s="38" t="n">
        <f aca="false">Sens!$O$6584+Sens!$O$6589</f>
        <v>19.51</v>
      </c>
    </row>
    <row r="6612" customFormat="false" ht="17.15" hidden="false" customHeight="false" outlineLevel="0" collapsed="false">
      <c r="A6612" s="0" t="s">
        <v>697</v>
      </c>
      <c r="B6612" s="0" t="s">
        <v>73</v>
      </c>
      <c r="C6612" s="38" t="n">
        <f aca="false">Sens!$C$6588+Sens!$C$6593+Sens!$C$6607+Sens!$C$6608-Sens!$C$6611</f>
        <v>19.399</v>
      </c>
      <c r="D6612" s="38" t="n">
        <f aca="false">Sens!$D$6588+Sens!$D$6593+Sens!$D$6607+Sens!$D$6608-Sens!$D$6611</f>
        <v>20.4615</v>
      </c>
      <c r="E6612" s="38" t="n">
        <f aca="false">Sens!$E$6588+Sens!$E$6593+Sens!$E$6607+Sens!$E$6608-Sens!$E$6611</f>
        <v>13.355</v>
      </c>
      <c r="F6612" s="38" t="n">
        <f aca="false">Sens!$F$6588+Sens!$F$6593+Sens!$F$6607+Sens!$F$6608-Sens!$F$6611</f>
        <v>13.0895111975985</v>
      </c>
      <c r="G6612" s="38" t="n">
        <f aca="false">Sens!$G$6588+Sens!$G$6593+Sens!$G$6607+Sens!$G$6608-Sens!$G$6611</f>
        <v>26.4445111975985</v>
      </c>
      <c r="H6612" s="38" t="n">
        <f aca="false">Sens!$H$6588+Sens!$H$6593+Sens!$H$6607+Sens!$H$6608-Sens!$H$6611</f>
        <v>28.8977096937968</v>
      </c>
      <c r="I6612" s="38" t="n">
        <f aca="false">Sens!$I$6588+Sens!$I$6593+Sens!$I$6607+Sens!$I$6608-Sens!$I$6611</f>
        <v>31.2062039064791</v>
      </c>
      <c r="J6612" s="38" t="n">
        <f aca="false">Sens!$J$6588+Sens!$J$6593+Sens!$J$6607+Sens!$J$6608-Sens!$J$6611</f>
        <v>33.5064572496913</v>
      </c>
      <c r="K6612" s="38" t="n">
        <f aca="false">Sens!$K$6588+Sens!$K$6593+Sens!$K$6607+Sens!$K$6608-Sens!$K$6611</f>
        <v>35.6591461575899</v>
      </c>
      <c r="L6612" s="38" t="n">
        <f aca="false">Sens!$L$6588+Sens!$L$6593+Sens!$L$6607+Sens!$L$6608-Sens!$L$6611</f>
        <v>36.4141007090604</v>
      </c>
      <c r="M6612" s="38" t="n">
        <f aca="false">Sens!$M$6588+Sens!$M$6593+Sens!$M$6607+Sens!$M$6608-Sens!$M$6611</f>
        <v>37.359984207839</v>
      </c>
      <c r="N6612" s="38" t="n">
        <f aca="false">Sens!$N$6588+Sens!$N$6593+Sens!$N$6607+Sens!$N$6608-Sens!$N$6611</f>
        <v>10.6495</v>
      </c>
      <c r="O6612" s="38" t="n">
        <f aca="false">Sens!$O$6588+Sens!$O$6593+Sens!$O$6607+Sens!$O$6608-Sens!$O$6611</f>
        <v>9.81200000000001</v>
      </c>
    </row>
    <row r="6613" customFormat="false" ht="17.15" hidden="false" customHeight="false" outlineLevel="0" collapsed="false">
      <c r="A6613" s="0" t="s">
        <v>698</v>
      </c>
      <c r="B6613" s="0" t="s">
        <v>73</v>
      </c>
      <c r="C6613" s="38" t="n">
        <f aca="false">Sens!$C$6595+Sens!$C$6609-ext_sh*Sens!$C$6530</f>
        <v>51.3470500115664</v>
      </c>
      <c r="D6613" s="38" t="n">
        <f aca="false">Sens!$D$6595+Sens!$D$6609-ext_sh*Sens!$D$6530</f>
        <v>60.2799375433739</v>
      </c>
      <c r="E6613" s="38" t="n">
        <f aca="false">Sens!$E$6595+Sens!$E$6609-ext_sh*Sens!$E$6530</f>
        <v>39.5095167090767</v>
      </c>
      <c r="F6613" s="38" t="n">
        <f aca="false">Sens!$F$6595+Sens!$F$6609-ext_sh*Sens!$F$6530</f>
        <v>41.606724953129</v>
      </c>
      <c r="G6613" s="38" t="n">
        <f aca="false">Sens!$G$6595+Sens!$G$6609-ext_sh*Sens!$G$6530</f>
        <v>81.1162416622057</v>
      </c>
      <c r="H6613" s="38" t="n">
        <f aca="false">Sens!$H$6595+Sens!$H$6609-ext_sh*Sens!$H$6530</f>
        <v>95.7616595325849</v>
      </c>
      <c r="I6613" s="38" t="n">
        <f aca="false">Sens!$I$6595+Sens!$I$6609-ext_sh*Sens!$I$6530</f>
        <v>111.513312079935</v>
      </c>
      <c r="J6613" s="38" t="n">
        <f aca="false">Sens!$J$6595+Sens!$J$6609-ext_sh*Sens!$J$6530</f>
        <v>125.145150463955</v>
      </c>
      <c r="K6613" s="38" t="n">
        <f aca="false">Sens!$K$6595+Sens!$K$6609-ext_sh*Sens!$K$6530</f>
        <v>135.156762501071</v>
      </c>
      <c r="L6613" s="38" t="n">
        <f aca="false">Sens!$L$6595+Sens!$L$6609-ext_sh*Sens!$L$6530</f>
        <v>145.969303501157</v>
      </c>
      <c r="M6613" s="38" t="n">
        <f aca="false">Sens!$M$6595+Sens!$M$6609-ext_sh*Sens!$M$6530</f>
        <v>157.646847781249</v>
      </c>
      <c r="N6613" s="38" t="n">
        <f aca="false">Sens!$N$6595+Sens!$N$6609-ext_sh*Sens!$N$6530</f>
        <v>28.5693781401809</v>
      </c>
      <c r="O6613" s="38" t="n">
        <f aca="false">Sens!$O$6595+Sens!$O$6609-ext_sh*Sens!$O$6530</f>
        <v>31.7105594031931</v>
      </c>
    </row>
    <row r="6614" customFormat="false" ht="17.15" hidden="false" customHeight="false" outlineLevel="0" collapsed="false">
      <c r="A6614" s="0" t="s">
        <v>699</v>
      </c>
      <c r="B6614" s="0" t="s">
        <v>73</v>
      </c>
      <c r="C6614" s="38" t="n">
        <f aca="false">Sens!$C$6533</f>
        <v>1.80694998843362</v>
      </c>
      <c r="D6614" s="38" t="n">
        <f aca="false">Sens!$D$6533</f>
        <v>6.77606245662607</v>
      </c>
      <c r="E6614" s="38" t="n">
        <f aca="false">Sens!$E$6533</f>
        <v>6.62548329092326</v>
      </c>
      <c r="F6614" s="38" t="n">
        <f aca="false">Sens!$F$6533</f>
        <v>11.7200577158706</v>
      </c>
      <c r="G6614" s="38" t="n">
        <f aca="false">Sens!$G$6533</f>
        <v>18.3455410067939</v>
      </c>
      <c r="H6614" s="38" t="n">
        <f aca="false">Sens!$H$6533</f>
        <v>47.5171727060453</v>
      </c>
      <c r="I6614" s="38" t="n">
        <f aca="false">Sens!$I$6533</f>
        <v>80.5539692643667</v>
      </c>
      <c r="J6614" s="38" t="n">
        <f aca="false">Sens!$J$6533</f>
        <v>113.759316834883</v>
      </c>
      <c r="K6614" s="38" t="n">
        <f aca="false">Sens!$K$6533</f>
        <v>147.020848076132</v>
      </c>
      <c r="L6614" s="38" t="n">
        <f aca="false">Sens!$L$6533</f>
        <v>180.307917349531</v>
      </c>
      <c r="M6614" s="38" t="n">
        <f aca="false">Sens!$M$6533</f>
        <v>213.608737871012</v>
      </c>
      <c r="N6614" s="38" t="n">
        <f aca="false">Sens!$N$6533</f>
        <v>2.37162185981912</v>
      </c>
      <c r="O6614" s="38" t="n">
        <f aca="false">Sens!$O$6533</f>
        <v>4.40444059680694</v>
      </c>
    </row>
    <row r="6615" customFormat="false" ht="17.15" hidden="false" customHeight="false" outlineLevel="0" collapsed="false">
      <c r="A6615" s="0" t="s">
        <v>700</v>
      </c>
      <c r="B6615" s="0" t="s">
        <v>73</v>
      </c>
      <c r="C6615" s="38" t="n">
        <f aca="false">Sens!$C$6598+Sens!$C$6610</f>
        <v>100.66</v>
      </c>
      <c r="D6615" s="38" t="n">
        <f aca="false">Sens!$D$6598+Sens!$D$6610</f>
        <v>121.835</v>
      </c>
      <c r="E6615" s="38" t="n">
        <f aca="false">Sens!$E$6598+Sens!$E$6610</f>
        <v>78.016</v>
      </c>
      <c r="F6615" s="38" t="n">
        <f aca="false">Sens!$F$6598+Sens!$F$6610</f>
        <v>90.4929629579672</v>
      </c>
      <c r="G6615" s="38" t="n">
        <f aca="false">Sens!$G$6598+Sens!$G$6610</f>
        <v>168.508962957967</v>
      </c>
      <c r="H6615" s="38" t="n">
        <f aca="false">Sens!$H$6598+Sens!$H$6610</f>
        <v>223.323222861897</v>
      </c>
      <c r="I6615" s="38" t="n">
        <f aca="false">Sens!$I$6598+Sens!$I$6610</f>
        <v>282.963404043402</v>
      </c>
      <c r="J6615" s="38" t="n">
        <f aca="false">Sens!$J$6598+Sens!$J$6610</f>
        <v>340.070464072952</v>
      </c>
      <c r="K6615" s="38" t="n">
        <f aca="false">Sens!$K$6598+Sens!$K$6610</f>
        <v>392.262250211657</v>
      </c>
      <c r="L6615" s="38" t="n">
        <f aca="false">Sens!$L$6598+Sens!$L$6610</f>
        <v>444.559364384299</v>
      </c>
      <c r="M6615" s="38" t="n">
        <f aca="false">Sens!$M$6598+Sens!$M$6610</f>
        <v>498.670416967106</v>
      </c>
      <c r="N6615" s="38" t="n">
        <f aca="false">Sens!$N$6598+Sens!$N$6610</f>
        <v>56.398</v>
      </c>
      <c r="O6615" s="38" t="n">
        <f aca="false">Sens!$O$6598+Sens!$O$6610</f>
        <v>65.437</v>
      </c>
    </row>
    <row r="6616" customFormat="false" ht="17.15" hidden="false" customHeight="false" outlineLevel="0" collapsed="false">
      <c r="A6616" s="1" t="s">
        <v>701</v>
      </c>
    </row>
    <row r="6617" customFormat="false" ht="15" hidden="false" customHeight="false" outlineLevel="0" collapsed="false">
      <c r="A6617" s="5" t="s">
        <v>504</v>
      </c>
      <c r="B6617" s="0" t="s">
        <v>73</v>
      </c>
      <c r="C6617" s="38" t="n">
        <f aca="false">Q!$D$34</f>
        <v>2.406</v>
      </c>
      <c r="D6617" s="38" t="n">
        <f aca="false">Q!$E$34</f>
        <v>2.274</v>
      </c>
      <c r="E6617" s="38" t="n">
        <f aca="false">Q!$P$34</f>
        <v>2.114</v>
      </c>
      <c r="F6617" s="38" t="n">
        <f aca="false">Sens!$F$6653</f>
        <v>3.24888964316061</v>
      </c>
      <c r="G6617" s="38" t="n">
        <f aca="false">Sens!$E$6617+Sens!$F$6617</f>
        <v>5.36288964316061</v>
      </c>
      <c r="H6617" s="38" t="n">
        <f aca="false">Sens!$H$6653</f>
        <v>7.42354178632123</v>
      </c>
      <c r="I6617" s="38" t="n">
        <f aca="false">Sens!$I$6653</f>
        <v>7.51827597635917</v>
      </c>
      <c r="J6617" s="38" t="n">
        <f aca="false">Sens!$J$6653</f>
        <v>7.76994062068418</v>
      </c>
      <c r="K6617" s="38" t="n">
        <f aca="false">Sens!$K$6653</f>
        <v>7.76994062068418</v>
      </c>
      <c r="L6617" s="38" t="n">
        <f aca="false">Sens!$L$6653</f>
        <v>7.76994062068418</v>
      </c>
      <c r="M6617" s="38" t="n">
        <f aca="false">Sens!$M$6653</f>
        <v>7.76994062068418</v>
      </c>
      <c r="N6617" s="38" t="n">
        <f aca="false">Q!$N$34</f>
        <v>1.057</v>
      </c>
      <c r="O6617" s="38" t="n">
        <f aca="false">Q!$O$34</f>
        <v>1.217</v>
      </c>
    </row>
    <row r="6618" customFormat="false" ht="15" hidden="false" customHeight="false" outlineLevel="0" collapsed="false">
      <c r="A6618" s="5" t="s">
        <v>702</v>
      </c>
      <c r="B6618" s="0" t="s">
        <v>73</v>
      </c>
      <c r="F6618" s="38" t="n">
        <f aca="false">Sens!$F$6654</f>
        <v>2.59</v>
      </c>
      <c r="H6618" s="38" t="n">
        <f aca="false">Sens!$H$6654</f>
        <v>4.00971603121774</v>
      </c>
      <c r="I6618" s="38" t="n">
        <f aca="false">Sens!$I$6654</f>
        <v>2.10589651022864</v>
      </c>
      <c r="J6618" s="38" t="n">
        <f aca="false">Sens!$J$6654</f>
        <v>2.10589651022864</v>
      </c>
      <c r="K6618" s="38" t="n">
        <f aca="false">Sens!$K$6654</f>
        <v>3.77985822695893</v>
      </c>
      <c r="L6618" s="38" t="n">
        <f aca="false">Sens!$L$6654</f>
        <v>7.24081936505971</v>
      </c>
      <c r="M6618" s="38" t="n">
        <f aca="false">Sens!$M$6654</f>
        <v>11.205150593419</v>
      </c>
    </row>
    <row r="6619" customFormat="false" ht="17.15" hidden="false" customHeight="false" outlineLevel="0" collapsed="false">
      <c r="A6619" s="5" t="s">
        <v>703</v>
      </c>
      <c r="B6619" s="0" t="s">
        <v>73</v>
      </c>
      <c r="C6619" s="38" t="n">
        <f aca="false">Q!$D$39</f>
        <v>2.427</v>
      </c>
      <c r="D6619" s="38" t="n">
        <f aca="false">Q!$E$39</f>
        <v>19.61</v>
      </c>
      <c r="E6619" s="38" t="n">
        <f aca="false">Q!$P$39</f>
        <v>71.492</v>
      </c>
      <c r="F6619" s="41" t="n">
        <v>0</v>
      </c>
      <c r="G6619" s="38" t="n">
        <f aca="false">Sens!$E$6619+Sens!$F$6619</f>
        <v>71.492</v>
      </c>
      <c r="H6619" s="41" t="n">
        <v>0</v>
      </c>
      <c r="I6619" s="41" t="n">
        <v>0</v>
      </c>
      <c r="J6619" s="41" t="n">
        <v>0</v>
      </c>
      <c r="K6619" s="41" t="n">
        <v>0</v>
      </c>
      <c r="L6619" s="41" t="n">
        <v>0</v>
      </c>
      <c r="M6619" s="41" t="n">
        <v>0</v>
      </c>
      <c r="N6619" s="38" t="n">
        <f aca="false">Q!$N$39</f>
        <v>6.017</v>
      </c>
      <c r="O6619" s="38" t="n">
        <f aca="false">Q!$O$39</f>
        <v>13.593</v>
      </c>
      <c r="P6619" s="5" t="s">
        <v>704</v>
      </c>
    </row>
    <row r="6620" customFormat="false" ht="15" hidden="false" customHeight="false" outlineLevel="0" collapsed="false">
      <c r="A6620" s="5" t="s">
        <v>507</v>
      </c>
      <c r="B6620" s="0" t="s">
        <v>73</v>
      </c>
      <c r="C6620" s="38" t="n">
        <f aca="false">Q!$D$36</f>
        <v>68.614</v>
      </c>
      <c r="D6620" s="38" t="n">
        <f aca="false">Q!$E$36</f>
        <v>97.311</v>
      </c>
      <c r="E6620" s="38" t="n">
        <f aca="false">Q!$P$36</f>
        <v>120.691</v>
      </c>
      <c r="F6620" s="38" t="n">
        <f aca="false">Sens!$F$6598-Sens!$F$6617+Sens!$F$6618+Sens!$F$6619</f>
        <v>59.2236875896856</v>
      </c>
      <c r="G6620" s="38" t="n">
        <f aca="false">Sens!$E$6620+Sens!$F$6620</f>
        <v>179.914687589686</v>
      </c>
      <c r="H6620" s="38" t="n">
        <f aca="false">Sens!$H$6598-Sens!$H$6617+Sens!$H$6618+Sens!$H$6619</f>
        <v>132.22487528741</v>
      </c>
      <c r="I6620" s="38" t="n">
        <f aca="false">Sens!$I$6598-Sens!$I$6617+Sens!$I$6618+Sens!$I$6619</f>
        <v>155.256254868633</v>
      </c>
      <c r="J6620" s="38" t="n">
        <f aca="false">Sens!$J$6598-Sens!$J$6617+Sens!$J$6618+Sens!$J$6619</f>
        <v>177.272457389275</v>
      </c>
      <c r="K6620" s="38" t="n">
        <f aca="false">Sens!$K$6598-Sens!$K$6617+Sens!$K$6618+Sens!$K$6619</f>
        <v>196.921534464333</v>
      </c>
      <c r="L6620" s="38" t="n">
        <f aca="false">Sens!$L$6598-Sens!$L$6617+Sens!$L$6618+Sens!$L$6619</f>
        <v>220.12100479332</v>
      </c>
      <c r="M6620" s="38" t="n">
        <f aca="false">Sens!$M$6598-Sens!$M$6617+Sens!$M$6618+Sens!$M$6619</f>
        <v>244.529307072564</v>
      </c>
      <c r="N6620" s="38" t="n">
        <f aca="false">Q!$N$36</f>
        <v>42.536</v>
      </c>
      <c r="O6620" s="38" t="n">
        <f aca="false">Q!$O$36</f>
        <v>54.775</v>
      </c>
    </row>
    <row r="6621" customFormat="false" ht="15" hidden="false" customHeight="false" outlineLevel="0" collapsed="false">
      <c r="A6621" s="5" t="s">
        <v>508</v>
      </c>
      <c r="B6621" s="0" t="s">
        <v>73</v>
      </c>
      <c r="C6621" s="38" t="n">
        <f aca="false">Q!$D$37</f>
        <v>9.265</v>
      </c>
      <c r="D6621" s="38" t="n">
        <f aca="false">Q!$E$37</f>
        <v>19.087</v>
      </c>
      <c r="E6621" s="38" t="n">
        <f aca="false">Q!$P$37</f>
        <v>27.759</v>
      </c>
      <c r="F6621" s="38" t="n">
        <f aca="false">Sens!$F$6620*tax</f>
        <v>10.2803157750071</v>
      </c>
      <c r="G6621" s="38" t="n">
        <f aca="false">Sens!$E$6621+Sens!$F$6621</f>
        <v>38.0393157750071</v>
      </c>
      <c r="H6621" s="38" t="n">
        <f aca="false">Sens!$H$6620*tax</f>
        <v>22.9521923842892</v>
      </c>
      <c r="I6621" s="38" t="n">
        <f aca="false">Sens!$I$6620*tax</f>
        <v>26.9500835063251</v>
      </c>
      <c r="J6621" s="38" t="n">
        <f aca="false">Sens!$J$6620*tax</f>
        <v>30.7717555988633</v>
      </c>
      <c r="K6621" s="38" t="n">
        <f aca="false">Sens!$K$6620*tax</f>
        <v>34.1825313414772</v>
      </c>
      <c r="L6621" s="38" t="n">
        <f aca="false">Sens!$L$6620*tax</f>
        <v>38.209600416393</v>
      </c>
      <c r="M6621" s="38" t="n">
        <f aca="false">Sens!$M$6620*tax</f>
        <v>42.4465040131586</v>
      </c>
      <c r="N6621" s="38" t="n">
        <f aca="false">Q!$N$37</f>
        <v>7.231</v>
      </c>
      <c r="O6621" s="38" t="n">
        <f aca="false">Q!$O$37</f>
        <v>11.856</v>
      </c>
    </row>
    <row r="6622" customFormat="false" ht="15" hidden="false" customHeight="false" outlineLevel="0" collapsed="false">
      <c r="A6622" s="3" t="s">
        <v>509</v>
      </c>
      <c r="B6622" s="8" t="s">
        <v>73</v>
      </c>
      <c r="C6622" s="38" t="n">
        <f aca="false">Q!$D$38</f>
        <v>59.248</v>
      </c>
      <c r="D6622" s="38" t="n">
        <f aca="false">Q!$E$38</f>
        <v>77.67</v>
      </c>
      <c r="E6622" s="38" t="n">
        <f aca="false">Q!$P$38</f>
        <v>92.902</v>
      </c>
      <c r="F6622" s="38" t="n">
        <f aca="false">Sens!$F$6620-Sens!$F$6621</f>
        <v>48.9433718146785</v>
      </c>
      <c r="G6622" s="38" t="n">
        <f aca="false">Sens!$E$6622+Sens!$F$6622</f>
        <v>141.845371814679</v>
      </c>
      <c r="H6622" s="38" t="n">
        <f aca="false">Sens!$H$6620-Sens!$H$6621</f>
        <v>109.272682903121</v>
      </c>
      <c r="I6622" s="38" t="n">
        <f aca="false">Sens!$I$6620-Sens!$I$6621</f>
        <v>128.306171362308</v>
      </c>
      <c r="J6622" s="38" t="n">
        <f aca="false">Sens!$J$6620-Sens!$J$6621</f>
        <v>146.500701790412</v>
      </c>
      <c r="K6622" s="38" t="n">
        <f aca="false">Sens!$K$6620-Sens!$K$6621</f>
        <v>162.739003122855</v>
      </c>
      <c r="L6622" s="38" t="n">
        <f aca="false">Sens!$L$6620-Sens!$L$6621</f>
        <v>181.911404376927</v>
      </c>
      <c r="M6622" s="38" t="n">
        <f aca="false">Sens!$M$6620-Sens!$M$6621</f>
        <v>202.082803059406</v>
      </c>
      <c r="N6622" s="38" t="n">
        <f aca="false">Q!$N$38</f>
        <v>35.291</v>
      </c>
      <c r="O6622" s="38" t="n">
        <f aca="false">Q!$O$38</f>
        <v>42.379</v>
      </c>
    </row>
    <row r="6623" customFormat="false" ht="17.15" hidden="false" customHeight="false" outlineLevel="0" collapsed="false">
      <c r="A6623" s="5" t="s">
        <v>512</v>
      </c>
      <c r="B6623" s="5" t="s">
        <v>33</v>
      </c>
      <c r="C6623" s="22" t="n">
        <f aca="false">Q!$D$41</f>
        <v>10.721</v>
      </c>
      <c r="D6623" s="22" t="n">
        <f aca="false">Q!$E$41</f>
        <v>10.827</v>
      </c>
      <c r="E6623" s="22" t="n">
        <f aca="false">(Q!$L$41+Q!$M$41)/2</f>
        <v>10.8885</v>
      </c>
      <c r="F6623" s="22" t="n">
        <f aca="false">Sens!$G$6623</f>
        <v>10.924806</v>
      </c>
      <c r="G6623" s="22" t="n">
        <f aca="false">Q!$M$41*(1+sh_g*0.25)</f>
        <v>10.924806</v>
      </c>
      <c r="H6623" s="22" t="n">
        <f aca="false">Sens!$G$6623*(1+sh_g)</f>
        <v>11.012204448</v>
      </c>
      <c r="I6623" s="22" t="n">
        <f aca="false">Sens!$H$6623*(1+sh_g)</f>
        <v>11.100302083584</v>
      </c>
      <c r="J6623" s="22" t="n">
        <f aca="false">Sens!$I$6623*(1+sh_g)</f>
        <v>11.1891045002527</v>
      </c>
      <c r="K6623" s="22" t="n">
        <f aca="false">Sens!$J$6623*(1+sh_g)</f>
        <v>11.2786173362547</v>
      </c>
      <c r="L6623" s="22" t="n">
        <f aca="false">Sens!$K$6623*(1+sh_g)</f>
        <v>11.3688462749447</v>
      </c>
      <c r="M6623" s="22" t="n">
        <f aca="false">Sens!$L$6623*(1+sh_g)</f>
        <v>11.4597970451443</v>
      </c>
      <c r="P6623" s="5" t="s">
        <v>705</v>
      </c>
    </row>
    <row r="6624" customFormat="false" ht="17.15" hidden="false" customHeight="false" outlineLevel="0" collapsed="false">
      <c r="A6624" s="42" t="s">
        <v>706</v>
      </c>
      <c r="B6624" s="13" t="s">
        <v>27</v>
      </c>
      <c r="C6624" s="43" t="n">
        <f aca="false">Sens!$C$6622/Sens!$C$6623</f>
        <v>5.52635015390355</v>
      </c>
      <c r="D6624" s="43" t="n">
        <f aca="false">Sens!$D$6622/Sens!$D$6623</f>
        <v>7.1737323358271</v>
      </c>
      <c r="E6624" s="43" t="n">
        <f aca="false">Sens!$E$6622/Sens!$E$6623</f>
        <v>8.53212104513937</v>
      </c>
      <c r="F6624" s="13"/>
      <c r="G6624" s="43" t="n">
        <f aca="false">Sens!$G$6622/Sens!$G$6623</f>
        <v>12.9837886196495</v>
      </c>
      <c r="H6624" s="43" t="n">
        <f aca="false">Sens!$H$6622/Sens!$H$6623</f>
        <v>9.92287088558062</v>
      </c>
      <c r="I6624" s="43" t="n">
        <f aca="false">Sens!$I$6622/Sens!$I$6623</f>
        <v>11.5587999674403</v>
      </c>
      <c r="J6624" s="43" t="n">
        <f aca="false">Sens!$J$6622/Sens!$J$6623</f>
        <v>13.0931569892035</v>
      </c>
      <c r="K6624" s="43" t="n">
        <f aca="false">Sens!$K$6622/Sens!$K$6623</f>
        <v>14.4289852444711</v>
      </c>
      <c r="L6624" s="43" t="n">
        <f aca="false">Sens!$L$6622/Sens!$L$6623</f>
        <v>16.0008676322621</v>
      </c>
      <c r="M6624" s="43" t="n">
        <f aca="false">Sens!$M$6622/Sens!$M$6623</f>
        <v>17.6340647450673</v>
      </c>
      <c r="N6624" s="13"/>
      <c r="O6624" s="13"/>
    </row>
    <row r="6625" customFormat="false" ht="17.15" hidden="false" customHeight="false" outlineLevel="0" collapsed="false">
      <c r="A6625" s="0" t="s">
        <v>707</v>
      </c>
      <c r="B6625" s="0" t="s">
        <v>27</v>
      </c>
      <c r="C6625" s="30" t="n">
        <f aca="false">(Sens!$C$6622-Sens!$C$6619*(1-tax))/Sens!$C$6623</f>
        <v>5.33926775917445</v>
      </c>
      <c r="D6625" s="30" t="n">
        <f aca="false">(Sens!$D$6622-Sens!$D$6619*(1-tax))/Sens!$D$6623</f>
        <v>5.67691812755503</v>
      </c>
      <c r="E6625" s="30" t="n">
        <f aca="false">(Sens!$E$6622-Sens!$E$6619*(1-tax))/Sens!$E$6623</f>
        <v>3.10602057006846</v>
      </c>
      <c r="G6625" s="30" t="n">
        <f aca="false">(Sens!$G$6622-Sens!$G$6619*(1-tax))/Sens!$G$6623</f>
        <v>7.57572050175252</v>
      </c>
      <c r="H6625" s="30" t="n">
        <f aca="false">(Sens!$H$6622-Sens!$H$6619*(1-tax))/Sens!$H$6623</f>
        <v>9.92287088558062</v>
      </c>
      <c r="I6625" s="30" t="n">
        <f aca="false">(Sens!$I$6622-Sens!$I$6619*(1-tax))/Sens!$I$6623</f>
        <v>11.5587999674403</v>
      </c>
      <c r="J6625" s="30" t="n">
        <f aca="false">(Sens!$J$6622-Sens!$J$6619*(1-tax))/Sens!$J$6623</f>
        <v>13.0931569892035</v>
      </c>
      <c r="K6625" s="30" t="n">
        <f aca="false">(Sens!$K$6622-Sens!$K$6619*(1-tax))/Sens!$K$6623</f>
        <v>14.4289852444711</v>
      </c>
      <c r="L6625" s="30" t="n">
        <f aca="false">(Sens!$L$6622-Sens!$L$6619*(1-tax))/Sens!$L$6623</f>
        <v>16.0008676322621</v>
      </c>
      <c r="M6625" s="30" t="n">
        <f aca="false">(Sens!$M$6622-Sens!$M$6619*(1-tax))/Sens!$M$6623</f>
        <v>17.6340647450673</v>
      </c>
      <c r="P6625" s="5" t="s">
        <v>708</v>
      </c>
    </row>
    <row r="6626" customFormat="false" ht="17.15" hidden="false" customHeight="false" outlineLevel="0" collapsed="false">
      <c r="A6626" s="0" t="s">
        <v>709</v>
      </c>
      <c r="B6626" s="0" t="s">
        <v>52</v>
      </c>
      <c r="H6626" s="12" t="n">
        <f aca="false">Sens!$H$6624/Sens!$G$6624-1</f>
        <v>-0.23574919645846</v>
      </c>
      <c r="I6626" s="12" t="n">
        <f aca="false">Sens!$I$6624/Sens!$H$6624-1</f>
        <v>0.164864493423664</v>
      </c>
      <c r="J6626" s="12" t="n">
        <f aca="false">Sens!$J$6624/Sens!$I$6624-1</f>
        <v>0.132743626162345</v>
      </c>
      <c r="K6626" s="12" t="n">
        <f aca="false">Sens!$K$6624/Sens!$J$6624-1</f>
        <v>0.102024917013454</v>
      </c>
      <c r="L6626" s="12" t="n">
        <f aca="false">Sens!$L$6624/Sens!$K$6624-1</f>
        <v>0.108939219297719</v>
      </c>
      <c r="M6626" s="12" t="n">
        <f aca="false">Sens!$M$6624/Sens!$L$6624-1</f>
        <v>0.102069284637555</v>
      </c>
    </row>
    <row r="6629" customFormat="false" ht="19.4" hidden="false" customHeight="false" outlineLevel="0" collapsed="false">
      <c r="A6629" s="31" t="s">
        <v>1188</v>
      </c>
    </row>
    <row r="6630" customFormat="false" ht="17.15" hidden="false" customHeight="false" outlineLevel="0" collapsed="false">
      <c r="A6630" s="6" t="s">
        <v>16</v>
      </c>
      <c r="B6630" s="6" t="s">
        <v>17</v>
      </c>
      <c r="C6630" s="20" t="s">
        <v>457</v>
      </c>
      <c r="D6630" s="20" t="s">
        <v>458</v>
      </c>
      <c r="E6630" s="20" t="s">
        <v>540</v>
      </c>
      <c r="F6630" s="20" t="s">
        <v>541</v>
      </c>
      <c r="G6630" s="20" t="s">
        <v>542</v>
      </c>
      <c r="H6630" s="20" t="s">
        <v>543</v>
      </c>
      <c r="I6630" s="20" t="s">
        <v>544</v>
      </c>
      <c r="J6630" s="20" t="s">
        <v>545</v>
      </c>
      <c r="K6630" s="20" t="s">
        <v>546</v>
      </c>
      <c r="L6630" s="20" t="s">
        <v>547</v>
      </c>
      <c r="M6630" s="20" t="s">
        <v>548</v>
      </c>
      <c r="N6630" s="20" t="s">
        <v>549</v>
      </c>
      <c r="O6630" s="20" t="s">
        <v>550</v>
      </c>
      <c r="P6630" s="6" t="s">
        <v>23</v>
      </c>
      <c r="R6630" s="20" t="n">
        <v>2023</v>
      </c>
      <c r="S6630" s="20" t="n">
        <v>2024</v>
      </c>
      <c r="T6630" s="20" t="n">
        <v>2025</v>
      </c>
      <c r="U6630" s="20" t="n">
        <v>2026</v>
      </c>
      <c r="V6630" s="20" t="n">
        <v>2027</v>
      </c>
      <c r="W6630" s="20" t="n">
        <v>2028</v>
      </c>
      <c r="X6630" s="20" t="n">
        <v>2029</v>
      </c>
      <c r="Y6630" s="20" t="n">
        <v>2030</v>
      </c>
      <c r="Z6630" s="20" t="n">
        <v>2031</v>
      </c>
      <c r="AA6630" s="20" t="n">
        <v>2032</v>
      </c>
    </row>
    <row r="6631" customFormat="false" ht="15" hidden="false" customHeight="false" outlineLevel="0" collapsed="false">
      <c r="A6631" s="5" t="s">
        <v>509</v>
      </c>
      <c r="B6631" s="0" t="s">
        <v>73</v>
      </c>
      <c r="C6631" s="38" t="n">
        <f aca="false">Sens!$C$6622</f>
        <v>59.248</v>
      </c>
      <c r="D6631" s="38" t="n">
        <f aca="false">Sens!$D$6622</f>
        <v>77.67</v>
      </c>
      <c r="E6631" s="38" t="n">
        <f aca="false">Sens!$E$6622</f>
        <v>92.902</v>
      </c>
      <c r="F6631" s="38" t="n">
        <f aca="false">Sens!$F$6622</f>
        <v>48.9433718146785</v>
      </c>
      <c r="G6631" s="38" t="n">
        <f aca="false">Sens!$G$6622</f>
        <v>141.845371814679</v>
      </c>
      <c r="H6631" s="38" t="n">
        <f aca="false">Sens!$H$6622</f>
        <v>109.272682903121</v>
      </c>
      <c r="I6631" s="38" t="n">
        <f aca="false">Sens!$I$6622</f>
        <v>128.306171362308</v>
      </c>
      <c r="J6631" s="38" t="n">
        <f aca="false">Sens!$J$6622</f>
        <v>146.500701790412</v>
      </c>
      <c r="K6631" s="38" t="n">
        <f aca="false">Sens!$K$6622</f>
        <v>162.739003122855</v>
      </c>
      <c r="L6631" s="38" t="n">
        <f aca="false">Sens!$L$6622</f>
        <v>181.911404376927</v>
      </c>
      <c r="M6631" s="38" t="n">
        <f aca="false">Sens!$M$6622</f>
        <v>202.082803059406</v>
      </c>
    </row>
    <row r="6632" customFormat="false" ht="17.15" hidden="false" customHeight="false" outlineLevel="0" collapsed="false">
      <c r="A6632" s="5" t="s">
        <v>731</v>
      </c>
      <c r="B6632" s="0" t="s">
        <v>73</v>
      </c>
      <c r="C6632" s="38" t="n">
        <f aca="false">Sens!$C$6610</f>
        <v>32.067</v>
      </c>
      <c r="D6632" s="38" t="n">
        <f aca="false">Sens!$D$6610</f>
        <v>41.86</v>
      </c>
      <c r="E6632" s="38" t="n">
        <f aca="false">Sens!$E$6610</f>
        <v>26.703</v>
      </c>
      <c r="F6632" s="38" t="n">
        <f aca="false">Sens!$F$6610</f>
        <v>30.6103857251209</v>
      </c>
      <c r="G6632" s="38" t="n">
        <f aca="false">Sens!$G$6610</f>
        <v>57.3133857251209</v>
      </c>
      <c r="H6632" s="38" t="n">
        <f aca="false">Sens!$H$6610</f>
        <v>87.6845218193838</v>
      </c>
      <c r="I6632" s="38" t="n">
        <f aca="false">Sens!$I$6610</f>
        <v>122.294769708638</v>
      </c>
      <c r="J6632" s="38" t="n">
        <f aca="false">Sens!$J$6610</f>
        <v>157.133962573221</v>
      </c>
      <c r="K6632" s="38" t="n">
        <f aca="false">Sens!$K$6610</f>
        <v>191.350633353599</v>
      </c>
      <c r="L6632" s="38" t="n">
        <f aca="false">Sens!$L$6610</f>
        <v>223.909238335354</v>
      </c>
      <c r="M6632" s="38" t="n">
        <f aca="false">Sens!$M$6610</f>
        <v>257.576319867276</v>
      </c>
    </row>
    <row r="6633" customFormat="false" ht="15" hidden="false" customHeight="false" outlineLevel="0" collapsed="false">
      <c r="A6633" s="5" t="s">
        <v>732</v>
      </c>
      <c r="B6633" s="0" t="s">
        <v>73</v>
      </c>
      <c r="C6633" s="38" t="n">
        <f aca="false">Q!$D$48</f>
        <v>22.011</v>
      </c>
      <c r="D6633" s="38" t="n">
        <f aca="false">Q!$E$48</f>
        <v>19.467</v>
      </c>
      <c r="E6633" s="38" t="n">
        <f aca="false">Q!$P$48</f>
        <v>10.07</v>
      </c>
      <c r="F6633" s="38" t="n">
        <f aca="false">sbc_r*Sens!$F$6554</f>
        <v>11.2170714500462</v>
      </c>
      <c r="G6633" s="38" t="n">
        <f aca="false">Sens!$E$6633+Sens!$F$6633</f>
        <v>21.2870714500462</v>
      </c>
      <c r="H6633" s="38" t="n">
        <f aca="false">sbc_r*Sens!$H$6554</f>
        <v>24.1772394325528</v>
      </c>
      <c r="I6633" s="38" t="n">
        <f aca="false">sbc_r*Sens!$I$6554</f>
        <v>27.6495284422397</v>
      </c>
      <c r="J6633" s="38" t="n">
        <f aca="false">sbc_r*Sens!$J$6554</f>
        <v>30.9042211184633</v>
      </c>
      <c r="K6633" s="38" t="n">
        <f aca="false">sbc_r*Sens!$K$6554</f>
        <v>33.8004145402678</v>
      </c>
      <c r="L6633" s="38" t="n">
        <f aca="false">sbc_r*Sens!$L$6554</f>
        <v>36.8322537652494</v>
      </c>
      <c r="M6633" s="38" t="n">
        <f aca="false">sbc_r*Sens!$M$6554</f>
        <v>40.0097627968013</v>
      </c>
    </row>
    <row r="6634" customFormat="false" ht="17.15" hidden="false" customHeight="false" outlineLevel="0" collapsed="false">
      <c r="A6634" s="5" t="s">
        <v>733</v>
      </c>
      <c r="B6634" s="0" t="s">
        <v>73</v>
      </c>
      <c r="C6634" s="38" t="n">
        <f aca="false">Q!$D$44-Sens!$C$6631-Sens!$C$6632-Sens!$C$6633</f>
        <v>2.551</v>
      </c>
      <c r="D6634" s="38" t="n">
        <f aca="false">Q!$E$44-Sens!$D$6631-Sens!$D$6632-Sens!$D$6633</f>
        <v>0.51700000000001</v>
      </c>
      <c r="E6634" s="38" t="n">
        <f aca="false">Q!$P$44-Sens!$E$6631-Sens!$E$6632-Sens!$E$6633</f>
        <v>-58.256</v>
      </c>
      <c r="F6634" s="38" t="n">
        <f aca="false">wc_2h26+oth_r*Sens!$F$6554</f>
        <v>7.34599241893378</v>
      </c>
      <c r="G6634" s="38" t="n">
        <f aca="false">Sens!$E$6634+Sens!$F$6634</f>
        <v>-50.9100075810662</v>
      </c>
      <c r="H6634" s="38" t="n">
        <f aca="false">oth_r*Sens!$H$6554</f>
        <v>11.6369707537667</v>
      </c>
      <c r="I6634" s="38" t="n">
        <f aca="false">oth_r*Sens!$I$6554</f>
        <v>13.3082502961262</v>
      </c>
      <c r="J6634" s="38" t="n">
        <f aca="false">oth_r*Sens!$J$6554</f>
        <v>14.8747965344332</v>
      </c>
      <c r="K6634" s="38" t="n">
        <f aca="false">oth_r*Sens!$K$6554</f>
        <v>16.2687901804328</v>
      </c>
      <c r="L6634" s="38" t="n">
        <f aca="false">oth_r*Sens!$L$6554</f>
        <v>17.7280727627002</v>
      </c>
      <c r="M6634" s="38" t="n">
        <f aca="false">oth_r*Sens!$M$6554</f>
        <v>19.2574690270319</v>
      </c>
      <c r="P6634" s="8" t="s">
        <v>734</v>
      </c>
    </row>
    <row r="6635" customFormat="false" ht="15" hidden="false" customHeight="false" outlineLevel="0" collapsed="false">
      <c r="A6635" s="3" t="s">
        <v>515</v>
      </c>
      <c r="B6635" s="8" t="s">
        <v>73</v>
      </c>
      <c r="C6635" s="38" t="n">
        <f aca="false">Q!$D$44</f>
        <v>115.877</v>
      </c>
      <c r="D6635" s="38" t="n">
        <f aca="false">Q!$E$44</f>
        <v>139.514</v>
      </c>
      <c r="E6635" s="38" t="n">
        <f aca="false">Q!$P$44</f>
        <v>71.419</v>
      </c>
      <c r="F6635" s="38" t="n">
        <f aca="false">Sens!$F$6631+Sens!$F$6632+Sens!$F$6633+Sens!$F$6634</f>
        <v>98.1168214087795</v>
      </c>
      <c r="G6635" s="38" t="n">
        <f aca="false">Sens!$E$6635+Sens!$F$6635</f>
        <v>169.535821408779</v>
      </c>
      <c r="H6635" s="38" t="n">
        <f aca="false">Sens!$H$6631+Sens!$H$6632+Sens!$H$6633+Sens!$H$6634</f>
        <v>232.771414908824</v>
      </c>
      <c r="I6635" s="38" t="n">
        <f aca="false">Sens!$I$6631+Sens!$I$6632+Sens!$I$6633+Sens!$I$6634</f>
        <v>291.558719809312</v>
      </c>
      <c r="J6635" s="38" t="n">
        <f aca="false">Sens!$J$6631+Sens!$J$6632+Sens!$J$6633+Sens!$J$6634</f>
        <v>349.413682016529</v>
      </c>
      <c r="K6635" s="38" t="n">
        <f aca="false">Sens!$K$6631+Sens!$K$6632+Sens!$K$6633+Sens!$K$6634</f>
        <v>404.158841197156</v>
      </c>
      <c r="L6635" s="38" t="n">
        <f aca="false">Sens!$L$6631+Sens!$L$6632+Sens!$L$6633+Sens!$L$6634</f>
        <v>460.380969240231</v>
      </c>
      <c r="M6635" s="38" t="n">
        <f aca="false">Sens!$M$6631+Sens!$M$6632+Sens!$M$6633+Sens!$M$6634</f>
        <v>518.926354750515</v>
      </c>
    </row>
    <row r="6636" customFormat="false" ht="17.15" hidden="false" customHeight="false" outlineLevel="0" collapsed="false">
      <c r="A6636" s="5" t="s">
        <v>735</v>
      </c>
      <c r="B6636" s="0" t="s">
        <v>73</v>
      </c>
      <c r="C6636" s="38" t="n">
        <f aca="false">Sens!$C$6523</f>
        <v>25.2781053077374</v>
      </c>
      <c r="D6636" s="38" t="n">
        <f aca="false">Sens!$D$6523</f>
        <v>69.5686316310026</v>
      </c>
      <c r="E6636" s="38" t="n">
        <f aca="false">Sens!$E$6523</f>
        <v>64.1899206485108</v>
      </c>
      <c r="F6636" s="38" t="n">
        <f aca="false">Sens!$F$6523</f>
        <v>96.2481299895</v>
      </c>
      <c r="G6636" s="38" t="n">
        <f aca="false">Sens!$G$6523</f>
        <v>160.438050638011</v>
      </c>
      <c r="H6636" s="38" t="n">
        <f aca="false">Sens!$H$6523</f>
        <v>198.57136494475</v>
      </c>
      <c r="I6636" s="38" t="n">
        <f aca="false">Sens!$I$6523</f>
        <v>204.6464699105</v>
      </c>
      <c r="J6636" s="38" t="n">
        <f aca="false">Sens!$J$6523</f>
        <v>209.8832381105</v>
      </c>
      <c r="K6636" s="38" t="n">
        <f aca="false">Sens!$K$6523</f>
        <v>215.1200063105</v>
      </c>
      <c r="L6636" s="38" t="n">
        <f aca="false">Sens!$L$6523</f>
        <v>251.7773837105</v>
      </c>
      <c r="M6636" s="38" t="n">
        <f aca="false">Sens!$M$6523</f>
        <v>311.87584476575</v>
      </c>
    </row>
    <row r="6637" customFormat="false" ht="17.15" hidden="false" customHeight="false" outlineLevel="0" collapsed="false">
      <c r="A6637" s="5" t="s">
        <v>736</v>
      </c>
      <c r="B6637" s="0" t="s">
        <v>73</v>
      </c>
      <c r="C6637" s="38" t="n">
        <f aca="false">cx_awso*Sens!$C$6552</f>
        <v>21.0469989286053</v>
      </c>
      <c r="D6637" s="38" t="n">
        <f aca="false">cx_awso*Sens!$D$6552</f>
        <v>24.0042459822698</v>
      </c>
      <c r="E6637" s="38" t="n">
        <f aca="false">cx_awso*Sens!$E$6552</f>
        <v>14.261729404886</v>
      </c>
      <c r="F6637" s="38" t="n">
        <f aca="false">cx_awso*Sens!$F$6552</f>
        <v>15.7190020837331</v>
      </c>
      <c r="G6637" s="38" t="n">
        <f aca="false">Sens!$E$6637+Sens!$F$6637</f>
        <v>29.9807314886191</v>
      </c>
      <c r="H6637" s="38" t="n">
        <f aca="false">cx_awso*Sens!$H$6552</f>
        <v>36.1787121536283</v>
      </c>
      <c r="I6637" s="38" t="n">
        <f aca="false">cx_awso*Sens!$I$6552</f>
        <v>42.1296794430021</v>
      </c>
      <c r="J6637" s="38" t="n">
        <f aca="false">cx_awso*Sens!$J$6552</f>
        <v>47.279781889299</v>
      </c>
      <c r="K6637" s="38" t="n">
        <f aca="false">cx_awso*Sens!$K$6552</f>
        <v>51.0621644404429</v>
      </c>
      <c r="L6637" s="38" t="n">
        <f aca="false">cx_awso*Sens!$L$6552</f>
        <v>55.1471375956783</v>
      </c>
      <c r="M6637" s="38" t="n">
        <f aca="false">cx_awso*Sens!$M$6552</f>
        <v>59.5589086033326</v>
      </c>
    </row>
    <row r="6638" customFormat="false" ht="17.15" hidden="false" customHeight="false" outlineLevel="0" collapsed="false">
      <c r="A6638" s="5" t="s">
        <v>737</v>
      </c>
      <c r="B6638" s="0" t="s">
        <v>73</v>
      </c>
      <c r="C6638" s="38" t="n">
        <f aca="false">Q!$D$46-Sens!$C$6636-Sens!$C$6637</f>
        <v>31.3328957636573</v>
      </c>
      <c r="D6638" s="38" t="n">
        <f aca="false">Q!$E$46-Sens!$D$6636-Sens!$D$6637</f>
        <v>34.7471223867276</v>
      </c>
      <c r="E6638" s="38" t="n">
        <f aca="false">Q!$P$46-Sens!$E$6636-Sens!$E$6637</f>
        <v>17.8583499466032</v>
      </c>
      <c r="F6638" s="38" t="n">
        <f aca="false">cx_rt*Sens!$F$6487</f>
        <v>21.0855744229195</v>
      </c>
      <c r="G6638" s="38" t="n">
        <f aca="false">Sens!$E$6638+Sens!$F$6638</f>
        <v>38.9439243695228</v>
      </c>
      <c r="H6638" s="38" t="n">
        <f aca="false">cx_rt*Sens!$H$6487</f>
        <v>43.1200434029767</v>
      </c>
      <c r="I6638" s="38" t="n">
        <f aca="false">cx_rt*Sens!$I$6487</f>
        <v>47.1583152318763</v>
      </c>
      <c r="J6638" s="38" t="n">
        <f aca="false">cx_rt*Sens!$J$6487</f>
        <v>50.9060281137911</v>
      </c>
      <c r="K6638" s="38" t="n">
        <f aca="false">cx_rt*Sens!$K$6487</f>
        <v>54.2035645673053</v>
      </c>
      <c r="L6638" s="38" t="n">
        <f aca="false">cx_rt*Sens!$L$6487</f>
        <v>57.7318979121519</v>
      </c>
      <c r="M6638" s="38" t="n">
        <f aca="false">cx_rt*Sens!$M$6487</f>
        <v>61.5084196557756</v>
      </c>
    </row>
    <row r="6639" customFormat="false" ht="15" hidden="false" customHeight="false" outlineLevel="0" collapsed="false">
      <c r="A6639" s="3" t="s">
        <v>738</v>
      </c>
      <c r="B6639" s="8" t="s">
        <v>73</v>
      </c>
      <c r="C6639" s="38" t="n">
        <f aca="false">Q!$D$46</f>
        <v>77.658</v>
      </c>
      <c r="D6639" s="38" t="n">
        <f aca="false">Q!$E$46</f>
        <v>128.32</v>
      </c>
      <c r="E6639" s="38" t="n">
        <f aca="false">Q!$P$46</f>
        <v>96.31</v>
      </c>
      <c r="F6639" s="38" t="n">
        <f aca="false">Sens!$F$6636+Sens!$F$6637+Sens!$F$6638</f>
        <v>133.052706496153</v>
      </c>
      <c r="G6639" s="38" t="n">
        <f aca="false">Sens!$E$6639+Sens!$F$6639</f>
        <v>229.362706496153</v>
      </c>
      <c r="H6639" s="38" t="n">
        <f aca="false">Sens!$H$6636+Sens!$H$6637+Sens!$H$6638</f>
        <v>277.870120501355</v>
      </c>
      <c r="I6639" s="38" t="n">
        <f aca="false">Sens!$I$6636+Sens!$I$6637+Sens!$I$6638</f>
        <v>293.934464585378</v>
      </c>
      <c r="J6639" s="38" t="n">
        <f aca="false">Sens!$J$6636+Sens!$J$6637+Sens!$J$6638</f>
        <v>308.06904811359</v>
      </c>
      <c r="K6639" s="38" t="n">
        <f aca="false">Sens!$K$6636+Sens!$K$6637+Sens!$K$6638</f>
        <v>320.385735318248</v>
      </c>
      <c r="L6639" s="38" t="n">
        <f aca="false">Sens!$L$6636+Sens!$L$6637+Sens!$L$6638</f>
        <v>364.65641921833</v>
      </c>
      <c r="M6639" s="38" t="n">
        <f aca="false">Sens!$M$6636+Sens!$M$6637+Sens!$M$6638</f>
        <v>432.943173024858</v>
      </c>
    </row>
    <row r="6640" customFormat="false" ht="17.15" hidden="false" customHeight="false" outlineLevel="0" collapsed="false">
      <c r="A6640" s="5" t="s">
        <v>523</v>
      </c>
      <c r="B6640" s="0" t="s">
        <v>73</v>
      </c>
      <c r="C6640" s="38" t="n">
        <f aca="false">Q!$D$50</f>
        <v>2.043</v>
      </c>
      <c r="D6640" s="38" t="n">
        <f aca="false">Q!$E$50</f>
        <v>1.557</v>
      </c>
      <c r="E6640" s="38" t="n">
        <f aca="false">lease_pr/2</f>
        <v>0.8</v>
      </c>
      <c r="F6640" s="38" t="n">
        <f aca="false">lease_pr/2</f>
        <v>0.8</v>
      </c>
      <c r="G6640" s="38" t="n">
        <f aca="false">Sens!$E$6640+Sens!$F$6640</f>
        <v>1.6</v>
      </c>
      <c r="H6640" s="38" t="n">
        <f aca="false">lease_pr</f>
        <v>1.6</v>
      </c>
      <c r="I6640" s="38" t="n">
        <f aca="false">lease_pr</f>
        <v>1.6</v>
      </c>
      <c r="J6640" s="38" t="n">
        <f aca="false">lease_pr</f>
        <v>1.6</v>
      </c>
      <c r="K6640" s="38" t="n">
        <f aca="false">lease_pr</f>
        <v>1.6</v>
      </c>
      <c r="L6640" s="38" t="n">
        <f aca="false">lease_pr</f>
        <v>1.6</v>
      </c>
      <c r="M6640" s="38" t="n">
        <f aca="false">lease_pr</f>
        <v>1.6</v>
      </c>
      <c r="P6640" s="8" t="s">
        <v>739</v>
      </c>
    </row>
    <row r="6641" customFormat="false" ht="15" hidden="false" customHeight="false" outlineLevel="0" collapsed="false">
      <c r="A6641" s="46" t="s">
        <v>740</v>
      </c>
      <c r="B6641" s="13" t="s">
        <v>73</v>
      </c>
      <c r="C6641" s="47" t="n">
        <f aca="false">Sens!$C$6635-Sens!$C$6639-Sens!$C$6640</f>
        <v>36.176</v>
      </c>
      <c r="D6641" s="47" t="n">
        <f aca="false">Sens!$D$6635-Sens!$D$6639-Sens!$D$6640</f>
        <v>9.63700000000002</v>
      </c>
      <c r="E6641" s="47" t="n">
        <f aca="false">Sens!$E$6635-Sens!$E$6639-Sens!$E$6640</f>
        <v>-25.691</v>
      </c>
      <c r="F6641" s="47" t="n">
        <f aca="false">Sens!$F$6635-Sens!$F$6639-Sens!$F$6640</f>
        <v>-35.7358850873731</v>
      </c>
      <c r="G6641" s="47" t="n">
        <f aca="false">Sens!$G$6635-Sens!$G$6639-Sens!$G$6640</f>
        <v>-61.4268850873731</v>
      </c>
      <c r="H6641" s="47" t="n">
        <f aca="false">Sens!$H$6635-Sens!$H$6639-Sens!$H$6640</f>
        <v>-46.6987055925312</v>
      </c>
      <c r="I6641" s="47" t="n">
        <f aca="false">Sens!$I$6635-Sens!$I$6639-Sens!$I$6640</f>
        <v>-3.97574477606648</v>
      </c>
      <c r="J6641" s="47" t="n">
        <f aca="false">Sens!$J$6635-Sens!$J$6639-Sens!$J$6640</f>
        <v>39.7446339029391</v>
      </c>
      <c r="K6641" s="47" t="n">
        <f aca="false">Sens!$K$6635-Sens!$K$6639-Sens!$K$6640</f>
        <v>82.1731058789073</v>
      </c>
      <c r="L6641" s="47" t="n">
        <f aca="false">Sens!$L$6635-Sens!$L$6639-Sens!$L$6640</f>
        <v>94.1245500219009</v>
      </c>
      <c r="M6641" s="47" t="n">
        <f aca="false">Sens!$M$6635-Sens!$M$6639-Sens!$M$6640</f>
        <v>84.3831817256571</v>
      </c>
      <c r="N6641" s="13"/>
      <c r="O6641" s="13"/>
    </row>
    <row r="6642" customFormat="false" ht="17.15" hidden="false" customHeight="false" outlineLevel="0" collapsed="false">
      <c r="A6642" s="5" t="s">
        <v>741</v>
      </c>
      <c r="B6642" s="0" t="s">
        <v>73</v>
      </c>
      <c r="C6642" s="38" t="n">
        <f aca="false">dps*Sens!$C$6623</f>
        <v>0</v>
      </c>
      <c r="D6642" s="38" t="n">
        <f aca="false">dps*Sens!$D$6623</f>
        <v>0</v>
      </c>
      <c r="E6642" s="38" t="n">
        <f aca="false">dps*Sens!$E$6623</f>
        <v>0</v>
      </c>
      <c r="F6642" s="38" t="n">
        <f aca="false">0</f>
        <v>0</v>
      </c>
      <c r="G6642" s="38" t="n">
        <f aca="false">dps*Sens!$G$6623</f>
        <v>0</v>
      </c>
      <c r="H6642" s="38" t="n">
        <f aca="false">dps*Sens!$H$6623</f>
        <v>0</v>
      </c>
      <c r="I6642" s="38" t="n">
        <f aca="false">dps*Sens!$I$6623</f>
        <v>0</v>
      </c>
      <c r="J6642" s="38" t="n">
        <f aca="false">dps*Sens!$J$6623</f>
        <v>0</v>
      </c>
      <c r="K6642" s="38" t="n">
        <f aca="false">dps*Sens!$K$6623</f>
        <v>0</v>
      </c>
      <c r="L6642" s="38" t="n">
        <f aca="false">dps*Sens!$L$6623</f>
        <v>0</v>
      </c>
      <c r="M6642" s="38" t="n">
        <f aca="false">dps*Sens!$M$6623</f>
        <v>0</v>
      </c>
      <c r="P6642" s="8" t="s">
        <v>742</v>
      </c>
    </row>
    <row r="6643" customFormat="false" ht="17.15" hidden="false" customHeight="false" outlineLevel="0" collapsed="false">
      <c r="A6643" s="5" t="s">
        <v>743</v>
      </c>
      <c r="B6643" s="0" t="s">
        <v>73</v>
      </c>
      <c r="C6643" s="38" t="n">
        <f aca="false">0</f>
        <v>0</v>
      </c>
      <c r="D6643" s="38" t="n">
        <f aca="false">0</f>
        <v>0</v>
      </c>
      <c r="E6643" s="38" t="n">
        <f aca="false">0</f>
        <v>0</v>
      </c>
      <c r="F6643" s="38" t="n">
        <f aca="false">0</f>
        <v>0</v>
      </c>
      <c r="G6643" s="38" t="n">
        <f aca="false">0</f>
        <v>0</v>
      </c>
      <c r="H6643" s="38" t="n">
        <f aca="false">0</f>
        <v>0</v>
      </c>
      <c r="I6643" s="38" t="n">
        <f aca="false">0</f>
        <v>0</v>
      </c>
      <c r="J6643" s="38" t="n">
        <f aca="false">0</f>
        <v>0</v>
      </c>
      <c r="K6643" s="38" t="n">
        <f aca="false">0</f>
        <v>0</v>
      </c>
      <c r="L6643" s="38" t="n">
        <f aca="false">0</f>
        <v>0</v>
      </c>
      <c r="M6643" s="38" t="n">
        <f aca="false">0</f>
        <v>0</v>
      </c>
      <c r="P6643" s="8" t="s">
        <v>744</v>
      </c>
    </row>
    <row r="6644" customFormat="false" ht="15" hidden="false" customHeight="false" outlineLevel="0" collapsed="false">
      <c r="A6644" s="3" t="s">
        <v>745</v>
      </c>
      <c r="B6644" s="8" t="s">
        <v>73</v>
      </c>
      <c r="C6644" s="38" t="n">
        <f aca="false">Sens!$C$6641-Sens!$C$6642</f>
        <v>36.176</v>
      </c>
      <c r="D6644" s="38" t="n">
        <f aca="false">Sens!$D$6641-Sens!$D$6642</f>
        <v>9.63700000000002</v>
      </c>
      <c r="E6644" s="38" t="n">
        <f aca="false">Sens!$E$6641-Sens!$E$6642</f>
        <v>-25.691</v>
      </c>
      <c r="F6644" s="38" t="n">
        <f aca="false">Sens!$F$6641-Sens!$F$6642</f>
        <v>-35.7358850873731</v>
      </c>
      <c r="G6644" s="38" t="n">
        <f aca="false">Sens!$G$6641-Sens!$G$6642</f>
        <v>-61.4268850873731</v>
      </c>
      <c r="H6644" s="38" t="n">
        <f aca="false">Sens!$H$6641-Sens!$H$6642</f>
        <v>-46.6987055925312</v>
      </c>
      <c r="I6644" s="38" t="n">
        <f aca="false">Sens!$I$6641-Sens!$I$6642</f>
        <v>-3.97574477606648</v>
      </c>
      <c r="J6644" s="38" t="n">
        <f aca="false">Sens!$J$6641-Sens!$J$6642</f>
        <v>39.7446339029391</v>
      </c>
      <c r="K6644" s="38" t="n">
        <f aca="false">Sens!$K$6641-Sens!$K$6642</f>
        <v>82.1731058789073</v>
      </c>
      <c r="L6644" s="38" t="n">
        <f aca="false">Sens!$L$6641-Sens!$L$6642</f>
        <v>94.1245500219009</v>
      </c>
      <c r="M6644" s="38" t="n">
        <f aca="false">Sens!$M$6641-Sens!$M$6642</f>
        <v>84.3831817256571</v>
      </c>
    </row>
    <row r="6645" customFormat="false" ht="17.15" hidden="false" customHeight="false" outlineLevel="0" collapsed="false">
      <c r="A6645" s="5" t="s">
        <v>746</v>
      </c>
      <c r="B6645" s="0" t="s">
        <v>73</v>
      </c>
      <c r="E6645" s="38" t="n">
        <f aca="false">Q!$P$53</f>
        <v>39.767</v>
      </c>
      <c r="F6645" s="38" t="n">
        <f aca="false">inv_2h26</f>
        <v>21.3</v>
      </c>
      <c r="G6645" s="38" t="n">
        <f aca="false">Sens!$E$6645+Sens!$F$6645</f>
        <v>61.067</v>
      </c>
      <c r="H6645" s="41" t="n">
        <v>0</v>
      </c>
      <c r="I6645" s="41" t="n">
        <v>0</v>
      </c>
      <c r="J6645" s="41" t="n">
        <v>0</v>
      </c>
      <c r="K6645" s="41" t="n">
        <v>0</v>
      </c>
      <c r="L6645" s="41" t="n">
        <v>0</v>
      </c>
      <c r="M6645" s="41" t="n">
        <v>0</v>
      </c>
    </row>
    <row r="6646" customFormat="false" ht="17.15" hidden="false" customHeight="false" outlineLevel="0" collapsed="false">
      <c r="A6646" s="5" t="s">
        <v>747</v>
      </c>
      <c r="B6646" s="0" t="s">
        <v>73</v>
      </c>
      <c r="F6646" s="38" t="n">
        <f aca="false">iss_2h26</f>
        <v>29.25</v>
      </c>
      <c r="G6646" s="38" t="n">
        <f aca="false">Sens!$F$6646</f>
        <v>29.25</v>
      </c>
      <c r="H6646" s="41" t="n">
        <v>0</v>
      </c>
      <c r="I6646" s="41" t="n">
        <v>0</v>
      </c>
      <c r="J6646" s="41" t="n">
        <v>0</v>
      </c>
      <c r="K6646" s="41" t="n">
        <v>0</v>
      </c>
      <c r="L6646" s="41" t="n">
        <v>0</v>
      </c>
      <c r="M6646" s="41" t="n">
        <v>0</v>
      </c>
    </row>
    <row r="6647" customFormat="false" ht="17.15" hidden="false" customHeight="false" outlineLevel="0" collapsed="false">
      <c r="A6647" s="5" t="s">
        <v>748</v>
      </c>
      <c r="B6647" s="0" t="s">
        <v>73</v>
      </c>
      <c r="F6647" s="38" t="n">
        <f aca="false">cash_q2</f>
        <v>122.988</v>
      </c>
      <c r="G6647" s="38" t="n">
        <f aca="false">cash_q2</f>
        <v>122.988</v>
      </c>
      <c r="H6647" s="38" t="n">
        <f aca="false">Sens!$G$6650</f>
        <v>95.2021149126269</v>
      </c>
      <c r="I6647" s="38" t="n">
        <f aca="false">Sens!$H$6650</f>
        <v>50</v>
      </c>
      <c r="J6647" s="38" t="n">
        <f aca="false">Sens!$I$6650</f>
        <v>50</v>
      </c>
      <c r="K6647" s="38" t="n">
        <f aca="false">Sens!$J$6650</f>
        <v>89.7446339029391</v>
      </c>
      <c r="L6647" s="38" t="n">
        <f aca="false">Sens!$K$6650</f>
        <v>171.917739781846</v>
      </c>
      <c r="M6647" s="38" t="n">
        <f aca="false">Sens!$L$6650</f>
        <v>266.042289803747</v>
      </c>
    </row>
    <row r="6648" customFormat="false" ht="15" hidden="false" customHeight="false" outlineLevel="0" collapsed="false">
      <c r="A6648" s="5" t="s">
        <v>749</v>
      </c>
      <c r="B6648" s="0" t="s">
        <v>73</v>
      </c>
      <c r="F6648" s="38" t="n">
        <f aca="false">Sens!$F$6647+Sens!$F$6644-Sens!$F$6643-Sens!$F$6645+Sens!$F$6646</f>
        <v>95.2021149126269</v>
      </c>
      <c r="H6648" s="38" t="n">
        <f aca="false">Sens!$H$6647+Sens!$H$6644-Sens!$H$6643-Sens!$H$6645+Sens!$H$6646</f>
        <v>48.5034093200957</v>
      </c>
      <c r="I6648" s="38" t="n">
        <f aca="false">Sens!$I$6647+Sens!$I$6644-Sens!$I$6643-Sens!$I$6645+Sens!$I$6646</f>
        <v>46.0242552239335</v>
      </c>
      <c r="J6648" s="38" t="n">
        <f aca="false">Sens!$J$6647+Sens!$J$6644-Sens!$J$6643-Sens!$J$6645+Sens!$J$6646</f>
        <v>89.7446339029391</v>
      </c>
      <c r="K6648" s="38" t="n">
        <f aca="false">Sens!$K$6647+Sens!$K$6644-Sens!$K$6643-Sens!$K$6645+Sens!$K$6646</f>
        <v>171.917739781846</v>
      </c>
      <c r="L6648" s="38" t="n">
        <f aca="false">Sens!$L$6647+Sens!$L$6644-Sens!$L$6643-Sens!$L$6645+Sens!$L$6646</f>
        <v>266.042289803747</v>
      </c>
      <c r="M6648" s="38" t="n">
        <f aca="false">Sens!$M$6647+Sens!$M$6644-Sens!$M$6643-Sens!$M$6645+Sens!$M$6646</f>
        <v>350.425471529404</v>
      </c>
    </row>
    <row r="6649" customFormat="false" ht="17.15" hidden="false" customHeight="false" outlineLevel="0" collapsed="false">
      <c r="A6649" s="5" t="s">
        <v>750</v>
      </c>
      <c r="B6649" s="0" t="s">
        <v>73</v>
      </c>
      <c r="F6649" s="38" t="n">
        <f aca="false">MAX(0,min_cash-Sens!$F$6648)</f>
        <v>0</v>
      </c>
      <c r="G6649" s="38" t="n">
        <f aca="false">Sens!$F$6649</f>
        <v>0</v>
      </c>
      <c r="H6649" s="38" t="n">
        <f aca="false">MAX(0,min_cash-Sens!$H$6648)</f>
        <v>1.49659067990431</v>
      </c>
      <c r="I6649" s="38" t="n">
        <f aca="false">MAX(0,min_cash-Sens!$I$6648)</f>
        <v>3.97574477606648</v>
      </c>
      <c r="J6649" s="38" t="n">
        <f aca="false">MAX(0,min_cash-Sens!$J$6648)</f>
        <v>0</v>
      </c>
      <c r="K6649" s="38" t="n">
        <f aca="false">MAX(0,min_cash-Sens!$K$6648)</f>
        <v>0</v>
      </c>
      <c r="L6649" s="38" t="n">
        <f aca="false">MAX(0,min_cash-Sens!$L$6648)</f>
        <v>0</v>
      </c>
      <c r="M6649" s="38" t="n">
        <f aca="false">MAX(0,min_cash-Sens!$M$6648)</f>
        <v>0</v>
      </c>
      <c r="P6649" s="5" t="s">
        <v>751</v>
      </c>
    </row>
    <row r="6650" customFormat="false" ht="15" hidden="false" customHeight="false" outlineLevel="0" collapsed="false">
      <c r="A6650" s="5" t="s">
        <v>752</v>
      </c>
      <c r="B6650" s="0" t="s">
        <v>73</v>
      </c>
      <c r="D6650" s="38" t="n">
        <f aca="false">Q!$E$61</f>
        <v>123.029</v>
      </c>
      <c r="E6650" s="38" t="n">
        <f aca="false">Q!$M$61</f>
        <v>122.988</v>
      </c>
      <c r="F6650" s="38" t="n">
        <f aca="false">Sens!$F$6648+Sens!$F$6649</f>
        <v>95.2021149126269</v>
      </c>
      <c r="G6650" s="38" t="n">
        <f aca="false">Sens!$F$6650</f>
        <v>95.2021149126269</v>
      </c>
      <c r="H6650" s="38" t="n">
        <f aca="false">Sens!$H$6648+Sens!$H$6649</f>
        <v>50</v>
      </c>
      <c r="I6650" s="38" t="n">
        <f aca="false">Sens!$I$6648+Sens!$I$6649</f>
        <v>50</v>
      </c>
      <c r="J6650" s="38" t="n">
        <f aca="false">Sens!$J$6648+Sens!$J$6649</f>
        <v>89.7446339029391</v>
      </c>
      <c r="K6650" s="38" t="n">
        <f aca="false">Sens!$K$6648+Sens!$K$6649</f>
        <v>171.917739781846</v>
      </c>
      <c r="L6650" s="38" t="n">
        <f aca="false">Sens!$L$6648+Sens!$L$6649</f>
        <v>266.042289803747</v>
      </c>
      <c r="M6650" s="38" t="n">
        <f aca="false">Sens!$M$6648+Sens!$M$6649</f>
        <v>350.425471529404</v>
      </c>
    </row>
    <row r="6651" customFormat="false" ht="15" hidden="false" customHeight="false" outlineLevel="0" collapsed="false">
      <c r="A6651" s="5" t="s">
        <v>753</v>
      </c>
      <c r="B6651" s="0" t="s">
        <v>73</v>
      </c>
      <c r="D6651" s="38" t="n">
        <f aca="false">Q!$E$62</f>
        <v>68.836</v>
      </c>
      <c r="E6651" s="38" t="n">
        <f aca="false">Q!$M$62</f>
        <v>132.995</v>
      </c>
      <c r="F6651" s="38" t="n">
        <f aca="false">debt_q2+Sens!$F$6646+Sens!$F$6649</f>
        <v>162.245</v>
      </c>
      <c r="G6651" s="38" t="n">
        <f aca="false">Sens!$F$6651</f>
        <v>162.245</v>
      </c>
      <c r="H6651" s="38" t="n">
        <f aca="false">Sens!$G$6651+Sens!$H$6649</f>
        <v>163.741590679904</v>
      </c>
      <c r="I6651" s="38" t="n">
        <f aca="false">Sens!$H$6651+Sens!$I$6649</f>
        <v>167.717335455971</v>
      </c>
      <c r="J6651" s="38" t="n">
        <f aca="false">Sens!$I$6651+Sens!$J$6649</f>
        <v>167.717335455971</v>
      </c>
      <c r="K6651" s="38" t="n">
        <f aca="false">Sens!$J$6651+Sens!$K$6649</f>
        <v>167.717335455971</v>
      </c>
      <c r="L6651" s="38" t="n">
        <f aca="false">Sens!$K$6651+Sens!$L$6649</f>
        <v>167.717335455971</v>
      </c>
      <c r="M6651" s="38" t="n">
        <f aca="false">Sens!$L$6651+Sens!$M$6649</f>
        <v>167.717335455971</v>
      </c>
    </row>
    <row r="6652" customFormat="false" ht="15" hidden="false" customHeight="false" outlineLevel="0" collapsed="false">
      <c r="A6652" s="5" t="s">
        <v>754</v>
      </c>
      <c r="B6652" s="0" t="s">
        <v>73</v>
      </c>
      <c r="D6652" s="38" t="n">
        <f aca="false">Sens!$D$6651-Sens!$D$6650</f>
        <v>-54.193</v>
      </c>
      <c r="E6652" s="38" t="n">
        <f aca="false">Sens!$E$6651-Sens!$E$6650</f>
        <v>10.007</v>
      </c>
      <c r="F6652" s="38" t="n">
        <f aca="false">Sens!$F$6651-Sens!$F$6650</f>
        <v>67.0428850873731</v>
      </c>
      <c r="G6652" s="38" t="n">
        <f aca="false">Sens!$G$6651-Sens!$G$6650</f>
        <v>67.0428850873731</v>
      </c>
      <c r="H6652" s="38" t="n">
        <f aca="false">Sens!$H$6651-Sens!$H$6650</f>
        <v>113.741590679904</v>
      </c>
      <c r="I6652" s="38" t="n">
        <f aca="false">Sens!$I$6651-Sens!$I$6650</f>
        <v>117.717335455971</v>
      </c>
      <c r="J6652" s="38" t="n">
        <f aca="false">Sens!$J$6651-Sens!$J$6650</f>
        <v>77.9727015530317</v>
      </c>
      <c r="K6652" s="38" t="n">
        <f aca="false">Sens!$K$6651-Sens!$K$6650</f>
        <v>-4.20040432587558</v>
      </c>
      <c r="L6652" s="38" t="n">
        <f aca="false">Sens!$L$6651-Sens!$L$6650</f>
        <v>-98.3249543477765</v>
      </c>
      <c r="M6652" s="38" t="n">
        <f aca="false">Sens!$M$6651-Sens!$M$6650</f>
        <v>-182.708136073434</v>
      </c>
    </row>
    <row r="6653" customFormat="false" ht="17.15" hidden="false" customHeight="false" outlineLevel="0" collapsed="false">
      <c r="A6653" s="5" t="s">
        <v>755</v>
      </c>
      <c r="B6653" s="0" t="s">
        <v>73</v>
      </c>
      <c r="F6653" s="38" t="n">
        <f aca="false">debt_q2*kd_book*0.5+iss_2h26*kd_new*0.25</f>
        <v>3.24888964316061</v>
      </c>
      <c r="H6653" s="38" t="n">
        <f aca="false">debt_q2*kd_book+(Sens!$G$6651-debt_q2)*kd_new</f>
        <v>7.42354178632123</v>
      </c>
      <c r="I6653" s="38" t="n">
        <f aca="false">debt_q2*kd_book+(Sens!$H$6651-debt_q2)*kd_new</f>
        <v>7.51827597635917</v>
      </c>
      <c r="J6653" s="38" t="n">
        <f aca="false">debt_q2*kd_book+(Sens!$I$6651-debt_q2)*kd_new</f>
        <v>7.76994062068418</v>
      </c>
      <c r="K6653" s="38" t="n">
        <f aca="false">debt_q2*kd_book+(Sens!$J$6651-debt_q2)*kd_new</f>
        <v>7.76994062068418</v>
      </c>
      <c r="L6653" s="38" t="n">
        <f aca="false">debt_q2*kd_book+(Sens!$K$6651-debt_q2)*kd_new</f>
        <v>7.76994062068418</v>
      </c>
      <c r="M6653" s="38" t="n">
        <f aca="false">debt_q2*kd_book+(Sens!$L$6651-debt_q2)*kd_new</f>
        <v>7.76994062068418</v>
      </c>
    </row>
    <row r="6654" customFormat="false" ht="17.15" hidden="false" customHeight="false" outlineLevel="0" collapsed="false">
      <c r="A6654" s="5" t="s">
        <v>756</v>
      </c>
      <c r="B6654" s="0" t="s">
        <v>73</v>
      </c>
      <c r="F6654" s="38" t="n">
        <f aca="false">cash_q2*y_cash*0.5</f>
        <v>2.59</v>
      </c>
      <c r="H6654" s="38" t="n">
        <f aca="false">Sens!$G$6650*y_cash</f>
        <v>4.00971603121774</v>
      </c>
      <c r="I6654" s="38" t="n">
        <f aca="false">Sens!$H$6650*y_cash</f>
        <v>2.10589651022864</v>
      </c>
      <c r="J6654" s="38" t="n">
        <f aca="false">Sens!$I$6650*y_cash</f>
        <v>2.10589651022864</v>
      </c>
      <c r="K6654" s="38" t="n">
        <f aca="false">Sens!$J$6650*y_cash</f>
        <v>3.77985822695893</v>
      </c>
      <c r="L6654" s="38" t="n">
        <f aca="false">Sens!$K$6650*y_cash</f>
        <v>7.24081936505971</v>
      </c>
      <c r="M6654" s="38" t="n">
        <f aca="false">Sens!$L$6650*y_cash</f>
        <v>11.205150593419</v>
      </c>
    </row>
    <row r="6655" customFormat="false" ht="17.15" hidden="false" customHeight="false" outlineLevel="0" collapsed="false">
      <c r="A6655" s="46" t="s">
        <v>757</v>
      </c>
      <c r="B6655" s="13" t="s">
        <v>73</v>
      </c>
      <c r="C6655" s="13"/>
      <c r="D6655" s="13"/>
      <c r="E6655" s="13"/>
      <c r="F6655" s="13"/>
      <c r="G6655" s="47" t="n">
        <f aca="false">SUM(Sens!$G$6644:$K$6644)</f>
        <v>9.81640432587554</v>
      </c>
      <c r="H6655" s="13"/>
      <c r="I6655" s="13"/>
      <c r="J6655" s="13"/>
      <c r="K6655" s="13"/>
      <c r="L6655" s="13"/>
      <c r="M6655" s="13"/>
      <c r="N6655" s="13"/>
      <c r="O6655" s="13"/>
    </row>
    <row r="6656" customFormat="false" ht="17.15" hidden="false" customHeight="false" outlineLevel="0" collapsed="false">
      <c r="A6656" s="0" t="s">
        <v>724</v>
      </c>
      <c r="B6656" s="0" t="s">
        <v>73</v>
      </c>
      <c r="G6656" s="38" t="n">
        <f aca="false">SUM(Sens!$G$6649:$K$6649)</f>
        <v>5.47233545597079</v>
      </c>
    </row>
    <row r="6659" customFormat="false" ht="19.4" hidden="false" customHeight="false" outlineLevel="0" collapsed="false">
      <c r="A6659" s="31" t="s">
        <v>1189</v>
      </c>
    </row>
    <row r="6660" customFormat="false" ht="17.15" hidden="false" customHeight="false" outlineLevel="0" collapsed="false">
      <c r="A6660" s="6" t="s">
        <v>16</v>
      </c>
      <c r="B6660" s="6" t="s">
        <v>17</v>
      </c>
      <c r="C6660" s="20" t="s">
        <v>457</v>
      </c>
      <c r="D6660" s="20" t="s">
        <v>458</v>
      </c>
      <c r="E6660" s="20" t="s">
        <v>540</v>
      </c>
      <c r="F6660" s="20" t="s">
        <v>541</v>
      </c>
      <c r="G6660" s="20" t="s">
        <v>542</v>
      </c>
      <c r="H6660" s="20" t="s">
        <v>543</v>
      </c>
      <c r="I6660" s="20" t="s">
        <v>544</v>
      </c>
      <c r="J6660" s="20" t="s">
        <v>545</v>
      </c>
      <c r="K6660" s="20" t="s">
        <v>546</v>
      </c>
      <c r="L6660" s="20" t="s">
        <v>547</v>
      </c>
      <c r="M6660" s="20" t="s">
        <v>548</v>
      </c>
      <c r="N6660" s="20" t="s">
        <v>549</v>
      </c>
      <c r="O6660" s="20" t="s">
        <v>550</v>
      </c>
      <c r="P6660" s="6" t="s">
        <v>23</v>
      </c>
      <c r="R6660" s="20" t="n">
        <v>2023</v>
      </c>
      <c r="S6660" s="20" t="n">
        <v>2024</v>
      </c>
      <c r="T6660" s="20" t="n">
        <v>2025</v>
      </c>
      <c r="U6660" s="20" t="n">
        <v>2026</v>
      </c>
      <c r="V6660" s="20" t="n">
        <v>2027</v>
      </c>
      <c r="W6660" s="20" t="n">
        <v>2028</v>
      </c>
      <c r="X6660" s="20" t="n">
        <v>2029</v>
      </c>
      <c r="Y6660" s="20" t="n">
        <v>2030</v>
      </c>
      <c r="Z6660" s="20" t="n">
        <v>2031</v>
      </c>
      <c r="AA6660" s="20" t="n">
        <v>2032</v>
      </c>
    </row>
    <row r="6661" customFormat="false" ht="17.15" hidden="false" customHeight="false" outlineLevel="0" collapsed="false">
      <c r="A6661" s="1" t="s">
        <v>852</v>
      </c>
    </row>
    <row r="6662" customFormat="false" ht="17.15" hidden="false" customHeight="false" outlineLevel="0" collapsed="false">
      <c r="A6662" s="0" t="s">
        <v>853</v>
      </c>
      <c r="B6662" s="0" t="s">
        <v>73</v>
      </c>
      <c r="H6662" s="38" t="n">
        <f aca="false">Sens!$H$6598*(1-tax)</f>
        <v>112.093921330558</v>
      </c>
      <c r="I6662" s="38" t="n">
        <f aca="false">Sens!$I$6598*(1-tax)</f>
        <v>132.779045500917</v>
      </c>
      <c r="J6662" s="38" t="n">
        <f aca="false">Sens!$J$6598*(1-tax)</f>
        <v>151.181555485193</v>
      </c>
      <c r="K6662" s="38" t="n">
        <f aca="false">Sens!$K$6598*(1-tax)</f>
        <v>166.036468953087</v>
      </c>
      <c r="L6662" s="38" t="n">
        <f aca="false">Sens!$L$6598*(1-tax)</f>
        <v>182.348678369869</v>
      </c>
      <c r="M6662" s="38" t="n">
        <f aca="false">Sens!$M$6598*(1-tax)</f>
        <v>199.243892383632</v>
      </c>
    </row>
    <row r="6663" customFormat="false" ht="15" hidden="false" customHeight="false" outlineLevel="0" collapsed="false">
      <c r="A6663" s="5" t="s">
        <v>854</v>
      </c>
      <c r="B6663" s="0" t="s">
        <v>73</v>
      </c>
      <c r="H6663" s="38" t="n">
        <f aca="false">Sens!$H$6610</f>
        <v>87.6845218193838</v>
      </c>
      <c r="I6663" s="38" t="n">
        <f aca="false">Sens!$I$6610</f>
        <v>122.294769708638</v>
      </c>
      <c r="J6663" s="38" t="n">
        <f aca="false">Sens!$J$6610</f>
        <v>157.133962573221</v>
      </c>
      <c r="K6663" s="38" t="n">
        <f aca="false">Sens!$K$6610</f>
        <v>191.350633353599</v>
      </c>
      <c r="L6663" s="38" t="n">
        <f aca="false">Sens!$L$6610</f>
        <v>223.909238335354</v>
      </c>
      <c r="M6663" s="38" t="n">
        <f aca="false">Sens!$M$6610</f>
        <v>257.576319867276</v>
      </c>
    </row>
    <row r="6664" customFormat="false" ht="15" hidden="false" customHeight="false" outlineLevel="0" collapsed="false">
      <c r="A6664" s="5" t="s">
        <v>855</v>
      </c>
      <c r="B6664" s="0" t="s">
        <v>73</v>
      </c>
      <c r="H6664" s="38" t="n">
        <f aca="false">Sens!$H$6639</f>
        <v>277.870120501355</v>
      </c>
      <c r="I6664" s="38" t="n">
        <f aca="false">Sens!$I$6639</f>
        <v>293.934464585378</v>
      </c>
      <c r="J6664" s="38" t="n">
        <f aca="false">Sens!$J$6639</f>
        <v>308.06904811359</v>
      </c>
      <c r="K6664" s="38" t="n">
        <f aca="false">Sens!$K$6639</f>
        <v>320.385735318248</v>
      </c>
      <c r="L6664" s="38" t="n">
        <f aca="false">Sens!$L$6639</f>
        <v>364.65641921833</v>
      </c>
      <c r="M6664" s="38" t="n">
        <f aca="false">Sens!$M$6639</f>
        <v>432.943173024858</v>
      </c>
    </row>
    <row r="6665" customFormat="false" ht="15" hidden="false" customHeight="false" outlineLevel="0" collapsed="false">
      <c r="A6665" s="5" t="s">
        <v>856</v>
      </c>
      <c r="B6665" s="0" t="s">
        <v>73</v>
      </c>
      <c r="H6665" s="38" t="n">
        <f aca="false">Sens!$H$6640</f>
        <v>1.6</v>
      </c>
      <c r="I6665" s="38" t="n">
        <f aca="false">Sens!$I$6640</f>
        <v>1.6</v>
      </c>
      <c r="J6665" s="38" t="n">
        <f aca="false">Sens!$J$6640</f>
        <v>1.6</v>
      </c>
      <c r="K6665" s="38" t="n">
        <f aca="false">Sens!$K$6640</f>
        <v>1.6</v>
      </c>
      <c r="L6665" s="38" t="n">
        <f aca="false">Sens!$L$6640</f>
        <v>1.6</v>
      </c>
      <c r="M6665" s="38" t="n">
        <f aca="false">Sens!$M$6640</f>
        <v>1.6</v>
      </c>
    </row>
    <row r="6666" customFormat="false" ht="15" hidden="false" customHeight="false" outlineLevel="0" collapsed="false">
      <c r="A6666" s="5" t="s">
        <v>857</v>
      </c>
      <c r="B6666" s="0" t="s">
        <v>73</v>
      </c>
      <c r="H6666" s="38" t="n">
        <f aca="false">Sens!$H$6634</f>
        <v>11.6369707537667</v>
      </c>
      <c r="I6666" s="38" t="n">
        <f aca="false">Sens!$I$6634</f>
        <v>13.3082502961262</v>
      </c>
      <c r="J6666" s="38" t="n">
        <f aca="false">Sens!$J$6634</f>
        <v>14.8747965344332</v>
      </c>
      <c r="K6666" s="38" t="n">
        <f aca="false">Sens!$K$6634</f>
        <v>16.2687901804328</v>
      </c>
      <c r="L6666" s="38" t="n">
        <f aca="false">Sens!$L$6634</f>
        <v>17.7280727627002</v>
      </c>
      <c r="M6666" s="38" t="n">
        <f aca="false">Sens!$M$6634</f>
        <v>19.2574690270319</v>
      </c>
    </row>
    <row r="6667" customFormat="false" ht="17.15" hidden="false" customHeight="false" outlineLevel="0" collapsed="false">
      <c r="A6667" s="1" t="s">
        <v>858</v>
      </c>
      <c r="B6667" s="8" t="s">
        <v>73</v>
      </c>
      <c r="H6667" s="38" t="n">
        <f aca="false">Sens!$H$6662+Sens!$H$6663-Sens!$H$6664-Sens!$H$6665+Sens!$H$6666</f>
        <v>-68.0547065976468</v>
      </c>
      <c r="I6667" s="38" t="n">
        <f aca="false">Sens!$I$6662+Sens!$I$6663-Sens!$I$6664-Sens!$I$6665+Sens!$I$6666</f>
        <v>-27.1523990796972</v>
      </c>
      <c r="J6667" s="38" t="n">
        <f aca="false">Sens!$J$6662+Sens!$J$6663-Sens!$J$6664-Sens!$J$6665+Sens!$J$6666</f>
        <v>13.5212664792573</v>
      </c>
      <c r="K6667" s="38" t="n">
        <f aca="false">Sens!$K$6662+Sens!$K$6663-Sens!$K$6664-Sens!$K$6665+Sens!$K$6666</f>
        <v>51.6701571688709</v>
      </c>
      <c r="L6667" s="38" t="n">
        <f aca="false">Sens!$L$6662+Sens!$L$6663-Sens!$L$6664-Sens!$L$6665+Sens!$L$6666</f>
        <v>57.7295702495933</v>
      </c>
      <c r="M6667" s="38" t="n">
        <f aca="false">Sens!$M$6662+Sens!$M$6663-Sens!$M$6664-Sens!$M$6665+Sens!$M$6666</f>
        <v>41.534508253082</v>
      </c>
    </row>
    <row r="6668" customFormat="false" ht="15" hidden="false" customHeight="false" outlineLevel="0" collapsed="false">
      <c r="A6668" s="5" t="s">
        <v>859</v>
      </c>
      <c r="B6668" s="0" t="s">
        <v>57</v>
      </c>
      <c r="H6668" s="51" t="n">
        <f aca="false">1/(1+wacc)^(2027-2026-0.5)</f>
        <v>0.942858177653364</v>
      </c>
      <c r="I6668" s="51" t="n">
        <f aca="false">1/(1+wacc)^(2028-2026-0.5)</f>
        <v>0.838183517758688</v>
      </c>
      <c r="J6668" s="51" t="n">
        <f aca="false">1/(1+wacc)^(2029-2026-0.5)</f>
        <v>0.745129677074952</v>
      </c>
      <c r="K6668" s="51" t="n">
        <f aca="false">1/(1+wacc)^(2030-2026-0.5)</f>
        <v>0.662406530186232</v>
      </c>
      <c r="L6668" s="51" t="n">
        <f aca="false">1/(1+wacc)^(2031-2026-0.5)</f>
        <v>0.588867179409399</v>
      </c>
      <c r="M6668" s="51" t="n">
        <f aca="false">1/(1+wacc)^(2032-2026-0.5)</f>
        <v>0.52349205387225</v>
      </c>
    </row>
    <row r="6669" customFormat="false" ht="15" hidden="false" customHeight="false" outlineLevel="0" collapsed="false">
      <c r="A6669" s="5" t="s">
        <v>860</v>
      </c>
      <c r="B6669" s="0" t="s">
        <v>73</v>
      </c>
      <c r="H6669" s="38" t="n">
        <f aca="false">Sens!$H$6667*Sens!$H$6668</f>
        <v>-64.1659366433916</v>
      </c>
      <c r="I6669" s="38" t="n">
        <f aca="false">Sens!$I$6667*Sens!$I$6668</f>
        <v>-22.7586933762084</v>
      </c>
      <c r="J6669" s="38" t="n">
        <f aca="false">Sens!$J$6667*Sens!$J$6668</f>
        <v>10.0750969253334</v>
      </c>
      <c r="K6669" s="38" t="n">
        <f aca="false">Sens!$K$6667*Sens!$K$6668</f>
        <v>34.226649524409</v>
      </c>
      <c r="L6669" s="38" t="n">
        <f aca="false">Sens!$L$6667*Sens!$L$6668</f>
        <v>33.9950492013948</v>
      </c>
      <c r="M6669" s="38" t="n">
        <f aca="false">Sens!$M$6667*Sens!$M$6668</f>
        <v>21.7429850319798</v>
      </c>
    </row>
    <row r="6670" customFormat="false" ht="15" hidden="false" customHeight="false" outlineLevel="0" collapsed="false">
      <c r="A6670" s="5" t="s">
        <v>861</v>
      </c>
      <c r="B6670" s="0" t="s">
        <v>73</v>
      </c>
      <c r="C6670" s="38" t="n">
        <f aca="false">SUM(Sens!$H$6669:$M$6669)</f>
        <v>13.115150663517</v>
      </c>
    </row>
    <row r="6671" customFormat="false" ht="17.15" hidden="false" customHeight="false" outlineLevel="0" collapsed="false">
      <c r="A6671" s="5" t="s">
        <v>862</v>
      </c>
      <c r="B6671" s="0" t="s">
        <v>73</v>
      </c>
      <c r="C6671" s="38" t="n">
        <f aca="false">Sens!$M$6662*(1+tg)*(1-tg/ronic)/(wacc-tg)</f>
        <v>1643.3111431308</v>
      </c>
    </row>
    <row r="6672" customFormat="false" ht="15" hidden="false" customHeight="false" outlineLevel="0" collapsed="false">
      <c r="A6672" s="5" t="s">
        <v>863</v>
      </c>
      <c r="B6672" s="0" t="s">
        <v>73</v>
      </c>
      <c r="C6672" s="38" t="n">
        <f aca="false">Sens!$C$6671/(1+wacc)^6</f>
        <v>811.103482778908</v>
      </c>
    </row>
    <row r="6673" customFormat="false" ht="17.15" hidden="false" customHeight="false" outlineLevel="0" collapsed="false">
      <c r="A6673" s="5" t="s">
        <v>864</v>
      </c>
      <c r="B6673" s="0" t="s">
        <v>73</v>
      </c>
      <c r="C6673" s="38" t="n">
        <f aca="false">Sens!$C$6670+Sens!$C$6672</f>
        <v>824.218633442425</v>
      </c>
    </row>
    <row r="6674" customFormat="false" ht="17.15" hidden="false" customHeight="false" outlineLevel="0" collapsed="false">
      <c r="A6674" s="5" t="s">
        <v>865</v>
      </c>
      <c r="B6674" s="0" t="s">
        <v>52</v>
      </c>
      <c r="C6674" s="12" t="n">
        <f aca="false">Sens!$C$6672/Sens!$C$6673</f>
        <v>0.984087777039521</v>
      </c>
    </row>
    <row r="6675" customFormat="false" ht="17.15" hidden="false" customHeight="false" outlineLevel="0" collapsed="false">
      <c r="A6675" s="5" t="s">
        <v>866</v>
      </c>
      <c r="B6675" s="0" t="s">
        <v>73</v>
      </c>
      <c r="C6675" s="38" t="n">
        <f aca="false">Sens!$G$6652</f>
        <v>67.0428850873731</v>
      </c>
    </row>
    <row r="6676" customFormat="false" ht="17.15" hidden="false" customHeight="false" outlineLevel="0" collapsed="false">
      <c r="A6676" s="5" t="s">
        <v>867</v>
      </c>
      <c r="B6676" s="0" t="s">
        <v>73</v>
      </c>
      <c r="C6676" s="38" t="n">
        <f aca="false">(ant_val*ant_sh_hi+oai_val*oai_sh)*(1-liq_disc)</f>
        <v>202.104</v>
      </c>
    </row>
    <row r="6677" customFormat="false" ht="15" hidden="false" customHeight="false" outlineLevel="0" collapsed="false">
      <c r="A6677" s="5" t="s">
        <v>868</v>
      </c>
      <c r="B6677" s="0" t="s">
        <v>73</v>
      </c>
      <c r="C6677" s="38" t="n">
        <f aca="false">Sens!$C$6673-Sens!$C$6675+Sens!$C$6676</f>
        <v>959.279748355051</v>
      </c>
    </row>
    <row r="6678" customFormat="false" ht="17.15" hidden="false" customHeight="false" outlineLevel="0" collapsed="false">
      <c r="A6678" s="5" t="s">
        <v>869</v>
      </c>
      <c r="B6678" s="0" t="s">
        <v>27</v>
      </c>
      <c r="C6678" s="30" t="n">
        <f aca="false">Sens!$C$6677/sh_val</f>
        <v>86.967583003988</v>
      </c>
    </row>
    <row r="6679" customFormat="false" ht="17.15" hidden="false" customHeight="false" outlineLevel="0" collapsed="false">
      <c r="A6679" s="1" t="s">
        <v>870</v>
      </c>
      <c r="B6679" s="8" t="s">
        <v>27</v>
      </c>
      <c r="C6679" s="30" t="n">
        <f aca="false">Sens!$C$6678*(1+ke)^tp_yf</f>
        <v>96.0509052901551</v>
      </c>
    </row>
    <row r="6680" customFormat="false" ht="17.15" hidden="false" customHeight="false" outlineLevel="0" collapsed="false">
      <c r="A6680" s="3" t="s">
        <v>871</v>
      </c>
    </row>
    <row r="6681" customFormat="false" ht="17.15" hidden="false" customHeight="false" outlineLevel="0" collapsed="false">
      <c r="A6681" s="5" t="s">
        <v>872</v>
      </c>
      <c r="B6681" s="0" t="s">
        <v>73</v>
      </c>
      <c r="C6681" s="38" t="n">
        <f aca="false">0.25*Sens!$H$6611+0.75*Sens!$I$6611</f>
        <v>57.5541093268329</v>
      </c>
    </row>
    <row r="6682" customFormat="false" ht="15" hidden="false" customHeight="false" outlineLevel="0" collapsed="false">
      <c r="A6682" s="5" t="s">
        <v>873</v>
      </c>
      <c r="B6682" s="0" t="s">
        <v>57</v>
      </c>
      <c r="C6682" s="30" t="n">
        <f aca="false">m_ads*m_x</f>
        <v>9.11</v>
      </c>
    </row>
    <row r="6683" customFormat="false" ht="17.15" hidden="false" customHeight="false" outlineLevel="0" collapsed="false">
      <c r="A6683" s="5" t="s">
        <v>874</v>
      </c>
      <c r="B6683" s="0" t="s">
        <v>73</v>
      </c>
      <c r="C6683" s="38" t="n">
        <f aca="false">Sens!$C$6681*Sens!$C$6682</f>
        <v>524.317935967448</v>
      </c>
    </row>
    <row r="6684" customFormat="false" ht="17.15" hidden="false" customHeight="false" outlineLevel="0" collapsed="false">
      <c r="A6684" s="5" t="s">
        <v>875</v>
      </c>
      <c r="B6684" s="0" t="s">
        <v>73</v>
      </c>
      <c r="C6684" s="38" t="n">
        <f aca="false">0.25*Sens!$H$6612+0.75*Sens!$I$6612</f>
        <v>30.6290803533085</v>
      </c>
    </row>
    <row r="6685" customFormat="false" ht="15" hidden="false" customHeight="false" outlineLevel="0" collapsed="false">
      <c r="A6685" s="5" t="s">
        <v>876</v>
      </c>
      <c r="B6685" s="0" t="s">
        <v>57</v>
      </c>
      <c r="C6685" s="30" t="n">
        <f aca="false">m_retail*m_x</f>
        <v>17.72</v>
      </c>
    </row>
    <row r="6686" customFormat="false" ht="17.15" hidden="false" customHeight="false" outlineLevel="0" collapsed="false">
      <c r="A6686" s="5" t="s">
        <v>877</v>
      </c>
      <c r="B6686" s="0" t="s">
        <v>73</v>
      </c>
      <c r="C6686" s="38" t="n">
        <f aca="false">Sens!$C$6684*Sens!$C$6685</f>
        <v>542.747303860627</v>
      </c>
    </row>
    <row r="6687" customFormat="false" ht="17.15" hidden="false" customHeight="false" outlineLevel="0" collapsed="false">
      <c r="A6687" s="0" t="s">
        <v>878</v>
      </c>
      <c r="B6687" s="0" t="s">
        <v>73</v>
      </c>
      <c r="C6687" s="38" t="n">
        <f aca="false">0.25*Sens!$H$6613+0.75*Sens!$I$6613</f>
        <v>107.575398943098</v>
      </c>
    </row>
    <row r="6688" customFormat="false" ht="17.15" hidden="false" customHeight="false" outlineLevel="0" collapsed="false">
      <c r="A6688" s="0" t="s">
        <v>879</v>
      </c>
      <c r="B6688" s="0" t="s">
        <v>57</v>
      </c>
      <c r="C6688" s="30" t="n">
        <f aca="false">m_cloud*m_x</f>
        <v>13.82</v>
      </c>
    </row>
    <row r="6689" customFormat="false" ht="17.15" hidden="false" customHeight="false" outlineLevel="0" collapsed="false">
      <c r="A6689" s="0" t="s">
        <v>880</v>
      </c>
      <c r="B6689" s="0" t="s">
        <v>73</v>
      </c>
      <c r="C6689" s="38" t="n">
        <f aca="false">Sens!$C$6687*Sens!$C$6688</f>
        <v>1486.69201339361</v>
      </c>
    </row>
    <row r="6690" customFormat="false" ht="17.15" hidden="false" customHeight="false" outlineLevel="0" collapsed="false">
      <c r="A6690" s="0" t="s">
        <v>881</v>
      </c>
      <c r="B6690" s="0" t="s">
        <v>73</v>
      </c>
      <c r="C6690" s="38" t="n">
        <f aca="false">0.25*Sens!$H$6614+0.75*Sens!$I$6614</f>
        <v>72.2947701247864</v>
      </c>
    </row>
    <row r="6691" customFormat="false" ht="17.15" hidden="false" customHeight="false" outlineLevel="0" collapsed="false">
      <c r="A6691" s="0" t="s">
        <v>882</v>
      </c>
      <c r="B6691" s="0" t="s">
        <v>57</v>
      </c>
      <c r="C6691" s="30" t="n">
        <f aca="false">m_ai</f>
        <v>6</v>
      </c>
    </row>
    <row r="6692" customFormat="false" ht="17.15" hidden="false" customHeight="false" outlineLevel="0" collapsed="false">
      <c r="A6692" s="0" t="s">
        <v>883</v>
      </c>
      <c r="B6692" s="0" t="s">
        <v>73</v>
      </c>
      <c r="C6692" s="38" t="n">
        <f aca="false">Sens!$C$6690*Sens!$C$6691</f>
        <v>433.768620748718</v>
      </c>
    </row>
    <row r="6693" customFormat="false" ht="17.15" hidden="false" customHeight="false" outlineLevel="0" collapsed="false">
      <c r="A6693" s="5" t="s">
        <v>884</v>
      </c>
      <c r="B6693" s="0" t="s">
        <v>73</v>
      </c>
      <c r="C6693" s="38" t="n">
        <f aca="false">Sens!$C$6683+Sens!$C$6686+Sens!$C$6689+Sens!$C$6692</f>
        <v>2987.5258739704</v>
      </c>
    </row>
    <row r="6694" customFormat="false" ht="17.15" hidden="false" customHeight="false" outlineLevel="0" collapsed="false">
      <c r="A6694" s="5" t="s">
        <v>885</v>
      </c>
      <c r="B6694" s="0" t="s">
        <v>73</v>
      </c>
      <c r="C6694" s="38" t="n">
        <f aca="false">Sens!$H$6652</f>
        <v>113.741590679904</v>
      </c>
    </row>
    <row r="6695" customFormat="false" ht="15" hidden="false" customHeight="false" outlineLevel="0" collapsed="false">
      <c r="A6695" s="5" t="s">
        <v>886</v>
      </c>
      <c r="B6695" s="0" t="s">
        <v>73</v>
      </c>
      <c r="C6695" s="38" t="n">
        <f aca="false">Sens!$C$6693-Sens!$C$6694+Sens!$C$6676</f>
        <v>3075.8882832905</v>
      </c>
    </row>
    <row r="6696" customFormat="false" ht="15" hidden="false" customHeight="false" outlineLevel="0" collapsed="false">
      <c r="A6696" s="3" t="s">
        <v>887</v>
      </c>
      <c r="B6696" s="8" t="s">
        <v>27</v>
      </c>
      <c r="C6696" s="30" t="n">
        <f aca="false">Sens!$C$6695/sh_val</f>
        <v>278.857726379367</v>
      </c>
    </row>
    <row r="6697" customFormat="false" ht="17.15" hidden="false" customHeight="false" outlineLevel="0" collapsed="false">
      <c r="A6697" s="46" t="s">
        <v>888</v>
      </c>
      <c r="B6697" s="13" t="s">
        <v>27</v>
      </c>
      <c r="C6697" s="43" t="n">
        <f aca="false">w_dcf*Sens!$C$6679+(1-w_dcf)*Sens!$C$6696</f>
        <v>187.454315834761</v>
      </c>
      <c r="D6697" s="13"/>
      <c r="E6697" s="13"/>
      <c r="F6697" s="13"/>
      <c r="G6697" s="13"/>
      <c r="H6697" s="13"/>
      <c r="I6697" s="13"/>
      <c r="J6697" s="13"/>
      <c r="K6697" s="13"/>
      <c r="L6697" s="13"/>
      <c r="M6697" s="13"/>
      <c r="N6697" s="13"/>
      <c r="O6697" s="13"/>
    </row>
    <row r="6698" customFormat="false" ht="17.15" hidden="false" customHeight="false" outlineLevel="0" collapsed="false">
      <c r="A6698" s="5" t="s">
        <v>889</v>
      </c>
      <c r="B6698" s="0" t="s">
        <v>27</v>
      </c>
      <c r="C6698" s="30" t="n">
        <f aca="false">0.45*Sens!$C$6679+0.55*Sens!$C$6696</f>
        <v>196.594656889222</v>
      </c>
    </row>
    <row r="6701" customFormat="false" ht="19.4" hidden="false" customHeight="false" outlineLevel="0" collapsed="false">
      <c r="A6701" s="31" t="s">
        <v>1190</v>
      </c>
    </row>
    <row r="6702" customFormat="false" ht="17.15" hidden="false" customHeight="false" outlineLevel="0" collapsed="false">
      <c r="A6702" s="6" t="s">
        <v>16</v>
      </c>
      <c r="B6702" s="6" t="s">
        <v>17</v>
      </c>
      <c r="C6702" s="20" t="s">
        <v>457</v>
      </c>
      <c r="D6702" s="20" t="s">
        <v>458</v>
      </c>
      <c r="E6702" s="20" t="s">
        <v>540</v>
      </c>
      <c r="F6702" s="20" t="s">
        <v>541</v>
      </c>
      <c r="G6702" s="20" t="s">
        <v>542</v>
      </c>
      <c r="H6702" s="20" t="s">
        <v>543</v>
      </c>
      <c r="I6702" s="20" t="s">
        <v>544</v>
      </c>
      <c r="J6702" s="20" t="s">
        <v>545</v>
      </c>
      <c r="K6702" s="20" t="s">
        <v>546</v>
      </c>
      <c r="L6702" s="20" t="s">
        <v>547</v>
      </c>
      <c r="M6702" s="20" t="s">
        <v>548</v>
      </c>
      <c r="N6702" s="20" t="s">
        <v>549</v>
      </c>
      <c r="O6702" s="20" t="s">
        <v>550</v>
      </c>
      <c r="P6702" s="6" t="s">
        <v>23</v>
      </c>
      <c r="R6702" s="20" t="n">
        <v>2023</v>
      </c>
      <c r="S6702" s="20" t="n">
        <v>2024</v>
      </c>
      <c r="T6702" s="20" t="n">
        <v>2025</v>
      </c>
      <c r="U6702" s="20" t="n">
        <v>2026</v>
      </c>
      <c r="V6702" s="20" t="n">
        <v>2027</v>
      </c>
      <c r="W6702" s="20" t="n">
        <v>2028</v>
      </c>
      <c r="X6702" s="20" t="n">
        <v>2029</v>
      </c>
      <c r="Y6702" s="20" t="n">
        <v>2030</v>
      </c>
      <c r="Z6702" s="20" t="n">
        <v>2031</v>
      </c>
      <c r="AA6702" s="20" t="n">
        <v>2032</v>
      </c>
    </row>
    <row r="6703" customFormat="false" ht="17.15" hidden="false" customHeight="false" outlineLevel="0" collapsed="false">
      <c r="A6703" s="1" t="s">
        <v>621</v>
      </c>
    </row>
    <row r="6704" customFormat="false" ht="17.15" hidden="false" customHeight="false" outlineLevel="0" collapsed="false">
      <c r="A6704" s="0" t="s">
        <v>479</v>
      </c>
      <c r="B6704" s="0" t="s">
        <v>73</v>
      </c>
      <c r="C6704" s="38" t="n">
        <f aca="false">Q!$D$10</f>
        <v>247.029</v>
      </c>
      <c r="D6704" s="38" t="n">
        <f aca="false">Q!$E$10</f>
        <v>269.287</v>
      </c>
      <c r="E6704" s="38" t="n">
        <f aca="false">Q!$P$10</f>
        <v>134.686</v>
      </c>
      <c r="F6704" s="38" t="n">
        <f aca="false">Sens!$O$6704*(1+Sens!$F$6705)-pd_amt*Q!$O$10/(Q!$O$10+Q!$O$12)</f>
        <v>160.728085930082</v>
      </c>
      <c r="G6704" s="38" t="n">
        <f aca="false">Sens!$E$6704+Sens!$F$6704</f>
        <v>295.414085930082</v>
      </c>
      <c r="H6704" s="38" t="n">
        <f aca="false">Sens!$G$6704*(1+Sens!$H$6705)</f>
        <v>320.828163943375</v>
      </c>
      <c r="I6704" s="38" t="n">
        <f aca="false">Sens!$H$6704*(1+Sens!$I$6705)</f>
        <v>344.575578072228</v>
      </c>
      <c r="J6704" s="38" t="n">
        <f aca="false">Sens!$I$6704*(1+Sens!$J$6705)</f>
        <v>365.942555779681</v>
      </c>
      <c r="K6704" s="38" t="n">
        <f aca="false">Sens!$J$6704*(1+Sens!$K$6705)</f>
        <v>384.239683568665</v>
      </c>
      <c r="L6704" s="38" t="n">
        <f aca="false">Sens!$K$6704*(1+Sens!$L$6705)</f>
        <v>403.451667747098</v>
      </c>
      <c r="M6704" s="38" t="n">
        <f aca="false">Sens!$L$6704*(1+Sens!$M$6705)</f>
        <v>423.624251134453</v>
      </c>
      <c r="N6704" s="38" t="n">
        <f aca="false">Q!$N$10</f>
        <v>118.892</v>
      </c>
      <c r="O6704" s="38" t="n">
        <f aca="false">Q!$O$10</f>
        <v>150.395</v>
      </c>
      <c r="P6704" s="8" t="s">
        <v>622</v>
      </c>
    </row>
    <row r="6705" customFormat="false" ht="17.15" hidden="false" customHeight="false" outlineLevel="0" collapsed="false">
      <c r="A6705" s="0" t="s">
        <v>623</v>
      </c>
      <c r="B6705" s="0" t="s">
        <v>52</v>
      </c>
      <c r="E6705" s="12" t="n">
        <f aca="false">Sens!$E$6704/Sens!$N$6704-1</f>
        <v>0.132843252699929</v>
      </c>
      <c r="F6705" s="12" t="n">
        <f aca="false">Sens!$O$6704/(Q!$F$10+Q!$G$10)-1</f>
        <v>0.0980382135842941</v>
      </c>
      <c r="G6705" s="12" t="n">
        <f aca="false">Sens!$G$6704/Sens!$D$6704-1</f>
        <v>0.0970231980380869</v>
      </c>
      <c r="H6705" s="12" t="n">
        <f aca="false">Sens!$F$6705+(g_os-Sens!$F$6705)*1/4</f>
        <v>0.0860286601882206</v>
      </c>
      <c r="I6705" s="12" t="n">
        <f aca="false">Sens!$F$6705+(g_os-Sens!$F$6705)*2/4</f>
        <v>0.074019106792147</v>
      </c>
      <c r="J6705" s="12" t="n">
        <f aca="false">Sens!$F$6705+(g_os-Sens!$F$6705)*3/4</f>
        <v>0.0620095533960735</v>
      </c>
      <c r="K6705" s="12" t="n">
        <f aca="false">Sens!$F$6705+(g_os-Sens!$F$6705)*4/4</f>
        <v>0.05</v>
      </c>
      <c r="L6705" s="12" t="n">
        <f aca="false">g_os</f>
        <v>0.05</v>
      </c>
      <c r="M6705" s="12" t="n">
        <f aca="false">g_os</f>
        <v>0.05</v>
      </c>
      <c r="P6705" s="8" t="s">
        <v>624</v>
      </c>
    </row>
    <row r="6706" customFormat="false" ht="17.15" hidden="false" customHeight="false" outlineLevel="0" collapsed="false">
      <c r="A6706" s="0" t="s">
        <v>480</v>
      </c>
      <c r="B6706" s="0" t="s">
        <v>73</v>
      </c>
      <c r="C6706" s="38" t="n">
        <f aca="false">Q!$D$11</f>
        <v>21.215</v>
      </c>
      <c r="D6706" s="38" t="n">
        <f aca="false">Q!$E$11</f>
        <v>22.561</v>
      </c>
      <c r="E6706" s="38" t="n">
        <f aca="false">Q!$P$11</f>
        <v>11.579</v>
      </c>
      <c r="F6706" s="38" t="n">
        <f aca="false">Sens!$O$6706*(1+Sens!$F$6707)</f>
        <v>12.0952613121125</v>
      </c>
      <c r="G6706" s="38" t="n">
        <f aca="false">Sens!$E$6706+Sens!$F$6706</f>
        <v>23.6742613121125</v>
      </c>
      <c r="H6706" s="38" t="n">
        <f aca="false">Sens!$G$6706*(1+Sens!$H$6707)</f>
        <v>24.8803243963206</v>
      </c>
      <c r="I6706" s="38" t="n">
        <f aca="false">Sens!$H$6706*(1+Sens!$I$6707)</f>
        <v>25.9741308664154</v>
      </c>
      <c r="J6706" s="38" t="n">
        <f aca="false">Sens!$I$6706*(1+Sens!$J$6707)</f>
        <v>26.9346894124267</v>
      </c>
      <c r="K6706" s="38" t="n">
        <f aca="false">Sens!$J$6706*(1+Sens!$K$6707)</f>
        <v>27.7427300947995</v>
      </c>
      <c r="L6706" s="38" t="n">
        <f aca="false">Sens!$K$6706*(1+Sens!$L$6707)</f>
        <v>28.5750119976435</v>
      </c>
      <c r="M6706" s="38" t="n">
        <f aca="false">Sens!$L$6706*(1+Sens!$M$6707)</f>
        <v>29.4322623575728</v>
      </c>
      <c r="N6706" s="38" t="n">
        <f aca="false">Q!$N$11</f>
        <v>11.128</v>
      </c>
      <c r="O6706" s="38" t="n">
        <f aca="false">Q!$O$11</f>
        <v>11.433</v>
      </c>
      <c r="P6706" s="8" t="s">
        <v>622</v>
      </c>
    </row>
    <row r="6707" customFormat="false" ht="17.15" hidden="false" customHeight="false" outlineLevel="0" collapsed="false">
      <c r="A6707" s="0" t="s">
        <v>625</v>
      </c>
      <c r="B6707" s="0" t="s">
        <v>52</v>
      </c>
      <c r="E6707" s="12" t="n">
        <f aca="false">Sens!$E$6706/Sens!$N$6706-1</f>
        <v>0.0405283968368082</v>
      </c>
      <c r="F6707" s="12" t="n">
        <f aca="false">Sens!$O$6706/(Q!$F$11+Q!$G$11)-1</f>
        <v>0.0579254187100955</v>
      </c>
      <c r="G6707" s="12" t="n">
        <f aca="false">Sens!$G$6706/Sens!$D$6706-1</f>
        <v>0.0493445021103904</v>
      </c>
      <c r="H6707" s="12" t="n">
        <f aca="false">Sens!$F$6707+(g_ps-Sens!$F$6707)*1/4</f>
        <v>0.0509440640325716</v>
      </c>
      <c r="I6707" s="12" t="n">
        <f aca="false">Sens!$F$6707+(g_ps-Sens!$F$6707)*2/4</f>
        <v>0.0439627093550477</v>
      </c>
      <c r="J6707" s="12" t="n">
        <f aca="false">Sens!$F$6707+(g_ps-Sens!$F$6707)*3/4</f>
        <v>0.0369813546775239</v>
      </c>
      <c r="K6707" s="12" t="n">
        <f aca="false">Sens!$F$6707+(g_ps-Sens!$F$6707)*4/4</f>
        <v>0.03</v>
      </c>
      <c r="L6707" s="12" t="n">
        <f aca="false">g_ps</f>
        <v>0.03</v>
      </c>
      <c r="M6707" s="12" t="n">
        <f aca="false">g_ps</f>
        <v>0.03</v>
      </c>
      <c r="P6707" s="8" t="s">
        <v>626</v>
      </c>
    </row>
    <row r="6708" customFormat="false" ht="17.15" hidden="false" customHeight="false" outlineLevel="0" collapsed="false">
      <c r="A6708" s="0" t="s">
        <v>481</v>
      </c>
      <c r="B6708" s="0" t="s">
        <v>73</v>
      </c>
      <c r="C6708" s="38" t="n">
        <f aca="false">Q!$D$12</f>
        <v>156.146</v>
      </c>
      <c r="D6708" s="38" t="n">
        <f aca="false">Q!$E$12</f>
        <v>172.162</v>
      </c>
      <c r="E6708" s="38" t="n">
        <f aca="false">Q!$P$12</f>
        <v>88.358</v>
      </c>
      <c r="F6708" s="38" t="n">
        <f aca="false">Sens!$O$6708*(1+Sens!$F$6709)-pd_amt*Q!$O$12/(Q!$O$10+Q!$O$12)</f>
        <v>103.62028337149</v>
      </c>
      <c r="G6708" s="38" t="n">
        <f aca="false">Sens!$E$6708+Sens!$F$6708</f>
        <v>191.97828337149</v>
      </c>
      <c r="H6708" s="38" t="n">
        <f aca="false">Sens!$G$6708*(1+Sens!$H$6709)</f>
        <v>212.128608444755</v>
      </c>
      <c r="I6708" s="38" t="n">
        <f aca="false">Sens!$H$6708*(1+Sens!$I$6709)</f>
        <v>231.92183134134</v>
      </c>
      <c r="J6708" s="38" t="n">
        <f aca="false">Sens!$I$6708*(1+Sens!$J$6709)</f>
        <v>250.859136487863</v>
      </c>
      <c r="K6708" s="38" t="n">
        <f aca="false">Sens!$J$6708*(1+Sens!$K$6709)</f>
        <v>268.419276042014</v>
      </c>
      <c r="L6708" s="38" t="n">
        <f aca="false">Sens!$K$6708*(1+Sens!$L$6709)</f>
        <v>287.208625364954</v>
      </c>
      <c r="M6708" s="38" t="n">
        <f aca="false">Sens!$L$6708*(1+Sens!$M$6709)</f>
        <v>307.313229140501</v>
      </c>
      <c r="N6708" s="38" t="n">
        <f aca="false">Q!$N$12</f>
        <v>76.86</v>
      </c>
      <c r="O6708" s="38" t="n">
        <f aca="false">Q!$O$12</f>
        <v>95.302</v>
      </c>
      <c r="P6708" s="8" t="s">
        <v>622</v>
      </c>
    </row>
    <row r="6709" customFormat="false" ht="17.15" hidden="false" customHeight="false" outlineLevel="0" collapsed="false">
      <c r="A6709" s="0" t="s">
        <v>627</v>
      </c>
      <c r="B6709" s="0" t="s">
        <v>52</v>
      </c>
      <c r="E6709" s="12" t="n">
        <f aca="false">Sens!$E$6708/Sens!$N$6708-1</f>
        <v>0.1495966692688</v>
      </c>
      <c r="F6709" s="12" t="n">
        <f aca="false">Sens!$O$6708/(Q!$F$12+Q!$G$12)-1</f>
        <v>0.11661530890813</v>
      </c>
      <c r="G6709" s="12" t="n">
        <f aca="false">Sens!$G$6708/Sens!$D$6708-1</f>
        <v>0.115102539303041</v>
      </c>
      <c r="H6709" s="12" t="n">
        <f aca="false">Sens!$F$6709+(g_sp-Sens!$F$6709)*1/4</f>
        <v>0.104961481681098</v>
      </c>
      <c r="I6709" s="12" t="n">
        <f aca="false">Sens!$F$6709+(g_sp-Sens!$F$6709)*2/4</f>
        <v>0.0933076544540651</v>
      </c>
      <c r="J6709" s="12" t="n">
        <f aca="false">Sens!$F$6709+(g_sp-Sens!$F$6709)*3/4</f>
        <v>0.0816538272270325</v>
      </c>
      <c r="K6709" s="12" t="n">
        <f aca="false">Sens!$F$6709+(g_sp-Sens!$F$6709)*4/4</f>
        <v>0.07</v>
      </c>
      <c r="L6709" s="12" t="n">
        <f aca="false">g_sp</f>
        <v>0.07</v>
      </c>
      <c r="M6709" s="12" t="n">
        <f aca="false">g_sp</f>
        <v>0.07</v>
      </c>
      <c r="P6709" s="8" t="s">
        <v>628</v>
      </c>
    </row>
    <row r="6710" customFormat="false" ht="17.15" hidden="false" customHeight="false" outlineLevel="0" collapsed="false">
      <c r="A6710" s="0" t="s">
        <v>482</v>
      </c>
      <c r="B6710" s="0" t="s">
        <v>73</v>
      </c>
      <c r="C6710" s="38" t="n">
        <f aca="false">Q!$D$13</f>
        <v>56.214</v>
      </c>
      <c r="D6710" s="38" t="n">
        <f aca="false">Q!$E$13</f>
        <v>68.635</v>
      </c>
      <c r="E6710" s="38" t="n">
        <f aca="false">Q!$P$13</f>
        <v>37.052</v>
      </c>
      <c r="F6710" s="38" t="n">
        <f aca="false">Sens!$O$6710*(1+Sens!$F$6711)</f>
        <v>48.1533381827382</v>
      </c>
      <c r="G6710" s="38" t="n">
        <f aca="false">Sens!$E$6710+Sens!$F$6710</f>
        <v>85.2053381827382</v>
      </c>
      <c r="H6710" s="38" t="n">
        <f aca="false">Sens!$G$6710*(1+Sens!$H$6711)</f>
        <v>102.29336185894</v>
      </c>
      <c r="I6710" s="38" t="n">
        <f aca="false">Sens!$H$6710*(1+Sens!$I$6711)</f>
        <v>119.379837585241</v>
      </c>
      <c r="J6710" s="38" t="n">
        <f aca="false">Sens!$I$6710*(1+Sens!$J$6711)</f>
        <v>135.319079048844</v>
      </c>
      <c r="K6710" s="38" t="n">
        <f aca="false">Sens!$J$6710*(1+Sens!$K$6711)</f>
        <v>148.850986953729</v>
      </c>
      <c r="L6710" s="38" t="n">
        <f aca="false">Sens!$K$6710*(1+Sens!$L$6711)</f>
        <v>163.736085649102</v>
      </c>
      <c r="M6710" s="38" t="n">
        <f aca="false">Sens!$L$6710*(1+Sens!$M$6711)</f>
        <v>180.109694214012</v>
      </c>
      <c r="N6710" s="38" t="n">
        <f aca="false">Q!$N$13</f>
        <v>29.615</v>
      </c>
      <c r="O6710" s="38" t="n">
        <f aca="false">Q!$O$13</f>
        <v>39.02</v>
      </c>
      <c r="P6710" s="8" t="s">
        <v>622</v>
      </c>
    </row>
    <row r="6711" customFormat="false" ht="17.15" hidden="false" customHeight="false" outlineLevel="0" collapsed="false">
      <c r="A6711" s="0" t="s">
        <v>629</v>
      </c>
      <c r="B6711" s="0" t="s">
        <v>52</v>
      </c>
      <c r="E6711" s="12" t="n">
        <f aca="false">Sens!$E$6710/Sens!$N$6710-1</f>
        <v>0.25112274185379</v>
      </c>
      <c r="F6711" s="12" t="n">
        <f aca="false">Sens!$O$6710/(Q!$F$13+Q!$G$13)-1</f>
        <v>0.234068123596572</v>
      </c>
      <c r="G6711" s="12" t="n">
        <f aca="false">Sens!$G$6710/Sens!$D$6710-1</f>
        <v>0.241426942270536</v>
      </c>
      <c r="H6711" s="12" t="n">
        <f aca="false">Sens!$F$6711+(g_ad-Sens!$F$6711)*1/4</f>
        <v>0.200551092697429</v>
      </c>
      <c r="I6711" s="12" t="n">
        <f aca="false">Sens!$F$6711+(g_ad-Sens!$F$6711)*2/4</f>
        <v>0.167034061798286</v>
      </c>
      <c r="J6711" s="12" t="n">
        <f aca="false">Sens!$F$6711+(g_ad-Sens!$F$6711)*3/4</f>
        <v>0.133517030899143</v>
      </c>
      <c r="K6711" s="12" t="n">
        <f aca="false">Sens!$F$6711+(g_ad-Sens!$F$6711)*4/4</f>
        <v>0.1</v>
      </c>
      <c r="L6711" s="12" t="n">
        <f aca="false">g_ad</f>
        <v>0.1</v>
      </c>
      <c r="M6711" s="12" t="n">
        <f aca="false">g_ad</f>
        <v>0.1</v>
      </c>
      <c r="P6711" s="8" t="s">
        <v>630</v>
      </c>
    </row>
    <row r="6712" customFormat="false" ht="17.15" hidden="false" customHeight="false" outlineLevel="0" collapsed="false">
      <c r="A6712" s="0" t="s">
        <v>483</v>
      </c>
      <c r="B6712" s="0" t="s">
        <v>73</v>
      </c>
      <c r="C6712" s="38" t="n">
        <f aca="false">Q!$D$14</f>
        <v>44.374</v>
      </c>
      <c r="D6712" s="38" t="n">
        <f aca="false">Q!$E$14</f>
        <v>49.619</v>
      </c>
      <c r="E6712" s="38" t="n">
        <f aca="false">Q!$P$14</f>
        <v>27.157</v>
      </c>
      <c r="F6712" s="38" t="n">
        <f aca="false">Sens!$O$6712*(1+Sens!$F$6713)</f>
        <v>28.9776360923374</v>
      </c>
      <c r="G6712" s="38" t="n">
        <f aca="false">Sens!$E$6712+Sens!$F$6712</f>
        <v>56.1346360923374</v>
      </c>
      <c r="H6712" s="38" t="n">
        <f aca="false">Sens!$G$6712*(1+Sens!$H$6713)</f>
        <v>62.4937078946075</v>
      </c>
      <c r="I6712" s="38" t="n">
        <f aca="false">Sens!$H$6712*(1+Sens!$I$6713)</f>
        <v>68.6715233062498</v>
      </c>
      <c r="J6712" s="38" t="n">
        <f aca="false">Sens!$I$6712*(1+Sens!$J$6713)</f>
        <v>74.4692882949818</v>
      </c>
      <c r="K6712" s="38" t="n">
        <f aca="false">Sens!$J$6712*(1+Sens!$K$6713)</f>
        <v>79.6821384756306</v>
      </c>
      <c r="L6712" s="38" t="n">
        <f aca="false">Sens!$K$6712*(1+Sens!$L$6713)</f>
        <v>85.2598881689247</v>
      </c>
      <c r="M6712" s="38" t="n">
        <f aca="false">Sens!$L$6712*(1+Sens!$M$6713)</f>
        <v>91.2280803407494</v>
      </c>
      <c r="N6712" s="38" t="n">
        <f aca="false">Q!$N$14</f>
        <v>23.923</v>
      </c>
      <c r="O6712" s="38" t="n">
        <f aca="false">Q!$O$14</f>
        <v>25.696</v>
      </c>
      <c r="P6712" s="8" t="s">
        <v>622</v>
      </c>
    </row>
    <row r="6713" customFormat="false" ht="17.15" hidden="false" customHeight="false" outlineLevel="0" collapsed="false">
      <c r="A6713" s="0" t="s">
        <v>631</v>
      </c>
      <c r="B6713" s="0" t="s">
        <v>52</v>
      </c>
      <c r="E6713" s="12" t="n">
        <f aca="false">Sens!$E$6712/Sens!$N$6712-1</f>
        <v>0.135183714417088</v>
      </c>
      <c r="F6713" s="12" t="n">
        <f aca="false">Sens!$O$6712/(Q!$F$14+Q!$G$14)-1</f>
        <v>0.127709997366804</v>
      </c>
      <c r="G6713" s="12" t="n">
        <f aca="false">Sens!$G$6712/Sens!$D$6712-1</f>
        <v>0.131313329416905</v>
      </c>
      <c r="H6713" s="12" t="n">
        <f aca="false">Sens!$F$6713+(g_sub-Sens!$F$6713)*1/4</f>
        <v>0.113282498025103</v>
      </c>
      <c r="I6713" s="12" t="n">
        <f aca="false">Sens!$F$6713+(g_sub-Sens!$F$6713)*2/4</f>
        <v>0.0988549986834021</v>
      </c>
      <c r="J6713" s="12" t="n">
        <f aca="false">Sens!$F$6713+(g_sub-Sens!$F$6713)*3/4</f>
        <v>0.084427499341701</v>
      </c>
      <c r="K6713" s="12" t="n">
        <f aca="false">Sens!$F$6713+(g_sub-Sens!$F$6713)*4/4</f>
        <v>0.07</v>
      </c>
      <c r="L6713" s="12" t="n">
        <f aca="false">g_sub</f>
        <v>0.07</v>
      </c>
      <c r="M6713" s="12" t="n">
        <f aca="false">g_sub</f>
        <v>0.07</v>
      </c>
      <c r="P6713" s="8" t="s">
        <v>632</v>
      </c>
    </row>
    <row r="6714" customFormat="false" ht="17.15" hidden="false" customHeight="false" outlineLevel="0" collapsed="false">
      <c r="A6714" s="0" t="s">
        <v>484</v>
      </c>
      <c r="B6714" s="0" t="s">
        <v>73</v>
      </c>
      <c r="C6714" s="38" t="n">
        <f aca="false">Q!$D$15</f>
        <v>5.425</v>
      </c>
      <c r="D6714" s="38" t="n">
        <f aca="false">Q!$E$15</f>
        <v>5.935</v>
      </c>
      <c r="E6714" s="38" t="n">
        <f aca="false">Q!$P$15</f>
        <v>3.474</v>
      </c>
      <c r="F6714" s="38" t="n">
        <f aca="false">Sens!$O$6714*(1+Sens!$F$6715)</f>
        <v>3.36182431966931</v>
      </c>
      <c r="G6714" s="38" t="n">
        <f aca="false">Sens!$E$6714+Sens!$F$6714</f>
        <v>6.83582431966931</v>
      </c>
      <c r="H6714" s="38" t="n">
        <f aca="false">Sens!$G$6714*(1+Sens!$H$6715)</f>
        <v>7.31157108370141</v>
      </c>
      <c r="I6714" s="38" t="n">
        <f aca="false">Sens!$H$6714*(1+Sens!$I$6715)</f>
        <v>7.77266852639815</v>
      </c>
      <c r="J6714" s="38" t="n">
        <f aca="false">Sens!$I$6714*(1+Sens!$J$6715)</f>
        <v>8.2120733019884</v>
      </c>
      <c r="K6714" s="38" t="n">
        <f aca="false">Sens!$J$6714*(1+Sens!$K$6715)</f>
        <v>8.62267696708783</v>
      </c>
      <c r="L6714" s="38" t="n">
        <f aca="false">Sens!$K$6714*(1+Sens!$L$6715)</f>
        <v>9.05381081544222</v>
      </c>
      <c r="M6714" s="38" t="n">
        <f aca="false">Sens!$L$6714*(1+Sens!$M$6715)</f>
        <v>9.50650135621433</v>
      </c>
      <c r="N6714" s="38" t="n">
        <f aca="false">Q!$N$15</f>
        <v>2.811</v>
      </c>
      <c r="O6714" s="38" t="n">
        <f aca="false">Q!$O$15</f>
        <v>3.124</v>
      </c>
      <c r="P6714" s="8" t="s">
        <v>622</v>
      </c>
    </row>
    <row r="6715" customFormat="false" ht="17.15" hidden="false" customHeight="false" outlineLevel="0" collapsed="false">
      <c r="A6715" s="0" t="s">
        <v>633</v>
      </c>
      <c r="B6715" s="0" t="s">
        <v>52</v>
      </c>
      <c r="E6715" s="12" t="n">
        <f aca="false">Sens!$E$6714/Sens!$N$6714-1</f>
        <v>0.235859124866596</v>
      </c>
      <c r="F6715" s="12" t="n">
        <f aca="false">Sens!$O$6714/(Q!$F$15+Q!$G$15)-1</f>
        <v>0.0761281433000345</v>
      </c>
      <c r="G6715" s="12" t="n">
        <f aca="false">Sens!$G$6714/Sens!$D$6714-1</f>
        <v>0.151781688234087</v>
      </c>
      <c r="H6715" s="12" t="n">
        <f aca="false">Sens!$F$6715+(g_ot-Sens!$F$6715)*1/4</f>
        <v>0.0695961074750259</v>
      </c>
      <c r="I6715" s="12" t="n">
        <f aca="false">Sens!$F$6715+(g_ot-Sens!$F$6715)*2/4</f>
        <v>0.0630640716500172</v>
      </c>
      <c r="J6715" s="12" t="n">
        <f aca="false">Sens!$F$6715+(g_ot-Sens!$F$6715)*3/4</f>
        <v>0.0565320358250086</v>
      </c>
      <c r="K6715" s="12" t="n">
        <f aca="false">Sens!$F$6715+(g_ot-Sens!$F$6715)*4/4</f>
        <v>0.05</v>
      </c>
      <c r="L6715" s="12" t="n">
        <f aca="false">g_ot</f>
        <v>0.05</v>
      </c>
      <c r="M6715" s="12" t="n">
        <f aca="false">g_ot</f>
        <v>0.05</v>
      </c>
      <c r="P6715" s="8" t="s">
        <v>634</v>
      </c>
    </row>
    <row r="6716" customFormat="false" ht="17.15" hidden="false" customHeight="false" outlineLevel="0" collapsed="false">
      <c r="A6716" s="3" t="s">
        <v>635</v>
      </c>
      <c r="B6716" s="8" t="s">
        <v>73</v>
      </c>
      <c r="C6716" s="38" t="n">
        <f aca="false">Sens!$C$6704+Sens!$C$6706+Sens!$C$6708+Sens!$C$6710+Sens!$C$6712+Sens!$C$6714</f>
        <v>530.403</v>
      </c>
      <c r="D6716" s="38" t="n">
        <f aca="false">Sens!$D$6704+Sens!$D$6706+Sens!$D$6708+Sens!$D$6710+Sens!$D$6712+Sens!$D$6714</f>
        <v>588.199</v>
      </c>
      <c r="E6716" s="38" t="n">
        <f aca="false">Sens!$E$6704+Sens!$E$6706+Sens!$E$6708+Sens!$E$6710+Sens!$E$6712+Sens!$E$6714</f>
        <v>302.306</v>
      </c>
      <c r="F6716" s="38" t="n">
        <f aca="false">Sens!$F$6704+Sens!$F$6706+Sens!$F$6708+Sens!$F$6710+Sens!$F$6712+Sens!$F$6714</f>
        <v>356.93642920843</v>
      </c>
      <c r="G6716" s="38" t="n">
        <f aca="false">Sens!$G$6704+Sens!$G$6706+Sens!$G$6708+Sens!$G$6710+Sens!$G$6712+Sens!$G$6714</f>
        <v>659.24242920843</v>
      </c>
      <c r="H6716" s="38" t="n">
        <f aca="false">Sens!$H$6704+Sens!$H$6706+Sens!$H$6708+Sens!$H$6710+Sens!$H$6712+Sens!$H$6714</f>
        <v>729.935737621701</v>
      </c>
      <c r="I6716" s="38" t="n">
        <f aca="false">Sens!$I$6704+Sens!$I$6706+Sens!$I$6708+Sens!$I$6710+Sens!$I$6712+Sens!$I$6714</f>
        <v>798.295569697873</v>
      </c>
      <c r="J6716" s="38" t="n">
        <f aca="false">Sens!$J$6704+Sens!$J$6706+Sens!$J$6708+Sens!$J$6710+Sens!$J$6712+Sens!$J$6714</f>
        <v>861.736822325785</v>
      </c>
      <c r="K6716" s="38" t="n">
        <f aca="false">Sens!$K$6704+Sens!$K$6706+Sens!$K$6708+Sens!$K$6710+Sens!$K$6712+Sens!$K$6714</f>
        <v>917.557492101925</v>
      </c>
      <c r="L6716" s="38" t="n">
        <f aca="false">Sens!$L$6704+Sens!$L$6706+Sens!$L$6708+Sens!$L$6710+Sens!$L$6712+Sens!$L$6714</f>
        <v>977.285089743165</v>
      </c>
      <c r="M6716" s="38" t="n">
        <f aca="false">Sens!$M$6704+Sens!$M$6706+Sens!$M$6708+Sens!$M$6710+Sens!$M$6712+Sens!$M$6714</f>
        <v>1041.2140185435</v>
      </c>
      <c r="N6716" s="38" t="n">
        <f aca="false">Sens!$N$6704+Sens!$N$6706+Sens!$N$6708+Sens!$N$6710+Sens!$N$6712+Sens!$N$6714</f>
        <v>263.229</v>
      </c>
      <c r="O6716" s="38" t="n">
        <f aca="false">Sens!$O$6704+Sens!$O$6706+Sens!$O$6708+Sens!$O$6710+Sens!$O$6712+Sens!$O$6714</f>
        <v>324.97</v>
      </c>
    </row>
    <row r="6717" customFormat="false" ht="17.15" hidden="false" customHeight="false" outlineLevel="0" collapsed="false">
      <c r="A6717" s="5" t="s">
        <v>636</v>
      </c>
      <c r="B6717" s="0" t="s">
        <v>52</v>
      </c>
      <c r="C6717" s="12" t="n">
        <f aca="false">Q!$D$5/(Q!$D$5+Q!$D$6)</f>
        <v>0.730570905519011</v>
      </c>
      <c r="D6717" s="12" t="n">
        <f aca="false">Q!$E$5/(Q!$E$5+Q!$E$6)</f>
        <v>0.724763217890544</v>
      </c>
      <c r="E6717" s="12" t="n">
        <f aca="false">Q!$P$5/(Q!$P$5+Q!$P$6)</f>
        <v>0.728797972914861</v>
      </c>
      <c r="F6717" s="12" t="n">
        <f aca="false">Sens!$O$6717</f>
        <v>0.718066283041511</v>
      </c>
      <c r="G6717" s="12" t="n">
        <f aca="false">Sens!$G$6718/Sens!$G$6716</f>
        <v>0.722987468473627</v>
      </c>
      <c r="H6717" s="12" t="n">
        <f aca="false">Sens!$G$6717</f>
        <v>0.722987468473627</v>
      </c>
      <c r="I6717" s="12" t="n">
        <f aca="false">Sens!$G$6717</f>
        <v>0.722987468473627</v>
      </c>
      <c r="J6717" s="12" t="n">
        <f aca="false">Sens!$G$6717</f>
        <v>0.722987468473627</v>
      </c>
      <c r="K6717" s="12" t="n">
        <f aca="false">Sens!$G$6717</f>
        <v>0.722987468473627</v>
      </c>
      <c r="L6717" s="12" t="n">
        <f aca="false">Sens!$G$6717</f>
        <v>0.722987468473627</v>
      </c>
      <c r="M6717" s="12" t="n">
        <f aca="false">Sens!$G$6717</f>
        <v>0.722987468473627</v>
      </c>
      <c r="N6717" s="12" t="n">
        <f aca="false">Q!$N$5/(Q!$N$5+Q!$N$6)</f>
        <v>0.733030935041352</v>
      </c>
      <c r="O6717" s="12" t="n">
        <f aca="false">Q!$O$5/(Q!$O$5+Q!$O$6)</f>
        <v>0.718066283041511</v>
      </c>
      <c r="P6717" s="8" t="s">
        <v>637</v>
      </c>
    </row>
    <row r="6718" customFormat="false" ht="17.15" hidden="false" customHeight="false" outlineLevel="0" collapsed="false">
      <c r="A6718" s="1" t="s">
        <v>472</v>
      </c>
      <c r="B6718" s="8" t="s">
        <v>73</v>
      </c>
      <c r="C6718" s="38" t="n">
        <f aca="false">Q!$D$5</f>
        <v>387.497</v>
      </c>
      <c r="D6718" s="38" t="n">
        <f aca="false">Q!$E$5</f>
        <v>426.305</v>
      </c>
      <c r="E6718" s="38" t="n">
        <f aca="false">Q!$P$5</f>
        <v>220.32</v>
      </c>
      <c r="F6718" s="38" t="n">
        <f aca="false">Sens!$F$6716*Sens!$F$6717</f>
        <v>256.304015003807</v>
      </c>
      <c r="G6718" s="38" t="n">
        <f aca="false">Sens!$E$6718+Sens!$F$6718</f>
        <v>476.624015003807</v>
      </c>
      <c r="H6718" s="38" t="n">
        <f aca="false">Sens!$H$6716*Sens!$H$6717</f>
        <v>527.734391091543</v>
      </c>
      <c r="I6718" s="38" t="n">
        <f aca="false">Sens!$I$6716*Sens!$I$6717</f>
        <v>577.157693029577</v>
      </c>
      <c r="J6718" s="38" t="n">
        <f aca="false">Sens!$J$6716*Sens!$J$6717</f>
        <v>623.024923663827</v>
      </c>
      <c r="K6718" s="38" t="n">
        <f aca="false">Sens!$K$6716*Sens!$K$6717</f>
        <v>663.382568393781</v>
      </c>
      <c r="L6718" s="38" t="n">
        <f aca="false">Sens!$L$6716*Sens!$L$6717</f>
        <v>706.564873010432</v>
      </c>
      <c r="M6718" s="38" t="n">
        <f aca="false">Sens!$M$6716*Sens!$M$6717</f>
        <v>752.784687406019</v>
      </c>
      <c r="N6718" s="38" t="n">
        <f aca="false">Q!$N$5</f>
        <v>192.955</v>
      </c>
      <c r="O6718" s="38" t="n">
        <f aca="false">Q!$O$5</f>
        <v>233.35</v>
      </c>
      <c r="P6718" s="5" t="s">
        <v>638</v>
      </c>
    </row>
    <row r="6719" customFormat="false" ht="17.15" hidden="false" customHeight="false" outlineLevel="0" collapsed="false">
      <c r="A6719" s="1" t="s">
        <v>475</v>
      </c>
      <c r="B6719" s="8" t="s">
        <v>73</v>
      </c>
      <c r="C6719" s="38" t="n">
        <f aca="false">Q!$D$6</f>
        <v>142.906</v>
      </c>
      <c r="D6719" s="38" t="n">
        <f aca="false">Q!$E$6</f>
        <v>161.894</v>
      </c>
      <c r="E6719" s="38" t="n">
        <f aca="false">Q!$P$6</f>
        <v>81.986</v>
      </c>
      <c r="F6719" s="38" t="n">
        <f aca="false">Sens!$F$6716*(1-Sens!$F$6717)</f>
        <v>100.632414204623</v>
      </c>
      <c r="G6719" s="38" t="n">
        <f aca="false">Sens!$E$6719+Sens!$F$6719</f>
        <v>182.618414204623</v>
      </c>
      <c r="H6719" s="38" t="n">
        <f aca="false">Sens!$H$6716*(1-Sens!$H$6717)</f>
        <v>202.201346530158</v>
      </c>
      <c r="I6719" s="38" t="n">
        <f aca="false">Sens!$I$6716*(1-Sens!$I$6717)</f>
        <v>221.137876668296</v>
      </c>
      <c r="J6719" s="38" t="n">
        <f aca="false">Sens!$J$6716*(1-Sens!$J$6717)</f>
        <v>238.711898661958</v>
      </c>
      <c r="K6719" s="38" t="n">
        <f aca="false">Sens!$K$6716*(1-Sens!$K$6717)</f>
        <v>254.174923708144</v>
      </c>
      <c r="L6719" s="38" t="n">
        <f aca="false">Sens!$L$6716*(1-Sens!$L$6717)</f>
        <v>270.720216732733</v>
      </c>
      <c r="M6719" s="38" t="n">
        <f aca="false">Sens!$M$6716*(1-Sens!$M$6717)</f>
        <v>288.429331137484</v>
      </c>
      <c r="N6719" s="38" t="n">
        <f aca="false">Q!$N$6</f>
        <v>70.274</v>
      </c>
      <c r="O6719" s="38" t="n">
        <f aca="false">Q!$O$6</f>
        <v>91.62</v>
      </c>
      <c r="P6719" s="5" t="s">
        <v>639</v>
      </c>
    </row>
    <row r="6720" customFormat="false" ht="17.15" hidden="false" customHeight="false" outlineLevel="0" collapsed="false">
      <c r="A6720" s="5" t="s">
        <v>640</v>
      </c>
      <c r="B6720" s="0" t="s">
        <v>73</v>
      </c>
      <c r="C6720" s="38" t="n">
        <f aca="false">Sens!$C$6710*Sens!$C$6717</f>
        <v>41.0683128828457</v>
      </c>
      <c r="D6720" s="38" t="n">
        <f aca="false">Sens!$D$6710*Sens!$D$6717</f>
        <v>49.7441234599175</v>
      </c>
      <c r="E6720" s="38" t="n">
        <f aca="false">Sens!$E$6710*Sens!$E$6717</f>
        <v>27.0034224924414</v>
      </c>
      <c r="F6720" s="38" t="n">
        <f aca="false">Sens!$F$6710*Sens!$F$6717</f>
        <v>34.5772885649197</v>
      </c>
      <c r="G6720" s="38" t="n">
        <f aca="false">Sens!$G$6710*Sens!$G$6717</f>
        <v>61.6023917531772</v>
      </c>
      <c r="H6720" s="38" t="n">
        <f aca="false">Sens!$H$6710*Sens!$H$6717</f>
        <v>73.9568187320519</v>
      </c>
      <c r="I6720" s="38" t="n">
        <f aca="false">Sens!$I$6710*Sens!$I$6717</f>
        <v>86.3101265625461</v>
      </c>
      <c r="J6720" s="38" t="n">
        <f aca="false">Sens!$J$6710*Sens!$J$6717</f>
        <v>97.8339983977065</v>
      </c>
      <c r="K6720" s="38" t="n">
        <f aca="false">Sens!$K$6710*Sens!$K$6717</f>
        <v>107.617398237477</v>
      </c>
      <c r="L6720" s="38" t="n">
        <f aca="false">Sens!$L$6710*Sens!$L$6717</f>
        <v>118.379138061225</v>
      </c>
      <c r="M6720" s="38" t="n">
        <f aca="false">Sens!$M$6710*Sens!$M$6717</f>
        <v>130.217051867347</v>
      </c>
      <c r="N6720" s="38" t="n">
        <f aca="false">Sens!$N$6710*Sens!$N$6717</f>
        <v>21.7087111412496</v>
      </c>
      <c r="O6720" s="38" t="n">
        <f aca="false">Sens!$O$6710*Sens!$O$6717</f>
        <v>28.0189463642798</v>
      </c>
      <c r="P6720" s="5" t="s">
        <v>641</v>
      </c>
    </row>
    <row r="6721" customFormat="false" ht="15" hidden="false" customHeight="false" outlineLevel="0" collapsed="false">
      <c r="A6721" s="5" t="s">
        <v>642</v>
      </c>
      <c r="B6721" s="0" t="s">
        <v>73</v>
      </c>
      <c r="C6721" s="38" t="n">
        <f aca="false">Sens!$C$6710-Sens!$C$6720</f>
        <v>15.1456871171543</v>
      </c>
      <c r="D6721" s="38" t="n">
        <f aca="false">Sens!$D$6710-Sens!$D$6720</f>
        <v>18.8908765400825</v>
      </c>
      <c r="E6721" s="38" t="n">
        <f aca="false">Sens!$E$6710-Sens!$E$6720</f>
        <v>10.0485775075586</v>
      </c>
      <c r="F6721" s="38" t="n">
        <f aca="false">Sens!$F$6710-Sens!$F$6720</f>
        <v>13.5760496178185</v>
      </c>
      <c r="G6721" s="38" t="n">
        <f aca="false">Sens!$G$6710-Sens!$G$6720</f>
        <v>23.6029464295611</v>
      </c>
      <c r="H6721" s="38" t="n">
        <f aca="false">Sens!$H$6710-Sens!$H$6720</f>
        <v>28.3365431268884</v>
      </c>
      <c r="I6721" s="38" t="n">
        <f aca="false">Sens!$I$6710-Sens!$I$6720</f>
        <v>33.0697110226949</v>
      </c>
      <c r="J6721" s="38" t="n">
        <f aca="false">Sens!$J$6710-Sens!$J$6720</f>
        <v>37.4850806511378</v>
      </c>
      <c r="K6721" s="38" t="n">
        <f aca="false">Sens!$K$6710-Sens!$K$6720</f>
        <v>41.2335887162515</v>
      </c>
      <c r="L6721" s="38" t="n">
        <f aca="false">Sens!$L$6710-Sens!$L$6720</f>
        <v>45.3569475878767</v>
      </c>
      <c r="M6721" s="38" t="n">
        <f aca="false">Sens!$M$6710-Sens!$M$6720</f>
        <v>49.8926423466644</v>
      </c>
      <c r="N6721" s="38" t="n">
        <f aca="false">Sens!$N$6710-Sens!$N$6720</f>
        <v>7.90628885875037</v>
      </c>
      <c r="O6721" s="38" t="n">
        <f aca="false">Sens!$O$6710-Sens!$O$6720</f>
        <v>11.0010536357202</v>
      </c>
    </row>
    <row r="6722" customFormat="false" ht="19.4" hidden="false" customHeight="false" outlineLevel="0" collapsed="false">
      <c r="A6722" s="31" t="s">
        <v>1191</v>
      </c>
    </row>
    <row r="6723" customFormat="false" ht="17.15" hidden="false" customHeight="false" outlineLevel="0" collapsed="false">
      <c r="A6723" s="6" t="s">
        <v>16</v>
      </c>
      <c r="B6723" s="6" t="s">
        <v>17</v>
      </c>
      <c r="C6723" s="20" t="s">
        <v>457</v>
      </c>
      <c r="D6723" s="20" t="s">
        <v>458</v>
      </c>
      <c r="E6723" s="20" t="s">
        <v>540</v>
      </c>
      <c r="F6723" s="20" t="s">
        <v>541</v>
      </c>
      <c r="G6723" s="20" t="s">
        <v>542</v>
      </c>
      <c r="H6723" s="20" t="s">
        <v>543</v>
      </c>
      <c r="I6723" s="20" t="s">
        <v>544</v>
      </c>
      <c r="J6723" s="20" t="s">
        <v>545</v>
      </c>
      <c r="K6723" s="20" t="s">
        <v>546</v>
      </c>
      <c r="L6723" s="20" t="s">
        <v>547</v>
      </c>
      <c r="M6723" s="20" t="s">
        <v>548</v>
      </c>
      <c r="N6723" s="20" t="s">
        <v>549</v>
      </c>
      <c r="O6723" s="20" t="s">
        <v>550</v>
      </c>
      <c r="P6723" s="6" t="s">
        <v>23</v>
      </c>
      <c r="R6723" s="20" t="n">
        <v>2023</v>
      </c>
      <c r="S6723" s="20" t="n">
        <v>2024</v>
      </c>
      <c r="T6723" s="20" t="n">
        <v>2025</v>
      </c>
      <c r="U6723" s="20" t="n">
        <v>2026</v>
      </c>
      <c r="V6723" s="20" t="n">
        <v>2027</v>
      </c>
      <c r="W6723" s="20" t="n">
        <v>2028</v>
      </c>
      <c r="X6723" s="20" t="n">
        <v>2029</v>
      </c>
      <c r="Y6723" s="20" t="n">
        <v>2030</v>
      </c>
      <c r="Z6723" s="20" t="n">
        <v>2031</v>
      </c>
      <c r="AA6723" s="20" t="n">
        <v>2032</v>
      </c>
    </row>
    <row r="6724" customFormat="false" ht="17.15" hidden="false" customHeight="false" outlineLevel="0" collapsed="false">
      <c r="A6724" s="1" t="s">
        <v>551</v>
      </c>
    </row>
    <row r="6725" customFormat="false" ht="17.15" hidden="false" customHeight="false" outlineLevel="0" collapsed="false">
      <c r="A6725" s="14" t="s">
        <v>552</v>
      </c>
      <c r="B6725" s="13" t="s">
        <v>108</v>
      </c>
      <c r="C6725" s="32" t="n">
        <f aca="false">mw_ye24</f>
        <v>360</v>
      </c>
      <c r="D6725" s="32" t="n">
        <f aca="false">mw_ye25</f>
        <v>1440</v>
      </c>
      <c r="E6725" s="32" t="n">
        <f aca="false">mw_open</f>
        <v>2080</v>
      </c>
      <c r="F6725" s="32" t="n">
        <f aca="false">Sens!$E$6725+pace_B*0.5</f>
        <v>3897.15</v>
      </c>
      <c r="G6725" s="32" t="n">
        <f aca="false">Sens!$F$6725</f>
        <v>3897.15</v>
      </c>
      <c r="H6725" s="32" t="n">
        <f aca="false">Sens!$G$6725+pace_B</f>
        <v>7531.45</v>
      </c>
      <c r="I6725" s="32" t="n">
        <f aca="false">Sens!$H$6725+pace_B</f>
        <v>11165.75</v>
      </c>
      <c r="J6725" s="32" t="n">
        <f aca="false">Sens!$I$6725+pace_B</f>
        <v>14800.05</v>
      </c>
      <c r="K6725" s="32" t="n">
        <f aca="false">Sens!$J$6725+pace_B</f>
        <v>18434.35</v>
      </c>
      <c r="L6725" s="32" t="n">
        <f aca="false">Sens!$K$6725+pace_B</f>
        <v>22068.65</v>
      </c>
      <c r="M6725" s="32" t="n">
        <f aca="false">Sens!$L$6725+pace_B</f>
        <v>25702.95</v>
      </c>
      <c r="N6725" s="32" t="n">
        <f aca="false">(mw_ye24+mw_ye25)/2</f>
        <v>900</v>
      </c>
      <c r="O6725" s="32" t="n">
        <f aca="false">mw_ye25</f>
        <v>1440</v>
      </c>
      <c r="P6725" s="5" t="s">
        <v>553</v>
      </c>
    </row>
    <row r="6726" customFormat="false" ht="17.15" hidden="false" customHeight="false" outlineLevel="0" collapsed="false">
      <c r="A6726" s="5" t="s">
        <v>554</v>
      </c>
      <c r="B6726" s="0" t="s">
        <v>108</v>
      </c>
      <c r="C6726" s="33" t="n">
        <f aca="false">(mw_ye23+mw_ye24)/2</f>
        <v>240</v>
      </c>
      <c r="D6726" s="33" t="n">
        <f aca="false">(Sens!$C$6725+Sens!$D$6725)/2</f>
        <v>900</v>
      </c>
      <c r="E6726" s="33" t="n">
        <f aca="false">(Sens!$D$6725+Sens!$E$6725)/2</f>
        <v>1760</v>
      </c>
      <c r="F6726" s="33" t="n">
        <f aca="false">(Sens!$E$6725+Sens!$F$6725)/2</f>
        <v>2988.575</v>
      </c>
      <c r="G6726" s="33" t="n">
        <f aca="false">(Sens!$E$6726+Sens!$F$6726)/2</f>
        <v>2374.2875</v>
      </c>
      <c r="H6726" s="33" t="n">
        <f aca="false">(Sens!$G$6725+Sens!$H$6725)/2</f>
        <v>5714.3</v>
      </c>
      <c r="I6726" s="33" t="n">
        <f aca="false">(Sens!$H$6725+Sens!$I$6725)/2</f>
        <v>9348.6</v>
      </c>
      <c r="J6726" s="33" t="n">
        <f aca="false">(Sens!$I$6725+Sens!$J$6725)/2</f>
        <v>12982.9</v>
      </c>
      <c r="K6726" s="33" t="n">
        <f aca="false">(Sens!$J$6725+Sens!$K$6725)/2</f>
        <v>16617.2</v>
      </c>
      <c r="L6726" s="33" t="n">
        <f aca="false">(Sens!$K$6725+Sens!$L$6725)/2</f>
        <v>20251.5</v>
      </c>
      <c r="M6726" s="33" t="n">
        <f aca="false">(Sens!$L$6725+Sens!$M$6725)/2</f>
        <v>23885.8</v>
      </c>
      <c r="N6726" s="33" t="n">
        <f aca="false">(Sens!$C$6725+Sens!$N$6725)/2</f>
        <v>630</v>
      </c>
      <c r="O6726" s="33" t="n">
        <f aca="false">(Sens!$N$6725+Sens!$O$6725)/2</f>
        <v>1170</v>
      </c>
    </row>
    <row r="6727" customFormat="false" ht="15" hidden="false" customHeight="false" outlineLevel="0" collapsed="false">
      <c r="A6727" s="5" t="s">
        <v>555</v>
      </c>
      <c r="B6727" s="5" t="s">
        <v>102</v>
      </c>
      <c r="C6727" s="34" t="n">
        <v>1</v>
      </c>
      <c r="D6727" s="34" t="n">
        <v>1</v>
      </c>
      <c r="E6727" s="34" t="n">
        <v>0.5</v>
      </c>
      <c r="F6727" s="34" t="n">
        <v>0.5</v>
      </c>
      <c r="G6727" s="34" t="n">
        <v>1</v>
      </c>
      <c r="H6727" s="34" t="n">
        <v>1</v>
      </c>
      <c r="I6727" s="34" t="n">
        <v>1</v>
      </c>
      <c r="J6727" s="34" t="n">
        <v>1</v>
      </c>
      <c r="K6727" s="34" t="n">
        <v>1</v>
      </c>
      <c r="L6727" s="34" t="n">
        <v>1</v>
      </c>
      <c r="M6727" s="34" t="n">
        <v>1</v>
      </c>
      <c r="N6727" s="34" t="n">
        <v>0.5</v>
      </c>
      <c r="O6727" s="34" t="n">
        <v>0.5</v>
      </c>
    </row>
    <row r="6728" customFormat="false" ht="17.15" hidden="false" customHeight="false" outlineLevel="0" collapsed="false">
      <c r="A6728" s="5" t="s">
        <v>556</v>
      </c>
      <c r="B6728" s="0" t="s">
        <v>108</v>
      </c>
      <c r="C6728" s="33" t="n">
        <f aca="false">Sens!$C$6725-mw_ye23</f>
        <v>240</v>
      </c>
      <c r="D6728" s="33" t="n">
        <f aca="false">Sens!$D$6725-Sens!$C$6725</f>
        <v>1080</v>
      </c>
      <c r="E6728" s="33" t="n">
        <f aca="false">Sens!$E$6725-Sens!$D$6725</f>
        <v>640</v>
      </c>
      <c r="F6728" s="33" t="n">
        <f aca="false">Sens!$F$6725-Sens!$E$6725</f>
        <v>1817.15</v>
      </c>
      <c r="G6728" s="33" t="n">
        <f aca="false">Sens!$E$6728+Sens!$F$6728</f>
        <v>2457.15</v>
      </c>
      <c r="H6728" s="33" t="n">
        <f aca="false">Sens!$H$6725-Sens!$G$6725</f>
        <v>3634.3</v>
      </c>
      <c r="I6728" s="33" t="n">
        <f aca="false">Sens!$I$6725-Sens!$H$6725</f>
        <v>3634.3</v>
      </c>
      <c r="J6728" s="33" t="n">
        <f aca="false">Sens!$J$6725-Sens!$I$6725</f>
        <v>3634.3</v>
      </c>
      <c r="K6728" s="33" t="n">
        <f aca="false">Sens!$K$6725-Sens!$J$6725</f>
        <v>3634.3</v>
      </c>
      <c r="L6728" s="33" t="n">
        <f aca="false">Sens!$L$6725-Sens!$K$6725</f>
        <v>3634.3</v>
      </c>
      <c r="M6728" s="33" t="n">
        <f aca="false">Sens!$M$6725-Sens!$L$6725</f>
        <v>3634.3</v>
      </c>
      <c r="N6728" s="33" t="n">
        <f aca="false">Sens!$N$6725-Sens!$C$6725</f>
        <v>540</v>
      </c>
      <c r="O6728" s="33" t="n">
        <f aca="false">Sens!$O$6725-Sens!$N$6725</f>
        <v>540</v>
      </c>
    </row>
    <row r="6729" customFormat="false" ht="17.15" hidden="false" customHeight="false" outlineLevel="0" collapsed="false">
      <c r="A6729" s="5" t="s">
        <v>557</v>
      </c>
      <c r="B6729" s="0" t="s">
        <v>108</v>
      </c>
      <c r="C6729" s="33" t="n">
        <f aca="false">Sens!$C$6728/ext_sh</f>
        <v>300</v>
      </c>
      <c r="D6729" s="33" t="n">
        <f aca="false">Sens!$D$6728/ext_sh</f>
        <v>1350</v>
      </c>
      <c r="E6729" s="33" t="n">
        <f aca="false">Sens!$E$6728/ext_sh</f>
        <v>800</v>
      </c>
      <c r="F6729" s="33" t="n">
        <f aca="false">Sens!$F$6728/ext_sh</f>
        <v>2271.4375</v>
      </c>
      <c r="G6729" s="33" t="n">
        <f aca="false">Sens!$G$6728/ext_sh</f>
        <v>3071.4375</v>
      </c>
      <c r="H6729" s="33" t="n">
        <f aca="false">Sens!$H$6728/ext_sh</f>
        <v>4542.875</v>
      </c>
      <c r="I6729" s="33" t="n">
        <f aca="false">Sens!$I$6728/ext_sh</f>
        <v>4542.875</v>
      </c>
      <c r="J6729" s="33" t="n">
        <f aca="false">Sens!$J$6728/ext_sh</f>
        <v>4542.875</v>
      </c>
      <c r="K6729" s="33" t="n">
        <f aca="false">Sens!$K$6728/ext_sh</f>
        <v>4542.875</v>
      </c>
      <c r="L6729" s="33" t="n">
        <f aca="false">Sens!$L$6728/ext_sh</f>
        <v>4542.875</v>
      </c>
      <c r="M6729" s="33" t="n">
        <f aca="false">Sens!$M$6728/ext_sh</f>
        <v>4542.875</v>
      </c>
      <c r="N6729" s="33" t="n">
        <f aca="false">Sens!$N$6728/ext_sh</f>
        <v>675</v>
      </c>
      <c r="O6729" s="33" t="n">
        <f aca="false">Sens!$O$6728/ext_sh</f>
        <v>675</v>
      </c>
      <c r="P6729" s="8" t="s">
        <v>558</v>
      </c>
      <c r="R6729" s="33" t="n">
        <f aca="false">mw_ye23/ext_sh</f>
        <v>150</v>
      </c>
      <c r="S6729" s="33" t="n">
        <f aca="false">Sens!$C$6729</f>
        <v>300</v>
      </c>
      <c r="T6729" s="33" t="n">
        <f aca="false">Sens!$D$6729</f>
        <v>1350</v>
      </c>
      <c r="U6729" s="33" t="n">
        <f aca="false">Sens!$G$6729</f>
        <v>3071.4375</v>
      </c>
      <c r="V6729" s="33" t="n">
        <f aca="false">Sens!$H$6729</f>
        <v>4542.875</v>
      </c>
      <c r="W6729" s="33" t="n">
        <f aca="false">Sens!$I$6729</f>
        <v>4542.875</v>
      </c>
      <c r="X6729" s="33" t="n">
        <f aca="false">Sens!$J$6729</f>
        <v>4542.875</v>
      </c>
      <c r="Y6729" s="33" t="n">
        <f aca="false">Sens!$K$6729</f>
        <v>4542.875</v>
      </c>
      <c r="Z6729" s="33" t="n">
        <f aca="false">Sens!$L$6729</f>
        <v>4542.875</v>
      </c>
      <c r="AA6729" s="33" t="n">
        <f aca="false">Sens!$M$6729</f>
        <v>4542.875</v>
      </c>
    </row>
    <row r="6730" customFormat="false" ht="17.15" hidden="false" customHeight="false" outlineLevel="0" collapsed="false">
      <c r="A6730" s="1" t="s">
        <v>559</v>
      </c>
    </row>
    <row r="6731" customFormat="false" ht="17.15" hidden="false" customHeight="false" outlineLevel="0" collapsed="false">
      <c r="A6731" s="0" t="s">
        <v>560</v>
      </c>
      <c r="B6731" s="0" t="s">
        <v>52</v>
      </c>
      <c r="F6731" s="35" t="n">
        <f aca="false">na_vr26</f>
        <v>0</v>
      </c>
      <c r="G6731" s="35" t="n">
        <f aca="false">na_vr26</f>
        <v>0</v>
      </c>
      <c r="H6731" s="35" t="n">
        <f aca="false">na_vr27</f>
        <v>0.5</v>
      </c>
      <c r="I6731" s="35" t="n">
        <f aca="false">na_vr28</f>
        <v>1</v>
      </c>
      <c r="J6731" s="35" t="n">
        <f aca="false">na_vr28</f>
        <v>1</v>
      </c>
      <c r="K6731" s="35" t="n">
        <f aca="false">na_vr28</f>
        <v>1</v>
      </c>
      <c r="L6731" s="35" t="n">
        <f aca="false">na_vr28</f>
        <v>1</v>
      </c>
      <c r="M6731" s="35" t="n">
        <f aca="false">na_vr28</f>
        <v>1</v>
      </c>
    </row>
    <row r="6732" customFormat="false" ht="17.15" hidden="false" customHeight="false" outlineLevel="0" collapsed="false">
      <c r="A6732" s="5" t="s">
        <v>561</v>
      </c>
      <c r="B6732" s="0" t="s">
        <v>151</v>
      </c>
      <c r="F6732" s="36" t="n">
        <f aca="false">cust_sh*tk_he_gb300*cf_chip+(1-cust_sh)*((1-Sens!$F$6731)*tk_he_gb300+Sens!$F$6731*tk_he_vr200)</f>
        <v>10.8864110021101</v>
      </c>
      <c r="G6732" s="36" t="n">
        <f aca="false">cust_sh*tk_he_gb300*cf_chip+(1-cust_sh)*((1-Sens!$G$6731)*tk_he_gb300+Sens!$G$6731*tk_he_vr200)</f>
        <v>10.8864110021101</v>
      </c>
      <c r="H6732" s="36" t="n">
        <f aca="false">cust_sh*tk_he_gb300*cf_chip+(1-cust_sh)*((1-Sens!$H$6731)*tk_he_gb300+Sens!$H$6731*tk_he_vr200)</f>
        <v>11.2211760027286</v>
      </c>
      <c r="I6732" s="36" t="n">
        <f aca="false">cust_sh*tk_he_gb300*cf_chip+(1-cust_sh)*((1-Sens!$I$6731)*tk_he_gb300+Sens!$I$6731*tk_he_vr200)</f>
        <v>11.5559410033471</v>
      </c>
      <c r="J6732" s="36" t="n">
        <f aca="false">cust_sh*tk_he_gb300*cf_chip+(1-cust_sh)*((1-Sens!$J$6731)*tk_he_gb300+Sens!$J$6731*tk_he_vr200)</f>
        <v>11.5559410033471</v>
      </c>
      <c r="K6732" s="36" t="n">
        <f aca="false">cust_sh*tk_he_gb300*cf_chip+(1-cust_sh)*((1-Sens!$K$6731)*tk_he_gb300+Sens!$K$6731*tk_he_vr200)</f>
        <v>11.5559410033471</v>
      </c>
      <c r="L6732" s="36" t="n">
        <f aca="false">cust_sh*tk_he_gb300*cf_chip+(1-cust_sh)*((1-Sens!$L$6731)*tk_he_gb300+Sens!$L$6731*tk_he_vr200)</f>
        <v>11.5559410033471</v>
      </c>
      <c r="M6732" s="36" t="n">
        <f aca="false">cust_sh*tk_he_gb300*cf_chip+(1-cust_sh)*((1-Sens!$M$6731)*tk_he_gb300+Sens!$M$6731*tk_he_vr200)</f>
        <v>11.5559410033471</v>
      </c>
    </row>
    <row r="6733" customFormat="false" ht="17.15" hidden="false" customHeight="false" outlineLevel="0" collapsed="false">
      <c r="A6733" s="5" t="s">
        <v>562</v>
      </c>
      <c r="B6733" s="0" t="s">
        <v>151</v>
      </c>
      <c r="F6733" s="36" t="n">
        <f aca="false">cust_sh*tk_ox_gb300+(1-cust_sh)*((1-Sens!$F$6731)*tk_ox_gb300+Sens!$F$6731*tk_ox_vr200)</f>
        <v>1.98263481314457</v>
      </c>
      <c r="G6733" s="36" t="n">
        <f aca="false">cust_sh*tk_ox_gb300+(1-cust_sh)*((1-Sens!$G$6731)*tk_ox_gb300+Sens!$G$6731*tk_ox_vr200)</f>
        <v>1.98263481314457</v>
      </c>
      <c r="H6733" s="36" t="n">
        <f aca="false">cust_sh*tk_ox_gb300+(1-cust_sh)*((1-Sens!$H$6731)*tk_ox_gb300+Sens!$H$6731*tk_ox_vr200)</f>
        <v>2.01034999693694</v>
      </c>
      <c r="I6733" s="36" t="n">
        <f aca="false">cust_sh*tk_ox_gb300+(1-cust_sh)*((1-Sens!$I$6731)*tk_ox_gb300+Sens!$I$6731*tk_ox_vr200)</f>
        <v>2.0380651807293</v>
      </c>
      <c r="J6733" s="36" t="n">
        <f aca="false">cust_sh*tk_ox_gb300+(1-cust_sh)*((1-Sens!$J$6731)*tk_ox_gb300+Sens!$J$6731*tk_ox_vr200)</f>
        <v>2.0380651807293</v>
      </c>
      <c r="K6733" s="36" t="n">
        <f aca="false">cust_sh*tk_ox_gb300+(1-cust_sh)*((1-Sens!$K$6731)*tk_ox_gb300+Sens!$K$6731*tk_ox_vr200)</f>
        <v>2.0380651807293</v>
      </c>
      <c r="L6733" s="36" t="n">
        <f aca="false">cust_sh*tk_ox_gb300+(1-cust_sh)*((1-Sens!$L$6731)*tk_ox_gb300+Sens!$L$6731*tk_ox_vr200)</f>
        <v>2.0380651807293</v>
      </c>
      <c r="M6733" s="36" t="n">
        <f aca="false">cust_sh*tk_ox_gb300+(1-cust_sh)*((1-Sens!$M$6731)*tk_ox_gb300+Sens!$M$6731*tk_ox_vr200)</f>
        <v>2.0380651807293</v>
      </c>
    </row>
    <row r="6734" customFormat="false" ht="17.15" hidden="false" customHeight="false" outlineLevel="0" collapsed="false">
      <c r="A6734" s="5" t="s">
        <v>563</v>
      </c>
      <c r="B6734" s="0" t="s">
        <v>170</v>
      </c>
      <c r="F6734" s="36" t="n">
        <f aca="false">cust_sh*tk_cx_gb300*cf_cx+(1-cust_sh)*((1-Sens!$F$6731)*tk_cx_gb300+Sens!$F$6731*tk_cx_vr200)</f>
        <v>32.237224</v>
      </c>
      <c r="G6734" s="36" t="n">
        <f aca="false">cust_sh*tk_cx_gb300*cf_cx+(1-cust_sh)*((1-Sens!$G$6731)*tk_cx_gb300+Sens!$G$6731*tk_cx_vr200)</f>
        <v>32.237224</v>
      </c>
      <c r="H6734" s="36" t="n">
        <f aca="false">cust_sh*tk_cx_gb300*cf_cx+(1-cust_sh)*((1-Sens!$H$6731)*tk_cx_gb300+Sens!$H$6731*tk_cx_vr200)</f>
        <v>33.574506</v>
      </c>
      <c r="I6734" s="36" t="n">
        <f aca="false">cust_sh*tk_cx_gb300*cf_cx+(1-cust_sh)*((1-Sens!$I$6731)*tk_cx_gb300+Sens!$I$6731*tk_cx_vr200)</f>
        <v>34.911788</v>
      </c>
      <c r="J6734" s="36" t="n">
        <f aca="false">cust_sh*tk_cx_gb300*cf_cx+(1-cust_sh)*((1-Sens!$J$6731)*tk_cx_gb300+Sens!$J$6731*tk_cx_vr200)</f>
        <v>34.911788</v>
      </c>
      <c r="K6734" s="36" t="n">
        <f aca="false">cust_sh*tk_cx_gb300*cf_cx+(1-cust_sh)*((1-Sens!$K$6731)*tk_cx_gb300+Sens!$K$6731*tk_cx_vr200)</f>
        <v>34.911788</v>
      </c>
      <c r="L6734" s="36" t="n">
        <f aca="false">cust_sh*tk_cx_gb300*cf_cx+(1-cust_sh)*((1-Sens!$L$6731)*tk_cx_gb300+Sens!$L$6731*tk_cx_vr200)</f>
        <v>34.911788</v>
      </c>
      <c r="M6734" s="36" t="n">
        <f aca="false">cust_sh*tk_cx_gb300*cf_cx+(1-cust_sh)*((1-Sens!$M$6731)*tk_cx_gb300+Sens!$M$6731*tk_cx_vr200)</f>
        <v>34.911788</v>
      </c>
    </row>
    <row r="6735" customFormat="false" ht="17.15" hidden="false" customHeight="false" outlineLevel="0" collapsed="false">
      <c r="A6735" s="5" t="s">
        <v>564</v>
      </c>
      <c r="B6735" s="0" t="s">
        <v>108</v>
      </c>
      <c r="F6735" s="33" t="n">
        <f aca="false">Sens!$F$6725-mw_open</f>
        <v>1817.15</v>
      </c>
      <c r="G6735" s="33" t="n">
        <f aca="false">Sens!$F$6735</f>
        <v>1817.15</v>
      </c>
      <c r="H6735" s="33" t="n">
        <f aca="false">Sens!$H$6725-mw_open</f>
        <v>5451.45</v>
      </c>
      <c r="I6735" s="33" t="n">
        <f aca="false">Sens!$I$6725-mw_open</f>
        <v>9085.75</v>
      </c>
      <c r="J6735" s="33" t="n">
        <f aca="false">Sens!$J$6725-mw_open</f>
        <v>12720.05</v>
      </c>
      <c r="K6735" s="33" t="n">
        <f aca="false">Sens!$K$6725-mw_open</f>
        <v>16354.35</v>
      </c>
      <c r="L6735" s="33" t="n">
        <f aca="false">Sens!$L$6725-mw_open</f>
        <v>19988.65</v>
      </c>
      <c r="M6735" s="33" t="n">
        <f aca="false">Sens!$M$6725-mw_open</f>
        <v>23622.95</v>
      </c>
    </row>
    <row r="6736" customFormat="false" ht="17.15" hidden="false" customHeight="false" outlineLevel="0" collapsed="false">
      <c r="A6736" s="0" t="s">
        <v>565</v>
      </c>
      <c r="B6736" s="0" t="s">
        <v>566</v>
      </c>
      <c r="F6736" s="33" t="n">
        <f aca="false">Sens!$F$6728*Sens!$F$6732</f>
        <v>19782.2417524844</v>
      </c>
      <c r="G6736" s="33" t="n">
        <f aca="false">Sens!$F$6736</f>
        <v>19782.2417524844</v>
      </c>
      <c r="H6736" s="33" t="n">
        <f aca="false">Sens!$G$6736+Sens!$H$6728*Sens!$H$6732</f>
        <v>60563.3616992009</v>
      </c>
      <c r="I6736" s="33" t="n">
        <f aca="false">Sens!$H$6736+Sens!$I$6728*Sens!$I$6732</f>
        <v>102561.118087665</v>
      </c>
      <c r="J6736" s="33" t="n">
        <f aca="false">Sens!$I$6736+Sens!$J$6728*Sens!$J$6732</f>
        <v>144558.87447613</v>
      </c>
      <c r="K6736" s="33" t="n">
        <f aca="false">Sens!$J$6736+Sens!$K$6728*Sens!$K$6732</f>
        <v>186556.630864594</v>
      </c>
      <c r="L6736" s="33" t="n">
        <f aca="false">Sens!$K$6736+Sens!$L$6728*Sens!$L$6732</f>
        <v>228554.387253058</v>
      </c>
      <c r="M6736" s="33" t="n">
        <f aca="false">Sens!$L$6736+Sens!$M$6728*Sens!$M$6732</f>
        <v>270552.143641523</v>
      </c>
    </row>
    <row r="6737" customFormat="false" ht="17.15" hidden="false" customHeight="false" outlineLevel="0" collapsed="false">
      <c r="A6737" s="0" t="s">
        <v>567</v>
      </c>
      <c r="B6737" s="0" t="s">
        <v>566</v>
      </c>
      <c r="F6737" s="33" t="n">
        <f aca="false">Sens!$F$6728*Sens!$F$6733</f>
        <v>3602.74485070566</v>
      </c>
      <c r="G6737" s="33" t="n">
        <f aca="false">Sens!$F$6737</f>
        <v>3602.74485070566</v>
      </c>
      <c r="H6737" s="33" t="n">
        <f aca="false">Sens!$G$6737+Sens!$H$6728*Sens!$H$6733</f>
        <v>10908.9598445736</v>
      </c>
      <c r="I6737" s="33" t="n">
        <f aca="false">Sens!$H$6737+Sens!$I$6728*Sens!$I$6733</f>
        <v>18315.9001308981</v>
      </c>
      <c r="J6737" s="33" t="n">
        <f aca="false">Sens!$I$6737+Sens!$J$6728*Sens!$J$6733</f>
        <v>25722.8404172225</v>
      </c>
      <c r="K6737" s="33" t="n">
        <f aca="false">Sens!$J$6737+Sens!$K$6728*Sens!$K$6733</f>
        <v>33129.780703547</v>
      </c>
      <c r="L6737" s="33" t="n">
        <f aca="false">Sens!$K$6737+Sens!$L$6728*Sens!$L$6733</f>
        <v>40536.7209898715</v>
      </c>
      <c r="M6737" s="33" t="n">
        <f aca="false">Sens!$L$6737+Sens!$M$6728*Sens!$M$6733</f>
        <v>47943.661276196</v>
      </c>
    </row>
    <row r="6738" customFormat="false" ht="17.15" hidden="false" customHeight="false" outlineLevel="0" collapsed="false">
      <c r="A6738" s="5" t="s">
        <v>568</v>
      </c>
      <c r="B6738" s="0" t="s">
        <v>151</v>
      </c>
      <c r="F6738" s="36" t="n">
        <f aca="false">IF(Sens!$F$6735&gt;0,Sens!$F$6736/Sens!$F$6735,Sens!$F$6732)</f>
        <v>10.8864110021101</v>
      </c>
      <c r="G6738" s="36" t="n">
        <f aca="false">IF(Sens!$G$6735&gt;0,Sens!$G$6736/Sens!$G$6735,Sens!$G$6732)</f>
        <v>10.8864110021101</v>
      </c>
      <c r="H6738" s="36" t="n">
        <f aca="false">IF(Sens!$H$6735&gt;0,Sens!$H$6736/Sens!$H$6735,Sens!$H$6732)</f>
        <v>11.1095876691891</v>
      </c>
      <c r="I6738" s="36" t="n">
        <f aca="false">IF(Sens!$I$6735&gt;0,Sens!$I$6736/Sens!$I$6735,Sens!$I$6732)</f>
        <v>11.2881290028523</v>
      </c>
      <c r="J6738" s="36" t="n">
        <f aca="false">IF(Sens!$J$6735&gt;0,Sens!$J$6736/Sens!$J$6735,Sens!$J$6732)</f>
        <v>11.3646467172794</v>
      </c>
      <c r="K6738" s="36" t="n">
        <f aca="false">IF(Sens!$K$6735&gt;0,Sens!$K$6736/Sens!$K$6735,Sens!$K$6732)</f>
        <v>11.4071565586278</v>
      </c>
      <c r="L6738" s="36" t="n">
        <f aca="false">IF(Sens!$L$6735&gt;0,Sens!$L$6736/Sens!$L$6735,Sens!$L$6732)</f>
        <v>11.4342082758495</v>
      </c>
      <c r="M6738" s="36" t="n">
        <f aca="false">IF(Sens!$M$6735&gt;0,Sens!$M$6736/Sens!$M$6735,Sens!$M$6732)</f>
        <v>11.4529363877722</v>
      </c>
    </row>
    <row r="6739" customFormat="false" ht="17.15" hidden="false" customHeight="false" outlineLevel="0" collapsed="false">
      <c r="A6739" s="5" t="s">
        <v>569</v>
      </c>
      <c r="B6739" s="0" t="s">
        <v>151</v>
      </c>
      <c r="F6739" s="36" t="n">
        <f aca="false">IF(Sens!$F$6735&gt;0,Sens!$F$6737/Sens!$F$6735,Sens!$F$6733)</f>
        <v>1.98263481314457</v>
      </c>
      <c r="G6739" s="36" t="n">
        <f aca="false">IF(Sens!$G$6735&gt;0,Sens!$G$6737/Sens!$G$6735,Sens!$G$6733)</f>
        <v>1.98263481314457</v>
      </c>
      <c r="H6739" s="36" t="n">
        <f aca="false">IF(Sens!$H$6735&gt;0,Sens!$H$6737/Sens!$H$6735,Sens!$H$6733)</f>
        <v>2.00111160233948</v>
      </c>
      <c r="I6739" s="36" t="n">
        <f aca="false">IF(Sens!$I$6735&gt;0,Sens!$I$6737/Sens!$I$6735,Sens!$I$6733)</f>
        <v>2.01589303369541</v>
      </c>
      <c r="J6739" s="36" t="n">
        <f aca="false">IF(Sens!$J$6735&gt;0,Sens!$J$6737/Sens!$J$6735,Sens!$J$6733)</f>
        <v>2.02222793284795</v>
      </c>
      <c r="K6739" s="36" t="n">
        <f aca="false">IF(Sens!$K$6735&gt;0,Sens!$K$6737/Sens!$K$6735,Sens!$K$6733)</f>
        <v>2.02574732126603</v>
      </c>
      <c r="L6739" s="36" t="n">
        <f aca="false">IF(Sens!$L$6735&gt;0,Sens!$L$6737/Sens!$L$6735,Sens!$L$6733)</f>
        <v>2.02798693207753</v>
      </c>
      <c r="M6739" s="36" t="n">
        <f aca="false">IF(Sens!$M$6735&gt;0,Sens!$M$6737/Sens!$M$6735,Sens!$M$6733)</f>
        <v>2.02953743187011</v>
      </c>
    </row>
    <row r="6740" customFormat="false" ht="17.15" hidden="false" customHeight="false" outlineLevel="0" collapsed="false">
      <c r="A6740" s="14" t="s">
        <v>570</v>
      </c>
      <c r="B6740" s="13" t="s">
        <v>151</v>
      </c>
      <c r="C6740" s="13"/>
      <c r="D6740" s="13"/>
      <c r="E6740" s="13"/>
      <c r="F6740" s="37" t="n">
        <f aca="false">Sens!$F$6738*k_B</f>
        <v>10.7987645808025</v>
      </c>
      <c r="G6740" s="37" t="n">
        <f aca="false">Sens!$G$6738*k_B</f>
        <v>10.7987645808025</v>
      </c>
      <c r="H6740" s="37" t="n">
        <f aca="false">Sens!$H$6738*k_B</f>
        <v>11.0201444540452</v>
      </c>
      <c r="I6740" s="37" t="n">
        <f aca="false">Sens!$I$6738*k_B</f>
        <v>11.1972483526393</v>
      </c>
      <c r="J6740" s="37" t="n">
        <f aca="false">Sens!$J$6738*k_B</f>
        <v>11.2731500234653</v>
      </c>
      <c r="K6740" s="37" t="n">
        <f aca="false">Sens!$K$6738*k_B</f>
        <v>11.3153176183687</v>
      </c>
      <c r="L6740" s="37" t="n">
        <f aca="false">Sens!$L$6738*k_B</f>
        <v>11.3421515423981</v>
      </c>
      <c r="M6740" s="37" t="n">
        <f aca="false">Sens!$M$6738*k_B</f>
        <v>11.3607288744184</v>
      </c>
      <c r="N6740" s="13"/>
      <c r="O6740" s="13"/>
      <c r="P6740" s="5" t="s">
        <v>571</v>
      </c>
    </row>
    <row r="6741" customFormat="false" ht="17.15" hidden="false" customHeight="false" outlineLevel="0" collapsed="false">
      <c r="A6741" s="5" t="s">
        <v>572</v>
      </c>
      <c r="B6741" s="0" t="s">
        <v>108</v>
      </c>
      <c r="F6741" s="33" t="n">
        <f aca="false">Sens!$F$6735/2</f>
        <v>908.575</v>
      </c>
      <c r="H6741" s="33" t="n">
        <f aca="false">(Sens!$G$6735+Sens!$H$6735)/2</f>
        <v>3634.3</v>
      </c>
      <c r="I6741" s="33" t="n">
        <f aca="false">(Sens!$H$6735+Sens!$I$6735)/2</f>
        <v>7268.6</v>
      </c>
      <c r="J6741" s="33" t="n">
        <f aca="false">(Sens!$I$6735+Sens!$J$6735)/2</f>
        <v>10902.9</v>
      </c>
      <c r="K6741" s="33" t="n">
        <f aca="false">(Sens!$J$6735+Sens!$K$6735)/2</f>
        <v>14537.2</v>
      </c>
      <c r="L6741" s="33" t="n">
        <f aca="false">(Sens!$K$6735+Sens!$L$6735)/2</f>
        <v>18171.5</v>
      </c>
      <c r="M6741" s="33" t="n">
        <f aca="false">(Sens!$L$6735+Sens!$M$6735)/2</f>
        <v>21805.8</v>
      </c>
    </row>
    <row r="6742" customFormat="false" ht="17.15" hidden="false" customHeight="false" outlineLevel="0" collapsed="false">
      <c r="A6742" s="1" t="s">
        <v>573</v>
      </c>
    </row>
    <row r="6743" customFormat="false" ht="17.15" hidden="false" customHeight="false" outlineLevel="0" collapsed="false">
      <c r="A6743" s="1" t="s">
        <v>574</v>
      </c>
      <c r="B6743" s="8" t="s">
        <v>73</v>
      </c>
      <c r="C6743" s="38" t="n">
        <f aca="false">Sens!$C$6726*rpm_open*Sens!$C$6727/1000</f>
        <v>2.32100535697364</v>
      </c>
      <c r="D6743" s="38" t="n">
        <f aca="false">Sens!$D$6726*rpm_open*Sens!$D$6727/1000</f>
        <v>8.70377008865116</v>
      </c>
      <c r="E6743" s="38" t="n">
        <f aca="false">Sens!$E$6726*rpm_open*Sens!$E$6727/1000</f>
        <v>8.51035297557002</v>
      </c>
      <c r="F6743" s="38" t="n">
        <f aca="false">(mw_open*rpm_open+Sens!$F$6741*Sens!$F$6740)*Sens!$F$6727/1000</f>
        <v>14.9634336447205</v>
      </c>
      <c r="G6743" s="38" t="n">
        <f aca="false">Sens!$E$6743+Sens!$F$6743</f>
        <v>23.4737866202905</v>
      </c>
      <c r="H6743" s="38" t="n">
        <f aca="false">(mw_open*rpm_open+Sens!$H$6741*Sens!$H$6740)/1000</f>
        <v>60.1658907497746</v>
      </c>
      <c r="I6743" s="38" t="n">
        <f aca="false">(mw_open*rpm_open+Sens!$I$6741*Sens!$I$6740)/1000</f>
        <v>101.503699136432</v>
      </c>
      <c r="J6743" s="38" t="n">
        <f aca="false">(mw_open*rpm_open+Sens!$J$6741*Sens!$J$6740)/1000</f>
        <v>143.025407151278</v>
      </c>
      <c r="K6743" s="38" t="n">
        <f aca="false">(mw_open*rpm_open+Sens!$K$6741*Sens!$K$6740)/1000</f>
        <v>184.608415042187</v>
      </c>
      <c r="L6743" s="38" t="n">
        <f aca="false">(mw_open*rpm_open+Sens!$L$6741*Sens!$L$6740)/1000</f>
        <v>226.219286513125</v>
      </c>
      <c r="M6743" s="38" t="n">
        <f aca="false">(mw_open*rpm_open+Sens!$M$6741*Sens!$M$6740)/1000</f>
        <v>267.845161450232</v>
      </c>
      <c r="N6743" s="38" t="n">
        <f aca="false">Sens!$N$6726*rpm_open*Sens!$N$6727/1000</f>
        <v>3.04631953102791</v>
      </c>
      <c r="O6743" s="38" t="n">
        <f aca="false">Sens!$O$6726*rpm_open*Sens!$O$6727/1000</f>
        <v>5.65745055762326</v>
      </c>
      <c r="P6743" s="5" t="s">
        <v>575</v>
      </c>
    </row>
    <row r="6744" customFormat="false" ht="17.15" hidden="false" customHeight="false" outlineLevel="0" collapsed="false">
      <c r="A6744" s="5" t="s">
        <v>576</v>
      </c>
      <c r="B6744" s="0" t="s">
        <v>151</v>
      </c>
      <c r="C6744" s="36" t="n">
        <f aca="false">Sens!$C$6743*1000/(Sens!$C$6726*Sens!$C$6727)</f>
        <v>9.67085565405685</v>
      </c>
      <c r="D6744" s="36" t="n">
        <f aca="false">Sens!$D$6743*1000/(Sens!$D$6726*Sens!$D$6727)</f>
        <v>9.67085565405685</v>
      </c>
      <c r="E6744" s="36" t="n">
        <f aca="false">Sens!$E$6743*1000/(Sens!$E$6726*Sens!$E$6727)</f>
        <v>9.67085565405685</v>
      </c>
      <c r="F6744" s="36" t="n">
        <f aca="false">Sens!$F$6743*1000/(Sens!$F$6726*Sens!$F$6727)</f>
        <v>10.0137581588017</v>
      </c>
      <c r="G6744" s="36" t="n">
        <f aca="false">Sens!$G$6743*1000/(Sens!$G$6726*Sens!$G$6727)</f>
        <v>9.88666562928478</v>
      </c>
      <c r="H6744" s="36" t="n">
        <f aca="false">Sens!$H$6743*1000/(Sens!$H$6726*Sens!$H$6727)</f>
        <v>10.5290045586992</v>
      </c>
      <c r="I6744" s="36" t="n">
        <f aca="false">Sens!$I$6743*1000/(Sens!$I$6726*Sens!$I$6727)</f>
        <v>10.8576363451674</v>
      </c>
      <c r="J6744" s="36" t="n">
        <f aca="false">Sens!$J$6743*1000/(Sens!$J$6726*Sens!$J$6727)</f>
        <v>11.0164452588619</v>
      </c>
      <c r="K6744" s="36" t="n">
        <f aca="false">Sens!$K$6743*1000/(Sens!$K$6726*Sens!$K$6727)</f>
        <v>11.1094778327388</v>
      </c>
      <c r="L6744" s="36" t="n">
        <f aca="false">Sens!$L$6743*1000/(Sens!$L$6726*Sens!$L$6727)</f>
        <v>11.1704953466718</v>
      </c>
      <c r="M6744" s="36" t="n">
        <f aca="false">Sens!$M$6743*1000/(Sens!$M$6726*Sens!$M$6727)</f>
        <v>11.2135729785158</v>
      </c>
      <c r="N6744" s="36" t="n">
        <f aca="false">Sens!$N$6743*1000/(Sens!$N$6726*Sens!$N$6727)</f>
        <v>9.67085565405685</v>
      </c>
      <c r="O6744" s="36" t="n">
        <f aca="false">Sens!$O$6743*1000/(Sens!$O$6726*Sens!$O$6727)</f>
        <v>9.67085565405685</v>
      </c>
    </row>
    <row r="6745" customFormat="false" ht="17.15" hidden="false" customHeight="false" outlineLevel="0" collapsed="false">
      <c r="A6745" s="0" t="s">
        <v>577</v>
      </c>
      <c r="B6745" s="0" t="s">
        <v>73</v>
      </c>
      <c r="C6745" s="38" t="n">
        <f aca="false">Sens!$C$6726/ext_sh*(ox_open+rent_mw)*Sens!$C$6727/1000</f>
        <v>0.642569210675032</v>
      </c>
      <c r="D6745" s="38" t="n">
        <f aca="false">Sens!$D$6726/ext_sh*(ox_open+rent_mw)*Sens!$D$6727/1000</f>
        <v>2.40963454003137</v>
      </c>
      <c r="E6745" s="38" t="n">
        <f aca="false">Sens!$E$6726/ext_sh*(ox_open+rent_mw)*Sens!$E$6727/1000</f>
        <v>2.35608710580845</v>
      </c>
      <c r="F6745" s="38" t="n">
        <f aca="false">((mw_open*ox_open+Sens!$F$6741*Sens!$F$6739)/ext_sh+Sens!$F$6726/ext_sh*rent_mw)*Sens!$F$6727/1000</f>
        <v>4.05421991106232</v>
      </c>
      <c r="G6745" s="38" t="n">
        <f aca="false">Sens!$E$6745+Sens!$F$6745</f>
        <v>6.41030701687077</v>
      </c>
      <c r="H6745" s="38" t="n">
        <f aca="false">((mw_open*ox_open+Sens!$H$6741*Sens!$H$6739)/ext_sh+Sens!$H$6726/ext_sh*rent_mw)*Sens!$H$6727/1000</f>
        <v>15.8108975546616</v>
      </c>
      <c r="I6745" s="38" t="n">
        <f aca="false">((mw_open*ox_open+Sens!$I$6741*Sens!$I$6739)/ext_sh+Sens!$I$6726/ext_sh*rent_mw)*Sens!$I$6727/1000</f>
        <v>26.1871623400817</v>
      </c>
      <c r="J6745" s="38" t="n">
        <f aca="false">((mw_open*ox_open+Sens!$J$6741*Sens!$J$6739)/ext_sh+Sens!$J$6726/ext_sh*rent_mw)*Sens!$J$6727/1000</f>
        <v>36.5826128954935</v>
      </c>
      <c r="K6745" s="38" t="n">
        <f aca="false">((mw_open*ox_open+Sens!$K$6741*Sens!$K$6739)/ext_sh+Sens!$K$6726/ext_sh*rent_mw)*Sens!$K$6727/1000</f>
        <v>46.9844587075692</v>
      </c>
      <c r="L6745" s="38" t="n">
        <f aca="false">((mw_open*ox_open+Sens!$L$6741*Sens!$L$6739)/ext_sh+Sens!$L$6726/ext_sh*rent_mw)*Sens!$L$6727/1000</f>
        <v>57.3892114544922</v>
      </c>
      <c r="M6745" s="38" t="n">
        <f aca="false">((mw_open*ox_open+Sens!$M$6741*Sens!$M$6739)/ext_sh+Sens!$M$6726/ext_sh*rent_mw)*Sens!$M$6727/1000</f>
        <v>67.7955294740252</v>
      </c>
      <c r="N6745" s="38" t="n">
        <f aca="false">Sens!$N$6726/ext_sh*(ox_open+rent_mw)*Sens!$N$6727/1000</f>
        <v>0.84337208901098</v>
      </c>
      <c r="O6745" s="38" t="n">
        <f aca="false">Sens!$O$6726/ext_sh*(ox_open+rent_mw)*Sens!$O$6727/1000</f>
        <v>1.56626245102039</v>
      </c>
    </row>
    <row r="6746" customFormat="false" ht="17.15" hidden="false" customHeight="false" outlineLevel="0" collapsed="false">
      <c r="A6746" s="0" t="s">
        <v>578</v>
      </c>
      <c r="B6746" s="0" t="s">
        <v>73</v>
      </c>
      <c r="C6746" s="38" t="n">
        <f aca="false">Q!$D$7</f>
        <v>107.556</v>
      </c>
      <c r="D6746" s="38" t="n">
        <f aca="false">Q!$E$7</f>
        <v>128.725</v>
      </c>
      <c r="E6746" s="38" t="n">
        <f aca="false">Q!$P$7</f>
        <v>79.819</v>
      </c>
      <c r="N6746" s="38" t="n">
        <f aca="false">Q!$N$7</f>
        <v>60.14</v>
      </c>
      <c r="O6746" s="38" t="n">
        <f aca="false">Q!$O$7</f>
        <v>68.585</v>
      </c>
    </row>
    <row r="6747" customFormat="false" ht="17.15" hidden="false" customHeight="false" outlineLevel="0" collapsed="false">
      <c r="A6747" s="1" t="s">
        <v>579</v>
      </c>
      <c r="B6747" s="8" t="s">
        <v>73</v>
      </c>
      <c r="C6747" s="38" t="n">
        <f aca="false">Sens!$C$6746-Sens!$C$6743</f>
        <v>105.234994643026</v>
      </c>
      <c r="D6747" s="38" t="n">
        <f aca="false">Sens!$D$6746-Sens!$D$6743</f>
        <v>120.021229911349</v>
      </c>
      <c r="E6747" s="38" t="n">
        <f aca="false">Sens!$E$6746-Sens!$E$6743</f>
        <v>71.30864702443</v>
      </c>
      <c r="F6747" s="38" t="n">
        <f aca="false">Sens!$O$6747*(1+Sens!$F$6748)</f>
        <v>78.5950104186653</v>
      </c>
      <c r="G6747" s="38" t="n">
        <f aca="false">Sens!$E$6747+Sens!$F$6747</f>
        <v>149.903657443095</v>
      </c>
      <c r="H6747" s="38" t="n">
        <f aca="false">Sens!$G$6747*(1+Sens!$H$6748)</f>
        <v>180.893560768142</v>
      </c>
      <c r="I6747" s="38" t="n">
        <f aca="false">Sens!$H$6747*(1+Sens!$I$6748)</f>
        <v>210.64839721501</v>
      </c>
      <c r="J6747" s="38" t="n">
        <f aca="false">Sens!$I$6747*(1+Sens!$J$6748)</f>
        <v>236.398909446495</v>
      </c>
      <c r="K6747" s="38" t="n">
        <f aca="false">Sens!$J$6747*(1+Sens!$K$6748)</f>
        <v>255.310822202215</v>
      </c>
      <c r="L6747" s="38" t="n">
        <f aca="false">Sens!$K$6747*(1+Sens!$L$6748)</f>
        <v>275.735687978392</v>
      </c>
      <c r="M6747" s="38" t="n">
        <f aca="false">Sens!$L$6747*(1+Sens!$M$6748)</f>
        <v>297.794543016663</v>
      </c>
      <c r="N6747" s="38" t="n">
        <f aca="false">Sens!$N$6746-Sens!$N$6743</f>
        <v>57.0936804689721</v>
      </c>
      <c r="O6747" s="38" t="n">
        <f aca="false">Sens!$O$6746-Sens!$O$6743</f>
        <v>62.9275494423768</v>
      </c>
      <c r="P6747" s="5" t="s">
        <v>580</v>
      </c>
    </row>
    <row r="6748" customFormat="false" ht="17.15" hidden="false" customHeight="false" outlineLevel="0" collapsed="false">
      <c r="A6748" s="0" t="s">
        <v>581</v>
      </c>
      <c r="B6748" s="0" t="s">
        <v>52</v>
      </c>
      <c r="E6748" s="12" t="n">
        <f aca="false">Sens!$E$6747/Sens!$N$6747-1</f>
        <v>0.248976181579029</v>
      </c>
      <c r="F6748" s="12" t="n">
        <f aca="false">Sens!$E$6748</f>
        <v>0.248976181579029</v>
      </c>
      <c r="G6748" s="12" t="n">
        <f aca="false">Sens!$G$6747/Sens!$D$6747-1</f>
        <v>0.248976181579029</v>
      </c>
      <c r="H6748" s="12" t="n">
        <f aca="false">Sens!$E$6748+(g_awso_lt-Sens!$E$6748)*1/4</f>
        <v>0.206732136184272</v>
      </c>
      <c r="I6748" s="12" t="n">
        <f aca="false">Sens!$E$6748+(g_awso_lt-Sens!$E$6748)*2/4</f>
        <v>0.164488090789515</v>
      </c>
      <c r="J6748" s="12" t="n">
        <f aca="false">Sens!$E$6748+(g_awso_lt-Sens!$E$6748)*3/4</f>
        <v>0.122244045394757</v>
      </c>
      <c r="K6748" s="12" t="n">
        <f aca="false">Sens!$E$6748+(g_awso_lt-Sens!$E$6748)*4/4</f>
        <v>0.08</v>
      </c>
      <c r="L6748" s="12" t="n">
        <f aca="false">g_awso_lt</f>
        <v>0.08</v>
      </c>
      <c r="M6748" s="12" t="n">
        <f aca="false">g_awso_lt</f>
        <v>0.08</v>
      </c>
      <c r="P6748" s="8" t="s">
        <v>582</v>
      </c>
    </row>
    <row r="6749" customFormat="false" ht="17.15" hidden="false" customHeight="false" outlineLevel="0" collapsed="false">
      <c r="A6749" s="1" t="s">
        <v>583</v>
      </c>
    </row>
    <row r="6750" customFormat="false" ht="17.15" hidden="false" customHeight="false" outlineLevel="0" collapsed="false">
      <c r="A6750" s="0" t="s">
        <v>584</v>
      </c>
      <c r="B6750" s="0" t="s">
        <v>73</v>
      </c>
      <c r="F6750" s="38" t="n">
        <f aca="false">cx_rt*Sens!$F$6716+cx_awso*Sens!$F$6747</f>
        <v>36.8045765066526</v>
      </c>
    </row>
    <row r="6751" customFormat="false" ht="17.15" hidden="false" customHeight="false" outlineLevel="0" collapsed="false">
      <c r="A6751" s="0" t="s">
        <v>585</v>
      </c>
      <c r="B6751" s="0" t="s">
        <v>52</v>
      </c>
      <c r="C6751" s="12" t="n">
        <f aca="false">tk_cx_h100/(tk_cx_h100+tk_fac*(1-colo_sh))</f>
        <v>0.730756458006641</v>
      </c>
      <c r="D6751" s="12" t="n">
        <f aca="false">tk_cx_h100/(tk_cx_h100+tk_fac*(1-colo_sh))</f>
        <v>0.730756458006641</v>
      </c>
      <c r="E6751" s="12" t="n">
        <f aca="false">Sens!$F$6751</f>
        <v>0.760792334328868</v>
      </c>
      <c r="F6751" s="12" t="n">
        <f aca="false">Sens!$F$6734/(Sens!$F$6734+tk_fac*(1-colo_sh))</f>
        <v>0.760792334328868</v>
      </c>
      <c r="G6751" s="12" t="n">
        <f aca="false">Sens!$G$6734/(Sens!$G$6734+tk_fac*(1-colo_sh))</f>
        <v>0.760792334328868</v>
      </c>
      <c r="H6751" s="12" t="n">
        <f aca="false">Sens!$H$6734/(Sens!$H$6734+tk_fac*(1-colo_sh))</f>
        <v>0.768110668862996</v>
      </c>
      <c r="I6751" s="12" t="n">
        <f aca="false">Sens!$I$6734/(Sens!$I$6734+tk_fac*(1-colo_sh))</f>
        <v>0.77499450139483</v>
      </c>
      <c r="J6751" s="12" t="n">
        <f aca="false">Sens!$J$6734/(Sens!$J$6734+tk_fac*(1-colo_sh))</f>
        <v>0.77499450139483</v>
      </c>
      <c r="K6751" s="12" t="n">
        <f aca="false">Sens!$K$6734/(Sens!$K$6734+tk_fac*(1-colo_sh))</f>
        <v>0.77499450139483</v>
      </c>
      <c r="L6751" s="12" t="n">
        <f aca="false">Sens!$L$6734/(Sens!$L$6734+tk_fac*(1-colo_sh))</f>
        <v>0.77499450139483</v>
      </c>
      <c r="M6751" s="12" t="n">
        <f aca="false">Sens!$M$6734/(Sens!$M$6734+tk_fac*(1-colo_sh))</f>
        <v>0.77499450139483</v>
      </c>
    </row>
    <row r="6752" customFormat="false" ht="17.15" hidden="false" customHeight="false" outlineLevel="0" collapsed="false">
      <c r="A6752" s="1" t="s">
        <v>586</v>
      </c>
      <c r="B6752" s="8" t="s">
        <v>73</v>
      </c>
      <c r="C6752" s="38" t="n">
        <f aca="false">Q!$D$46-cx_rt*Q!$D$16-cx_awso*Sens!$C$6747</f>
        <v>25.2781053077374</v>
      </c>
      <c r="D6752" s="38" t="n">
        <f aca="false">Q!$E$46-cx_rt*Q!$E$16-cx_awso*Sens!$D$6747</f>
        <v>69.5686316310026</v>
      </c>
      <c r="E6752" s="38" t="n">
        <f aca="false">Q!$P$46-cx_rt*Q!$P$16-cx_awso*Sens!$E$6747</f>
        <v>64.1899206485108</v>
      </c>
      <c r="F6752" s="38" t="n">
        <f aca="false">MAX(Sens!$F$6729*(Sens!$F$6734+tk_fac*(1-colo_sh))/1000,capex_g26-Q!$P$46-Sens!$F$6750)</f>
        <v>96.2481299895</v>
      </c>
      <c r="G6752" s="38" t="n">
        <f aca="false">Sens!$E$6752+Sens!$F$6752</f>
        <v>160.438050638011</v>
      </c>
      <c r="H6752" s="38" t="n">
        <f aca="false">Sens!$H$6729*(Sens!$H$6734+tk_fac*(1-colo_sh))/1000+Sens!$H$6753</f>
        <v>198.57136494475</v>
      </c>
      <c r="I6752" s="38" t="n">
        <f aca="false">Sens!$I$6729*(Sens!$I$6734+tk_fac*(1-colo_sh))/1000+Sens!$I$6753</f>
        <v>204.6464699105</v>
      </c>
      <c r="J6752" s="38" t="n">
        <f aca="false">Sens!$J$6729*(Sens!$J$6734+tk_fac*(1-colo_sh))/1000+Sens!$J$6753</f>
        <v>209.8832381105</v>
      </c>
      <c r="K6752" s="38" t="n">
        <f aca="false">Sens!$K$6729*(Sens!$K$6734+tk_fac*(1-colo_sh))/1000+Sens!$K$6753</f>
        <v>215.1200063105</v>
      </c>
      <c r="L6752" s="38" t="n">
        <f aca="false">Sens!$L$6729*(Sens!$L$6734+tk_fac*(1-colo_sh))/1000+Sens!$L$6753</f>
        <v>251.7773837105</v>
      </c>
      <c r="M6752" s="38" t="n">
        <f aca="false">Sens!$M$6729*(Sens!$M$6734+tk_fac*(1-colo_sh))/1000+Sens!$M$6753</f>
        <v>311.87584476575</v>
      </c>
      <c r="P6752" s="5" t="s">
        <v>587</v>
      </c>
      <c r="R6752" s="38" t="n">
        <f aca="false">Q!$C$46-cx_rt*Q!$C$16-cx_awso*(Q!$C$7-mw_ye23/2*rpm_open/1000)</f>
        <v>1.50429979529945</v>
      </c>
      <c r="S6752" s="38" t="n">
        <f aca="false">Sens!$C$6752</f>
        <v>25.2781053077374</v>
      </c>
      <c r="T6752" s="38" t="n">
        <f aca="false">Sens!$D$6752</f>
        <v>69.5686316310026</v>
      </c>
      <c r="U6752" s="38" t="n">
        <f aca="false">Sens!$G$6752</f>
        <v>160.438050638011</v>
      </c>
      <c r="V6752" s="38" t="n">
        <f aca="false">Sens!$H$6752</f>
        <v>198.57136494475</v>
      </c>
      <c r="W6752" s="38" t="n">
        <f aca="false">Sens!$I$6752</f>
        <v>204.6464699105</v>
      </c>
      <c r="X6752" s="38" t="n">
        <f aca="false">Sens!$J$6752</f>
        <v>209.8832381105</v>
      </c>
      <c r="Y6752" s="38" t="n">
        <f aca="false">Sens!$K$6752</f>
        <v>215.1200063105</v>
      </c>
      <c r="Z6752" s="38" t="n">
        <f aca="false">Sens!$L$6752</f>
        <v>251.7773837105</v>
      </c>
      <c r="AA6752" s="38" t="n">
        <f aca="false">Sens!$M$6752</f>
        <v>311.87584476575</v>
      </c>
    </row>
    <row r="6753" customFormat="false" ht="17.15" hidden="false" customHeight="false" outlineLevel="0" collapsed="false">
      <c r="A6753" s="0" t="s">
        <v>588</v>
      </c>
      <c r="B6753" s="0" t="s">
        <v>73</v>
      </c>
      <c r="H6753" s="38" t="n">
        <f aca="false">SUMPRODUCT(--(Sens!$R$6723:$AA$6723=2027-tk_life),Sens!$R$6729:$AA$6729)*Sens!$H$6734/1000</f>
        <v>0</v>
      </c>
      <c r="I6753" s="38" t="n">
        <f aca="false">SUMPRODUCT(--(Sens!$R$6723:$AA$6723=2028-tk_life),Sens!$R$6729:$AA$6729)*Sens!$I$6734/1000</f>
        <v>0</v>
      </c>
      <c r="J6753" s="38" t="n">
        <f aca="false">SUMPRODUCT(--(Sens!$R$6723:$AA$6723=2029-tk_life),Sens!$R$6729:$AA$6729)*Sens!$J$6734/1000</f>
        <v>5.2367682</v>
      </c>
      <c r="K6753" s="38" t="n">
        <f aca="false">SUMPRODUCT(--(Sens!$R$6723:$AA$6723=2030-tk_life),Sens!$R$6729:$AA$6729)*Sens!$K$6734/1000</f>
        <v>10.4735364</v>
      </c>
      <c r="L6753" s="38" t="n">
        <f aca="false">SUMPRODUCT(--(Sens!$R$6723:$AA$6723=2031-tk_life),Sens!$R$6729:$AA$6729)*Sens!$L$6734/1000</f>
        <v>47.1309138</v>
      </c>
      <c r="M6753" s="38" t="n">
        <f aca="false">SUMPRODUCT(--(Sens!$R$6723:$AA$6723=2032-tk_life),Sens!$R$6729:$AA$6729)*Sens!$M$6734/1000</f>
        <v>107.22937485525</v>
      </c>
    </row>
    <row r="6754" customFormat="false" ht="17.15" hidden="false" customHeight="false" outlineLevel="0" collapsed="false">
      <c r="A6754" s="5" t="s">
        <v>589</v>
      </c>
      <c r="B6754" s="0" t="s">
        <v>73</v>
      </c>
      <c r="C6754" s="38" t="n">
        <f aca="false">Sens!$C$6752*Sens!$C$6751</f>
        <v>18.472138699801</v>
      </c>
      <c r="D6754" s="38" t="n">
        <f aca="false">Sens!$D$6752*Sens!$D$6751</f>
        <v>50.8377268390402</v>
      </c>
      <c r="E6754" s="38" t="n">
        <f aca="false">Sens!$E$6752*Sens!$E$6751</f>
        <v>48.8351995705653</v>
      </c>
      <c r="F6754" s="38" t="n">
        <f aca="false">Sens!$F$6752*Sens!$F$6751</f>
        <v>73.2248394895</v>
      </c>
      <c r="G6754" s="38" t="n">
        <f aca="false">Sens!$E$6754+Sens!$F$6754</f>
        <v>122.060039060065</v>
      </c>
      <c r="H6754" s="38" t="n">
        <f aca="false">(Sens!$H$6752-Sens!$H$6753)*Sens!$H$6751+Sens!$H$6753</f>
        <v>152.52478394475</v>
      </c>
      <c r="I6754" s="38" t="n">
        <f aca="false">(Sens!$I$6752-Sens!$I$6753)*Sens!$I$6751+Sens!$I$6753</f>
        <v>158.5998889105</v>
      </c>
      <c r="J6754" s="38" t="n">
        <f aca="false">(Sens!$J$6752-Sens!$J$6753)*Sens!$J$6751+Sens!$J$6753</f>
        <v>163.8366571105</v>
      </c>
      <c r="K6754" s="38" t="n">
        <f aca="false">(Sens!$K$6752-Sens!$K$6753)*Sens!$K$6751+Sens!$K$6753</f>
        <v>169.0734253105</v>
      </c>
      <c r="L6754" s="38" t="n">
        <f aca="false">(Sens!$L$6752-Sens!$L$6753)*Sens!$L$6751+Sens!$L$6753</f>
        <v>205.7308027105</v>
      </c>
      <c r="M6754" s="38" t="n">
        <f aca="false">(Sens!$M$6752-Sens!$M$6753)*Sens!$M$6751+Sens!$M$6753</f>
        <v>265.82926376575</v>
      </c>
      <c r="R6754" s="38" t="n">
        <f aca="false">Sens!$R$6752*Sens!$C$6751</f>
        <v>1.09927679019314</v>
      </c>
      <c r="S6754" s="38" t="n">
        <f aca="false">Sens!$C$6754</f>
        <v>18.472138699801</v>
      </c>
      <c r="T6754" s="38" t="n">
        <f aca="false">Sens!$D$6754</f>
        <v>50.8377268390402</v>
      </c>
      <c r="U6754" s="38" t="n">
        <f aca="false">Sens!$G$6754</f>
        <v>122.060039060065</v>
      </c>
      <c r="V6754" s="38" t="n">
        <f aca="false">Sens!$H$6754</f>
        <v>152.52478394475</v>
      </c>
      <c r="W6754" s="38" t="n">
        <f aca="false">Sens!$I$6754</f>
        <v>158.5998889105</v>
      </c>
      <c r="X6754" s="38" t="n">
        <f aca="false">Sens!$J$6754</f>
        <v>163.8366571105</v>
      </c>
      <c r="Y6754" s="38" t="n">
        <f aca="false">Sens!$K$6754</f>
        <v>169.0734253105</v>
      </c>
      <c r="Z6754" s="38" t="n">
        <f aca="false">Sens!$L$6754</f>
        <v>205.7308027105</v>
      </c>
      <c r="AA6754" s="38" t="n">
        <f aca="false">Sens!$M$6754</f>
        <v>265.82926376575</v>
      </c>
    </row>
    <row r="6755" customFormat="false" ht="15" hidden="false" customHeight="false" outlineLevel="0" collapsed="false">
      <c r="A6755" s="5" t="s">
        <v>590</v>
      </c>
      <c r="B6755" s="0" t="s">
        <v>73</v>
      </c>
      <c r="C6755" s="38" t="n">
        <f aca="false">Sens!$C$6752-Sens!$C$6754</f>
        <v>6.80596660793636</v>
      </c>
      <c r="D6755" s="38" t="n">
        <f aca="false">Sens!$D$6752-Sens!$D$6754</f>
        <v>18.7309047919624</v>
      </c>
      <c r="E6755" s="38" t="n">
        <f aca="false">Sens!$E$6752-Sens!$E$6754</f>
        <v>15.3547210779455</v>
      </c>
      <c r="F6755" s="38" t="n">
        <f aca="false">Sens!$F$6752-Sens!$F$6754</f>
        <v>23.0232905</v>
      </c>
      <c r="G6755" s="38" t="n">
        <f aca="false">Sens!$G$6752-Sens!$G$6754</f>
        <v>38.3780115779455</v>
      </c>
      <c r="H6755" s="38" t="n">
        <f aca="false">Sens!$H$6752-Sens!$H$6754</f>
        <v>46.046581</v>
      </c>
      <c r="I6755" s="38" t="n">
        <f aca="false">Sens!$I$6752-Sens!$I$6754</f>
        <v>46.046581</v>
      </c>
      <c r="J6755" s="38" t="n">
        <f aca="false">Sens!$J$6752-Sens!$J$6754</f>
        <v>46.046581</v>
      </c>
      <c r="K6755" s="38" t="n">
        <f aca="false">Sens!$K$6752-Sens!$K$6754</f>
        <v>46.046581</v>
      </c>
      <c r="L6755" s="38" t="n">
        <f aca="false">Sens!$L$6752-Sens!$L$6754</f>
        <v>46.046581</v>
      </c>
      <c r="M6755" s="38" t="n">
        <f aca="false">Sens!$M$6752-Sens!$M$6754</f>
        <v>46.046581</v>
      </c>
      <c r="R6755" s="38" t="n">
        <f aca="false">Sens!$R$6752-Sens!$R$6754</f>
        <v>0.405023005106309</v>
      </c>
      <c r="S6755" s="38" t="n">
        <f aca="false">Sens!$S$6752-Sens!$S$6754</f>
        <v>6.80596660793636</v>
      </c>
      <c r="T6755" s="38" t="n">
        <f aca="false">Sens!$T$6752-Sens!$T$6754</f>
        <v>18.7309047919624</v>
      </c>
      <c r="U6755" s="38" t="n">
        <f aca="false">Sens!$U$6752-Sens!$U$6754</f>
        <v>38.3780115779455</v>
      </c>
      <c r="V6755" s="38" t="n">
        <f aca="false">Sens!$V$6752-Sens!$V$6754</f>
        <v>46.046581</v>
      </c>
      <c r="W6755" s="38" t="n">
        <f aca="false">Sens!$W$6752-Sens!$W$6754</f>
        <v>46.046581</v>
      </c>
      <c r="X6755" s="38" t="n">
        <f aca="false">Sens!$X$6752-Sens!$X$6754</f>
        <v>46.046581</v>
      </c>
      <c r="Y6755" s="38" t="n">
        <f aca="false">Sens!$Y$6752-Sens!$Y$6754</f>
        <v>46.046581</v>
      </c>
      <c r="Z6755" s="38" t="n">
        <f aca="false">Sens!$Z$6752-Sens!$Z$6754</f>
        <v>46.046581</v>
      </c>
      <c r="AA6755" s="38" t="n">
        <f aca="false">Sens!$AA$6752-Sens!$AA$6754</f>
        <v>46.046581</v>
      </c>
    </row>
    <row r="6756" customFormat="false" ht="17.15" hidden="false" customHeight="false" outlineLevel="0" collapsed="false">
      <c r="A6756" s="0" t="s">
        <v>591</v>
      </c>
      <c r="B6756" s="0" t="s">
        <v>52</v>
      </c>
      <c r="C6756" s="12" t="n">
        <f aca="false">Sens!$C$6752/Sens!$C$6868</f>
        <v>0.325505489553393</v>
      </c>
      <c r="D6756" s="12" t="n">
        <f aca="false">Sens!$D$6752/Sens!$D$6868</f>
        <v>0.54214956071542</v>
      </c>
      <c r="E6756" s="12" t="n">
        <f aca="false">Sens!$E$6752/Sens!$E$6868</f>
        <v>0.666492790452817</v>
      </c>
      <c r="F6756" s="12" t="n">
        <f aca="false">Sens!$F$6752/Sens!$F$6868</f>
        <v>0.723383481058938</v>
      </c>
      <c r="G6756" s="12" t="n">
        <f aca="false">Sens!$G$6752/Sens!$G$6868</f>
        <v>0.699494931364102</v>
      </c>
      <c r="H6756" s="12" t="n">
        <f aca="false">Sens!$H$6752/Sens!$H$6868</f>
        <v>0.714619350171483</v>
      </c>
      <c r="I6756" s="12" t="n">
        <f aca="false">Sens!$I$6752/Sens!$I$6868</f>
        <v>0.696231624961614</v>
      </c>
      <c r="J6756" s="12" t="n">
        <f aca="false">Sens!$J$6752/Sens!$J$6868</f>
        <v>0.681286352509885</v>
      </c>
      <c r="K6756" s="12" t="n">
        <f aca="false">Sens!$K$6752/Sens!$K$6868</f>
        <v>0.671440649805508</v>
      </c>
      <c r="L6756" s="12" t="n">
        <f aca="false">Sens!$L$6752/Sens!$L$6868</f>
        <v>0.6904509846562</v>
      </c>
      <c r="M6756" s="12" t="n">
        <f aca="false">Sens!$M$6752/Sens!$M$6868</f>
        <v>0.720362080285865</v>
      </c>
    </row>
    <row r="6757" customFormat="false" ht="17.15" hidden="false" customHeight="false" outlineLevel="0" collapsed="false">
      <c r="A6757" s="0" t="s">
        <v>592</v>
      </c>
      <c r="B6757" s="0" t="s">
        <v>73</v>
      </c>
      <c r="C6757" s="38" t="n">
        <f aca="false">Sens!$S$6757</f>
        <v>0.183212798365523</v>
      </c>
      <c r="D6757" s="38" t="n">
        <f aca="false">Sens!$T$6757</f>
        <v>3.2619025816657</v>
      </c>
      <c r="E6757" s="38" t="n">
        <f aca="false">Sens!$G$6757/2</f>
        <v>5.86742852741953</v>
      </c>
      <c r="F6757" s="38" t="n">
        <f aca="false">Sens!$G$6757/2</f>
        <v>5.86742852741953</v>
      </c>
      <c r="G6757" s="38" t="n">
        <f aca="false">Sens!$U$6757</f>
        <v>11.7348570548391</v>
      </c>
      <c r="H6757" s="38" t="n">
        <f aca="false">Sens!$V$6757</f>
        <v>32.0781968981833</v>
      </c>
      <c r="I6757" s="38" t="n">
        <f aca="false">Sens!$W$6757</f>
        <v>57.4989942223083</v>
      </c>
      <c r="J6757" s="38" t="n">
        <f aca="false">Sens!$X$6757</f>
        <v>83.932309040725</v>
      </c>
      <c r="K6757" s="38" t="n">
        <f aca="false">Sens!$Y$6757</f>
        <v>111.055205760776</v>
      </c>
      <c r="L6757" s="38" t="n">
        <f aca="false">Sens!$Z$6757</f>
        <v>136.155420195893</v>
      </c>
      <c r="M6757" s="38" t="n">
        <f aca="false">Sens!$AA$6757</f>
        <v>161.970932841136</v>
      </c>
      <c r="N6757" s="38" t="n">
        <f aca="false">Sens!$D$6757/2</f>
        <v>1.63095129083285</v>
      </c>
      <c r="O6757" s="38" t="n">
        <f aca="false">Sens!$D$6757/2</f>
        <v>1.63095129083285</v>
      </c>
      <c r="R6757" s="38" t="n">
        <f aca="false">SUMPRODUCT(--(Sens!$R$6723:$AA$6723&lt;Sens!R$6723),--(Sens!$R$6723:$AA$6723&gt;=Sens!R$6723-tk_life),Sens!$R$6754:$AA$6754)/tk_life</f>
        <v>0</v>
      </c>
      <c r="S6757" s="38" t="n">
        <f aca="false">SUMPRODUCT(--(Sens!$R$6723:$AA$6723&lt;Sens!S$6723),--(Sens!$R$6723:$AA$6723&gt;=Sens!S$6723-tk_life),Sens!$R$6754:$AA$6754)/tk_life</f>
        <v>0.183212798365523</v>
      </c>
      <c r="T6757" s="38" t="n">
        <f aca="false">SUMPRODUCT(--(Sens!$R$6723:$AA$6723&lt;Sens!T$6723),--(Sens!$R$6723:$AA$6723&gt;=Sens!T$6723-tk_life),Sens!$R$6754:$AA$6754)/tk_life</f>
        <v>3.2619025816657</v>
      </c>
      <c r="U6757" s="38" t="n">
        <f aca="false">SUMPRODUCT(--(Sens!$R$6723:$AA$6723&lt;Sens!U$6723),--(Sens!$R$6723:$AA$6723&gt;=Sens!U$6723-tk_life),Sens!$R$6754:$AA$6754)/tk_life</f>
        <v>11.7348570548391</v>
      </c>
      <c r="V6757" s="38" t="n">
        <f aca="false">SUMPRODUCT(--(Sens!$R$6723:$AA$6723&lt;Sens!V$6723),--(Sens!$R$6723:$AA$6723&gt;=Sens!V$6723-tk_life),Sens!$R$6754:$AA$6754)/tk_life</f>
        <v>32.0781968981833</v>
      </c>
      <c r="W6757" s="38" t="n">
        <f aca="false">SUMPRODUCT(--(Sens!$R$6723:$AA$6723&lt;Sens!W$6723),--(Sens!$R$6723:$AA$6723&gt;=Sens!W$6723-tk_life),Sens!$R$6754:$AA$6754)/tk_life</f>
        <v>57.4989942223083</v>
      </c>
      <c r="X6757" s="38" t="n">
        <f aca="false">SUMPRODUCT(--(Sens!$R$6723:$AA$6723&lt;Sens!X$6723),--(Sens!$R$6723:$AA$6723&gt;=Sens!X$6723-tk_life),Sens!$R$6754:$AA$6754)/tk_life</f>
        <v>83.932309040725</v>
      </c>
      <c r="Y6757" s="38" t="n">
        <f aca="false">SUMPRODUCT(--(Sens!$R$6723:$AA$6723&lt;Sens!Y$6723),--(Sens!$R$6723:$AA$6723&gt;=Sens!Y$6723-tk_life),Sens!$R$6754:$AA$6754)/tk_life</f>
        <v>111.055205760776</v>
      </c>
      <c r="Z6757" s="38" t="n">
        <f aca="false">SUMPRODUCT(--(Sens!$R$6723:$AA$6723&lt;Sens!Z$6723),--(Sens!$R$6723:$AA$6723&gt;=Sens!Z$6723-tk_life),Sens!$R$6754:$AA$6754)/tk_life</f>
        <v>136.155420195893</v>
      </c>
      <c r="AA6757" s="38" t="n">
        <f aca="false">SUMPRODUCT(--(Sens!$R$6723:$AA$6723&lt;Sens!AA$6723),--(Sens!$R$6723:$AA$6723&gt;=Sens!AA$6723-tk_life),Sens!$R$6754:$AA$6754)/tk_life</f>
        <v>161.970932841136</v>
      </c>
    </row>
    <row r="6758" customFormat="false" ht="17.15" hidden="false" customHeight="false" outlineLevel="0" collapsed="false">
      <c r="A6758" s="0" t="s">
        <v>593</v>
      </c>
      <c r="B6758" s="0" t="s">
        <v>73</v>
      </c>
      <c r="C6758" s="38" t="n">
        <f aca="false">Sens!$S$6758</f>
        <v>0.0202511502553155</v>
      </c>
      <c r="D6758" s="38" t="n">
        <f aca="false">Sens!$T$6758</f>
        <v>0.360549480652134</v>
      </c>
      <c r="E6758" s="38" t="n">
        <f aca="false">Sens!$G$6758/2</f>
        <v>0.648547360125127</v>
      </c>
      <c r="F6758" s="38" t="n">
        <f aca="false">Sens!$G$6758/2</f>
        <v>0.648547360125127</v>
      </c>
      <c r="G6758" s="38" t="n">
        <f aca="false">Sens!$U$6758</f>
        <v>1.29709472025025</v>
      </c>
      <c r="H6758" s="38" t="n">
        <f aca="false">Sens!$V$6758</f>
        <v>3.21599529914753</v>
      </c>
      <c r="I6758" s="38" t="n">
        <f aca="false">Sens!$W$6758</f>
        <v>5.51832434914753</v>
      </c>
      <c r="J6758" s="38" t="n">
        <f aca="false">Sens!$X$6758</f>
        <v>7.82065339914753</v>
      </c>
      <c r="K6758" s="38" t="n">
        <f aca="false">Sens!$Y$6758</f>
        <v>10.1229824491475</v>
      </c>
      <c r="L6758" s="38" t="n">
        <f aca="false">Sens!$Z$6758</f>
        <v>12.4253114991475</v>
      </c>
      <c r="M6758" s="38" t="n">
        <f aca="false">Sens!$AA$6758</f>
        <v>14.7276405491475</v>
      </c>
      <c r="N6758" s="38" t="n">
        <f aca="false">Sens!$D$6758/2</f>
        <v>0.180274740326067</v>
      </c>
      <c r="O6758" s="38" t="n">
        <f aca="false">Sens!$D$6758/2</f>
        <v>0.180274740326067</v>
      </c>
      <c r="R6758" s="38" t="n">
        <f aca="false">SUMPRODUCT(--(Sens!$R$6723:$AA$6723&lt;Sens!R$6723),Sens!$R$6755:$AA$6755)/fac_life</f>
        <v>0</v>
      </c>
      <c r="S6758" s="38" t="n">
        <f aca="false">SUMPRODUCT(--(Sens!$R$6723:$AA$6723&lt;Sens!S$6723),Sens!$R$6755:$AA$6755)/fac_life</f>
        <v>0.0202511502553155</v>
      </c>
      <c r="T6758" s="38" t="n">
        <f aca="false">SUMPRODUCT(--(Sens!$R$6723:$AA$6723&lt;Sens!T$6723),Sens!$R$6755:$AA$6755)/fac_life</f>
        <v>0.360549480652134</v>
      </c>
      <c r="U6758" s="38" t="n">
        <f aca="false">SUMPRODUCT(--(Sens!$R$6723:$AA$6723&lt;Sens!U$6723),Sens!$R$6755:$AA$6755)/fac_life</f>
        <v>1.29709472025025</v>
      </c>
      <c r="V6758" s="38" t="n">
        <f aca="false">SUMPRODUCT(--(Sens!$R$6723:$AA$6723&lt;Sens!V$6723),Sens!$R$6755:$AA$6755)/fac_life</f>
        <v>3.21599529914753</v>
      </c>
      <c r="W6758" s="38" t="n">
        <f aca="false">SUMPRODUCT(--(Sens!$R$6723:$AA$6723&lt;Sens!W$6723),Sens!$R$6755:$AA$6755)/fac_life</f>
        <v>5.51832434914753</v>
      </c>
      <c r="X6758" s="38" t="n">
        <f aca="false">SUMPRODUCT(--(Sens!$R$6723:$AA$6723&lt;Sens!X$6723),Sens!$R$6755:$AA$6755)/fac_life</f>
        <v>7.82065339914753</v>
      </c>
      <c r="Y6758" s="38" t="n">
        <f aca="false">SUMPRODUCT(--(Sens!$R$6723:$AA$6723&lt;Sens!Y$6723),Sens!$R$6755:$AA$6755)/fac_life</f>
        <v>10.1229824491475</v>
      </c>
      <c r="Z6758" s="38" t="n">
        <f aca="false">SUMPRODUCT(--(Sens!$R$6723:$AA$6723&lt;Sens!Z$6723),Sens!$R$6755:$AA$6755)/fac_life</f>
        <v>12.4253114991475</v>
      </c>
      <c r="AA6758" s="38" t="n">
        <f aca="false">SUMPRODUCT(--(Sens!$R$6723:$AA$6723&lt;Sens!AA$6723),Sens!$R$6755:$AA$6755)/fac_life</f>
        <v>14.7276405491475</v>
      </c>
    </row>
    <row r="6759" customFormat="false" ht="17.15" hidden="false" customHeight="false" outlineLevel="0" collapsed="false">
      <c r="A6759" s="1" t="s">
        <v>594</v>
      </c>
      <c r="B6759" s="8" t="s">
        <v>73</v>
      </c>
      <c r="C6759" s="38" t="n">
        <f aca="false">Sens!$C$6757+Sens!$C$6758</f>
        <v>0.203463948620839</v>
      </c>
      <c r="D6759" s="38" t="n">
        <f aca="false">Sens!$D$6757+Sens!$D$6758</f>
        <v>3.62245206231783</v>
      </c>
      <c r="E6759" s="38" t="n">
        <f aca="false">Sens!$E$6757+Sens!$E$6758</f>
        <v>6.51597588754466</v>
      </c>
      <c r="F6759" s="38" t="n">
        <f aca="false">Sens!$F$6757+Sens!$F$6758</f>
        <v>6.51597588754466</v>
      </c>
      <c r="G6759" s="38" t="n">
        <f aca="false">Sens!$G$6757+Sens!$G$6758</f>
        <v>13.0319517750893</v>
      </c>
      <c r="H6759" s="38" t="n">
        <f aca="false">Sens!$H$6757+Sens!$H$6758</f>
        <v>35.2941921973308</v>
      </c>
      <c r="I6759" s="38" t="n">
        <f aca="false">Sens!$I$6757+Sens!$I$6758</f>
        <v>63.0173185714558</v>
      </c>
      <c r="J6759" s="38" t="n">
        <f aca="false">Sens!$J$6757+Sens!$J$6758</f>
        <v>91.7529624398725</v>
      </c>
      <c r="K6759" s="38" t="n">
        <f aca="false">Sens!$K$6757+Sens!$K$6758</f>
        <v>121.178188209924</v>
      </c>
      <c r="L6759" s="38" t="n">
        <f aca="false">Sens!$L$6757+Sens!$L$6758</f>
        <v>148.58073169504</v>
      </c>
      <c r="M6759" s="38" t="n">
        <f aca="false">Sens!$M$6757+Sens!$M$6758</f>
        <v>176.698573390283</v>
      </c>
      <c r="N6759" s="38" t="n">
        <f aca="false">Sens!$N$6757+Sens!$N$6758</f>
        <v>1.81122603115892</v>
      </c>
      <c r="O6759" s="38" t="n">
        <f aca="false">Sens!$O$6757+Sens!$O$6758</f>
        <v>1.81122603115892</v>
      </c>
      <c r="R6759" s="38" t="n">
        <f aca="false">Sens!$R$6757+Sens!$R$6758</f>
        <v>0</v>
      </c>
      <c r="S6759" s="38" t="n">
        <f aca="false">Sens!$S$6757+Sens!$S$6758</f>
        <v>0.203463948620839</v>
      </c>
      <c r="T6759" s="38" t="n">
        <f aca="false">Sens!$T$6757+Sens!$T$6758</f>
        <v>3.62245206231783</v>
      </c>
      <c r="U6759" s="38" t="n">
        <f aca="false">Sens!$U$6757+Sens!$U$6758</f>
        <v>13.0319517750893</v>
      </c>
      <c r="V6759" s="38" t="n">
        <f aca="false">Sens!$V$6757+Sens!$V$6758</f>
        <v>35.2941921973308</v>
      </c>
      <c r="W6759" s="38" t="n">
        <f aca="false">Sens!$W$6757+Sens!$W$6758</f>
        <v>63.0173185714558</v>
      </c>
      <c r="X6759" s="38" t="n">
        <f aca="false">Sens!$X$6757+Sens!$X$6758</f>
        <v>91.7529624398725</v>
      </c>
      <c r="Y6759" s="38" t="n">
        <f aca="false">Sens!$Y$6757+Sens!$Y$6758</f>
        <v>121.178188209924</v>
      </c>
      <c r="Z6759" s="38" t="n">
        <f aca="false">Sens!$Z$6757+Sens!$Z$6758</f>
        <v>148.58073169504</v>
      </c>
      <c r="AA6759" s="38" t="n">
        <f aca="false">Sens!$AA$6757+Sens!$AA$6758</f>
        <v>176.698573390283</v>
      </c>
    </row>
    <row r="6760" customFormat="false" ht="17.15" hidden="false" customHeight="false" outlineLevel="0" collapsed="false">
      <c r="A6760" s="0" t="s">
        <v>595</v>
      </c>
      <c r="B6760" s="0" t="s">
        <v>73</v>
      </c>
      <c r="C6760" s="38" t="n">
        <f aca="false">Sens!$S$6760</f>
        <v>26.578941154416</v>
      </c>
      <c r="D6760" s="38" t="n">
        <f aca="false">Sens!$T$6760</f>
        <v>92.5251207231008</v>
      </c>
      <c r="G6760" s="38" t="n">
        <f aca="false">Sens!$U$6760</f>
        <v>239.931219586022</v>
      </c>
      <c r="H6760" s="38" t="n">
        <f aca="false">Sens!$V$6760</f>
        <v>403.208392333442</v>
      </c>
      <c r="I6760" s="38" t="n">
        <f aca="false">Sens!$W$6760</f>
        <v>544.837543672486</v>
      </c>
      <c r="J6760" s="38" t="n">
        <f aca="false">Sens!$X$6760</f>
        <v>662.967819343113</v>
      </c>
      <c r="K6760" s="38" t="n">
        <f aca="false">Sens!$Y$6760</f>
        <v>756.90963744369</v>
      </c>
      <c r="L6760" s="38" t="n">
        <f aca="false">Sens!$Z$6760</f>
        <v>860.10628945915</v>
      </c>
      <c r="M6760" s="38" t="n">
        <f aca="false">Sens!$AA$6760</f>
        <v>995.283560834616</v>
      </c>
      <c r="R6760" s="38" t="n">
        <f aca="false">SUM(Sens!$R$6752:$R$6752)-SUM(Sens!$R$6759:$R$6759)</f>
        <v>1.50429979529945</v>
      </c>
      <c r="S6760" s="38" t="n">
        <f aca="false">SUM(Sens!$R$6752:$S$6752)-SUM(Sens!$R$6759:$S$6759)</f>
        <v>26.578941154416</v>
      </c>
      <c r="T6760" s="38" t="n">
        <f aca="false">SUM(Sens!$R$6752:$T$6752)-SUM(Sens!$R$6759:$T$6759)</f>
        <v>92.5251207231008</v>
      </c>
      <c r="U6760" s="38" t="n">
        <f aca="false">SUM(Sens!$R$6752:$U$6752)-SUM(Sens!$R$6759:$U$6759)</f>
        <v>239.931219586022</v>
      </c>
      <c r="V6760" s="38" t="n">
        <f aca="false">SUM(Sens!$R$6752:$V$6752)-SUM(Sens!$R$6759:$V$6759)</f>
        <v>403.208392333442</v>
      </c>
      <c r="W6760" s="38" t="n">
        <f aca="false">SUM(Sens!$R$6752:$W$6752)-SUM(Sens!$R$6759:$W$6759)</f>
        <v>544.837543672486</v>
      </c>
      <c r="X6760" s="38" t="n">
        <f aca="false">SUM(Sens!$R$6752:$X$6752)-SUM(Sens!$R$6759:$X$6759)</f>
        <v>662.967819343113</v>
      </c>
      <c r="Y6760" s="38" t="n">
        <f aca="false">SUM(Sens!$R$6752:$Y$6752)-SUM(Sens!$R$6759:$Y$6759)</f>
        <v>756.90963744369</v>
      </c>
      <c r="Z6760" s="38" t="n">
        <f aca="false">SUM(Sens!$R$6752:$Z$6752)-SUM(Sens!$R$6759:$Z$6759)</f>
        <v>860.10628945915</v>
      </c>
      <c r="AA6760" s="38" t="n">
        <f aca="false">SUM(Sens!$R$6752:$AA$6752)-SUM(Sens!$R$6759:$AA$6759)</f>
        <v>995.283560834616</v>
      </c>
    </row>
    <row r="6761" customFormat="false" ht="17.15" hidden="false" customHeight="false" outlineLevel="0" collapsed="false">
      <c r="A6761" s="1" t="s">
        <v>596</v>
      </c>
    </row>
    <row r="6762" customFormat="false" ht="17.15" hidden="false" customHeight="false" outlineLevel="0" collapsed="false">
      <c r="A6762" s="0" t="s">
        <v>597</v>
      </c>
      <c r="B6762" s="0" t="s">
        <v>73</v>
      </c>
      <c r="C6762" s="38" t="n">
        <f aca="false">Sens!$C$6743-ext_sh*Sens!$C$6745</f>
        <v>1.80694998843362</v>
      </c>
      <c r="D6762" s="38" t="n">
        <f aca="false">Sens!$D$6743-ext_sh*Sens!$D$6745</f>
        <v>6.77606245662607</v>
      </c>
      <c r="E6762" s="38" t="n">
        <f aca="false">Sens!$E$6743-ext_sh*Sens!$E$6745</f>
        <v>6.62548329092326</v>
      </c>
      <c r="F6762" s="38" t="n">
        <f aca="false">Sens!$F$6743-ext_sh*Sens!$F$6745</f>
        <v>11.7200577158706</v>
      </c>
      <c r="G6762" s="38" t="n">
        <f aca="false">Sens!$G$6743-ext_sh*Sens!$G$6745</f>
        <v>18.3455410067939</v>
      </c>
      <c r="H6762" s="38" t="n">
        <f aca="false">Sens!$H$6743-ext_sh*Sens!$H$6745</f>
        <v>47.5171727060453</v>
      </c>
      <c r="I6762" s="38" t="n">
        <f aca="false">Sens!$I$6743-ext_sh*Sens!$I$6745</f>
        <v>80.5539692643667</v>
      </c>
      <c r="J6762" s="38" t="n">
        <f aca="false">Sens!$J$6743-ext_sh*Sens!$J$6745</f>
        <v>113.759316834883</v>
      </c>
      <c r="K6762" s="38" t="n">
        <f aca="false">Sens!$K$6743-ext_sh*Sens!$K$6745</f>
        <v>147.020848076132</v>
      </c>
      <c r="L6762" s="38" t="n">
        <f aca="false">Sens!$L$6743-ext_sh*Sens!$L$6745</f>
        <v>180.307917349531</v>
      </c>
      <c r="M6762" s="38" t="n">
        <f aca="false">Sens!$M$6743-ext_sh*Sens!$M$6745</f>
        <v>213.608737871012</v>
      </c>
      <c r="N6762" s="38" t="n">
        <f aca="false">Sens!$N$6743-ext_sh*Sens!$N$6745</f>
        <v>2.37162185981912</v>
      </c>
      <c r="O6762" s="38" t="n">
        <f aca="false">Sens!$O$6743-ext_sh*Sens!$O$6745</f>
        <v>4.40444059680694</v>
      </c>
    </row>
    <row r="6763" customFormat="false" ht="17.15" hidden="false" customHeight="false" outlineLevel="0" collapsed="false">
      <c r="A6763" s="1" t="s">
        <v>598</v>
      </c>
      <c r="B6763" s="8" t="s">
        <v>73</v>
      </c>
      <c r="C6763" s="38" t="n">
        <f aca="false">Sens!$C$6762-ext_sh*Sens!$C$6759</f>
        <v>1.64417882953695</v>
      </c>
      <c r="D6763" s="38" t="n">
        <f aca="false">Sens!$D$6762-ext_sh*Sens!$D$6759</f>
        <v>3.8781008067718</v>
      </c>
      <c r="E6763" s="38" t="n">
        <f aca="false">Sens!$E$6762-ext_sh*Sens!$E$6759</f>
        <v>1.41270258088753</v>
      </c>
      <c r="F6763" s="38" t="n">
        <f aca="false">Sens!$F$6762-ext_sh*Sens!$F$6759</f>
        <v>6.50727700583486</v>
      </c>
      <c r="G6763" s="38" t="n">
        <f aca="false">Sens!$G$6762-ext_sh*Sens!$G$6759</f>
        <v>7.9199795867224</v>
      </c>
      <c r="H6763" s="38" t="n">
        <f aca="false">Sens!$H$6762-ext_sh*Sens!$H$6759</f>
        <v>19.2818189481807</v>
      </c>
      <c r="I6763" s="38" t="n">
        <f aca="false">Sens!$I$6762-ext_sh*Sens!$I$6759</f>
        <v>30.140114407202</v>
      </c>
      <c r="J6763" s="38" t="n">
        <f aca="false">Sens!$J$6762-ext_sh*Sens!$J$6759</f>
        <v>40.3569468829854</v>
      </c>
      <c r="K6763" s="38" t="n">
        <f aca="false">Sens!$K$6762-ext_sh*Sens!$K$6759</f>
        <v>50.0782975081929</v>
      </c>
      <c r="L6763" s="38" t="n">
        <f aca="false">Sens!$L$6762-ext_sh*Sens!$L$6759</f>
        <v>61.443331993499</v>
      </c>
      <c r="M6763" s="38" t="n">
        <f aca="false">Sens!$M$6762-ext_sh*Sens!$M$6759</f>
        <v>72.2498791587849</v>
      </c>
      <c r="N6763" s="38" t="n">
        <f aca="false">Sens!$N$6762-ext_sh*Sens!$N$6759</f>
        <v>0.92264103489199</v>
      </c>
      <c r="O6763" s="38" t="n">
        <f aca="false">Sens!$O$6762-ext_sh*Sens!$O$6759</f>
        <v>2.95545977187981</v>
      </c>
    </row>
    <row r="6764" customFormat="false" ht="17.15" hidden="false" customHeight="false" outlineLevel="0" collapsed="false">
      <c r="A6764" s="0" t="s">
        <v>599</v>
      </c>
      <c r="B6764" s="0" t="s">
        <v>52</v>
      </c>
      <c r="C6764" s="12" t="n">
        <f aca="false">Sens!$C$6763/Sens!$C$6743</f>
        <v>0.708390794789371</v>
      </c>
      <c r="D6764" s="12" t="n">
        <f aca="false">Sens!$D$6763/Sens!$D$6743</f>
        <v>0.445565630441968</v>
      </c>
      <c r="E6764" s="12" t="n">
        <f aca="false">Sens!$E$6763/Sens!$E$6743</f>
        <v>0.165998118402711</v>
      </c>
      <c r="F6764" s="12" t="n">
        <f aca="false">Sens!$F$6763/Sens!$F$6743</f>
        <v>0.434878595403858</v>
      </c>
      <c r="G6764" s="12" t="n">
        <f aca="false">Sens!$G$6763/Sens!$G$6743</f>
        <v>0.3373967615381</v>
      </c>
      <c r="H6764" s="12" t="n">
        <f aca="false">Sens!$H$6763/Sens!$H$6743</f>
        <v>0.320477578041224</v>
      </c>
      <c r="I6764" s="12" t="n">
        <f aca="false">Sens!$I$6763/Sens!$I$6743</f>
        <v>0.296936118226494</v>
      </c>
      <c r="J6764" s="12" t="n">
        <f aca="false">Sens!$J$6763/Sens!$J$6743</f>
        <v>0.282166278613001</v>
      </c>
      <c r="K6764" s="12" t="n">
        <f aca="false">Sens!$K$6763/Sens!$K$6743</f>
        <v>0.271267685694333</v>
      </c>
      <c r="L6764" s="12" t="n">
        <f aca="false">Sens!$L$6763/Sens!$L$6743</f>
        <v>0.27160960915653</v>
      </c>
      <c r="M6764" s="12" t="n">
        <f aca="false">Sens!$M$6763/Sens!$M$6743</f>
        <v>0.26974494804234</v>
      </c>
      <c r="N6764" s="12" t="n">
        <f aca="false">Sens!$N$6763/Sens!$N$6743</f>
        <v>0.302870734830849</v>
      </c>
      <c r="O6764" s="12" t="n">
        <f aca="false">Sens!$O$6763/Sens!$O$6743</f>
        <v>0.52240134346334</v>
      </c>
    </row>
    <row r="6765" customFormat="false" ht="17.15" hidden="false" customHeight="false" outlineLevel="0" collapsed="false">
      <c r="A6765" s="5" t="s">
        <v>600</v>
      </c>
      <c r="B6765" s="0" t="s">
        <v>73</v>
      </c>
      <c r="C6765" s="38" t="n">
        <f aca="false">rd2*(1-ext_sh)/ext_sh*Sens!$C$6726*he_open*Sens!$C$6727/1000</f>
        <v>0</v>
      </c>
      <c r="D6765" s="38" t="n">
        <f aca="false">rd2*(1-ext_sh)/ext_sh*Sens!$D$6726*he_open*Sens!$D$6727/1000</f>
        <v>0</v>
      </c>
      <c r="E6765" s="38" t="n">
        <f aca="false">rd2*(1-ext_sh)/ext_sh*Sens!$E$6726*he_open*Sens!$E$6727/1000</f>
        <v>0</v>
      </c>
      <c r="F6765" s="38" t="n">
        <f aca="false">rd2*(1-ext_sh)/ext_sh*(mw_open*he_open+Sens!$F$6741*Sens!$F$6738)*Sens!$F$6727/1000</f>
        <v>0</v>
      </c>
      <c r="G6765" s="38" t="n">
        <f aca="false">Sens!$E$6765+Sens!$F$6765</f>
        <v>0</v>
      </c>
      <c r="H6765" s="38" t="n">
        <f aca="false">rd2*(1-ext_sh)/ext_sh*(mw_open*he_open+Sens!$H$6741*Sens!$H$6738)*Sens!$H$6727/1000</f>
        <v>0</v>
      </c>
      <c r="I6765" s="38" t="n">
        <f aca="false">rd2*(1-ext_sh)/ext_sh*(mw_open*he_open+Sens!$I$6741*Sens!$I$6738)*Sens!$I$6727/1000</f>
        <v>0</v>
      </c>
      <c r="J6765" s="38" t="n">
        <f aca="false">rd2*(1-ext_sh)/ext_sh*(mw_open*he_open+Sens!$J$6741*Sens!$J$6738)*Sens!$J$6727/1000</f>
        <v>0</v>
      </c>
      <c r="K6765" s="38" t="n">
        <f aca="false">rd2*(1-ext_sh)/ext_sh*(mw_open*he_open+Sens!$K$6741*Sens!$K$6738)*Sens!$K$6727/1000</f>
        <v>0</v>
      </c>
      <c r="L6765" s="38" t="n">
        <f aca="false">rd2*(1-ext_sh)/ext_sh*(mw_open*he_open+Sens!$L$6741*Sens!$L$6738)*Sens!$L$6727/1000</f>
        <v>0</v>
      </c>
      <c r="M6765" s="38" t="n">
        <f aca="false">rd2*(1-ext_sh)/ext_sh*(mw_open*he_open+Sens!$M$6741*Sens!$M$6738)*Sens!$M$6727/1000</f>
        <v>0</v>
      </c>
      <c r="N6765" s="38" t="n">
        <f aca="false">rd2*(1-ext_sh)/ext_sh*Sens!$N$6726*he_open*Sens!$N$6727/1000</f>
        <v>0</v>
      </c>
      <c r="O6765" s="38" t="n">
        <f aca="false">rd2*(1-ext_sh)/ext_sh*Sens!$O$6726*he_open*Sens!$O$6727/1000</f>
        <v>0</v>
      </c>
      <c r="P6765" s="8" t="s">
        <v>601</v>
      </c>
    </row>
    <row r="6766" customFormat="false" ht="17.15" hidden="false" customHeight="false" outlineLevel="0" collapsed="false">
      <c r="A6766" s="5" t="s">
        <v>602</v>
      </c>
      <c r="B6766" s="0" t="s">
        <v>73</v>
      </c>
      <c r="C6766" s="38" t="n">
        <f aca="false">(1-ext_sh)*(Sens!$C$6745+Sens!$C$6759)-Sens!$C$6765</f>
        <v>0.169206631859174</v>
      </c>
      <c r="D6766" s="38" t="n">
        <f aca="false">(1-ext_sh)*(Sens!$D$6745+Sens!$D$6759)-Sens!$D$6765</f>
        <v>1.20641732046984</v>
      </c>
      <c r="E6766" s="38" t="n">
        <f aca="false">(1-ext_sh)*(Sens!$E$6745+Sens!$E$6759)-Sens!$E$6765</f>
        <v>1.77441259867062</v>
      </c>
      <c r="F6766" s="38" t="n">
        <f aca="false">(1-ext_sh)*(Sens!$F$6745+Sens!$F$6759)-Sens!$F$6765</f>
        <v>2.1140391597214</v>
      </c>
      <c r="G6766" s="38" t="n">
        <f aca="false">(1-ext_sh)*(Sens!$G$6745+Sens!$G$6759)-Sens!$G$6765</f>
        <v>3.88845175839202</v>
      </c>
      <c r="H6766" s="38" t="n">
        <f aca="false">(1-ext_sh)*(Sens!$H$6745+Sens!$H$6759)-Sens!$H$6765</f>
        <v>10.2210179503985</v>
      </c>
      <c r="I6766" s="38" t="n">
        <f aca="false">(1-ext_sh)*(Sens!$I$6745+Sens!$I$6759)-Sens!$I$6765</f>
        <v>17.8408961823075</v>
      </c>
      <c r="J6766" s="38" t="n">
        <f aca="false">(1-ext_sh)*(Sens!$J$6745+Sens!$J$6759)-Sens!$J$6765</f>
        <v>25.6671150670732</v>
      </c>
      <c r="K6766" s="38" t="n">
        <f aca="false">(1-ext_sh)*(Sens!$K$6745+Sens!$K$6759)-Sens!$K$6765</f>
        <v>33.6325293834986</v>
      </c>
      <c r="L6766" s="38" t="n">
        <f aca="false">(1-ext_sh)*(Sens!$L$6745+Sens!$L$6759)-Sens!$L$6765</f>
        <v>41.1939886299065</v>
      </c>
      <c r="M6766" s="38" t="n">
        <f aca="false">(1-ext_sh)*(Sens!$M$6745+Sens!$M$6759)-Sens!$M$6765</f>
        <v>48.8988205728617</v>
      </c>
      <c r="N6766" s="38" t="n">
        <f aca="false">(1-ext_sh)*(Sens!$N$6745+Sens!$N$6759)-Sens!$N$6765</f>
        <v>0.530919624033979</v>
      </c>
      <c r="O6766" s="38" t="n">
        <f aca="false">(1-ext_sh)*(Sens!$O$6745+Sens!$O$6759)-Sens!$O$6765</f>
        <v>0.675497696435861</v>
      </c>
    </row>
    <row r="6767" customFormat="false" ht="17.15" hidden="false" customHeight="false" outlineLevel="0" collapsed="false">
      <c r="A6767" s="0" t="s">
        <v>603</v>
      </c>
      <c r="B6767" s="0" t="s">
        <v>73</v>
      </c>
      <c r="C6767" s="38" t="n">
        <f aca="false">Q!$D$24</f>
        <v>39.834</v>
      </c>
      <c r="D6767" s="38" t="n">
        <f aca="false">Q!$E$24</f>
        <v>45.606</v>
      </c>
      <c r="E6767" s="38" t="n">
        <f aca="false">Q!$P$24</f>
        <v>30.782</v>
      </c>
      <c r="N6767" s="38" t="n">
        <f aca="false">Q!$N$24</f>
        <v>21.707</v>
      </c>
      <c r="O6767" s="38" t="n">
        <f aca="false">Q!$O$24</f>
        <v>23.899</v>
      </c>
    </row>
    <row r="6768" customFormat="false" ht="17.15" hidden="false" customHeight="false" outlineLevel="0" collapsed="false">
      <c r="A6768" s="0" t="s">
        <v>604</v>
      </c>
      <c r="B6768" s="0" t="s">
        <v>73</v>
      </c>
      <c r="C6768" s="38" t="n">
        <f aca="false">Sens!$C$6767-Sens!$C$6763</f>
        <v>38.1898211704631</v>
      </c>
      <c r="D6768" s="38" t="n">
        <f aca="false">Sens!$D$6767-Sens!$D$6763</f>
        <v>41.7278991932282</v>
      </c>
      <c r="E6768" s="38" t="n">
        <f aca="false">Sens!$E$6767-Sens!$E$6763</f>
        <v>29.3692974191125</v>
      </c>
      <c r="F6768" s="38" t="n">
        <f aca="false">Sens!$F$6747*Sens!$F$6769</f>
        <v>29.458060516894</v>
      </c>
      <c r="G6768" s="38" t="n">
        <f aca="false">Sens!$E$6768+Sens!$F$6768</f>
        <v>58.8273579360065</v>
      </c>
      <c r="H6768" s="38" t="n">
        <f aca="false">Sens!$H$6747*Sens!$H$6769</f>
        <v>67.8004040185081</v>
      </c>
      <c r="I6768" s="38" t="n">
        <f aca="false">Sens!$I$6747*Sens!$I$6769</f>
        <v>78.9527630302702</v>
      </c>
      <c r="J6768" s="38" t="n">
        <f aca="false">Sens!$J$6747*Sens!$J$6769</f>
        <v>88.6042681781841</v>
      </c>
      <c r="K6768" s="38" t="n">
        <f aca="false">Sens!$K$6747*Sens!$K$6769</f>
        <v>95.6926096324389</v>
      </c>
      <c r="L6768" s="38" t="n">
        <f aca="false">Sens!$L$6747*Sens!$L$6769</f>
        <v>103.348018403034</v>
      </c>
      <c r="M6768" s="38" t="n">
        <f aca="false">Sens!$M$6747*Sens!$M$6769</f>
        <v>111.615859875277</v>
      </c>
      <c r="N6768" s="38" t="n">
        <f aca="false">Sens!$N$6767-Sens!$N$6763</f>
        <v>20.784358965108</v>
      </c>
      <c r="O6768" s="38" t="n">
        <f aca="false">Sens!$O$6767-Sens!$O$6763</f>
        <v>20.9435402281202</v>
      </c>
      <c r="P6768" s="5" t="s">
        <v>605</v>
      </c>
    </row>
    <row r="6769" customFormat="false" ht="17.15" hidden="false" customHeight="false" outlineLevel="0" collapsed="false">
      <c r="A6769" s="0" t="s">
        <v>606</v>
      </c>
      <c r="B6769" s="0" t="s">
        <v>52</v>
      </c>
      <c r="C6769" s="12" t="n">
        <f aca="false">Sens!$C$6768/Sens!$C$6747</f>
        <v>0.362900395443635</v>
      </c>
      <c r="D6769" s="12" t="n">
        <f aca="false">Sens!$D$6768/Sens!$D$6747</f>
        <v>0.34767098474203</v>
      </c>
      <c r="E6769" s="12" t="n">
        <f aca="false">Sens!$E$6768/Sens!$E$6747</f>
        <v>0.411861655558416</v>
      </c>
      <c r="F6769" s="12" t="n">
        <f aca="false">(Sens!$O$6768+Sens!$E$6768)/(Sens!$O$6747+Sens!$E$6747)</f>
        <v>0.37480827803158</v>
      </c>
      <c r="G6769" s="12" t="n">
        <f aca="false">Sens!$G$6768/Sens!$G$6747</f>
        <v>0.392434440489471</v>
      </c>
      <c r="H6769" s="12" t="n">
        <f aca="false">Sens!$F$6769</f>
        <v>0.37480827803158</v>
      </c>
      <c r="I6769" s="12" t="n">
        <f aca="false">Sens!$F$6769</f>
        <v>0.37480827803158</v>
      </c>
      <c r="J6769" s="12" t="n">
        <f aca="false">Sens!$F$6769</f>
        <v>0.37480827803158</v>
      </c>
      <c r="K6769" s="12" t="n">
        <f aca="false">Sens!$F$6769</f>
        <v>0.37480827803158</v>
      </c>
      <c r="L6769" s="12" t="n">
        <f aca="false">Sens!$F$6769</f>
        <v>0.37480827803158</v>
      </c>
      <c r="M6769" s="12" t="n">
        <f aca="false">Sens!$F$6769</f>
        <v>0.37480827803158</v>
      </c>
      <c r="N6769" s="12" t="n">
        <f aca="false">Sens!$N$6768/Sens!$N$6747</f>
        <v>0.364039571356823</v>
      </c>
      <c r="O6769" s="12" t="n">
        <f aca="false">Sens!$O$6768/Sens!$O$6747</f>
        <v>0.332819892300086</v>
      </c>
      <c r="P6769" s="8" t="s">
        <v>607</v>
      </c>
    </row>
    <row r="6770" customFormat="false" ht="17.15" hidden="false" customHeight="false" outlineLevel="0" collapsed="false">
      <c r="A6770" s="0" t="s">
        <v>608</v>
      </c>
      <c r="B6770" s="0" t="s">
        <v>52</v>
      </c>
      <c r="D6770" s="12" t="n">
        <f aca="false">(Q!$E$31-ext_sh*Sens!$D$6759)/Sens!$D$6747</f>
        <v>0.154572973163571</v>
      </c>
    </row>
    <row r="6771" customFormat="false" ht="17.15" hidden="false" customHeight="false" outlineLevel="0" collapsed="false">
      <c r="A6771" s="0" t="s">
        <v>609</v>
      </c>
      <c r="B6771" s="0" t="s">
        <v>73</v>
      </c>
      <c r="C6771" s="38" t="n">
        <f aca="false">Q!$D$31</f>
        <v>13.32</v>
      </c>
      <c r="D6771" s="38" t="n">
        <f aca="false">Q!$E$31</f>
        <v>21.45</v>
      </c>
      <c r="E6771" s="38" t="n">
        <f aca="false">Q!$P$31</f>
        <v>15.353</v>
      </c>
      <c r="F6771" s="38" t="n">
        <f aca="false">ext_sh*Sens!$F$6759+Sens!$D$6770*Sens!$F$6747</f>
        <v>17.3614451462707</v>
      </c>
      <c r="G6771" s="38" t="n">
        <f aca="false">Sens!$E$6771+Sens!$F$6771</f>
        <v>32.7144451462707</v>
      </c>
      <c r="H6771" s="38" t="n">
        <f aca="false">ext_sh*Sens!$H$6759+Sens!$D$6770*Sens!$H$6747</f>
        <v>56.1966092719415</v>
      </c>
      <c r="I6771" s="38" t="n">
        <f aca="false">ext_sh*Sens!$I$6759+Sens!$D$6770*Sens!$I$6747</f>
        <v>82.9744039068297</v>
      </c>
      <c r="J6771" s="38" t="n">
        <f aca="false">ext_sh*Sens!$J$6759+Sens!$D$6770*Sens!$J$6747</f>
        <v>109.943252237669</v>
      </c>
      <c r="K6771" s="38" t="n">
        <f aca="false">ext_sh*Sens!$K$6759+Sens!$D$6770*Sens!$K$6747</f>
        <v>136.406703436571</v>
      </c>
      <c r="L6771" s="38" t="n">
        <f aca="false">ext_sh*Sens!$L$6759+Sens!$D$6770*Sens!$L$6747</f>
        <v>161.485870454155</v>
      </c>
      <c r="M6771" s="38" t="n">
        <f aca="false">ext_sh*Sens!$M$6759+Sens!$D$6770*Sens!$M$6747</f>
        <v>187.389846618199</v>
      </c>
      <c r="N6771" s="38" t="n">
        <f aca="false">Q!$N$31</f>
        <v>9.234</v>
      </c>
      <c r="O6771" s="38" t="n">
        <f aca="false">Q!$O$31</f>
        <v>12.216</v>
      </c>
    </row>
    <row r="6772" customFormat="false" ht="17.15" hidden="false" customHeight="false" outlineLevel="0" collapsed="false">
      <c r="A6772" s="1" t="s">
        <v>610</v>
      </c>
    </row>
    <row r="6773" customFormat="false" ht="17.15" hidden="false" customHeight="false" outlineLevel="0" collapsed="false">
      <c r="A6773" s="14" t="s">
        <v>611</v>
      </c>
      <c r="B6773" s="13" t="s">
        <v>52</v>
      </c>
      <c r="C6773" s="13"/>
      <c r="D6773" s="13"/>
      <c r="E6773" s="13"/>
      <c r="F6773" s="13"/>
      <c r="G6773" s="16" t="n">
        <f aca="false">Sens!$G$6763*(1-tax)/(ext_sh*(Sens!$D$6760+Sens!$G$6760)/2)</f>
        <v>0.0492184452944045</v>
      </c>
      <c r="H6773" s="16" t="n">
        <f aca="false">Sens!$H$6763*(1-tax)/(ext_sh*(Sens!$G$6760+Sens!$H$6760)/2)</f>
        <v>0.0619414246858107</v>
      </c>
      <c r="I6773" s="16" t="n">
        <f aca="false">Sens!$I$6763*(1-tax)/(ext_sh*(Sens!$H$6760+Sens!$I$6760)/2)</f>
        <v>0.0656831488051666</v>
      </c>
      <c r="J6773" s="16" t="n">
        <f aca="false">Sens!$J$6763*(1-tax)/(ext_sh*(Sens!$I$6760+Sens!$J$6760)/2)</f>
        <v>0.0690334849962116</v>
      </c>
      <c r="K6773" s="16" t="n">
        <f aca="false">Sens!$K$6763*(1-tax)/(ext_sh*(Sens!$J$6760+Sens!$K$6760)/2)</f>
        <v>0.0728680488295485</v>
      </c>
      <c r="L6773" s="16" t="n">
        <f aca="false">Sens!$L$6763*(1-tax)/(ext_sh*(Sens!$K$6760+Sens!$L$6760)/2)</f>
        <v>0.0785052878122331</v>
      </c>
      <c r="M6773" s="16" t="n">
        <f aca="false">Sens!$M$6763*(1-tax)/(ext_sh*(Sens!$L$6760+Sens!$M$6760)/2)</f>
        <v>0.0804526580722741</v>
      </c>
      <c r="N6773" s="13"/>
      <c r="O6773" s="13"/>
      <c r="P6773" s="8" t="s">
        <v>612</v>
      </c>
    </row>
    <row r="6774" customFormat="false" ht="17.15" hidden="false" customHeight="false" outlineLevel="0" collapsed="false">
      <c r="A6774" s="5" t="s">
        <v>613</v>
      </c>
      <c r="B6774" s="0" t="s">
        <v>57</v>
      </c>
      <c r="H6774" s="36" t="n">
        <f aca="false">Sens!$H$6743*1000/(mw_open*he_open+Sens!$H$6741*Sens!$H$6738)</f>
        <v>0.991949006767191</v>
      </c>
      <c r="I6774" s="36" t="n">
        <f aca="false">Sens!$I$6743*1000/(mw_open*he_open+Sens!$I$6741*Sens!$I$6738)</f>
        <v>0.991949006767191</v>
      </c>
      <c r="J6774" s="36" t="n">
        <f aca="false">Sens!$J$6743*1000/(mw_open*he_open+Sens!$J$6741*Sens!$J$6738)</f>
        <v>0.991949006767191</v>
      </c>
      <c r="K6774" s="36" t="n">
        <f aca="false">Sens!$K$6743*1000/(mw_open*he_open+Sens!$K$6741*Sens!$K$6738)</f>
        <v>0.991949006767191</v>
      </c>
      <c r="L6774" s="36" t="n">
        <f aca="false">Sens!$L$6743*1000/(mw_open*he_open+Sens!$L$6741*Sens!$L$6738)</f>
        <v>0.991949006767191</v>
      </c>
      <c r="M6774" s="36" t="n">
        <f aca="false">Sens!$M$6743*1000/(mw_open*he_open+Sens!$M$6741*Sens!$M$6738)</f>
        <v>0.991949006767192</v>
      </c>
    </row>
    <row r="6775" customFormat="false" ht="17.15" hidden="false" customHeight="false" outlineLevel="0" collapsed="false">
      <c r="A6775" s="5" t="s">
        <v>614</v>
      </c>
      <c r="B6775" s="0" t="s">
        <v>57</v>
      </c>
      <c r="H6775" s="36" t="n">
        <f aca="false">Sens!$H$6774*(Sens!$H$6743+wacc*ext_sh*(Sens!$G$6760+Sens!$H$6760)/2/(1-tax)-Sens!$H$6763)/Sens!$H$6743</f>
        <v>1.3149781212103</v>
      </c>
      <c r="I6775" s="36" t="n">
        <f aca="false">Sens!$I$6774*(Sens!$I$6743+wacc*ext_sh*(Sens!$H$6760+Sens!$I$6760)/2/(1-tax)-Sens!$I$6763)/Sens!$I$6743</f>
        <v>1.25742005569107</v>
      </c>
      <c r="J6775" s="36" t="n">
        <f aca="false">Sens!$J$6774*(Sens!$J$6743+wacc*ext_sh*(Sens!$I$6760+Sens!$J$6760)/2/(1-tax)-Sens!$J$6763)/Sens!$J$6743</f>
        <v>1.21838845868559</v>
      </c>
      <c r="K6775" s="36" t="n">
        <f aca="false">Sens!$K$6774*(Sens!$K$6743+wacc*ext_sh*(Sens!$J$6760+Sens!$K$6760)/2/(1-tax)-Sens!$K$6763)/Sens!$K$6743</f>
        <v>1.18402644209548</v>
      </c>
      <c r="L6775" s="36" t="n">
        <f aca="false">Sens!$L$6774*(Sens!$L$6743+wacc*ext_sh*(Sens!$K$6760+Sens!$L$6760)/2/(1-tax)-Sens!$L$6763)/Sens!$L$6743</f>
        <v>1.15111215322059</v>
      </c>
      <c r="M6775" s="36" t="n">
        <f aca="false">Sens!$M$6774*(Sens!$M$6743+wacc*ext_sh*(Sens!$L$6760+Sens!$M$6760)/2/(1-tax)-Sens!$M$6763)/Sens!$M$6743</f>
        <v>1.1397166845677</v>
      </c>
    </row>
    <row r="6776" customFormat="false" ht="17.15" hidden="false" customHeight="false" outlineLevel="0" collapsed="false">
      <c r="A6776" s="5" t="s">
        <v>615</v>
      </c>
      <c r="B6776" s="0" t="s">
        <v>52</v>
      </c>
      <c r="C6776" s="12" t="n">
        <f aca="false">Sens!$C$6744/tk_pq</f>
        <v>0.195316432429398</v>
      </c>
      <c r="D6776" s="12" t="n">
        <f aca="false">Sens!$D$6744/tk_pq</f>
        <v>0.195316432429398</v>
      </c>
      <c r="E6776" s="12" t="n">
        <f aca="false">Sens!$E$6744/tk_pq</f>
        <v>0.195316432429398</v>
      </c>
      <c r="F6776" s="12" t="n">
        <f aca="false">Sens!$F$6744/tk_pq</f>
        <v>0.202241827274866</v>
      </c>
      <c r="G6776" s="12" t="n">
        <f aca="false">Sens!$G$6744/tk_pq</f>
        <v>0.199675016194063</v>
      </c>
      <c r="H6776" s="12" t="n">
        <f aca="false">Sens!$H$6744/tk_pq</f>
        <v>0.212647947710325</v>
      </c>
      <c r="I6776" s="12" t="n">
        <f aca="false">Sens!$I$6744/tk_pq</f>
        <v>0.219285125475351</v>
      </c>
      <c r="J6776" s="12" t="n">
        <f aca="false">Sens!$J$6744/tk_pq</f>
        <v>0.222492493217189</v>
      </c>
      <c r="K6776" s="12" t="n">
        <f aca="false">Sens!$K$6744/tk_pq</f>
        <v>0.224371415939166</v>
      </c>
      <c r="L6776" s="12" t="n">
        <f aca="false">Sens!$L$6744/tk_pq</f>
        <v>0.225603749825993</v>
      </c>
      <c r="M6776" s="12" t="n">
        <f aca="false">Sens!$M$6744/tk_pq</f>
        <v>0.22647376274628</v>
      </c>
      <c r="N6776" s="12" t="n">
        <f aca="false">Sens!$N$6744/tk_pq</f>
        <v>0.195316432429398</v>
      </c>
      <c r="O6776" s="12" t="n">
        <f aca="false">Sens!$O$6744/tk_pq</f>
        <v>0.195316432429398</v>
      </c>
      <c r="P6776" s="5" t="s">
        <v>616</v>
      </c>
    </row>
    <row r="6779" customFormat="false" ht="17.15" hidden="false" customHeight="false" outlineLevel="0" collapsed="false">
      <c r="A6779" s="1" t="s">
        <v>643</v>
      </c>
    </row>
    <row r="6780" customFormat="false" ht="17.15" hidden="false" customHeight="false" outlineLevel="0" collapsed="false">
      <c r="A6780" s="0" t="s">
        <v>644</v>
      </c>
      <c r="B6780" s="0" t="s">
        <v>73</v>
      </c>
      <c r="C6780" s="38" t="n">
        <f aca="false">Sens!$C$6743</f>
        <v>2.32100535697364</v>
      </c>
      <c r="D6780" s="38" t="n">
        <f aca="false">Sens!$D$6743</f>
        <v>8.70377008865116</v>
      </c>
      <c r="E6780" s="38" t="n">
        <f aca="false">Sens!$E$6743</f>
        <v>8.51035297557002</v>
      </c>
      <c r="F6780" s="38" t="n">
        <f aca="false">Sens!$F$6743</f>
        <v>14.9634336447205</v>
      </c>
      <c r="G6780" s="38" t="n">
        <f aca="false">Sens!$G$6743</f>
        <v>23.4737866202905</v>
      </c>
      <c r="H6780" s="38" t="n">
        <f aca="false">Sens!$H$6743</f>
        <v>60.1658907497746</v>
      </c>
      <c r="I6780" s="38" t="n">
        <f aca="false">Sens!$I$6743</f>
        <v>101.503699136432</v>
      </c>
      <c r="J6780" s="38" t="n">
        <f aca="false">Sens!$J$6743</f>
        <v>143.025407151278</v>
      </c>
      <c r="K6780" s="38" t="n">
        <f aca="false">Sens!$K$6743</f>
        <v>184.608415042187</v>
      </c>
      <c r="L6780" s="38" t="n">
        <f aca="false">Sens!$L$6743</f>
        <v>226.219286513125</v>
      </c>
      <c r="M6780" s="38" t="n">
        <f aca="false">Sens!$M$6743</f>
        <v>267.845161450232</v>
      </c>
      <c r="N6780" s="38" t="n">
        <f aca="false">Sens!$N$6743</f>
        <v>3.04631953102791</v>
      </c>
      <c r="O6780" s="38" t="n">
        <f aca="false">Sens!$O$6743</f>
        <v>5.65745055762326</v>
      </c>
      <c r="P6780" s="8" t="s">
        <v>645</v>
      </c>
    </row>
    <row r="6781" customFormat="false" ht="17.15" hidden="false" customHeight="false" outlineLevel="0" collapsed="false">
      <c r="A6781" s="0" t="s">
        <v>646</v>
      </c>
      <c r="B6781" s="0" t="s">
        <v>73</v>
      </c>
      <c r="C6781" s="38" t="n">
        <f aca="false">Sens!$C$6747</f>
        <v>105.234994643026</v>
      </c>
      <c r="D6781" s="38" t="n">
        <f aca="false">Sens!$D$6747</f>
        <v>120.021229911349</v>
      </c>
      <c r="E6781" s="38" t="n">
        <f aca="false">Sens!$E$6747</f>
        <v>71.30864702443</v>
      </c>
      <c r="F6781" s="38" t="n">
        <f aca="false">Sens!$F$6747</f>
        <v>78.5950104186653</v>
      </c>
      <c r="G6781" s="38" t="n">
        <f aca="false">Sens!$G$6747</f>
        <v>149.903657443095</v>
      </c>
      <c r="H6781" s="38" t="n">
        <f aca="false">Sens!$H$6747</f>
        <v>180.893560768142</v>
      </c>
      <c r="I6781" s="38" t="n">
        <f aca="false">Sens!$I$6747</f>
        <v>210.64839721501</v>
      </c>
      <c r="J6781" s="38" t="n">
        <f aca="false">Sens!$J$6747</f>
        <v>236.398909446495</v>
      </c>
      <c r="K6781" s="38" t="n">
        <f aca="false">Sens!$K$6747</f>
        <v>255.310822202215</v>
      </c>
      <c r="L6781" s="38" t="n">
        <f aca="false">Sens!$L$6747</f>
        <v>275.735687978392</v>
      </c>
      <c r="M6781" s="38" t="n">
        <f aca="false">Sens!$M$6747</f>
        <v>297.794543016663</v>
      </c>
      <c r="N6781" s="38" t="n">
        <f aca="false">Sens!$N$6747</f>
        <v>57.0936804689721</v>
      </c>
      <c r="O6781" s="38" t="n">
        <f aca="false">Sens!$O$6747</f>
        <v>62.9275494423768</v>
      </c>
      <c r="P6781" s="8" t="s">
        <v>645</v>
      </c>
    </row>
    <row r="6782" customFormat="false" ht="17.15" hidden="false" customHeight="false" outlineLevel="0" collapsed="false">
      <c r="A6782" s="1" t="s">
        <v>476</v>
      </c>
      <c r="B6782" s="8" t="s">
        <v>73</v>
      </c>
      <c r="C6782" s="38" t="n">
        <f aca="false">Q!$D$7</f>
        <v>107.556</v>
      </c>
      <c r="D6782" s="38" t="n">
        <f aca="false">Q!$E$7</f>
        <v>128.725</v>
      </c>
      <c r="E6782" s="38" t="n">
        <f aca="false">Q!$P$7</f>
        <v>79.819</v>
      </c>
      <c r="F6782" s="38" t="n">
        <f aca="false">Sens!$F$6780+Sens!$F$6781</f>
        <v>93.5584440633857</v>
      </c>
      <c r="G6782" s="38" t="n">
        <f aca="false">Sens!$G$6780+Sens!$G$6781</f>
        <v>173.377444063386</v>
      </c>
      <c r="H6782" s="38" t="n">
        <f aca="false">Sens!$H$6780+Sens!$H$6781</f>
        <v>241.059451517916</v>
      </c>
      <c r="I6782" s="38" t="n">
        <f aca="false">Sens!$I$6780+Sens!$I$6781</f>
        <v>312.152096351442</v>
      </c>
      <c r="J6782" s="38" t="n">
        <f aca="false">Sens!$J$6780+Sens!$J$6781</f>
        <v>379.424316597773</v>
      </c>
      <c r="K6782" s="38" t="n">
        <f aca="false">Sens!$K$6780+Sens!$K$6781</f>
        <v>439.919237244402</v>
      </c>
      <c r="L6782" s="38" t="n">
        <f aca="false">Sens!$L$6780+Sens!$L$6781</f>
        <v>501.954974491517</v>
      </c>
      <c r="M6782" s="38" t="n">
        <f aca="false">Sens!$M$6780+Sens!$M$6781</f>
        <v>565.639704466895</v>
      </c>
      <c r="N6782" s="38" t="n">
        <f aca="false">Q!$N$7</f>
        <v>60.14</v>
      </c>
      <c r="O6782" s="38" t="n">
        <f aca="false">Q!$O$7</f>
        <v>68.585</v>
      </c>
      <c r="P6782" s="5" t="s">
        <v>647</v>
      </c>
    </row>
    <row r="6783" customFormat="false" ht="15" hidden="false" customHeight="false" outlineLevel="0" collapsed="false">
      <c r="A6783" s="3" t="s">
        <v>648</v>
      </c>
      <c r="B6783" s="8" t="s">
        <v>73</v>
      </c>
      <c r="C6783" s="38" t="n">
        <f aca="false">Q!$D$8</f>
        <v>637.959</v>
      </c>
      <c r="D6783" s="38" t="n">
        <f aca="false">Q!$E$8</f>
        <v>716.924</v>
      </c>
      <c r="E6783" s="38" t="n">
        <f aca="false">Q!$P$8</f>
        <v>382.125</v>
      </c>
      <c r="F6783" s="38" t="n">
        <f aca="false">Sens!$F$6716+Sens!$F$6782</f>
        <v>450.494873271816</v>
      </c>
      <c r="G6783" s="38" t="n">
        <f aca="false">Sens!$G$6716+Sens!$G$6782</f>
        <v>832.619873271816</v>
      </c>
      <c r="H6783" s="38" t="n">
        <f aca="false">Sens!$H$6716+Sens!$H$6782</f>
        <v>970.995189139617</v>
      </c>
      <c r="I6783" s="38" t="n">
        <f aca="false">Sens!$I$6716+Sens!$I$6782</f>
        <v>1110.44766604932</v>
      </c>
      <c r="J6783" s="38" t="n">
        <f aca="false">Sens!$J$6716+Sens!$J$6782</f>
        <v>1241.16113892356</v>
      </c>
      <c r="K6783" s="38" t="n">
        <f aca="false">Sens!$K$6716+Sens!$K$6782</f>
        <v>1357.47672934633</v>
      </c>
      <c r="L6783" s="38" t="n">
        <f aca="false">Sens!$L$6716+Sens!$L$6782</f>
        <v>1479.24006423468</v>
      </c>
      <c r="M6783" s="38" t="n">
        <f aca="false">Sens!$M$6716+Sens!$M$6782</f>
        <v>1606.8537230104</v>
      </c>
      <c r="N6783" s="38" t="n">
        <f aca="false">Q!$N$8</f>
        <v>323.369</v>
      </c>
      <c r="O6783" s="38" t="n">
        <f aca="false">Q!$O$8</f>
        <v>393.555</v>
      </c>
    </row>
    <row r="6784" customFormat="false" ht="17.15" hidden="false" customHeight="false" outlineLevel="0" collapsed="false">
      <c r="A6784" s="24" t="s">
        <v>656</v>
      </c>
      <c r="B6784" s="25" t="s">
        <v>73</v>
      </c>
      <c r="C6784" s="39" t="n">
        <f aca="false">Sens!$C$6716-(Sens!$C$6718+Sens!$C$6719)</f>
        <v>0</v>
      </c>
      <c r="D6784" s="39" t="n">
        <f aca="false">Sens!$D$6716-(Sens!$D$6718+Sens!$D$6719)</f>
        <v>0</v>
      </c>
      <c r="E6784" s="39" t="n">
        <f aca="false">Sens!$E$6716-(Sens!$E$6718+Sens!$E$6719)</f>
        <v>0</v>
      </c>
      <c r="F6784" s="39" t="n">
        <f aca="false">Sens!$F$6716-(Sens!$F$6718+Sens!$F$6719)</f>
        <v>0</v>
      </c>
      <c r="G6784" s="39" t="n">
        <f aca="false">Sens!$G$6716-(Sens!$G$6718+Sens!$G$6719)</f>
        <v>0</v>
      </c>
      <c r="H6784" s="39" t="n">
        <f aca="false">Sens!$H$6716-(Sens!$H$6718+Sens!$H$6719)</f>
        <v>0</v>
      </c>
      <c r="I6784" s="39" t="n">
        <f aca="false">Sens!$I$6716-(Sens!$I$6718+Sens!$I$6719)</f>
        <v>0</v>
      </c>
      <c r="J6784" s="39" t="n">
        <f aca="false">Sens!$J$6716-(Sens!$J$6718+Sens!$J$6719)</f>
        <v>0</v>
      </c>
      <c r="K6784" s="39" t="n">
        <f aca="false">Sens!$K$6716-(Sens!$K$6718+Sens!$K$6719)</f>
        <v>0</v>
      </c>
      <c r="L6784" s="39" t="n">
        <f aca="false">Sens!$L$6716-(Sens!$L$6718+Sens!$L$6719)</f>
        <v>0</v>
      </c>
      <c r="M6784" s="39" t="n">
        <f aca="false">Sens!$M$6716-(Sens!$M$6718+Sens!$M$6719)</f>
        <v>0</v>
      </c>
      <c r="N6784" s="39" t="n">
        <f aca="false">Sens!$N$6716-(Sens!$N$6718+Sens!$N$6719)</f>
        <v>0</v>
      </c>
      <c r="O6784" s="39" t="n">
        <f aca="false">Sens!$O$6716-(Sens!$O$6718+Sens!$O$6719)</f>
        <v>0</v>
      </c>
    </row>
    <row r="6785" customFormat="false" ht="17.15" hidden="false" customHeight="false" outlineLevel="0" collapsed="false">
      <c r="A6785" s="24" t="s">
        <v>657</v>
      </c>
      <c r="B6785" s="25" t="s">
        <v>73</v>
      </c>
      <c r="C6785" s="39" t="n">
        <f aca="false">Sens!$C$6780+Sens!$C$6781-Sens!$C$6782</f>
        <v>0</v>
      </c>
      <c r="D6785" s="39" t="n">
        <f aca="false">Sens!$D$6780+Sens!$D$6781-Sens!$D$6782</f>
        <v>0</v>
      </c>
      <c r="E6785" s="39" t="n">
        <f aca="false">Sens!$E$6780+Sens!$E$6781-Sens!$E$6782</f>
        <v>0</v>
      </c>
      <c r="F6785" s="39" t="n">
        <f aca="false">Sens!$F$6780+Sens!$F$6781-Sens!$F$6782</f>
        <v>0</v>
      </c>
      <c r="G6785" s="39" t="n">
        <f aca="false">Sens!$G$6780+Sens!$G$6781-Sens!$G$6782</f>
        <v>0</v>
      </c>
      <c r="H6785" s="39" t="n">
        <f aca="false">Sens!$H$6780+Sens!$H$6781-Sens!$H$6782</f>
        <v>0</v>
      </c>
      <c r="I6785" s="39" t="n">
        <f aca="false">Sens!$I$6780+Sens!$I$6781-Sens!$I$6782</f>
        <v>0</v>
      </c>
      <c r="J6785" s="39" t="n">
        <f aca="false">Sens!$J$6780+Sens!$J$6781-Sens!$J$6782</f>
        <v>0</v>
      </c>
      <c r="K6785" s="39" t="n">
        <f aca="false">Sens!$K$6780+Sens!$K$6781-Sens!$K$6782</f>
        <v>0</v>
      </c>
      <c r="L6785" s="39" t="n">
        <f aca="false">Sens!$L$6780+Sens!$L$6781-Sens!$L$6782</f>
        <v>0</v>
      </c>
      <c r="M6785" s="39" t="n">
        <f aca="false">Sens!$M$6780+Sens!$M$6781-Sens!$M$6782</f>
        <v>0</v>
      </c>
      <c r="N6785" s="39" t="n">
        <f aca="false">Sens!$N$6780+Sens!$N$6781-Sens!$N$6782</f>
        <v>0</v>
      </c>
      <c r="O6785" s="39" t="n">
        <f aca="false">Sens!$O$6780+Sens!$O$6781-Sens!$O$6782</f>
        <v>0</v>
      </c>
    </row>
    <row r="6786" customFormat="false" ht="17.15" hidden="false" customHeight="false" outlineLevel="0" collapsed="false">
      <c r="A6786" s="24" t="s">
        <v>658</v>
      </c>
      <c r="B6786" s="25" t="s">
        <v>73</v>
      </c>
      <c r="C6786" s="39" t="n">
        <f aca="false">Sens!$C$6718+Sens!$C$6719+Sens!$C$6782-Sens!$C$6783</f>
        <v>0</v>
      </c>
      <c r="D6786" s="39" t="n">
        <f aca="false">Sens!$D$6718+Sens!$D$6719+Sens!$D$6782-Sens!$D$6783</f>
        <v>0</v>
      </c>
      <c r="E6786" s="39" t="n">
        <f aca="false">Sens!$E$6718+Sens!$E$6719+Sens!$E$6782-Sens!$E$6783</f>
        <v>0</v>
      </c>
      <c r="F6786" s="39" t="n">
        <f aca="false">Sens!$F$6718+Sens!$F$6719+Sens!$F$6782-Sens!$F$6783</f>
        <v>0</v>
      </c>
      <c r="G6786" s="39" t="n">
        <f aca="false">Sens!$G$6718+Sens!$G$6719+Sens!$G$6782-Sens!$G$6783</f>
        <v>0</v>
      </c>
      <c r="H6786" s="39" t="n">
        <f aca="false">Sens!$H$6718+Sens!$H$6719+Sens!$H$6782-Sens!$H$6783</f>
        <v>0</v>
      </c>
      <c r="I6786" s="39" t="n">
        <f aca="false">Sens!$I$6718+Sens!$I$6719+Sens!$I$6782-Sens!$I$6783</f>
        <v>0</v>
      </c>
      <c r="J6786" s="39" t="n">
        <f aca="false">Sens!$J$6718+Sens!$J$6719+Sens!$J$6782-Sens!$J$6783</f>
        <v>0</v>
      </c>
      <c r="K6786" s="39" t="n">
        <f aca="false">Sens!$K$6718+Sens!$K$6719+Sens!$K$6782-Sens!$K$6783</f>
        <v>0</v>
      </c>
      <c r="L6786" s="39" t="n">
        <f aca="false">Sens!$L$6718+Sens!$L$6719+Sens!$L$6782-Sens!$L$6783</f>
        <v>0</v>
      </c>
      <c r="M6786" s="39" t="n">
        <f aca="false">Sens!$M$6718+Sens!$M$6719+Sens!$M$6782-Sens!$M$6783</f>
        <v>0</v>
      </c>
      <c r="N6786" s="39" t="n">
        <f aca="false">Sens!$N$6718+Sens!$N$6719+Sens!$N$6782-Sens!$N$6783</f>
        <v>0</v>
      </c>
      <c r="O6786" s="39" t="n">
        <f aca="false">Sens!$O$6718+Sens!$O$6719+Sens!$O$6782-Sens!$O$6783</f>
        <v>0</v>
      </c>
    </row>
    <row r="6787" customFormat="false" ht="15" hidden="false" customHeight="false" outlineLevel="0" collapsed="false">
      <c r="A6787" s="5" t="s">
        <v>652</v>
      </c>
      <c r="B6787" s="0" t="s">
        <v>52</v>
      </c>
      <c r="G6787" s="12" t="n">
        <f aca="false">Sens!$G$6783/Sens!$D$6783-1</f>
        <v>0.161378156222718</v>
      </c>
      <c r="H6787" s="12" t="n">
        <f aca="false">Sens!$H$6783/Sens!$G$6783-1</f>
        <v>0.166192665236357</v>
      </c>
      <c r="I6787" s="12" t="n">
        <f aca="false">Sens!$I$6783/Sens!$H$6783-1</f>
        <v>0.143618092519351</v>
      </c>
      <c r="J6787" s="12" t="n">
        <f aca="false">Sens!$J$6783/Sens!$I$6783-1</f>
        <v>0.117712411733268</v>
      </c>
      <c r="K6787" s="12" t="n">
        <f aca="false">Sens!$K$6783/Sens!$J$6783-1</f>
        <v>0.0937151404237868</v>
      </c>
      <c r="L6787" s="12" t="n">
        <f aca="false">Sens!$L$6783/Sens!$K$6783-1</f>
        <v>0.0896982852494186</v>
      </c>
      <c r="M6787" s="12" t="n">
        <f aca="false">Sens!$M$6783/Sens!$L$6783-1</f>
        <v>0.0862697420528154</v>
      </c>
    </row>
    <row r="6788" customFormat="false" ht="17.15" hidden="false" customHeight="false" outlineLevel="0" collapsed="false">
      <c r="A6788" s="0" t="s">
        <v>653</v>
      </c>
      <c r="B6788" s="0" t="s">
        <v>52</v>
      </c>
      <c r="C6788" s="12" t="n">
        <f aca="false">Sens!$C$6782/Sens!$C$6783</f>
        <v>0.168593906504964</v>
      </c>
      <c r="D6788" s="12" t="n">
        <f aca="false">Sens!$D$6782/Sens!$D$6783</f>
        <v>0.179551807444025</v>
      </c>
      <c r="E6788" s="12" t="n">
        <f aca="false">Sens!$E$6782/Sens!$E$6783</f>
        <v>0.208881910369643</v>
      </c>
      <c r="F6788" s="12" t="n">
        <f aca="false">Sens!$F$6782/Sens!$F$6783</f>
        <v>0.207679264769203</v>
      </c>
      <c r="G6788" s="12" t="n">
        <f aca="false">Sens!$G$6782/Sens!$G$6783</f>
        <v>0.208231210458731</v>
      </c>
      <c r="H6788" s="12" t="n">
        <f aca="false">Sens!$H$6782/Sens!$H$6783</f>
        <v>0.248260191414043</v>
      </c>
      <c r="I6788" s="12" t="n">
        <f aca="false">Sens!$I$6782/Sens!$I$6783</f>
        <v>0.28110473450946</v>
      </c>
      <c r="J6788" s="12" t="n">
        <f aca="false">Sens!$J$6782/Sens!$J$6783</f>
        <v>0.30570109287086</v>
      </c>
      <c r="K6788" s="12" t="n">
        <f aca="false">Sens!$K$6782/Sens!$K$6783</f>
        <v>0.324071291782835</v>
      </c>
      <c r="L6788" s="12" t="n">
        <f aca="false">Sens!$L$6782/Sens!$L$6783</f>
        <v>0.339333003903741</v>
      </c>
      <c r="M6788" s="12" t="n">
        <f aca="false">Sens!$M$6782/Sens!$M$6783</f>
        <v>0.3520169237354</v>
      </c>
      <c r="N6788" s="12" t="n">
        <f aca="false">Sens!$N$6782/Sens!$N$6783</f>
        <v>0.185979484737251</v>
      </c>
      <c r="O6788" s="12" t="n">
        <f aca="false">Sens!$O$6782/Sens!$O$6783</f>
        <v>0.174270432341096</v>
      </c>
    </row>
    <row r="6789" customFormat="false" ht="17.15" hidden="false" customHeight="false" outlineLevel="0" collapsed="false">
      <c r="A6789" s="0" t="s">
        <v>654</v>
      </c>
      <c r="B6789" s="0" t="s">
        <v>52</v>
      </c>
      <c r="C6789" s="12" t="n">
        <f aca="false">Sens!$C$6780/Sens!$C$6782</f>
        <v>0.0215795060896058</v>
      </c>
      <c r="D6789" s="12" t="n">
        <f aca="false">Sens!$D$6780/Sens!$D$6782</f>
        <v>0.0676152269462122</v>
      </c>
      <c r="E6789" s="12" t="n">
        <f aca="false">Sens!$E$6780/Sens!$E$6782</f>
        <v>0.106620641395783</v>
      </c>
      <c r="F6789" s="12" t="n">
        <f aca="false">Sens!$F$6780/Sens!$F$6782</f>
        <v>0.159936751776064</v>
      </c>
      <c r="G6789" s="12" t="n">
        <f aca="false">Sens!$G$6780/Sens!$G$6782</f>
        <v>0.135391237003751</v>
      </c>
      <c r="H6789" s="12" t="n">
        <f aca="false">Sens!$H$6780/Sens!$H$6782</f>
        <v>0.249589428545194</v>
      </c>
      <c r="I6789" s="12" t="n">
        <f aca="false">Sens!$I$6780/Sens!$I$6782</f>
        <v>0.325173850577483</v>
      </c>
      <c r="J6789" s="12" t="n">
        <f aca="false">Sens!$J$6780/Sens!$J$6782</f>
        <v>0.376953718817392</v>
      </c>
      <c r="K6789" s="12" t="n">
        <f aca="false">Sens!$K$6780/Sens!$K$6782</f>
        <v>0.419641605578676</v>
      </c>
      <c r="L6789" s="12" t="n">
        <f aca="false">Sens!$L$6780/Sens!$L$6782</f>
        <v>0.450676451094615</v>
      </c>
      <c r="M6789" s="12" t="n">
        <f aca="false">Sens!$M$6780/Sens!$M$6782</f>
        <v>0.473526096798086</v>
      </c>
      <c r="N6789" s="12" t="n">
        <f aca="false">Sens!$N$6780/Sens!$N$6782</f>
        <v>0.0506537999838362</v>
      </c>
      <c r="O6789" s="12" t="n">
        <f aca="false">Sens!$O$6780/Sens!$O$6782</f>
        <v>0.0824881615167056</v>
      </c>
    </row>
    <row r="6792" customFormat="false" ht="19.4" hidden="false" customHeight="false" outlineLevel="0" collapsed="false">
      <c r="A6792" s="31" t="s">
        <v>1192</v>
      </c>
    </row>
    <row r="6793" customFormat="false" ht="17.15" hidden="false" customHeight="false" outlineLevel="0" collapsed="false">
      <c r="A6793" s="6" t="s">
        <v>16</v>
      </c>
      <c r="B6793" s="6" t="s">
        <v>17</v>
      </c>
      <c r="C6793" s="20" t="s">
        <v>457</v>
      </c>
      <c r="D6793" s="20" t="s">
        <v>458</v>
      </c>
      <c r="E6793" s="20" t="s">
        <v>540</v>
      </c>
      <c r="F6793" s="20" t="s">
        <v>541</v>
      </c>
      <c r="G6793" s="20" t="s">
        <v>542</v>
      </c>
      <c r="H6793" s="20" t="s">
        <v>543</v>
      </c>
      <c r="I6793" s="20" t="s">
        <v>544</v>
      </c>
      <c r="J6793" s="20" t="s">
        <v>545</v>
      </c>
      <c r="K6793" s="20" t="s">
        <v>546</v>
      </c>
      <c r="L6793" s="20" t="s">
        <v>547</v>
      </c>
      <c r="M6793" s="20" t="s">
        <v>548</v>
      </c>
      <c r="N6793" s="20" t="s">
        <v>549</v>
      </c>
      <c r="O6793" s="20" t="s">
        <v>550</v>
      </c>
      <c r="P6793" s="6" t="s">
        <v>23</v>
      </c>
      <c r="R6793" s="20" t="n">
        <v>2023</v>
      </c>
      <c r="S6793" s="20" t="n">
        <v>2024</v>
      </c>
      <c r="T6793" s="20" t="n">
        <v>2025</v>
      </c>
      <c r="U6793" s="20" t="n">
        <v>2026</v>
      </c>
      <c r="V6793" s="20" t="n">
        <v>2027</v>
      </c>
      <c r="W6793" s="20" t="n">
        <v>2028</v>
      </c>
      <c r="X6793" s="20" t="n">
        <v>2029</v>
      </c>
      <c r="Y6793" s="20" t="n">
        <v>2030</v>
      </c>
      <c r="Z6793" s="20" t="n">
        <v>2031</v>
      </c>
      <c r="AA6793" s="20" t="n">
        <v>2032</v>
      </c>
    </row>
    <row r="6794" customFormat="false" ht="17.15" hidden="false" customHeight="false" outlineLevel="0" collapsed="false">
      <c r="A6794" s="1" t="s">
        <v>669</v>
      </c>
    </row>
    <row r="6795" customFormat="false" ht="15" hidden="false" customHeight="false" outlineLevel="0" collapsed="false">
      <c r="A6795" s="0" t="s">
        <v>479</v>
      </c>
      <c r="B6795" s="0" t="s">
        <v>73</v>
      </c>
      <c r="C6795" s="38" t="n">
        <f aca="false">Sens!$C$6704</f>
        <v>247.029</v>
      </c>
      <c r="D6795" s="38" t="n">
        <f aca="false">Sens!$D$6704</f>
        <v>269.287</v>
      </c>
      <c r="E6795" s="38" t="n">
        <f aca="false">Sens!$E$6704</f>
        <v>134.686</v>
      </c>
      <c r="F6795" s="38" t="n">
        <f aca="false">Sens!$F$6704</f>
        <v>160.728085930082</v>
      </c>
      <c r="G6795" s="38" t="n">
        <f aca="false">Sens!$G$6704</f>
        <v>295.414085930082</v>
      </c>
      <c r="H6795" s="38" t="n">
        <f aca="false">Sens!$H$6704</f>
        <v>320.828163943375</v>
      </c>
      <c r="I6795" s="38" t="n">
        <f aca="false">Sens!$I$6704</f>
        <v>344.575578072228</v>
      </c>
      <c r="J6795" s="38" t="n">
        <f aca="false">Sens!$J$6704</f>
        <v>365.942555779681</v>
      </c>
      <c r="K6795" s="38" t="n">
        <f aca="false">Sens!$K$6704</f>
        <v>384.239683568665</v>
      </c>
      <c r="L6795" s="38" t="n">
        <f aca="false">Sens!$L$6704</f>
        <v>403.451667747098</v>
      </c>
      <c r="M6795" s="38" t="n">
        <f aca="false">Sens!$M$6704</f>
        <v>423.624251134453</v>
      </c>
      <c r="N6795" s="38" t="n">
        <f aca="false">Sens!$N$6704</f>
        <v>118.892</v>
      </c>
      <c r="O6795" s="38" t="n">
        <f aca="false">Sens!$O$6704</f>
        <v>150.395</v>
      </c>
    </row>
    <row r="6796" customFormat="false" ht="15" hidden="false" customHeight="false" outlineLevel="0" collapsed="false">
      <c r="A6796" s="0" t="s">
        <v>480</v>
      </c>
      <c r="B6796" s="0" t="s">
        <v>73</v>
      </c>
      <c r="C6796" s="38" t="n">
        <f aca="false">Sens!$C$6706</f>
        <v>21.215</v>
      </c>
      <c r="D6796" s="38" t="n">
        <f aca="false">Sens!$D$6706</f>
        <v>22.561</v>
      </c>
      <c r="E6796" s="38" t="n">
        <f aca="false">Sens!$E$6706</f>
        <v>11.579</v>
      </c>
      <c r="F6796" s="38" t="n">
        <f aca="false">Sens!$F$6706</f>
        <v>12.0952613121125</v>
      </c>
      <c r="G6796" s="38" t="n">
        <f aca="false">Sens!$G$6706</f>
        <v>23.6742613121125</v>
      </c>
      <c r="H6796" s="38" t="n">
        <f aca="false">Sens!$H$6706</f>
        <v>24.8803243963206</v>
      </c>
      <c r="I6796" s="38" t="n">
        <f aca="false">Sens!$I$6706</f>
        <v>25.9741308664154</v>
      </c>
      <c r="J6796" s="38" t="n">
        <f aca="false">Sens!$J$6706</f>
        <v>26.9346894124267</v>
      </c>
      <c r="K6796" s="38" t="n">
        <f aca="false">Sens!$K$6706</f>
        <v>27.7427300947995</v>
      </c>
      <c r="L6796" s="38" t="n">
        <f aca="false">Sens!$L$6706</f>
        <v>28.5750119976435</v>
      </c>
      <c r="M6796" s="38" t="n">
        <f aca="false">Sens!$M$6706</f>
        <v>29.4322623575728</v>
      </c>
      <c r="N6796" s="38" t="n">
        <f aca="false">Sens!$N$6706</f>
        <v>11.128</v>
      </c>
      <c r="O6796" s="38" t="n">
        <f aca="false">Sens!$O$6706</f>
        <v>11.433</v>
      </c>
    </row>
    <row r="6797" customFormat="false" ht="15" hidden="false" customHeight="false" outlineLevel="0" collapsed="false">
      <c r="A6797" s="0" t="s">
        <v>481</v>
      </c>
      <c r="B6797" s="0" t="s">
        <v>73</v>
      </c>
      <c r="C6797" s="38" t="n">
        <f aca="false">Sens!$C$6708</f>
        <v>156.146</v>
      </c>
      <c r="D6797" s="38" t="n">
        <f aca="false">Sens!$D$6708</f>
        <v>172.162</v>
      </c>
      <c r="E6797" s="38" t="n">
        <f aca="false">Sens!$E$6708</f>
        <v>88.358</v>
      </c>
      <c r="F6797" s="38" t="n">
        <f aca="false">Sens!$F$6708</f>
        <v>103.62028337149</v>
      </c>
      <c r="G6797" s="38" t="n">
        <f aca="false">Sens!$G$6708</f>
        <v>191.97828337149</v>
      </c>
      <c r="H6797" s="38" t="n">
        <f aca="false">Sens!$H$6708</f>
        <v>212.128608444755</v>
      </c>
      <c r="I6797" s="38" t="n">
        <f aca="false">Sens!$I$6708</f>
        <v>231.92183134134</v>
      </c>
      <c r="J6797" s="38" t="n">
        <f aca="false">Sens!$J$6708</f>
        <v>250.859136487863</v>
      </c>
      <c r="K6797" s="38" t="n">
        <f aca="false">Sens!$K$6708</f>
        <v>268.419276042014</v>
      </c>
      <c r="L6797" s="38" t="n">
        <f aca="false">Sens!$L$6708</f>
        <v>287.208625364954</v>
      </c>
      <c r="M6797" s="38" t="n">
        <f aca="false">Sens!$M$6708</f>
        <v>307.313229140501</v>
      </c>
      <c r="N6797" s="38" t="n">
        <f aca="false">Sens!$N$6708</f>
        <v>76.86</v>
      </c>
      <c r="O6797" s="38" t="n">
        <f aca="false">Sens!$O$6708</f>
        <v>95.302</v>
      </c>
    </row>
    <row r="6798" customFormat="false" ht="15" hidden="false" customHeight="false" outlineLevel="0" collapsed="false">
      <c r="A6798" s="0" t="s">
        <v>482</v>
      </c>
      <c r="B6798" s="0" t="s">
        <v>73</v>
      </c>
      <c r="C6798" s="38" t="n">
        <f aca="false">Sens!$C$6710</f>
        <v>56.214</v>
      </c>
      <c r="D6798" s="38" t="n">
        <f aca="false">Sens!$D$6710</f>
        <v>68.635</v>
      </c>
      <c r="E6798" s="38" t="n">
        <f aca="false">Sens!$E$6710</f>
        <v>37.052</v>
      </c>
      <c r="F6798" s="38" t="n">
        <f aca="false">Sens!$F$6710</f>
        <v>48.1533381827382</v>
      </c>
      <c r="G6798" s="38" t="n">
        <f aca="false">Sens!$G$6710</f>
        <v>85.2053381827382</v>
      </c>
      <c r="H6798" s="38" t="n">
        <f aca="false">Sens!$H$6710</f>
        <v>102.29336185894</v>
      </c>
      <c r="I6798" s="38" t="n">
        <f aca="false">Sens!$I$6710</f>
        <v>119.379837585241</v>
      </c>
      <c r="J6798" s="38" t="n">
        <f aca="false">Sens!$J$6710</f>
        <v>135.319079048844</v>
      </c>
      <c r="K6798" s="38" t="n">
        <f aca="false">Sens!$K$6710</f>
        <v>148.850986953729</v>
      </c>
      <c r="L6798" s="38" t="n">
        <f aca="false">Sens!$L$6710</f>
        <v>163.736085649102</v>
      </c>
      <c r="M6798" s="38" t="n">
        <f aca="false">Sens!$M$6710</f>
        <v>180.109694214012</v>
      </c>
      <c r="N6798" s="38" t="n">
        <f aca="false">Sens!$N$6710</f>
        <v>29.615</v>
      </c>
      <c r="O6798" s="38" t="n">
        <f aca="false">Sens!$O$6710</f>
        <v>39.02</v>
      </c>
    </row>
    <row r="6799" customFormat="false" ht="15" hidden="false" customHeight="false" outlineLevel="0" collapsed="false">
      <c r="A6799" s="0" t="s">
        <v>483</v>
      </c>
      <c r="B6799" s="0" t="s">
        <v>73</v>
      </c>
      <c r="C6799" s="38" t="n">
        <f aca="false">Sens!$C$6712</f>
        <v>44.374</v>
      </c>
      <c r="D6799" s="38" t="n">
        <f aca="false">Sens!$D$6712</f>
        <v>49.619</v>
      </c>
      <c r="E6799" s="38" t="n">
        <f aca="false">Sens!$E$6712</f>
        <v>27.157</v>
      </c>
      <c r="F6799" s="38" t="n">
        <f aca="false">Sens!$F$6712</f>
        <v>28.9776360923374</v>
      </c>
      <c r="G6799" s="38" t="n">
        <f aca="false">Sens!$G$6712</f>
        <v>56.1346360923374</v>
      </c>
      <c r="H6799" s="38" t="n">
        <f aca="false">Sens!$H$6712</f>
        <v>62.4937078946075</v>
      </c>
      <c r="I6799" s="38" t="n">
        <f aca="false">Sens!$I$6712</f>
        <v>68.6715233062498</v>
      </c>
      <c r="J6799" s="38" t="n">
        <f aca="false">Sens!$J$6712</f>
        <v>74.4692882949818</v>
      </c>
      <c r="K6799" s="38" t="n">
        <f aca="false">Sens!$K$6712</f>
        <v>79.6821384756306</v>
      </c>
      <c r="L6799" s="38" t="n">
        <f aca="false">Sens!$L$6712</f>
        <v>85.2598881689247</v>
      </c>
      <c r="M6799" s="38" t="n">
        <f aca="false">Sens!$M$6712</f>
        <v>91.2280803407494</v>
      </c>
      <c r="N6799" s="38" t="n">
        <f aca="false">Sens!$N$6712</f>
        <v>23.923</v>
      </c>
      <c r="O6799" s="38" t="n">
        <f aca="false">Sens!$O$6712</f>
        <v>25.696</v>
      </c>
    </row>
    <row r="6800" customFormat="false" ht="15" hidden="false" customHeight="false" outlineLevel="0" collapsed="false">
      <c r="A6800" s="0" t="s">
        <v>484</v>
      </c>
      <c r="B6800" s="0" t="s">
        <v>73</v>
      </c>
      <c r="C6800" s="38" t="n">
        <f aca="false">Sens!$C$6714</f>
        <v>5.425</v>
      </c>
      <c r="D6800" s="38" t="n">
        <f aca="false">Sens!$D$6714</f>
        <v>5.935</v>
      </c>
      <c r="E6800" s="38" t="n">
        <f aca="false">Sens!$E$6714</f>
        <v>3.474</v>
      </c>
      <c r="F6800" s="38" t="n">
        <f aca="false">Sens!$F$6714</f>
        <v>3.36182431966931</v>
      </c>
      <c r="G6800" s="38" t="n">
        <f aca="false">Sens!$G$6714</f>
        <v>6.83582431966931</v>
      </c>
      <c r="H6800" s="38" t="n">
        <f aca="false">Sens!$H$6714</f>
        <v>7.31157108370141</v>
      </c>
      <c r="I6800" s="38" t="n">
        <f aca="false">Sens!$I$6714</f>
        <v>7.77266852639815</v>
      </c>
      <c r="J6800" s="38" t="n">
        <f aca="false">Sens!$J$6714</f>
        <v>8.2120733019884</v>
      </c>
      <c r="K6800" s="38" t="n">
        <f aca="false">Sens!$K$6714</f>
        <v>8.62267696708783</v>
      </c>
      <c r="L6800" s="38" t="n">
        <f aca="false">Sens!$L$6714</f>
        <v>9.05381081544222</v>
      </c>
      <c r="M6800" s="38" t="n">
        <f aca="false">Sens!$M$6714</f>
        <v>9.50650135621433</v>
      </c>
      <c r="N6800" s="38" t="n">
        <f aca="false">Sens!$N$6714</f>
        <v>2.811</v>
      </c>
      <c r="O6800" s="38" t="n">
        <f aca="false">Sens!$O$6714</f>
        <v>3.124</v>
      </c>
    </row>
    <row r="6801" customFormat="false" ht="17.15" hidden="false" customHeight="false" outlineLevel="0" collapsed="false">
      <c r="A6801" s="0" t="s">
        <v>670</v>
      </c>
      <c r="B6801" s="0" t="s">
        <v>73</v>
      </c>
      <c r="C6801" s="38" t="n">
        <f aca="false">Sens!$C$6782</f>
        <v>107.556</v>
      </c>
      <c r="D6801" s="38" t="n">
        <f aca="false">Sens!$D$6782</f>
        <v>128.725</v>
      </c>
      <c r="E6801" s="38" t="n">
        <f aca="false">Sens!$E$6782</f>
        <v>79.819</v>
      </c>
      <c r="F6801" s="38" t="n">
        <f aca="false">Sens!$F$6782</f>
        <v>93.5584440633857</v>
      </c>
      <c r="G6801" s="38" t="n">
        <f aca="false">Sens!$G$6782</f>
        <v>173.377444063386</v>
      </c>
      <c r="H6801" s="38" t="n">
        <f aca="false">Sens!$H$6782</f>
        <v>241.059451517916</v>
      </c>
      <c r="I6801" s="38" t="n">
        <f aca="false">Sens!$I$6782</f>
        <v>312.152096351442</v>
      </c>
      <c r="J6801" s="38" t="n">
        <f aca="false">Sens!$J$6782</f>
        <v>379.424316597773</v>
      </c>
      <c r="K6801" s="38" t="n">
        <f aca="false">Sens!$K$6782</f>
        <v>439.919237244402</v>
      </c>
      <c r="L6801" s="38" t="n">
        <f aca="false">Sens!$L$6782</f>
        <v>501.954974491517</v>
      </c>
      <c r="M6801" s="38" t="n">
        <f aca="false">Sens!$M$6782</f>
        <v>565.639704466895</v>
      </c>
      <c r="N6801" s="38" t="n">
        <f aca="false">Sens!$N$6782</f>
        <v>60.14</v>
      </c>
      <c r="O6801" s="38" t="n">
        <f aca="false">Sens!$O$6782</f>
        <v>68.585</v>
      </c>
    </row>
    <row r="6802" customFormat="false" ht="15" hidden="false" customHeight="false" outlineLevel="0" collapsed="false">
      <c r="A6802" s="1" t="s">
        <v>472</v>
      </c>
      <c r="B6802" s="8" t="s">
        <v>73</v>
      </c>
      <c r="C6802" s="38" t="n">
        <f aca="false">Sens!$C$6718</f>
        <v>387.497</v>
      </c>
      <c r="D6802" s="38" t="n">
        <f aca="false">Sens!$D$6718</f>
        <v>426.305</v>
      </c>
      <c r="E6802" s="38" t="n">
        <f aca="false">Sens!$E$6718</f>
        <v>220.32</v>
      </c>
      <c r="F6802" s="38" t="n">
        <f aca="false">Sens!$F$6718</f>
        <v>256.304015003807</v>
      </c>
      <c r="G6802" s="38" t="n">
        <f aca="false">Sens!$G$6718</f>
        <v>476.624015003807</v>
      </c>
      <c r="H6802" s="38" t="n">
        <f aca="false">Sens!$H$6718</f>
        <v>527.734391091543</v>
      </c>
      <c r="I6802" s="38" t="n">
        <f aca="false">Sens!$I$6718</f>
        <v>577.157693029577</v>
      </c>
      <c r="J6802" s="38" t="n">
        <f aca="false">Sens!$J$6718</f>
        <v>623.024923663827</v>
      </c>
      <c r="K6802" s="38" t="n">
        <f aca="false">Sens!$K$6718</f>
        <v>663.382568393781</v>
      </c>
      <c r="L6802" s="38" t="n">
        <f aca="false">Sens!$L$6718</f>
        <v>706.564873010432</v>
      </c>
      <c r="M6802" s="38" t="n">
        <f aca="false">Sens!$M$6718</f>
        <v>752.784687406019</v>
      </c>
      <c r="N6802" s="38" t="n">
        <f aca="false">Sens!$N$6718</f>
        <v>192.955</v>
      </c>
      <c r="O6802" s="38" t="n">
        <f aca="false">Sens!$O$6718</f>
        <v>233.35</v>
      </c>
    </row>
    <row r="6803" customFormat="false" ht="15" hidden="false" customHeight="false" outlineLevel="0" collapsed="false">
      <c r="A6803" s="1" t="s">
        <v>475</v>
      </c>
      <c r="B6803" s="8" t="s">
        <v>73</v>
      </c>
      <c r="C6803" s="38" t="n">
        <f aca="false">Sens!$C$6719</f>
        <v>142.906</v>
      </c>
      <c r="D6803" s="38" t="n">
        <f aca="false">Sens!$D$6719</f>
        <v>161.894</v>
      </c>
      <c r="E6803" s="38" t="n">
        <f aca="false">Sens!$E$6719</f>
        <v>81.986</v>
      </c>
      <c r="F6803" s="38" t="n">
        <f aca="false">Sens!$F$6719</f>
        <v>100.632414204623</v>
      </c>
      <c r="G6803" s="38" t="n">
        <f aca="false">Sens!$G$6719</f>
        <v>182.618414204623</v>
      </c>
      <c r="H6803" s="38" t="n">
        <f aca="false">Sens!$H$6719</f>
        <v>202.201346530158</v>
      </c>
      <c r="I6803" s="38" t="n">
        <f aca="false">Sens!$I$6719</f>
        <v>221.137876668296</v>
      </c>
      <c r="J6803" s="38" t="n">
        <f aca="false">Sens!$J$6719</f>
        <v>238.711898661958</v>
      </c>
      <c r="K6803" s="38" t="n">
        <f aca="false">Sens!$K$6719</f>
        <v>254.174923708144</v>
      </c>
      <c r="L6803" s="38" t="n">
        <f aca="false">Sens!$L$6719</f>
        <v>270.720216732733</v>
      </c>
      <c r="M6803" s="38" t="n">
        <f aca="false">Sens!$M$6719</f>
        <v>288.429331137484</v>
      </c>
      <c r="N6803" s="38" t="n">
        <f aca="false">Sens!$N$6719</f>
        <v>70.274</v>
      </c>
      <c r="O6803" s="38" t="n">
        <f aca="false">Sens!$O$6719</f>
        <v>91.62</v>
      </c>
    </row>
    <row r="6804" customFormat="false" ht="15" hidden="false" customHeight="false" outlineLevel="0" collapsed="false">
      <c r="A6804" s="1" t="s">
        <v>476</v>
      </c>
      <c r="B6804" s="8" t="s">
        <v>73</v>
      </c>
      <c r="C6804" s="38" t="n">
        <f aca="false">Sens!$C$6782</f>
        <v>107.556</v>
      </c>
      <c r="D6804" s="38" t="n">
        <f aca="false">Sens!$D$6782</f>
        <v>128.725</v>
      </c>
      <c r="E6804" s="38" t="n">
        <f aca="false">Sens!$E$6782</f>
        <v>79.819</v>
      </c>
      <c r="F6804" s="38" t="n">
        <f aca="false">Sens!$F$6782</f>
        <v>93.5584440633857</v>
      </c>
      <c r="G6804" s="38" t="n">
        <f aca="false">Sens!$G$6782</f>
        <v>173.377444063386</v>
      </c>
      <c r="H6804" s="38" t="n">
        <f aca="false">Sens!$H$6782</f>
        <v>241.059451517916</v>
      </c>
      <c r="I6804" s="38" t="n">
        <f aca="false">Sens!$I$6782</f>
        <v>312.152096351442</v>
      </c>
      <c r="J6804" s="38" t="n">
        <f aca="false">Sens!$J$6782</f>
        <v>379.424316597773</v>
      </c>
      <c r="K6804" s="38" t="n">
        <f aca="false">Sens!$K$6782</f>
        <v>439.919237244402</v>
      </c>
      <c r="L6804" s="38" t="n">
        <f aca="false">Sens!$L$6782</f>
        <v>501.954974491517</v>
      </c>
      <c r="M6804" s="38" t="n">
        <f aca="false">Sens!$M$6782</f>
        <v>565.639704466895</v>
      </c>
      <c r="N6804" s="38" t="n">
        <f aca="false">Sens!$N$6782</f>
        <v>60.14</v>
      </c>
      <c r="O6804" s="38" t="n">
        <f aca="false">Sens!$O$6782</f>
        <v>68.585</v>
      </c>
    </row>
    <row r="6805" customFormat="false" ht="17.15" hidden="false" customHeight="false" outlineLevel="0" collapsed="false">
      <c r="A6805" s="0" t="s">
        <v>644</v>
      </c>
      <c r="B6805" s="0" t="s">
        <v>73</v>
      </c>
      <c r="C6805" s="38" t="n">
        <f aca="false">Sens!$C$6780</f>
        <v>2.32100535697364</v>
      </c>
      <c r="D6805" s="38" t="n">
        <f aca="false">Sens!$D$6780</f>
        <v>8.70377008865116</v>
      </c>
      <c r="E6805" s="38" t="n">
        <f aca="false">Sens!$E$6780</f>
        <v>8.51035297557002</v>
      </c>
      <c r="F6805" s="38" t="n">
        <f aca="false">Sens!$F$6780</f>
        <v>14.9634336447205</v>
      </c>
      <c r="G6805" s="38" t="n">
        <f aca="false">Sens!$G$6780</f>
        <v>23.4737866202905</v>
      </c>
      <c r="H6805" s="38" t="n">
        <f aca="false">Sens!$H$6780</f>
        <v>60.1658907497746</v>
      </c>
      <c r="I6805" s="38" t="n">
        <f aca="false">Sens!$I$6780</f>
        <v>101.503699136432</v>
      </c>
      <c r="J6805" s="38" t="n">
        <f aca="false">Sens!$J$6780</f>
        <v>143.025407151278</v>
      </c>
      <c r="K6805" s="38" t="n">
        <f aca="false">Sens!$K$6780</f>
        <v>184.608415042187</v>
      </c>
      <c r="L6805" s="38" t="n">
        <f aca="false">Sens!$L$6780</f>
        <v>226.219286513125</v>
      </c>
      <c r="M6805" s="38" t="n">
        <f aca="false">Sens!$M$6780</f>
        <v>267.845161450232</v>
      </c>
      <c r="N6805" s="38" t="n">
        <f aca="false">Sens!$N$6780</f>
        <v>3.04631953102791</v>
      </c>
      <c r="O6805" s="38" t="n">
        <f aca="false">Sens!$O$6780</f>
        <v>5.65745055762326</v>
      </c>
    </row>
    <row r="6806" customFormat="false" ht="17.15" hidden="false" customHeight="false" outlineLevel="0" collapsed="false">
      <c r="A6806" s="0" t="s">
        <v>646</v>
      </c>
      <c r="B6806" s="0" t="s">
        <v>73</v>
      </c>
      <c r="C6806" s="38" t="n">
        <f aca="false">Sens!$C$6781</f>
        <v>105.234994643026</v>
      </c>
      <c r="D6806" s="38" t="n">
        <f aca="false">Sens!$D$6781</f>
        <v>120.021229911349</v>
      </c>
      <c r="E6806" s="38" t="n">
        <f aca="false">Sens!$E$6781</f>
        <v>71.30864702443</v>
      </c>
      <c r="F6806" s="38" t="n">
        <f aca="false">Sens!$F$6781</f>
        <v>78.5950104186653</v>
      </c>
      <c r="G6806" s="38" t="n">
        <f aca="false">Sens!$G$6781</f>
        <v>149.903657443095</v>
      </c>
      <c r="H6806" s="38" t="n">
        <f aca="false">Sens!$H$6781</f>
        <v>180.893560768142</v>
      </c>
      <c r="I6806" s="38" t="n">
        <f aca="false">Sens!$I$6781</f>
        <v>210.64839721501</v>
      </c>
      <c r="J6806" s="38" t="n">
        <f aca="false">Sens!$J$6781</f>
        <v>236.398909446495</v>
      </c>
      <c r="K6806" s="38" t="n">
        <f aca="false">Sens!$K$6781</f>
        <v>255.310822202215</v>
      </c>
      <c r="L6806" s="38" t="n">
        <f aca="false">Sens!$L$6781</f>
        <v>275.735687978392</v>
      </c>
      <c r="M6806" s="38" t="n">
        <f aca="false">Sens!$M$6781</f>
        <v>297.794543016663</v>
      </c>
      <c r="N6806" s="38" t="n">
        <f aca="false">Sens!$N$6781</f>
        <v>57.0936804689721</v>
      </c>
      <c r="O6806" s="38" t="n">
        <f aca="false">Sens!$O$6781</f>
        <v>62.9275494423768</v>
      </c>
    </row>
    <row r="6807" customFormat="false" ht="15" hidden="false" customHeight="false" outlineLevel="0" collapsed="false">
      <c r="A6807" s="3" t="s">
        <v>477</v>
      </c>
      <c r="B6807" s="8" t="s">
        <v>73</v>
      </c>
      <c r="C6807" s="38" t="n">
        <f aca="false">Sens!$C$6783</f>
        <v>637.959</v>
      </c>
      <c r="D6807" s="38" t="n">
        <f aca="false">Sens!$D$6783</f>
        <v>716.924</v>
      </c>
      <c r="E6807" s="38" t="n">
        <f aca="false">Sens!$E$6783</f>
        <v>382.125</v>
      </c>
      <c r="F6807" s="38" t="n">
        <f aca="false">Sens!$F$6783</f>
        <v>450.494873271816</v>
      </c>
      <c r="G6807" s="38" t="n">
        <f aca="false">Sens!$G$6783</f>
        <v>832.619873271816</v>
      </c>
      <c r="H6807" s="38" t="n">
        <f aca="false">Sens!$H$6783</f>
        <v>970.995189139617</v>
      </c>
      <c r="I6807" s="38" t="n">
        <f aca="false">Sens!$I$6783</f>
        <v>1110.44766604932</v>
      </c>
      <c r="J6807" s="38" t="n">
        <f aca="false">Sens!$J$6783</f>
        <v>1241.16113892356</v>
      </c>
      <c r="K6807" s="38" t="n">
        <f aca="false">Sens!$K$6783</f>
        <v>1357.47672934633</v>
      </c>
      <c r="L6807" s="38" t="n">
        <f aca="false">Sens!$L$6783</f>
        <v>1479.24006423468</v>
      </c>
      <c r="M6807" s="38" t="n">
        <f aca="false">Sens!$M$6783</f>
        <v>1606.8537230104</v>
      </c>
      <c r="N6807" s="38" t="n">
        <f aca="false">Sens!$N$6783</f>
        <v>323.369</v>
      </c>
      <c r="O6807" s="38" t="n">
        <f aca="false">Sens!$O$6783</f>
        <v>393.555</v>
      </c>
    </row>
    <row r="6808" customFormat="false" ht="17.15" hidden="false" customHeight="false" outlineLevel="0" collapsed="false">
      <c r="A6808" s="24" t="s">
        <v>656</v>
      </c>
      <c r="B6808" s="25" t="s">
        <v>73</v>
      </c>
      <c r="C6808" s="39" t="n">
        <f aca="false">Sens!$C$6795+Sens!$C$6796+Sens!$C$6797+Sens!$C$6798+Sens!$C$6799+Sens!$C$6800-(Sens!$C$6802+Sens!$C$6803)</f>
        <v>0</v>
      </c>
      <c r="D6808" s="39" t="n">
        <f aca="false">Sens!$D$6795+Sens!$D$6796+Sens!$D$6797+Sens!$D$6798+Sens!$D$6799+Sens!$D$6800-(Sens!$D$6802+Sens!$D$6803)</f>
        <v>0</v>
      </c>
      <c r="E6808" s="39" t="n">
        <f aca="false">Sens!$E$6795+Sens!$E$6796+Sens!$E$6797+Sens!$E$6798+Sens!$E$6799+Sens!$E$6800-(Sens!$E$6802+Sens!$E$6803)</f>
        <v>0</v>
      </c>
      <c r="F6808" s="39" t="n">
        <f aca="false">Sens!$F$6795+Sens!$F$6796+Sens!$F$6797+Sens!$F$6798+Sens!$F$6799+Sens!$F$6800-(Sens!$F$6802+Sens!$F$6803)</f>
        <v>0</v>
      </c>
      <c r="G6808" s="39" t="n">
        <f aca="false">Sens!$G$6795+Sens!$G$6796+Sens!$G$6797+Sens!$G$6798+Sens!$G$6799+Sens!$G$6800-(Sens!$G$6802+Sens!$G$6803)</f>
        <v>0</v>
      </c>
      <c r="H6808" s="39" t="n">
        <f aca="false">Sens!$H$6795+Sens!$H$6796+Sens!$H$6797+Sens!$H$6798+Sens!$H$6799+Sens!$H$6800-(Sens!$H$6802+Sens!$H$6803)</f>
        <v>0</v>
      </c>
      <c r="I6808" s="39" t="n">
        <f aca="false">Sens!$I$6795+Sens!$I$6796+Sens!$I$6797+Sens!$I$6798+Sens!$I$6799+Sens!$I$6800-(Sens!$I$6802+Sens!$I$6803)</f>
        <v>0</v>
      </c>
      <c r="J6808" s="39" t="n">
        <f aca="false">Sens!$J$6795+Sens!$J$6796+Sens!$J$6797+Sens!$J$6798+Sens!$J$6799+Sens!$J$6800-(Sens!$J$6802+Sens!$J$6803)</f>
        <v>0</v>
      </c>
      <c r="K6808" s="39" t="n">
        <f aca="false">Sens!$K$6795+Sens!$K$6796+Sens!$K$6797+Sens!$K$6798+Sens!$K$6799+Sens!$K$6800-(Sens!$K$6802+Sens!$K$6803)</f>
        <v>0</v>
      </c>
      <c r="L6808" s="39" t="n">
        <f aca="false">Sens!$L$6795+Sens!$L$6796+Sens!$L$6797+Sens!$L$6798+Sens!$L$6799+Sens!$L$6800-(Sens!$L$6802+Sens!$L$6803)</f>
        <v>0</v>
      </c>
      <c r="M6808" s="39" t="n">
        <f aca="false">Sens!$M$6795+Sens!$M$6796+Sens!$M$6797+Sens!$M$6798+Sens!$M$6799+Sens!$M$6800-(Sens!$M$6802+Sens!$M$6803)</f>
        <v>0</v>
      </c>
      <c r="N6808" s="39" t="n">
        <f aca="false">Sens!$N$6795+Sens!$N$6796+Sens!$N$6797+Sens!$N$6798+Sens!$N$6799+Sens!$N$6800-(Sens!$N$6802+Sens!$N$6803)</f>
        <v>0</v>
      </c>
      <c r="O6808" s="39" t="n">
        <f aca="false">Sens!$O$6795+Sens!$O$6796+Sens!$O$6797+Sens!$O$6798+Sens!$O$6799+Sens!$O$6800-(Sens!$O$6802+Sens!$O$6803)</f>
        <v>0</v>
      </c>
    </row>
    <row r="6809" customFormat="false" ht="17.15" hidden="false" customHeight="false" outlineLevel="0" collapsed="false">
      <c r="A6809" s="24" t="s">
        <v>657</v>
      </c>
      <c r="B6809" s="25" t="s">
        <v>73</v>
      </c>
      <c r="C6809" s="39" t="n">
        <f aca="false">Sens!$C$6805+Sens!$C$6806-Sens!$C$6804</f>
        <v>0</v>
      </c>
      <c r="D6809" s="39" t="n">
        <f aca="false">Sens!$D$6805+Sens!$D$6806-Sens!$D$6804</f>
        <v>0</v>
      </c>
      <c r="E6809" s="39" t="n">
        <f aca="false">Sens!$E$6805+Sens!$E$6806-Sens!$E$6804</f>
        <v>0</v>
      </c>
      <c r="F6809" s="39" t="n">
        <f aca="false">Sens!$F$6805+Sens!$F$6806-Sens!$F$6804</f>
        <v>0</v>
      </c>
      <c r="G6809" s="39" t="n">
        <f aca="false">Sens!$G$6805+Sens!$G$6806-Sens!$G$6804</f>
        <v>0</v>
      </c>
      <c r="H6809" s="39" t="n">
        <f aca="false">Sens!$H$6805+Sens!$H$6806-Sens!$H$6804</f>
        <v>0</v>
      </c>
      <c r="I6809" s="39" t="n">
        <f aca="false">Sens!$I$6805+Sens!$I$6806-Sens!$I$6804</f>
        <v>0</v>
      </c>
      <c r="J6809" s="39" t="n">
        <f aca="false">Sens!$J$6805+Sens!$J$6806-Sens!$J$6804</f>
        <v>0</v>
      </c>
      <c r="K6809" s="39" t="n">
        <f aca="false">Sens!$K$6805+Sens!$K$6806-Sens!$K$6804</f>
        <v>0</v>
      </c>
      <c r="L6809" s="39" t="n">
        <f aca="false">Sens!$L$6805+Sens!$L$6806-Sens!$L$6804</f>
        <v>0</v>
      </c>
      <c r="M6809" s="39" t="n">
        <f aca="false">Sens!$M$6805+Sens!$M$6806-Sens!$M$6804</f>
        <v>0</v>
      </c>
      <c r="N6809" s="39" t="n">
        <f aca="false">Sens!$N$6805+Sens!$N$6806-Sens!$N$6804</f>
        <v>0</v>
      </c>
      <c r="O6809" s="39" t="n">
        <f aca="false">Sens!$O$6805+Sens!$O$6806-Sens!$O$6804</f>
        <v>0</v>
      </c>
    </row>
    <row r="6810" customFormat="false" ht="17.15" hidden="false" customHeight="false" outlineLevel="0" collapsed="false">
      <c r="A6810" s="24" t="s">
        <v>711</v>
      </c>
      <c r="B6810" s="25" t="s">
        <v>73</v>
      </c>
      <c r="C6810" s="39" t="n">
        <f aca="false">Sens!$C$6795+Sens!$C$6796+Sens!$C$6797+Sens!$C$6798+Sens!$C$6799+Sens!$C$6800+Sens!$C$6801-Sens!$C$6807</f>
        <v>0</v>
      </c>
      <c r="D6810" s="39" t="n">
        <f aca="false">Sens!$D$6795+Sens!$D$6796+Sens!$D$6797+Sens!$D$6798+Sens!$D$6799+Sens!$D$6800+Sens!$D$6801-Sens!$D$6807</f>
        <v>0</v>
      </c>
      <c r="E6810" s="39" t="n">
        <f aca="false">Sens!$E$6795+Sens!$E$6796+Sens!$E$6797+Sens!$E$6798+Sens!$E$6799+Sens!$E$6800+Sens!$E$6801-Sens!$E$6807</f>
        <v>0</v>
      </c>
      <c r="F6810" s="39" t="n">
        <f aca="false">Sens!$F$6795+Sens!$F$6796+Sens!$F$6797+Sens!$F$6798+Sens!$F$6799+Sens!$F$6800+Sens!$F$6801-Sens!$F$6807</f>
        <v>0</v>
      </c>
      <c r="G6810" s="39" t="n">
        <f aca="false">Sens!$G$6795+Sens!$G$6796+Sens!$G$6797+Sens!$G$6798+Sens!$G$6799+Sens!$G$6800+Sens!$G$6801-Sens!$G$6807</f>
        <v>0</v>
      </c>
      <c r="H6810" s="39" t="n">
        <f aca="false">Sens!$H$6795+Sens!$H$6796+Sens!$H$6797+Sens!$H$6798+Sens!$H$6799+Sens!$H$6800+Sens!$H$6801-Sens!$H$6807</f>
        <v>0</v>
      </c>
      <c r="I6810" s="39" t="n">
        <f aca="false">Sens!$I$6795+Sens!$I$6796+Sens!$I$6797+Sens!$I$6798+Sens!$I$6799+Sens!$I$6800+Sens!$I$6801-Sens!$I$6807</f>
        <v>0</v>
      </c>
      <c r="J6810" s="39" t="n">
        <f aca="false">Sens!$J$6795+Sens!$J$6796+Sens!$J$6797+Sens!$J$6798+Sens!$J$6799+Sens!$J$6800+Sens!$J$6801-Sens!$J$6807</f>
        <v>0</v>
      </c>
      <c r="K6810" s="39" t="n">
        <f aca="false">Sens!$K$6795+Sens!$K$6796+Sens!$K$6797+Sens!$K$6798+Sens!$K$6799+Sens!$K$6800+Sens!$K$6801-Sens!$K$6807</f>
        <v>0</v>
      </c>
      <c r="L6810" s="39" t="n">
        <f aca="false">Sens!$L$6795+Sens!$L$6796+Sens!$L$6797+Sens!$L$6798+Sens!$L$6799+Sens!$L$6800+Sens!$L$6801-Sens!$L$6807</f>
        <v>0</v>
      </c>
      <c r="M6810" s="39" t="n">
        <f aca="false">Sens!$M$6795+Sens!$M$6796+Sens!$M$6797+Sens!$M$6798+Sens!$M$6799+Sens!$M$6800+Sens!$M$6801-Sens!$M$6807</f>
        <v>0</v>
      </c>
      <c r="N6810" s="39" t="n">
        <f aca="false">Sens!$N$6795+Sens!$N$6796+Sens!$N$6797+Sens!$N$6798+Sens!$N$6799+Sens!$N$6800+Sens!$N$6801-Sens!$N$6807</f>
        <v>0</v>
      </c>
      <c r="O6810" s="39" t="n">
        <f aca="false">Sens!$O$6795+Sens!$O$6796+Sens!$O$6797+Sens!$O$6798+Sens!$O$6799+Sens!$O$6800+Sens!$O$6801-Sens!$O$6807</f>
        <v>0</v>
      </c>
    </row>
    <row r="6811" customFormat="false" ht="17.15" hidden="false" customHeight="false" outlineLevel="0" collapsed="false">
      <c r="A6811" s="24" t="s">
        <v>658</v>
      </c>
      <c r="B6811" s="25" t="s">
        <v>73</v>
      </c>
      <c r="C6811" s="39" t="n">
        <f aca="false">Sens!$C$6802+Sens!$C$6803+Sens!$C$6804-Sens!$C$6807</f>
        <v>0</v>
      </c>
      <c r="D6811" s="39" t="n">
        <f aca="false">Sens!$D$6802+Sens!$D$6803+Sens!$D$6804-Sens!$D$6807</f>
        <v>0</v>
      </c>
      <c r="E6811" s="39" t="n">
        <f aca="false">Sens!$E$6802+Sens!$E$6803+Sens!$E$6804-Sens!$E$6807</f>
        <v>0</v>
      </c>
      <c r="F6811" s="39" t="n">
        <f aca="false">Sens!$F$6802+Sens!$F$6803+Sens!$F$6804-Sens!$F$6807</f>
        <v>0</v>
      </c>
      <c r="G6811" s="39" t="n">
        <f aca="false">Sens!$G$6802+Sens!$G$6803+Sens!$G$6804-Sens!$G$6807</f>
        <v>0</v>
      </c>
      <c r="H6811" s="39" t="n">
        <f aca="false">Sens!$H$6802+Sens!$H$6803+Sens!$H$6804-Sens!$H$6807</f>
        <v>0</v>
      </c>
      <c r="I6811" s="39" t="n">
        <f aca="false">Sens!$I$6802+Sens!$I$6803+Sens!$I$6804-Sens!$I$6807</f>
        <v>0</v>
      </c>
      <c r="J6811" s="39" t="n">
        <f aca="false">Sens!$J$6802+Sens!$J$6803+Sens!$J$6804-Sens!$J$6807</f>
        <v>0</v>
      </c>
      <c r="K6811" s="39" t="n">
        <f aca="false">Sens!$K$6802+Sens!$K$6803+Sens!$K$6804-Sens!$K$6807</f>
        <v>0</v>
      </c>
      <c r="L6811" s="39" t="n">
        <f aca="false">Sens!$L$6802+Sens!$L$6803+Sens!$L$6804-Sens!$L$6807</f>
        <v>0</v>
      </c>
      <c r="M6811" s="39" t="n">
        <f aca="false">Sens!$M$6802+Sens!$M$6803+Sens!$M$6804-Sens!$M$6807</f>
        <v>0</v>
      </c>
      <c r="N6811" s="39" t="n">
        <f aca="false">Sens!$N$6802+Sens!$N$6803+Sens!$N$6804-Sens!$N$6807</f>
        <v>0</v>
      </c>
      <c r="O6811" s="39" t="n">
        <f aca="false">Sens!$O$6802+Sens!$O$6803+Sens!$O$6804-Sens!$O$6807</f>
        <v>0</v>
      </c>
    </row>
    <row r="6812" customFormat="false" ht="17.15" hidden="false" customHeight="false" outlineLevel="0" collapsed="false">
      <c r="A6812" s="1" t="s">
        <v>672</v>
      </c>
    </row>
    <row r="6813" customFormat="false" ht="17.15" hidden="false" customHeight="false" outlineLevel="0" collapsed="false">
      <c r="A6813" s="0" t="s">
        <v>673</v>
      </c>
      <c r="B6813" s="0" t="s">
        <v>73</v>
      </c>
      <c r="C6813" s="38" t="n">
        <f aca="false">Sens!$C$6720*m_ad</f>
        <v>20.5341564414228</v>
      </c>
      <c r="D6813" s="38" t="n">
        <f aca="false">Sens!$D$6720*m_ad</f>
        <v>24.8720617299587</v>
      </c>
      <c r="E6813" s="38" t="n">
        <f aca="false">Sens!$E$6720*m_ad</f>
        <v>13.5017112462207</v>
      </c>
      <c r="F6813" s="38" t="n">
        <f aca="false">Sens!$F$6720*m_ad</f>
        <v>17.2886442824599</v>
      </c>
      <c r="G6813" s="38" t="n">
        <f aca="false">Sens!$G$6720*m_ad</f>
        <v>30.8011958765886</v>
      </c>
      <c r="H6813" s="38" t="n">
        <f aca="false">Sens!$H$6720*m_ad</f>
        <v>36.978409366026</v>
      </c>
      <c r="I6813" s="38" t="n">
        <f aca="false">Sens!$I$6720*m_ad</f>
        <v>43.155063281273</v>
      </c>
      <c r="J6813" s="38" t="n">
        <f aca="false">Sens!$J$6720*m_ad</f>
        <v>48.9169991988532</v>
      </c>
      <c r="K6813" s="38" t="n">
        <f aca="false">Sens!$K$6720*m_ad</f>
        <v>53.8086991187386</v>
      </c>
      <c r="L6813" s="38" t="n">
        <f aca="false">Sens!$L$6720*m_ad</f>
        <v>59.1895690306124</v>
      </c>
      <c r="M6813" s="38" t="n">
        <f aca="false">Sens!$M$6720*m_ad</f>
        <v>65.1085259336737</v>
      </c>
      <c r="N6813" s="38" t="n">
        <f aca="false">Sens!$N$6720*m_ad</f>
        <v>10.8543555706248</v>
      </c>
      <c r="O6813" s="38" t="n">
        <f aca="false">Sens!$O$6720*m_ad</f>
        <v>14.0094731821399</v>
      </c>
    </row>
    <row r="6814" customFormat="false" ht="17.15" hidden="false" customHeight="false" outlineLevel="0" collapsed="false">
      <c r="A6814" s="0" t="s">
        <v>674</v>
      </c>
      <c r="B6814" s="0" t="s">
        <v>73</v>
      </c>
      <c r="C6814" s="38" t="n">
        <f aca="false">Sens!$C$6718-Sens!$C$6720</f>
        <v>346.428687117154</v>
      </c>
      <c r="D6814" s="38" t="n">
        <f aca="false">Sens!$D$6718-Sens!$D$6720</f>
        <v>376.560876540083</v>
      </c>
      <c r="E6814" s="38" t="n">
        <f aca="false">Sens!$E$6718-Sens!$E$6720</f>
        <v>193.316577507559</v>
      </c>
      <c r="F6814" s="38" t="n">
        <f aca="false">Sens!$F$6718-Sens!$F$6720</f>
        <v>221.726726438887</v>
      </c>
      <c r="G6814" s="38" t="n">
        <f aca="false">Sens!$G$6718-Sens!$G$6720</f>
        <v>415.02162325063</v>
      </c>
      <c r="H6814" s="38" t="n">
        <f aca="false">Sens!$H$6718-Sens!$H$6720</f>
        <v>453.777572359491</v>
      </c>
      <c r="I6814" s="38" t="n">
        <f aca="false">Sens!$I$6718-Sens!$I$6720</f>
        <v>490.847566467031</v>
      </c>
      <c r="J6814" s="38" t="n">
        <f aca="false">Sens!$J$6718-Sens!$J$6720</f>
        <v>525.190925266121</v>
      </c>
      <c r="K6814" s="38" t="n">
        <f aca="false">Sens!$K$6718-Sens!$K$6720</f>
        <v>555.765170156304</v>
      </c>
      <c r="L6814" s="38" t="n">
        <f aca="false">Sens!$L$6718-Sens!$L$6720</f>
        <v>588.185734949207</v>
      </c>
      <c r="M6814" s="38" t="n">
        <f aca="false">Sens!$M$6718-Sens!$M$6720</f>
        <v>622.567635538672</v>
      </c>
      <c r="N6814" s="38" t="n">
        <f aca="false">Sens!$N$6718-Sens!$N$6720</f>
        <v>171.24628885875</v>
      </c>
      <c r="O6814" s="38" t="n">
        <f aca="false">Sens!$O$6718-Sens!$O$6720</f>
        <v>205.33105363572</v>
      </c>
    </row>
    <row r="6815" customFormat="false" ht="17.15" hidden="false" customHeight="false" outlineLevel="0" collapsed="false">
      <c r="A6815" s="0" t="s">
        <v>675</v>
      </c>
      <c r="B6815" s="0" t="s">
        <v>73</v>
      </c>
      <c r="C6815" s="38" t="n">
        <f aca="false">Sens!$C$6766*Sens!$C$6717</f>
        <v>0.123617442257179</v>
      </c>
      <c r="D6815" s="38" t="n">
        <f aca="false">Sens!$D$6766*Sens!$D$6717</f>
        <v>0.874366899302609</v>
      </c>
      <c r="E6815" s="38" t="n">
        <f aca="false">Sens!$E$6766*Sens!$E$6717</f>
        <v>1.29318830502574</v>
      </c>
      <c r="F6815" s="38" t="n">
        <f aca="false">Sens!$F$6766*Sens!$F$6717</f>
        <v>1.51802024162534</v>
      </c>
      <c r="G6815" s="38" t="n">
        <f aca="false">Sens!$G$6766*Sens!$G$6717</f>
        <v>2.81130189308167</v>
      </c>
      <c r="H6815" s="38" t="n">
        <f aca="false">Sens!$H$6766*Sens!$H$6717</f>
        <v>7.38966789318209</v>
      </c>
      <c r="I6815" s="38" t="n">
        <f aca="false">Sens!$I$6766*Sens!$I$6717</f>
        <v>12.8987443661473</v>
      </c>
      <c r="J6815" s="38" t="n">
        <f aca="false">Sens!$J$6766*Sens!$J$6717</f>
        <v>18.5570025453645</v>
      </c>
      <c r="K6815" s="38" t="n">
        <f aca="false">Sens!$K$6766*Sens!$K$6717</f>
        <v>24.3158972773405</v>
      </c>
      <c r="L6815" s="38" t="n">
        <f aca="false">Sens!$L$6766*Sens!$L$6717</f>
        <v>29.7827375558674</v>
      </c>
      <c r="M6815" s="38" t="n">
        <f aca="false">Sens!$M$6766*Sens!$M$6717</f>
        <v>35.3532344973194</v>
      </c>
      <c r="N6815" s="38" t="n">
        <f aca="false">Sens!$N$6766*Sens!$N$6717</f>
        <v>0.389180508437431</v>
      </c>
      <c r="O6815" s="38" t="n">
        <f aca="false">Sens!$O$6766*Sens!$O$6717</f>
        <v>0.485052120082802</v>
      </c>
    </row>
    <row r="6816" customFormat="false" ht="17.15" hidden="false" customHeight="false" outlineLevel="0" collapsed="false">
      <c r="A6816" s="0" t="s">
        <v>676</v>
      </c>
      <c r="B6816" s="0" t="s">
        <v>52</v>
      </c>
      <c r="C6816" s="28" t="n">
        <f aca="false">(Sens!$C$6817-Sens!$C$6813+Sens!$C$6815)/Sens!$C$6814</f>
        <v>0.0131526665379575</v>
      </c>
      <c r="D6816" s="28" t="n">
        <f aca="false">(Sens!$D$6817-Sens!$D$6813+Sens!$D$6815)/Sens!$D$6814</f>
        <v>0.0149280116962589</v>
      </c>
      <c r="E6816" s="28" t="n">
        <f aca="false">(Sens!$E$6817-Sens!$E$6813+Sens!$E$6815)/Sens!$E$6814</f>
        <v>0.0268030663774938</v>
      </c>
      <c r="F6816" s="28" t="n">
        <f aca="false">Sens!$O$6816+(Sens!$E$6816-Sens!$N$6816)</f>
        <v>0.0232379346966962</v>
      </c>
      <c r="G6816" s="28" t="n">
        <f aca="false">(Sens!$G$6817-Sens!$G$6813+Sens!$G$6815)/Sens!$G$6814</f>
        <v>0.0248738876928168</v>
      </c>
      <c r="H6816" s="28" t="n">
        <f aca="false">Sens!$G$6816+step_na</f>
        <v>0.0278738876928168</v>
      </c>
      <c r="I6816" s="28" t="n">
        <f aca="false">Sens!$H$6816+step_na</f>
        <v>0.0308738876928168</v>
      </c>
      <c r="J6816" s="28" t="n">
        <f aca="false">Sens!$I$6816+step_na</f>
        <v>0.0338738876928168</v>
      </c>
      <c r="K6816" s="28" t="n">
        <f aca="false">Sens!$J$6816+step_na</f>
        <v>0.0368738876928168</v>
      </c>
      <c r="L6816" s="28" t="n">
        <f aca="false">Sens!$K$6816</f>
        <v>0.0368738876928168</v>
      </c>
      <c r="M6816" s="28" t="n">
        <f aca="false">Sens!$L$6816</f>
        <v>0.0368738876928168</v>
      </c>
      <c r="N6816" s="28" t="n">
        <f aca="false">(Sens!$N$6817-Sens!$N$6813+Sens!$N$6815)/Sens!$N$6814</f>
        <v>0.0168927744775755</v>
      </c>
      <c r="O6816" s="28" t="n">
        <f aca="false">(Sens!$O$6817-Sens!$O$6813+Sens!$O$6815)/Sens!$O$6814</f>
        <v>0.0133276427967779</v>
      </c>
      <c r="P6816" s="8" t="s">
        <v>677</v>
      </c>
    </row>
    <row r="6817" customFormat="false" ht="17.15" hidden="false" customHeight="false" outlineLevel="0" collapsed="false">
      <c r="A6817" s="1" t="s">
        <v>678</v>
      </c>
      <c r="B6817" s="8" t="s">
        <v>73</v>
      </c>
      <c r="C6817" s="38" t="n">
        <f aca="false">Q!$D$22</f>
        <v>24.967</v>
      </c>
      <c r="D6817" s="38" t="n">
        <f aca="false">Q!$E$22</f>
        <v>29.619</v>
      </c>
      <c r="E6817" s="38" t="n">
        <f aca="false">Q!$P$22</f>
        <v>17.39</v>
      </c>
      <c r="F6817" s="38" t="n">
        <f aca="false">Sens!$F$6813+Sens!$F$6814*Sens!$F$6816-Sens!$F$6815</f>
        <v>20.9230952303336</v>
      </c>
      <c r="G6817" s="38" t="n">
        <f aca="false">Sens!$E$6817+Sens!$F$6817</f>
        <v>38.3130952303336</v>
      </c>
      <c r="H6817" s="38" t="n">
        <f aca="false">Sens!$H$6813+Sens!$H$6814*Sens!$H$6816-Sens!$H$6815</f>
        <v>42.2372865623114</v>
      </c>
      <c r="I6817" s="38" t="n">
        <f aca="false">Sens!$I$6813+Sens!$I$6814*Sens!$I$6816-Sens!$I$6815</f>
        <v>45.4106915565213</v>
      </c>
      <c r="J6817" s="38" t="n">
        <f aca="false">Sens!$J$6813+Sens!$J$6814*Sens!$J$6816-Sens!$J$6815</f>
        <v>48.1502550732398</v>
      </c>
      <c r="K6817" s="38" t="n">
        <f aca="false">Sens!$K$6813+Sens!$K$6814*Sens!$K$6816-Sens!$K$6815</f>
        <v>49.9860243093208</v>
      </c>
      <c r="L6817" s="38" t="n">
        <f aca="false">Sens!$L$6813+Sens!$L$6814*Sens!$L$6816-Sens!$L$6815</f>
        <v>51.095526207779</v>
      </c>
      <c r="M6817" s="38" t="n">
        <f aca="false">Sens!$M$6813+Sens!$M$6814*Sens!$M$6816-Sens!$M$6815</f>
        <v>52.7117805103898</v>
      </c>
      <c r="N6817" s="38" t="n">
        <f aca="false">Q!$N$22</f>
        <v>13.358</v>
      </c>
      <c r="O6817" s="38" t="n">
        <f aca="false">Q!$O$22</f>
        <v>16.261</v>
      </c>
    </row>
    <row r="6818" customFormat="false" ht="17.15" hidden="false" customHeight="false" outlineLevel="0" collapsed="false">
      <c r="A6818" s="0" t="s">
        <v>679</v>
      </c>
      <c r="B6818" s="0" t="s">
        <v>73</v>
      </c>
      <c r="C6818" s="38" t="n">
        <f aca="false">Sens!$C$6721*m_ad</f>
        <v>7.57284355857716</v>
      </c>
      <c r="D6818" s="38" t="n">
        <f aca="false">Sens!$D$6721*m_ad</f>
        <v>9.44543827004127</v>
      </c>
      <c r="E6818" s="38" t="n">
        <f aca="false">Sens!$E$6721*m_ad</f>
        <v>5.02428875377928</v>
      </c>
      <c r="F6818" s="38" t="n">
        <f aca="false">Sens!$F$6721*m_ad</f>
        <v>6.78802480890925</v>
      </c>
      <c r="G6818" s="38" t="n">
        <f aca="false">Sens!$G$6721*m_ad</f>
        <v>11.8014732147805</v>
      </c>
      <c r="H6818" s="38" t="n">
        <f aca="false">Sens!$H$6721*m_ad</f>
        <v>14.1682715634442</v>
      </c>
      <c r="I6818" s="38" t="n">
        <f aca="false">Sens!$I$6721*m_ad</f>
        <v>16.5348555113474</v>
      </c>
      <c r="J6818" s="38" t="n">
        <f aca="false">Sens!$J$6721*m_ad</f>
        <v>18.7425403255689</v>
      </c>
      <c r="K6818" s="38" t="n">
        <f aca="false">Sens!$K$6721*m_ad</f>
        <v>20.6167943581258</v>
      </c>
      <c r="L6818" s="38" t="n">
        <f aca="false">Sens!$L$6721*m_ad</f>
        <v>22.6784737939383</v>
      </c>
      <c r="M6818" s="38" t="n">
        <f aca="false">Sens!$M$6721*m_ad</f>
        <v>24.9463211733322</v>
      </c>
      <c r="N6818" s="38" t="n">
        <f aca="false">Sens!$N$6721*m_ad</f>
        <v>3.95314442937518</v>
      </c>
      <c r="O6818" s="38" t="n">
        <f aca="false">Sens!$O$6721*m_ad</f>
        <v>5.50052681786011</v>
      </c>
    </row>
    <row r="6819" customFormat="false" ht="17.15" hidden="false" customHeight="false" outlineLevel="0" collapsed="false">
      <c r="A6819" s="0" t="s">
        <v>680</v>
      </c>
      <c r="B6819" s="0" t="s">
        <v>73</v>
      </c>
      <c r="C6819" s="38" t="n">
        <f aca="false">Sens!$C$6719-Sens!$C$6721</f>
        <v>127.760312882846</v>
      </c>
      <c r="D6819" s="38" t="n">
        <f aca="false">Sens!$D$6719-Sens!$D$6721</f>
        <v>143.003123459917</v>
      </c>
      <c r="E6819" s="38" t="n">
        <f aca="false">Sens!$E$6719-Sens!$E$6721</f>
        <v>71.9374224924414</v>
      </c>
      <c r="F6819" s="38" t="n">
        <f aca="false">Sens!$F$6719-Sens!$F$6721</f>
        <v>87.0563645868046</v>
      </c>
      <c r="G6819" s="38" t="n">
        <f aca="false">Sens!$G$6719-Sens!$G$6721</f>
        <v>159.015467775062</v>
      </c>
      <c r="H6819" s="38" t="n">
        <f aca="false">Sens!$H$6719-Sens!$H$6721</f>
        <v>173.864803403269</v>
      </c>
      <c r="I6819" s="38" t="n">
        <f aca="false">Sens!$I$6719-Sens!$I$6721</f>
        <v>188.068165645601</v>
      </c>
      <c r="J6819" s="38" t="n">
        <f aca="false">Sens!$J$6719-Sens!$J$6721</f>
        <v>201.22681801082</v>
      </c>
      <c r="K6819" s="38" t="n">
        <f aca="false">Sens!$K$6719-Sens!$K$6721</f>
        <v>212.941334991893</v>
      </c>
      <c r="L6819" s="38" t="n">
        <f aca="false">Sens!$L$6719-Sens!$L$6721</f>
        <v>225.363269144856</v>
      </c>
      <c r="M6819" s="38" t="n">
        <f aca="false">Sens!$M$6719-Sens!$M$6721</f>
        <v>238.536688790819</v>
      </c>
      <c r="N6819" s="38" t="n">
        <f aca="false">Sens!$N$6719-Sens!$N$6721</f>
        <v>62.3677111412496</v>
      </c>
      <c r="O6819" s="38" t="n">
        <f aca="false">Sens!$O$6719-Sens!$O$6721</f>
        <v>80.6189463642798</v>
      </c>
    </row>
    <row r="6820" customFormat="false" ht="17.15" hidden="false" customHeight="false" outlineLevel="0" collapsed="false">
      <c r="A6820" s="0" t="s">
        <v>681</v>
      </c>
      <c r="B6820" s="0" t="s">
        <v>73</v>
      </c>
      <c r="C6820" s="38" t="n">
        <f aca="false">Sens!$C$6766*(1-Sens!$C$6717)</f>
        <v>0.0455891896019953</v>
      </c>
      <c r="D6820" s="38" t="n">
        <f aca="false">Sens!$D$6766*(1-Sens!$D$6717)</f>
        <v>0.332050421167231</v>
      </c>
      <c r="E6820" s="38" t="n">
        <f aca="false">Sens!$E$6766*(1-Sens!$E$6717)</f>
        <v>0.481224293644882</v>
      </c>
      <c r="F6820" s="38" t="n">
        <f aca="false">Sens!$F$6766*(1-Sens!$F$6717)</f>
        <v>0.596018918096053</v>
      </c>
      <c r="G6820" s="38" t="n">
        <f aca="false">Sens!$G$6766*(1-Sens!$G$6717)</f>
        <v>1.07714986531035</v>
      </c>
      <c r="H6820" s="38" t="n">
        <f aca="false">Sens!$H$6766*(1-Sens!$H$6717)</f>
        <v>2.83135005721638</v>
      </c>
      <c r="I6820" s="38" t="n">
        <f aca="false">Sens!$I$6766*(1-Sens!$I$6717)</f>
        <v>4.9421518161602</v>
      </c>
      <c r="J6820" s="38" t="n">
        <f aca="false">Sens!$J$6766*(1-Sens!$J$6717)</f>
        <v>7.11011252170866</v>
      </c>
      <c r="K6820" s="38" t="n">
        <f aca="false">Sens!$K$6766*(1-Sens!$K$6717)</f>
        <v>9.31663210615807</v>
      </c>
      <c r="L6820" s="38" t="n">
        <f aca="false">Sens!$L$6766*(1-Sens!$L$6717)</f>
        <v>11.411251074039</v>
      </c>
      <c r="M6820" s="38" t="n">
        <f aca="false">Sens!$M$6766*(1-Sens!$M$6717)</f>
        <v>13.5455860755423</v>
      </c>
      <c r="N6820" s="38" t="n">
        <f aca="false">Sens!$N$6766*(1-Sens!$N$6717)</f>
        <v>0.141739115596548</v>
      </c>
      <c r="O6820" s="38" t="n">
        <f aca="false">Sens!$O$6766*(1-Sens!$O$6717)</f>
        <v>0.190445576353059</v>
      </c>
    </row>
    <row r="6821" customFormat="false" ht="17.15" hidden="false" customHeight="false" outlineLevel="0" collapsed="false">
      <c r="A6821" s="0" t="s">
        <v>682</v>
      </c>
      <c r="B6821" s="0" t="s">
        <v>52</v>
      </c>
      <c r="C6821" s="28" t="n">
        <f aca="false">(Sens!$C$6822-Sens!$C$6818+Sens!$C$6820)/Sens!$C$6819</f>
        <v>-0.0292364215826579</v>
      </c>
      <c r="D6821" s="28" t="n">
        <f aca="false">(Sens!$D$6822-Sens!$D$6818+Sens!$D$6820)/Sens!$D$6819</f>
        <v>-0.0305125352740778</v>
      </c>
      <c r="E6821" s="28" t="n">
        <f aca="false">(Sens!$E$6822-Sens!$E$6818+Sens!$E$6820)/Sens!$E$6819</f>
        <v>-0.019490056934994</v>
      </c>
      <c r="F6821" s="28" t="n">
        <f aca="false">Sens!$O$6821+(Sens!$E$6821-Sens!$N$6821)</f>
        <v>-0.0367332293992226</v>
      </c>
      <c r="G6821" s="28" t="n">
        <f aca="false">(Sens!$G$6822-Sens!$G$6818+Sens!$G$6820)/Sens!$G$6819</f>
        <v>-0.0288599526442178</v>
      </c>
      <c r="H6821" s="28" t="n">
        <f aca="false">Sens!$G$6821+step_in</f>
        <v>-0.0288599526442178</v>
      </c>
      <c r="I6821" s="28" t="n">
        <f aca="false">Sens!$H$6821+step_in</f>
        <v>-0.0288599526442178</v>
      </c>
      <c r="J6821" s="28" t="n">
        <f aca="false">Sens!$I$6821+step_in</f>
        <v>-0.0288599526442178</v>
      </c>
      <c r="K6821" s="28" t="n">
        <f aca="false">Sens!$J$6821+step_in</f>
        <v>-0.0288599526442178</v>
      </c>
      <c r="L6821" s="28" t="n">
        <f aca="false">Sens!$K$6821</f>
        <v>-0.0288599526442178</v>
      </c>
      <c r="M6821" s="28" t="n">
        <f aca="false">Sens!$L$6821</f>
        <v>-0.0288599526442178</v>
      </c>
      <c r="N6821" s="28" t="n">
        <f aca="false">(Sens!$N$6822-Sens!$N$6818+Sens!$N$6820)/Sens!$N$6819</f>
        <v>-0.02085061789158</v>
      </c>
      <c r="O6821" s="28" t="n">
        <f aca="false">(Sens!$O$6822-Sens!$O$6818+Sens!$O$6820)/Sens!$O$6819</f>
        <v>-0.0380937903558086</v>
      </c>
      <c r="P6821" s="8" t="s">
        <v>677</v>
      </c>
    </row>
    <row r="6822" customFormat="false" ht="17.15" hidden="false" customHeight="false" outlineLevel="0" collapsed="false">
      <c r="A6822" s="1" t="s">
        <v>683</v>
      </c>
      <c r="B6822" s="8" t="s">
        <v>73</v>
      </c>
      <c r="C6822" s="38" t="n">
        <f aca="false">Q!$D$23</f>
        <v>3.792</v>
      </c>
      <c r="D6822" s="38" t="n">
        <f aca="false">Q!$E$23</f>
        <v>4.75</v>
      </c>
      <c r="E6822" s="38" t="n">
        <f aca="false">Q!$P$23</f>
        <v>3.141</v>
      </c>
      <c r="F6822" s="38" t="n">
        <f aca="false">Sens!$F$6818+Sens!$F$6819*Sens!$F$6821-Sens!$F$6820</f>
        <v>2.99414447978375</v>
      </c>
      <c r="G6822" s="38" t="n">
        <f aca="false">Sens!$E$6822+Sens!$F$6822</f>
        <v>6.13514447978375</v>
      </c>
      <c r="H6822" s="38" t="n">
        <f aca="false">Sens!$H$6818+Sens!$H$6819*Sens!$H$6821-Sens!$H$6820</f>
        <v>6.31919151351322</v>
      </c>
      <c r="I6822" s="38" t="n">
        <f aca="false">Sens!$I$6818+Sens!$I$6819*Sens!$I$6821-Sens!$I$6820</f>
        <v>6.16506534077027</v>
      </c>
      <c r="J6822" s="38" t="n">
        <f aca="false">Sens!$J$6818+Sens!$J$6819*Sens!$J$6821-Sens!$J$6820</f>
        <v>5.8250313653213</v>
      </c>
      <c r="K6822" s="38" t="n">
        <f aca="false">Sens!$K$6818+Sens!$K$6819*Sens!$K$6821-Sens!$K$6820</f>
        <v>5.15468540810514</v>
      </c>
      <c r="L6822" s="38" t="n">
        <f aca="false">Sens!$L$6818+Sens!$L$6819*Sens!$L$6821-Sens!$L$6820</f>
        <v>4.76324944463266</v>
      </c>
      <c r="M6822" s="38" t="n">
        <f aca="false">Sens!$M$6818+Sens!$M$6819*Sens!$M$6821-Sens!$M$6820</f>
        <v>4.51657755537829</v>
      </c>
      <c r="N6822" s="38" t="n">
        <f aca="false">Q!$N$23</f>
        <v>2.511</v>
      </c>
      <c r="O6822" s="38" t="n">
        <f aca="false">Q!$O$23</f>
        <v>2.239</v>
      </c>
    </row>
    <row r="6823" customFormat="false" ht="17.15" hidden="false" customHeight="false" outlineLevel="0" collapsed="false">
      <c r="A6823" s="0" t="s">
        <v>684</v>
      </c>
      <c r="B6823" s="0" t="s">
        <v>73</v>
      </c>
      <c r="C6823" s="38" t="n">
        <f aca="false">Sens!$C$6763</f>
        <v>1.64417882953695</v>
      </c>
      <c r="D6823" s="38" t="n">
        <f aca="false">Sens!$D$6763</f>
        <v>3.8781008067718</v>
      </c>
      <c r="E6823" s="38" t="n">
        <f aca="false">Sens!$E$6763</f>
        <v>1.41270258088753</v>
      </c>
      <c r="F6823" s="38" t="n">
        <f aca="false">Sens!$F$6763</f>
        <v>6.50727700583486</v>
      </c>
      <c r="G6823" s="38" t="n">
        <f aca="false">Sens!$G$6763</f>
        <v>7.9199795867224</v>
      </c>
      <c r="H6823" s="38" t="n">
        <f aca="false">Sens!$H$6763</f>
        <v>19.2818189481807</v>
      </c>
      <c r="I6823" s="38" t="n">
        <f aca="false">Sens!$I$6763</f>
        <v>30.140114407202</v>
      </c>
      <c r="J6823" s="38" t="n">
        <f aca="false">Sens!$J$6763</f>
        <v>40.3569468829854</v>
      </c>
      <c r="K6823" s="38" t="n">
        <f aca="false">Sens!$K$6763</f>
        <v>50.0782975081929</v>
      </c>
      <c r="L6823" s="38" t="n">
        <f aca="false">Sens!$L$6763</f>
        <v>61.443331993499</v>
      </c>
      <c r="M6823" s="38" t="n">
        <f aca="false">Sens!$M$6763</f>
        <v>72.2498791587849</v>
      </c>
      <c r="N6823" s="38" t="n">
        <f aca="false">Sens!$N$6763</f>
        <v>0.92264103489199</v>
      </c>
      <c r="O6823" s="38" t="n">
        <f aca="false">Sens!$O$6763</f>
        <v>2.95545977187981</v>
      </c>
    </row>
    <row r="6824" customFormat="false" ht="17.15" hidden="false" customHeight="false" outlineLevel="0" collapsed="false">
      <c r="A6824" s="0" t="s">
        <v>604</v>
      </c>
      <c r="B6824" s="0" t="s">
        <v>73</v>
      </c>
      <c r="C6824" s="38" t="n">
        <f aca="false">Sens!$C$6768</f>
        <v>38.1898211704631</v>
      </c>
      <c r="D6824" s="38" t="n">
        <f aca="false">Sens!$D$6768</f>
        <v>41.7278991932282</v>
      </c>
      <c r="E6824" s="38" t="n">
        <f aca="false">Sens!$E$6768</f>
        <v>29.3692974191125</v>
      </c>
      <c r="F6824" s="38" t="n">
        <f aca="false">Sens!$F$6768</f>
        <v>29.458060516894</v>
      </c>
      <c r="G6824" s="38" t="n">
        <f aca="false">Sens!$G$6768</f>
        <v>58.8273579360065</v>
      </c>
      <c r="H6824" s="38" t="n">
        <f aca="false">Sens!$H$6768</f>
        <v>67.8004040185081</v>
      </c>
      <c r="I6824" s="38" t="n">
        <f aca="false">Sens!$I$6768</f>
        <v>78.9527630302702</v>
      </c>
      <c r="J6824" s="38" t="n">
        <f aca="false">Sens!$J$6768</f>
        <v>88.6042681781841</v>
      </c>
      <c r="K6824" s="38" t="n">
        <f aca="false">Sens!$K$6768</f>
        <v>95.6926096324389</v>
      </c>
      <c r="L6824" s="38" t="n">
        <f aca="false">Sens!$L$6768</f>
        <v>103.348018403034</v>
      </c>
      <c r="M6824" s="38" t="n">
        <f aca="false">Sens!$M$6768</f>
        <v>111.615859875277</v>
      </c>
      <c r="N6824" s="38" t="n">
        <f aca="false">Sens!$N$6768</f>
        <v>20.784358965108</v>
      </c>
      <c r="O6824" s="38" t="n">
        <f aca="false">Sens!$O$6768</f>
        <v>20.9435402281202</v>
      </c>
    </row>
    <row r="6825" customFormat="false" ht="17.15" hidden="false" customHeight="false" outlineLevel="0" collapsed="false">
      <c r="A6825" s="1" t="s">
        <v>685</v>
      </c>
      <c r="B6825" s="8" t="s">
        <v>73</v>
      </c>
      <c r="C6825" s="38" t="n">
        <f aca="false">Q!$D$24</f>
        <v>39.834</v>
      </c>
      <c r="D6825" s="38" t="n">
        <f aca="false">Q!$E$24</f>
        <v>45.606</v>
      </c>
      <c r="E6825" s="38" t="n">
        <f aca="false">Q!$P$24</f>
        <v>30.782</v>
      </c>
      <c r="F6825" s="38" t="n">
        <f aca="false">Sens!$F$6823+Sens!$F$6824</f>
        <v>35.9653375227289</v>
      </c>
      <c r="G6825" s="38" t="n">
        <f aca="false">Sens!$G$6823+Sens!$G$6824</f>
        <v>66.7473375227289</v>
      </c>
      <c r="H6825" s="38" t="n">
        <f aca="false">Sens!$H$6823+Sens!$H$6824</f>
        <v>87.0822229666888</v>
      </c>
      <c r="I6825" s="38" t="n">
        <f aca="false">Sens!$I$6823+Sens!$I$6824</f>
        <v>109.092877437472</v>
      </c>
      <c r="J6825" s="38" t="n">
        <f aca="false">Sens!$J$6823+Sens!$J$6824</f>
        <v>128.96121506117</v>
      </c>
      <c r="K6825" s="38" t="n">
        <f aca="false">Sens!$K$6823+Sens!$K$6824</f>
        <v>145.770907140632</v>
      </c>
      <c r="L6825" s="38" t="n">
        <f aca="false">Sens!$L$6823+Sens!$L$6824</f>
        <v>164.791350396533</v>
      </c>
      <c r="M6825" s="38" t="n">
        <f aca="false">Sens!$M$6823+Sens!$M$6824</f>
        <v>183.865739034062</v>
      </c>
      <c r="N6825" s="38" t="n">
        <f aca="false">Q!$N$24</f>
        <v>21.707</v>
      </c>
      <c r="O6825" s="38" t="n">
        <f aca="false">Q!$O$24</f>
        <v>23.899</v>
      </c>
    </row>
    <row r="6826" customFormat="false" ht="17.15" hidden="false" customHeight="false" outlineLevel="0" collapsed="false">
      <c r="A6826" s="5" t="s">
        <v>686</v>
      </c>
      <c r="B6826" s="0" t="s">
        <v>73</v>
      </c>
      <c r="C6826" s="38" t="n">
        <f aca="false">Q!$D$26</f>
        <v>0</v>
      </c>
      <c r="D6826" s="38" t="n">
        <f aca="false">Q!$E$26</f>
        <v>0</v>
      </c>
      <c r="E6826" s="38" t="n">
        <f aca="false">Q!$P$26</f>
        <v>0</v>
      </c>
      <c r="F6826" s="41" t="n">
        <v>0</v>
      </c>
      <c r="G6826" s="38" t="n">
        <f aca="false">Sens!$E$6826+Sens!$F$6826</f>
        <v>0</v>
      </c>
      <c r="H6826" s="41" t="n">
        <v>0</v>
      </c>
      <c r="I6826" s="41" t="n">
        <v>0</v>
      </c>
      <c r="J6826" s="41" t="n">
        <v>0</v>
      </c>
      <c r="K6826" s="41" t="n">
        <v>0</v>
      </c>
      <c r="L6826" s="41" t="n">
        <v>0</v>
      </c>
      <c r="M6826" s="41" t="n">
        <v>0</v>
      </c>
      <c r="N6826" s="38" t="n">
        <f aca="false">Q!$N$26</f>
        <v>0</v>
      </c>
      <c r="O6826" s="38" t="n">
        <f aca="false">Q!$O$26</f>
        <v>0</v>
      </c>
    </row>
    <row r="6827" customFormat="false" ht="15" hidden="false" customHeight="false" outlineLevel="0" collapsed="false">
      <c r="A6827" s="3" t="s">
        <v>494</v>
      </c>
      <c r="B6827" s="8" t="s">
        <v>73</v>
      </c>
      <c r="C6827" s="38" t="n">
        <f aca="false">Q!$D$25</f>
        <v>68.593</v>
      </c>
      <c r="D6827" s="38" t="n">
        <f aca="false">Q!$E$25</f>
        <v>79.975</v>
      </c>
      <c r="E6827" s="38" t="n">
        <f aca="false">Q!$P$25</f>
        <v>51.313</v>
      </c>
      <c r="F6827" s="38" t="n">
        <f aca="false">Sens!$F$6817+Sens!$F$6822+Sens!$F$6825+Sens!$F$6826</f>
        <v>59.8825772328462</v>
      </c>
      <c r="G6827" s="38" t="n">
        <f aca="false">Sens!$G$6817+Sens!$G$6822+Sens!$G$6825+Sens!$G$6826</f>
        <v>111.195577232846</v>
      </c>
      <c r="H6827" s="38" t="n">
        <f aca="false">Sens!$H$6817+Sens!$H$6822+Sens!$H$6825+Sens!$H$6826</f>
        <v>135.638701042513</v>
      </c>
      <c r="I6827" s="38" t="n">
        <f aca="false">Sens!$I$6817+Sens!$I$6822+Sens!$I$6825+Sens!$I$6826</f>
        <v>160.668634334764</v>
      </c>
      <c r="J6827" s="38" t="n">
        <f aca="false">Sens!$J$6817+Sens!$J$6822+Sens!$J$6825+Sens!$J$6826</f>
        <v>182.936501499731</v>
      </c>
      <c r="K6827" s="38" t="n">
        <f aca="false">Sens!$K$6817+Sens!$K$6822+Sens!$K$6825+Sens!$K$6826</f>
        <v>200.911616858058</v>
      </c>
      <c r="L6827" s="38" t="n">
        <f aca="false">Sens!$L$6817+Sens!$L$6822+Sens!$L$6825+Sens!$L$6826</f>
        <v>220.650126048945</v>
      </c>
      <c r="M6827" s="38" t="n">
        <f aca="false">Sens!$M$6817+Sens!$M$6822+Sens!$M$6825+Sens!$M$6826</f>
        <v>241.09409709983</v>
      </c>
      <c r="N6827" s="38" t="n">
        <f aca="false">Q!$N$25</f>
        <v>37.576</v>
      </c>
      <c r="O6827" s="38" t="n">
        <f aca="false">Q!$O$25</f>
        <v>42.399</v>
      </c>
    </row>
    <row r="6828" customFormat="false" ht="17.15" hidden="false" customHeight="false" outlineLevel="0" collapsed="false">
      <c r="A6828" s="24" t="s">
        <v>712</v>
      </c>
      <c r="B6828" s="25" t="s">
        <v>73</v>
      </c>
      <c r="C6828" s="39" t="n">
        <f aca="false">Sens!$C$6817+Sens!$C$6822+Sens!$C$6825+Sens!$C$6826-Sens!$C$6827</f>
        <v>0</v>
      </c>
      <c r="D6828" s="39" t="n">
        <f aca="false">Sens!$D$6817+Sens!$D$6822+Sens!$D$6825+Sens!$D$6826-Sens!$D$6827</f>
        <v>0</v>
      </c>
      <c r="E6828" s="39" t="n">
        <f aca="false">Sens!$E$6817+Sens!$E$6822+Sens!$E$6825+Sens!$E$6826-Sens!$E$6827</f>
        <v>0</v>
      </c>
      <c r="F6828" s="39" t="n">
        <f aca="false">Sens!$F$6817+Sens!$F$6822+Sens!$F$6825+Sens!$F$6826-Sens!$F$6827</f>
        <v>0</v>
      </c>
      <c r="G6828" s="39" t="n">
        <f aca="false">Sens!$G$6817+Sens!$G$6822+Sens!$G$6825+Sens!$G$6826-Sens!$G$6827</f>
        <v>0</v>
      </c>
      <c r="H6828" s="39" t="n">
        <f aca="false">Sens!$H$6817+Sens!$H$6822+Sens!$H$6825+Sens!$H$6826-Sens!$H$6827</f>
        <v>0</v>
      </c>
      <c r="I6828" s="39" t="n">
        <f aca="false">Sens!$I$6817+Sens!$I$6822+Sens!$I$6825+Sens!$I$6826-Sens!$I$6827</f>
        <v>0</v>
      </c>
      <c r="J6828" s="39" t="n">
        <f aca="false">Sens!$J$6817+Sens!$J$6822+Sens!$J$6825+Sens!$J$6826-Sens!$J$6827</f>
        <v>0</v>
      </c>
      <c r="K6828" s="39" t="n">
        <f aca="false">Sens!$K$6817+Sens!$K$6822+Sens!$K$6825+Sens!$K$6826-Sens!$K$6827</f>
        <v>0</v>
      </c>
      <c r="L6828" s="39" t="n">
        <f aca="false">Sens!$L$6817+Sens!$L$6822+Sens!$L$6825+Sens!$L$6826-Sens!$L$6827</f>
        <v>0</v>
      </c>
      <c r="M6828" s="39" t="n">
        <f aca="false">Sens!$M$6817+Sens!$M$6822+Sens!$M$6825+Sens!$M$6826-Sens!$M$6827</f>
        <v>0</v>
      </c>
      <c r="N6828" s="39" t="n">
        <f aca="false">Sens!$N$6817+Sens!$N$6822+Sens!$N$6825+Sens!$N$6826-Sens!$N$6827</f>
        <v>0</v>
      </c>
      <c r="O6828" s="39" t="n">
        <f aca="false">Sens!$O$6817+Sens!$O$6822+Sens!$O$6825+Sens!$O$6826-Sens!$O$6827</f>
        <v>0</v>
      </c>
    </row>
    <row r="6829" customFormat="false" ht="17.15" hidden="false" customHeight="false" outlineLevel="0" collapsed="false">
      <c r="A6829" s="0" t="s">
        <v>688</v>
      </c>
      <c r="B6829" s="0" t="s">
        <v>52</v>
      </c>
      <c r="C6829" s="12" t="n">
        <f aca="false">Sens!$C$6817/Sens!$C$6802</f>
        <v>0.0644314665661928</v>
      </c>
      <c r="D6829" s="12" t="n">
        <f aca="false">Sens!$D$6817/Sens!$D$6802</f>
        <v>0.0694784250712518</v>
      </c>
      <c r="E6829" s="12" t="n">
        <f aca="false">Sens!$E$6817/Sens!$E$6802</f>
        <v>0.0789306463326071</v>
      </c>
      <c r="F6829" s="12" t="n">
        <f aca="false">Sens!$F$6817/Sens!$F$6802</f>
        <v>0.0816338957078875</v>
      </c>
      <c r="G6829" s="12" t="n">
        <f aca="false">Sens!$G$6817/Sens!$G$6802</f>
        <v>0.080384315570057</v>
      </c>
      <c r="H6829" s="12" t="n">
        <f aca="false">Sens!$H$6817/Sens!$H$6802</f>
        <v>0.080035122355679</v>
      </c>
      <c r="I6829" s="12" t="n">
        <f aca="false">Sens!$I$6817/Sens!$I$6802</f>
        <v>0.0786798687862144</v>
      </c>
      <c r="J6829" s="12" t="n">
        <f aca="false">Sens!$J$6817/Sens!$J$6802</f>
        <v>0.0772846370095153</v>
      </c>
      <c r="K6829" s="12" t="n">
        <f aca="false">Sens!$K$6817/Sens!$K$6802</f>
        <v>0.0753502227686655</v>
      </c>
      <c r="L6829" s="12" t="n">
        <f aca="false">Sens!$L$6817/Sens!$L$6802</f>
        <v>0.0723154067793922</v>
      </c>
      <c r="M6829" s="12" t="n">
        <f aca="false">Sens!$M$6817/Sens!$M$6802</f>
        <v>0.070022386735876</v>
      </c>
      <c r="N6829" s="12" t="n">
        <f aca="false">Sens!$N$6817/Sens!$N$6802</f>
        <v>0.069228576611127</v>
      </c>
      <c r="O6829" s="12" t="n">
        <f aca="false">Sens!$O$6817/Sens!$O$6802</f>
        <v>0.069685022498393</v>
      </c>
    </row>
    <row r="6830" customFormat="false" ht="17.15" hidden="false" customHeight="false" outlineLevel="0" collapsed="false">
      <c r="A6830" s="0" t="s">
        <v>689</v>
      </c>
      <c r="B6830" s="0" t="s">
        <v>52</v>
      </c>
      <c r="C6830" s="12" t="n">
        <f aca="false">Sens!$C$6822/Sens!$C$6803</f>
        <v>0.026534925055631</v>
      </c>
      <c r="D6830" s="12" t="n">
        <f aca="false">Sens!$D$6822/Sens!$D$6803</f>
        <v>0.0293401855535103</v>
      </c>
      <c r="E6830" s="12" t="n">
        <f aca="false">Sens!$E$6822/Sens!$E$6803</f>
        <v>0.03831141902276</v>
      </c>
      <c r="F6830" s="12" t="n">
        <f aca="false">Sens!$F$6822/Sens!$F$6803</f>
        <v>0.0297532808235678</v>
      </c>
      <c r="G6830" s="12" t="n">
        <f aca="false">Sens!$G$6822/Sens!$G$6803</f>
        <v>0.0335954317997163</v>
      </c>
      <c r="H6830" s="12" t="n">
        <f aca="false">Sens!$H$6822/Sens!$H$6803</f>
        <v>0.0312519754292078</v>
      </c>
      <c r="I6830" s="12" t="n">
        <f aca="false">Sens!$I$6822/Sens!$I$6803</f>
        <v>0.0278788303191397</v>
      </c>
      <c r="J6830" s="12" t="n">
        <f aca="false">Sens!$J$6822/Sens!$J$6803</f>
        <v>0.0244019313573061</v>
      </c>
      <c r="K6830" s="12" t="n">
        <f aca="false">Sens!$K$6822/Sens!$K$6803</f>
        <v>0.020280070641524</v>
      </c>
      <c r="L6830" s="12" t="n">
        <f aca="false">Sens!$L$6822/Sens!$L$6803</f>
        <v>0.0175947312030086</v>
      </c>
      <c r="M6830" s="12" t="n">
        <f aca="false">Sens!$M$6822/Sens!$M$6803</f>
        <v>0.0156592172424565</v>
      </c>
      <c r="N6830" s="12" t="n">
        <f aca="false">Sens!$N$6822/Sens!$N$6803</f>
        <v>0.0357315650169337</v>
      </c>
      <c r="O6830" s="12" t="n">
        <f aca="false">Sens!$O$6822/Sens!$O$6803</f>
        <v>0.0244378956559703</v>
      </c>
    </row>
    <row r="6831" customFormat="false" ht="17.15" hidden="false" customHeight="false" outlineLevel="0" collapsed="false">
      <c r="A6831" s="13" t="s">
        <v>690</v>
      </c>
      <c r="B6831" s="13" t="s">
        <v>52</v>
      </c>
      <c r="C6831" s="16" t="n">
        <f aca="false">Sens!$C$6825/Sens!$C$6804</f>
        <v>0.370355907620217</v>
      </c>
      <c r="D6831" s="16" t="n">
        <f aca="false">Sens!$D$6825/Sens!$D$6804</f>
        <v>0.35429015342785</v>
      </c>
      <c r="E6831" s="16" t="n">
        <f aca="false">Sens!$E$6825/Sens!$E$6804</f>
        <v>0.385647527531039</v>
      </c>
      <c r="F6831" s="16" t="n">
        <f aca="false">Sens!$F$6825/Sens!$F$6804</f>
        <v>0.384415729470259</v>
      </c>
      <c r="G6831" s="16" t="n">
        <f aca="false">Sens!$G$6825/Sens!$G$6804</f>
        <v>0.38498282105443</v>
      </c>
      <c r="H6831" s="16" t="n">
        <f aca="false">Sens!$H$6825/Sens!$H$6804</f>
        <v>0.361247909668527</v>
      </c>
      <c r="I6831" s="16" t="n">
        <f aca="false">Sens!$I$6825/Sens!$I$6804</f>
        <v>0.349486287974975</v>
      </c>
      <c r="J6831" s="16" t="n">
        <f aca="false">Sens!$J$6825/Sens!$J$6804</f>
        <v>0.339886531832068</v>
      </c>
      <c r="K6831" s="16" t="n">
        <f aca="false">Sens!$K$6825/Sens!$K$6804</f>
        <v>0.33135833762061</v>
      </c>
      <c r="L6831" s="16" t="n">
        <f aca="false">Sens!$L$6825/Sens!$L$6804</f>
        <v>0.328299068185284</v>
      </c>
      <c r="M6831" s="16" t="n">
        <f aca="false">Sens!$M$6825/Sens!$M$6804</f>
        <v>0.325058049465166</v>
      </c>
      <c r="N6831" s="16" t="n">
        <f aca="false">Sens!$N$6825/Sens!$N$6804</f>
        <v>0.360941137346192</v>
      </c>
      <c r="O6831" s="16" t="n">
        <f aca="false">Sens!$O$6825/Sens!$O$6804</f>
        <v>0.348458117664212</v>
      </c>
    </row>
    <row r="6832" customFormat="false" ht="17.15" hidden="false" customHeight="false" outlineLevel="0" collapsed="false">
      <c r="A6832" s="0" t="s">
        <v>691</v>
      </c>
      <c r="B6832" s="0" t="s">
        <v>52</v>
      </c>
      <c r="C6832" s="12" t="n">
        <f aca="false">Sens!$C$6823/Sens!$C$6805</f>
        <v>0.708390794789371</v>
      </c>
      <c r="D6832" s="12" t="n">
        <f aca="false">Sens!$D$6823/Sens!$D$6805</f>
        <v>0.445565630441968</v>
      </c>
      <c r="E6832" s="12" t="n">
        <f aca="false">Sens!$E$6823/Sens!$E$6805</f>
        <v>0.165998118402711</v>
      </c>
      <c r="F6832" s="12" t="n">
        <f aca="false">Sens!$F$6823/Sens!$F$6805</f>
        <v>0.434878595403858</v>
      </c>
      <c r="G6832" s="12" t="n">
        <f aca="false">Sens!$G$6823/Sens!$G$6805</f>
        <v>0.3373967615381</v>
      </c>
      <c r="H6832" s="12" t="n">
        <f aca="false">Sens!$H$6823/Sens!$H$6805</f>
        <v>0.320477578041224</v>
      </c>
      <c r="I6832" s="12" t="n">
        <f aca="false">Sens!$I$6823/Sens!$I$6805</f>
        <v>0.296936118226494</v>
      </c>
      <c r="J6832" s="12" t="n">
        <f aca="false">Sens!$J$6823/Sens!$J$6805</f>
        <v>0.282166278613001</v>
      </c>
      <c r="K6832" s="12" t="n">
        <f aca="false">Sens!$K$6823/Sens!$K$6805</f>
        <v>0.271267685694333</v>
      </c>
      <c r="L6832" s="12" t="n">
        <f aca="false">Sens!$L$6823/Sens!$L$6805</f>
        <v>0.27160960915653</v>
      </c>
      <c r="M6832" s="12" t="n">
        <f aca="false">Sens!$M$6823/Sens!$M$6805</f>
        <v>0.26974494804234</v>
      </c>
      <c r="N6832" s="12" t="n">
        <f aca="false">Sens!$N$6823/Sens!$N$6805</f>
        <v>0.302870734830849</v>
      </c>
      <c r="O6832" s="12" t="n">
        <f aca="false">Sens!$O$6823/Sens!$O$6805</f>
        <v>0.52240134346334</v>
      </c>
    </row>
    <row r="6833" customFormat="false" ht="15" hidden="false" customHeight="false" outlineLevel="0" collapsed="false">
      <c r="A6833" s="5" t="s">
        <v>692</v>
      </c>
      <c r="B6833" s="0" t="s">
        <v>52</v>
      </c>
      <c r="C6833" s="12" t="n">
        <f aca="false">Sens!$C$6827/Sens!$C$6807</f>
        <v>0.107519448742004</v>
      </c>
      <c r="D6833" s="12" t="n">
        <f aca="false">Sens!$D$6827/Sens!$D$6807</f>
        <v>0.111552967957552</v>
      </c>
      <c r="E6833" s="12" t="n">
        <f aca="false">Sens!$E$6827/Sens!$E$6807</f>
        <v>0.13428328426562</v>
      </c>
      <c r="F6833" s="12" t="n">
        <f aca="false">Sens!$F$6827/Sens!$F$6807</f>
        <v>0.132926212451512</v>
      </c>
      <c r="G6833" s="12" t="n">
        <f aca="false">Sens!$G$6827/Sens!$G$6807</f>
        <v>0.133549030959228</v>
      </c>
      <c r="H6833" s="12" t="n">
        <f aca="false">Sens!$H$6827/Sens!$H$6807</f>
        <v>0.139690394514416</v>
      </c>
      <c r="I6833" s="12" t="n">
        <f aca="false">Sens!$I$6827/Sens!$I$6807</f>
        <v>0.144688164284573</v>
      </c>
      <c r="J6833" s="12" t="n">
        <f aca="false">Sens!$J$6827/Sens!$J$6807</f>
        <v>0.147391419021054</v>
      </c>
      <c r="K6833" s="12" t="n">
        <f aca="false">Sens!$K$6827/Sens!$K$6807</f>
        <v>0.148003728177944</v>
      </c>
      <c r="L6833" s="12" t="n">
        <f aca="false">Sens!$L$6827/Sens!$L$6807</f>
        <v>0.149164514525979</v>
      </c>
      <c r="M6833" s="12" t="n">
        <f aca="false">Sens!$M$6827/Sens!$M$6807</f>
        <v>0.150041098108262</v>
      </c>
      <c r="N6833" s="12" t="n">
        <f aca="false">Sens!$N$6827/Sens!$N$6807</f>
        <v>0.116201614873411</v>
      </c>
      <c r="O6833" s="12" t="n">
        <f aca="false">Sens!$O$6827/Sens!$O$6807</f>
        <v>0.107733353660861</v>
      </c>
    </row>
    <row r="6834" customFormat="false" ht="17.15" hidden="false" customHeight="false" outlineLevel="0" collapsed="false">
      <c r="A6834" s="1" t="s">
        <v>693</v>
      </c>
    </row>
    <row r="6835" customFormat="false" ht="17.15" hidden="false" customHeight="false" outlineLevel="0" collapsed="false">
      <c r="A6835" s="5" t="s">
        <v>694</v>
      </c>
      <c r="B6835" s="0" t="s">
        <v>52</v>
      </c>
      <c r="D6835" s="28" t="n">
        <f aca="false">(Q!$E$29+Q!$E$30-(1-ext_sh)*Sens!$D$6759)/Sens!$D$6716</f>
        <v>0.0334674312393194</v>
      </c>
    </row>
    <row r="6836" customFormat="false" ht="17.15" hidden="false" customHeight="false" outlineLevel="0" collapsed="false">
      <c r="A6836" s="0" t="s">
        <v>498</v>
      </c>
      <c r="B6836" s="0" t="s">
        <v>73</v>
      </c>
      <c r="C6836" s="38" t="n">
        <f aca="false">Q!$D$29</f>
        <v>14.285</v>
      </c>
      <c r="D6836" s="38" t="n">
        <f aca="false">Q!$E$29</f>
        <v>15.503</v>
      </c>
      <c r="E6836" s="38" t="n">
        <f aca="false">Q!$P$29</f>
        <v>8.78</v>
      </c>
      <c r="F6836" s="38" t="n">
        <f aca="false">(Sens!$D$6835*Sens!$F$6716+(1-ext_sh)*Sens!$F$6759)*Sens!$F$6717</f>
        <v>9.51361751569285</v>
      </c>
      <c r="G6836" s="38" t="n">
        <f aca="false">Sens!$E$6836+Sens!$F$6836</f>
        <v>18.2936175156929</v>
      </c>
      <c r="H6836" s="38" t="n">
        <f aca="false">(Sens!$D$6835*Sens!$H$6716+(1-ext_sh)*Sens!$H$6759)*Sens!$H$6717</f>
        <v>22.7653661801943</v>
      </c>
      <c r="I6836" s="38" t="n">
        <f aca="false">(Sens!$D$6835*Sens!$I$6716+(1-ext_sh)*Sens!$I$6759)*Sens!$I$6717</f>
        <v>28.4281317305062</v>
      </c>
      <c r="J6836" s="38" t="n">
        <f aca="false">(Sens!$D$6835*Sens!$J$6716+(1-ext_sh)*Sens!$J$6759)*Sens!$J$6717</f>
        <v>34.1182922009732</v>
      </c>
      <c r="K6836" s="38" t="n">
        <f aca="false">(Sens!$D$6835*Sens!$K$6716+(1-ext_sh)*Sens!$K$6759)*Sens!$K$6717</f>
        <v>39.7237727987046</v>
      </c>
      <c r="L6836" s="38" t="n">
        <f aca="false">(Sens!$D$6835*Sens!$L$6716+(1-ext_sh)*Sens!$L$6759)*Sens!$L$6717</f>
        <v>45.1313127180263</v>
      </c>
      <c r="M6836" s="38" t="n">
        <f aca="false">(Sens!$D$6835*Sens!$M$6716+(1-ext_sh)*Sens!$M$6759)*Sens!$M$6717</f>
        <v>50.743940615442</v>
      </c>
      <c r="N6836" s="38" t="n">
        <f aca="false">Q!$N$29</f>
        <v>7.272</v>
      </c>
      <c r="O6836" s="38" t="n">
        <f aca="false">Q!$O$29</f>
        <v>8.231</v>
      </c>
    </row>
    <row r="6837" customFormat="false" ht="17.15" hidden="false" customHeight="false" outlineLevel="0" collapsed="false">
      <c r="A6837" s="0" t="s">
        <v>500</v>
      </c>
      <c r="B6837" s="0" t="s">
        <v>73</v>
      </c>
      <c r="C6837" s="38" t="n">
        <f aca="false">Q!$D$30</f>
        <v>4.462</v>
      </c>
      <c r="D6837" s="38" t="n">
        <f aca="false">Q!$E$30</f>
        <v>4.907</v>
      </c>
      <c r="E6837" s="38" t="n">
        <f aca="false">Q!$P$30</f>
        <v>2.57</v>
      </c>
      <c r="F6837" s="38" t="n">
        <f aca="false">(Sens!$D$6835*Sens!$F$6716+(1-ext_sh)*Sens!$F$6759)*(1-Sens!$F$6717)</f>
        <v>3.7353230631574</v>
      </c>
      <c r="G6837" s="38" t="n">
        <f aca="false">Sens!$E$6837+Sens!$F$6837</f>
        <v>6.3053230631574</v>
      </c>
      <c r="H6837" s="38" t="n">
        <f aca="false">(Sens!$D$6835*Sens!$H$6716+(1-ext_sh)*Sens!$H$6759)*(1-Sens!$H$6717)</f>
        <v>8.72254636724805</v>
      </c>
      <c r="I6837" s="38" t="n">
        <f aca="false">(Sens!$D$6835*Sens!$I$6716+(1-ext_sh)*Sens!$I$6759)*(1-Sens!$I$6717)</f>
        <v>10.8922340713019</v>
      </c>
      <c r="J6837" s="38" t="n">
        <f aca="false">(Sens!$D$6835*Sens!$J$6716+(1-ext_sh)*Sens!$J$6759)*(1-Sens!$J$6717)</f>
        <v>13.0724181345791</v>
      </c>
      <c r="K6837" s="38" t="n">
        <f aca="false">(Sens!$D$6835*Sens!$K$6716+(1-ext_sh)*Sens!$K$6759)*(1-Sens!$K$6717)</f>
        <v>15.2201571183236</v>
      </c>
      <c r="L6837" s="38" t="n">
        <f aca="false">(Sens!$D$6835*Sens!$L$6716+(1-ext_sh)*Sens!$L$6759)*(1-Sens!$L$6717)</f>
        <v>17.2920551631732</v>
      </c>
      <c r="M6837" s="38" t="n">
        <f aca="false">(Sens!$D$6835*Sens!$M$6716+(1-ext_sh)*Sens!$M$6759)*(1-Sens!$M$6717)</f>
        <v>19.4425326336348</v>
      </c>
      <c r="N6837" s="38" t="n">
        <f aca="false">Q!$N$30</f>
        <v>2.316</v>
      </c>
      <c r="O6837" s="38" t="n">
        <f aca="false">Q!$O$30</f>
        <v>2.591</v>
      </c>
    </row>
    <row r="6838" customFormat="false" ht="17.15" hidden="false" customHeight="false" outlineLevel="0" collapsed="false">
      <c r="A6838" s="0" t="s">
        <v>501</v>
      </c>
      <c r="B6838" s="0" t="s">
        <v>73</v>
      </c>
      <c r="C6838" s="38" t="n">
        <f aca="false">Sens!$C$6771</f>
        <v>13.32</v>
      </c>
      <c r="D6838" s="38" t="n">
        <f aca="false">Sens!$D$6771</f>
        <v>21.45</v>
      </c>
      <c r="E6838" s="38" t="n">
        <f aca="false">Sens!$E$6771</f>
        <v>15.353</v>
      </c>
      <c r="F6838" s="38" t="n">
        <f aca="false">Sens!$F$6771</f>
        <v>17.3614451462707</v>
      </c>
      <c r="G6838" s="38" t="n">
        <f aca="false">Sens!$G$6771</f>
        <v>32.7144451462707</v>
      </c>
      <c r="H6838" s="38" t="n">
        <f aca="false">Sens!$H$6771</f>
        <v>56.1966092719415</v>
      </c>
      <c r="I6838" s="38" t="n">
        <f aca="false">Sens!$I$6771</f>
        <v>82.9744039068297</v>
      </c>
      <c r="J6838" s="38" t="n">
        <f aca="false">Sens!$J$6771</f>
        <v>109.943252237669</v>
      </c>
      <c r="K6838" s="38" t="n">
        <f aca="false">Sens!$K$6771</f>
        <v>136.406703436571</v>
      </c>
      <c r="L6838" s="38" t="n">
        <f aca="false">Sens!$L$6771</f>
        <v>161.485870454155</v>
      </c>
      <c r="M6838" s="38" t="n">
        <f aca="false">Sens!$M$6771</f>
        <v>187.389846618199</v>
      </c>
      <c r="N6838" s="38" t="n">
        <f aca="false">Sens!$N$6771</f>
        <v>9.234</v>
      </c>
      <c r="O6838" s="38" t="n">
        <f aca="false">Sens!$O$6771</f>
        <v>12.216</v>
      </c>
    </row>
    <row r="6839" customFormat="false" ht="17.15" hidden="false" customHeight="false" outlineLevel="0" collapsed="false">
      <c r="A6839" s="5" t="s">
        <v>695</v>
      </c>
      <c r="B6839" s="0" t="s">
        <v>73</v>
      </c>
      <c r="C6839" s="38" t="n">
        <f aca="false">Sens!$C$6836+Sens!$C$6837+Sens!$C$6838</f>
        <v>32.067</v>
      </c>
      <c r="D6839" s="38" t="n">
        <f aca="false">Sens!$D$6836+Sens!$D$6837+Sens!$D$6838</f>
        <v>41.86</v>
      </c>
      <c r="E6839" s="38" t="n">
        <f aca="false">Sens!$E$6836+Sens!$E$6837+Sens!$E$6838</f>
        <v>26.703</v>
      </c>
      <c r="F6839" s="38" t="n">
        <f aca="false">Sens!$F$6836+Sens!$F$6837+Sens!$F$6838</f>
        <v>30.6103857251209</v>
      </c>
      <c r="G6839" s="38" t="n">
        <f aca="false">Sens!$G$6836+Sens!$G$6837+Sens!$G$6838</f>
        <v>57.3133857251209</v>
      </c>
      <c r="H6839" s="38" t="n">
        <f aca="false">Sens!$H$6836+Sens!$H$6837+Sens!$H$6838</f>
        <v>87.6845218193838</v>
      </c>
      <c r="I6839" s="38" t="n">
        <f aca="false">Sens!$I$6836+Sens!$I$6837+Sens!$I$6838</f>
        <v>122.294769708638</v>
      </c>
      <c r="J6839" s="38" t="n">
        <f aca="false">Sens!$J$6836+Sens!$J$6837+Sens!$J$6838</f>
        <v>157.133962573221</v>
      </c>
      <c r="K6839" s="38" t="n">
        <f aca="false">Sens!$K$6836+Sens!$K$6837+Sens!$K$6838</f>
        <v>191.350633353599</v>
      </c>
      <c r="L6839" s="38" t="n">
        <f aca="false">Sens!$L$6836+Sens!$L$6837+Sens!$L$6838</f>
        <v>223.909238335354</v>
      </c>
      <c r="M6839" s="38" t="n">
        <f aca="false">Sens!$M$6836+Sens!$M$6837+Sens!$M$6838</f>
        <v>257.576319867276</v>
      </c>
      <c r="N6839" s="38" t="n">
        <f aca="false">Sens!$N$6836+Sens!$N$6837+Sens!$N$6838</f>
        <v>18.822</v>
      </c>
      <c r="O6839" s="38" t="n">
        <f aca="false">Sens!$O$6836+Sens!$O$6837+Sens!$O$6838</f>
        <v>23.038</v>
      </c>
    </row>
    <row r="6840" customFormat="false" ht="17.15" hidden="false" customHeight="false" outlineLevel="0" collapsed="false">
      <c r="A6840" s="0" t="s">
        <v>696</v>
      </c>
      <c r="B6840" s="0" t="s">
        <v>73</v>
      </c>
      <c r="C6840" s="38" t="n">
        <f aca="false">Sens!$C$6813+Sens!$C$6818</f>
        <v>28.107</v>
      </c>
      <c r="D6840" s="38" t="n">
        <f aca="false">Sens!$D$6813+Sens!$D$6818</f>
        <v>34.3175</v>
      </c>
      <c r="E6840" s="38" t="n">
        <f aca="false">Sens!$E$6813+Sens!$E$6818</f>
        <v>18.526</v>
      </c>
      <c r="F6840" s="38" t="n">
        <f aca="false">Sens!$F$6813+Sens!$F$6818</f>
        <v>24.0766690913691</v>
      </c>
      <c r="G6840" s="38" t="n">
        <f aca="false">Sens!$G$6813+Sens!$G$6818</f>
        <v>42.6026690913691</v>
      </c>
      <c r="H6840" s="38" t="n">
        <f aca="false">Sens!$H$6813+Sens!$H$6818</f>
        <v>51.1466809294702</v>
      </c>
      <c r="I6840" s="38" t="n">
        <f aca="false">Sens!$I$6813+Sens!$I$6818</f>
        <v>59.6899187926205</v>
      </c>
      <c r="J6840" s="38" t="n">
        <f aca="false">Sens!$J$6813+Sens!$J$6818</f>
        <v>67.6595395244221</v>
      </c>
      <c r="K6840" s="38" t="n">
        <f aca="false">Sens!$K$6813+Sens!$K$6818</f>
        <v>74.4254934768643</v>
      </c>
      <c r="L6840" s="38" t="n">
        <f aca="false">Sens!$L$6813+Sens!$L$6818</f>
        <v>81.8680428245508</v>
      </c>
      <c r="M6840" s="38" t="n">
        <f aca="false">Sens!$M$6813+Sens!$M$6818</f>
        <v>90.0548471070059</v>
      </c>
      <c r="N6840" s="38" t="n">
        <f aca="false">Sens!$N$6813+Sens!$N$6818</f>
        <v>14.8075</v>
      </c>
      <c r="O6840" s="38" t="n">
        <f aca="false">Sens!$O$6813+Sens!$O$6818</f>
        <v>19.51</v>
      </c>
    </row>
    <row r="6841" customFormat="false" ht="17.15" hidden="false" customHeight="false" outlineLevel="0" collapsed="false">
      <c r="A6841" s="0" t="s">
        <v>697</v>
      </c>
      <c r="B6841" s="0" t="s">
        <v>73</v>
      </c>
      <c r="C6841" s="38" t="n">
        <f aca="false">Sens!$C$6817+Sens!$C$6822+Sens!$C$6836+Sens!$C$6837-Sens!$C$6840</f>
        <v>19.399</v>
      </c>
      <c r="D6841" s="38" t="n">
        <f aca="false">Sens!$D$6817+Sens!$D$6822+Sens!$D$6836+Sens!$D$6837-Sens!$D$6840</f>
        <v>20.4615</v>
      </c>
      <c r="E6841" s="38" t="n">
        <f aca="false">Sens!$E$6817+Sens!$E$6822+Sens!$E$6836+Sens!$E$6837-Sens!$E$6840</f>
        <v>13.355</v>
      </c>
      <c r="F6841" s="38" t="n">
        <f aca="false">Sens!$F$6817+Sens!$F$6822+Sens!$F$6836+Sens!$F$6837-Sens!$F$6840</f>
        <v>13.0895111975985</v>
      </c>
      <c r="G6841" s="38" t="n">
        <f aca="false">Sens!$G$6817+Sens!$G$6822+Sens!$G$6836+Sens!$G$6837-Sens!$G$6840</f>
        <v>26.4445111975985</v>
      </c>
      <c r="H6841" s="38" t="n">
        <f aca="false">Sens!$H$6817+Sens!$H$6822+Sens!$H$6836+Sens!$H$6837-Sens!$H$6840</f>
        <v>28.8977096937968</v>
      </c>
      <c r="I6841" s="38" t="n">
        <f aca="false">Sens!$I$6817+Sens!$I$6822+Sens!$I$6836+Sens!$I$6837-Sens!$I$6840</f>
        <v>31.2062039064791</v>
      </c>
      <c r="J6841" s="38" t="n">
        <f aca="false">Sens!$J$6817+Sens!$J$6822+Sens!$J$6836+Sens!$J$6837-Sens!$J$6840</f>
        <v>33.5064572496913</v>
      </c>
      <c r="K6841" s="38" t="n">
        <f aca="false">Sens!$K$6817+Sens!$K$6822+Sens!$K$6836+Sens!$K$6837-Sens!$K$6840</f>
        <v>35.6591461575899</v>
      </c>
      <c r="L6841" s="38" t="n">
        <f aca="false">Sens!$L$6817+Sens!$L$6822+Sens!$L$6836+Sens!$L$6837-Sens!$L$6840</f>
        <v>36.4141007090604</v>
      </c>
      <c r="M6841" s="38" t="n">
        <f aca="false">Sens!$M$6817+Sens!$M$6822+Sens!$M$6836+Sens!$M$6837-Sens!$M$6840</f>
        <v>37.359984207839</v>
      </c>
      <c r="N6841" s="38" t="n">
        <f aca="false">Sens!$N$6817+Sens!$N$6822+Sens!$N$6836+Sens!$N$6837-Sens!$N$6840</f>
        <v>10.6495</v>
      </c>
      <c r="O6841" s="38" t="n">
        <f aca="false">Sens!$O$6817+Sens!$O$6822+Sens!$O$6836+Sens!$O$6837-Sens!$O$6840</f>
        <v>9.81200000000001</v>
      </c>
    </row>
    <row r="6842" customFormat="false" ht="17.15" hidden="false" customHeight="false" outlineLevel="0" collapsed="false">
      <c r="A6842" s="0" t="s">
        <v>698</v>
      </c>
      <c r="B6842" s="0" t="s">
        <v>73</v>
      </c>
      <c r="C6842" s="38" t="n">
        <f aca="false">Sens!$C$6824+Sens!$C$6838-ext_sh*Sens!$C$6759</f>
        <v>51.3470500115664</v>
      </c>
      <c r="D6842" s="38" t="n">
        <f aca="false">Sens!$D$6824+Sens!$D$6838-ext_sh*Sens!$D$6759</f>
        <v>60.2799375433739</v>
      </c>
      <c r="E6842" s="38" t="n">
        <f aca="false">Sens!$E$6824+Sens!$E$6838-ext_sh*Sens!$E$6759</f>
        <v>39.5095167090767</v>
      </c>
      <c r="F6842" s="38" t="n">
        <f aca="false">Sens!$F$6824+Sens!$F$6838-ext_sh*Sens!$F$6759</f>
        <v>41.606724953129</v>
      </c>
      <c r="G6842" s="38" t="n">
        <f aca="false">Sens!$G$6824+Sens!$G$6838-ext_sh*Sens!$G$6759</f>
        <v>81.1162416622057</v>
      </c>
      <c r="H6842" s="38" t="n">
        <f aca="false">Sens!$H$6824+Sens!$H$6838-ext_sh*Sens!$H$6759</f>
        <v>95.7616595325849</v>
      </c>
      <c r="I6842" s="38" t="n">
        <f aca="false">Sens!$I$6824+Sens!$I$6838-ext_sh*Sens!$I$6759</f>
        <v>111.513312079935</v>
      </c>
      <c r="J6842" s="38" t="n">
        <f aca="false">Sens!$J$6824+Sens!$J$6838-ext_sh*Sens!$J$6759</f>
        <v>125.145150463955</v>
      </c>
      <c r="K6842" s="38" t="n">
        <f aca="false">Sens!$K$6824+Sens!$K$6838-ext_sh*Sens!$K$6759</f>
        <v>135.156762501071</v>
      </c>
      <c r="L6842" s="38" t="n">
        <f aca="false">Sens!$L$6824+Sens!$L$6838-ext_sh*Sens!$L$6759</f>
        <v>145.969303501157</v>
      </c>
      <c r="M6842" s="38" t="n">
        <f aca="false">Sens!$M$6824+Sens!$M$6838-ext_sh*Sens!$M$6759</f>
        <v>157.646847781249</v>
      </c>
      <c r="N6842" s="38" t="n">
        <f aca="false">Sens!$N$6824+Sens!$N$6838-ext_sh*Sens!$N$6759</f>
        <v>28.5693781401809</v>
      </c>
      <c r="O6842" s="38" t="n">
        <f aca="false">Sens!$O$6824+Sens!$O$6838-ext_sh*Sens!$O$6759</f>
        <v>31.7105594031931</v>
      </c>
    </row>
    <row r="6843" customFormat="false" ht="17.15" hidden="false" customHeight="false" outlineLevel="0" collapsed="false">
      <c r="A6843" s="0" t="s">
        <v>699</v>
      </c>
      <c r="B6843" s="0" t="s">
        <v>73</v>
      </c>
      <c r="C6843" s="38" t="n">
        <f aca="false">Sens!$C$6762</f>
        <v>1.80694998843362</v>
      </c>
      <c r="D6843" s="38" t="n">
        <f aca="false">Sens!$D$6762</f>
        <v>6.77606245662607</v>
      </c>
      <c r="E6843" s="38" t="n">
        <f aca="false">Sens!$E$6762</f>
        <v>6.62548329092326</v>
      </c>
      <c r="F6843" s="38" t="n">
        <f aca="false">Sens!$F$6762</f>
        <v>11.7200577158706</v>
      </c>
      <c r="G6843" s="38" t="n">
        <f aca="false">Sens!$G$6762</f>
        <v>18.3455410067939</v>
      </c>
      <c r="H6843" s="38" t="n">
        <f aca="false">Sens!$H$6762</f>
        <v>47.5171727060453</v>
      </c>
      <c r="I6843" s="38" t="n">
        <f aca="false">Sens!$I$6762</f>
        <v>80.5539692643667</v>
      </c>
      <c r="J6843" s="38" t="n">
        <f aca="false">Sens!$J$6762</f>
        <v>113.759316834883</v>
      </c>
      <c r="K6843" s="38" t="n">
        <f aca="false">Sens!$K$6762</f>
        <v>147.020848076132</v>
      </c>
      <c r="L6843" s="38" t="n">
        <f aca="false">Sens!$L$6762</f>
        <v>180.307917349531</v>
      </c>
      <c r="M6843" s="38" t="n">
        <f aca="false">Sens!$M$6762</f>
        <v>213.608737871012</v>
      </c>
      <c r="N6843" s="38" t="n">
        <f aca="false">Sens!$N$6762</f>
        <v>2.37162185981912</v>
      </c>
      <c r="O6843" s="38" t="n">
        <f aca="false">Sens!$O$6762</f>
        <v>4.40444059680694</v>
      </c>
    </row>
    <row r="6844" customFormat="false" ht="17.15" hidden="false" customHeight="false" outlineLevel="0" collapsed="false">
      <c r="A6844" s="0" t="s">
        <v>700</v>
      </c>
      <c r="B6844" s="0" t="s">
        <v>73</v>
      </c>
      <c r="C6844" s="38" t="n">
        <f aca="false">Sens!$C$6827+Sens!$C$6839</f>
        <v>100.66</v>
      </c>
      <c r="D6844" s="38" t="n">
        <f aca="false">Sens!$D$6827+Sens!$D$6839</f>
        <v>121.835</v>
      </c>
      <c r="E6844" s="38" t="n">
        <f aca="false">Sens!$E$6827+Sens!$E$6839</f>
        <v>78.016</v>
      </c>
      <c r="F6844" s="38" t="n">
        <f aca="false">Sens!$F$6827+Sens!$F$6839</f>
        <v>90.4929629579672</v>
      </c>
      <c r="G6844" s="38" t="n">
        <f aca="false">Sens!$G$6827+Sens!$G$6839</f>
        <v>168.508962957967</v>
      </c>
      <c r="H6844" s="38" t="n">
        <f aca="false">Sens!$H$6827+Sens!$H$6839</f>
        <v>223.323222861897</v>
      </c>
      <c r="I6844" s="38" t="n">
        <f aca="false">Sens!$I$6827+Sens!$I$6839</f>
        <v>282.963404043402</v>
      </c>
      <c r="J6844" s="38" t="n">
        <f aca="false">Sens!$J$6827+Sens!$J$6839</f>
        <v>340.070464072952</v>
      </c>
      <c r="K6844" s="38" t="n">
        <f aca="false">Sens!$K$6827+Sens!$K$6839</f>
        <v>392.262250211657</v>
      </c>
      <c r="L6844" s="38" t="n">
        <f aca="false">Sens!$L$6827+Sens!$L$6839</f>
        <v>444.559364384299</v>
      </c>
      <c r="M6844" s="38" t="n">
        <f aca="false">Sens!$M$6827+Sens!$M$6839</f>
        <v>498.670416967106</v>
      </c>
      <c r="N6844" s="38" t="n">
        <f aca="false">Sens!$N$6827+Sens!$N$6839</f>
        <v>56.398</v>
      </c>
      <c r="O6844" s="38" t="n">
        <f aca="false">Sens!$O$6827+Sens!$O$6839</f>
        <v>65.437</v>
      </c>
    </row>
    <row r="6845" customFormat="false" ht="17.15" hidden="false" customHeight="false" outlineLevel="0" collapsed="false">
      <c r="A6845" s="1" t="s">
        <v>701</v>
      </c>
    </row>
    <row r="6846" customFormat="false" ht="15" hidden="false" customHeight="false" outlineLevel="0" collapsed="false">
      <c r="A6846" s="5" t="s">
        <v>504</v>
      </c>
      <c r="B6846" s="0" t="s">
        <v>73</v>
      </c>
      <c r="C6846" s="38" t="n">
        <f aca="false">Q!$D$34</f>
        <v>2.406</v>
      </c>
      <c r="D6846" s="38" t="n">
        <f aca="false">Q!$E$34</f>
        <v>2.274</v>
      </c>
      <c r="E6846" s="38" t="n">
        <f aca="false">Q!$P$34</f>
        <v>2.114</v>
      </c>
      <c r="F6846" s="38" t="n">
        <f aca="false">Sens!$F$6882</f>
        <v>3.24888964316061</v>
      </c>
      <c r="G6846" s="38" t="n">
        <f aca="false">Sens!$E$6846+Sens!$F$6846</f>
        <v>5.36288964316061</v>
      </c>
      <c r="H6846" s="38" t="n">
        <f aca="false">Sens!$H$6882</f>
        <v>7.42354178632123</v>
      </c>
      <c r="I6846" s="38" t="n">
        <f aca="false">Sens!$I$6882</f>
        <v>7.51827597635917</v>
      </c>
      <c r="J6846" s="38" t="n">
        <f aca="false">Sens!$J$6882</f>
        <v>7.76994062068418</v>
      </c>
      <c r="K6846" s="38" t="n">
        <f aca="false">Sens!$K$6882</f>
        <v>7.76994062068418</v>
      </c>
      <c r="L6846" s="38" t="n">
        <f aca="false">Sens!$L$6882</f>
        <v>7.76994062068418</v>
      </c>
      <c r="M6846" s="38" t="n">
        <f aca="false">Sens!$M$6882</f>
        <v>7.76994062068418</v>
      </c>
      <c r="N6846" s="38" t="n">
        <f aca="false">Q!$N$34</f>
        <v>1.057</v>
      </c>
      <c r="O6846" s="38" t="n">
        <f aca="false">Q!$O$34</f>
        <v>1.217</v>
      </c>
    </row>
    <row r="6847" customFormat="false" ht="15" hidden="false" customHeight="false" outlineLevel="0" collapsed="false">
      <c r="A6847" s="5" t="s">
        <v>702</v>
      </c>
      <c r="B6847" s="0" t="s">
        <v>73</v>
      </c>
      <c r="F6847" s="38" t="n">
        <f aca="false">Sens!$F$6883</f>
        <v>2.59</v>
      </c>
      <c r="H6847" s="38" t="n">
        <f aca="false">Sens!$H$6883</f>
        <v>4.00971603121774</v>
      </c>
      <c r="I6847" s="38" t="n">
        <f aca="false">Sens!$I$6883</f>
        <v>2.10589651022864</v>
      </c>
      <c r="J6847" s="38" t="n">
        <f aca="false">Sens!$J$6883</f>
        <v>2.10589651022864</v>
      </c>
      <c r="K6847" s="38" t="n">
        <f aca="false">Sens!$K$6883</f>
        <v>3.77985822695893</v>
      </c>
      <c r="L6847" s="38" t="n">
        <f aca="false">Sens!$L$6883</f>
        <v>7.24081936505971</v>
      </c>
      <c r="M6847" s="38" t="n">
        <f aca="false">Sens!$M$6883</f>
        <v>11.205150593419</v>
      </c>
    </row>
    <row r="6848" customFormat="false" ht="17.15" hidden="false" customHeight="false" outlineLevel="0" collapsed="false">
      <c r="A6848" s="5" t="s">
        <v>703</v>
      </c>
      <c r="B6848" s="0" t="s">
        <v>73</v>
      </c>
      <c r="C6848" s="38" t="n">
        <f aca="false">Q!$D$39</f>
        <v>2.427</v>
      </c>
      <c r="D6848" s="38" t="n">
        <f aca="false">Q!$E$39</f>
        <v>19.61</v>
      </c>
      <c r="E6848" s="38" t="n">
        <f aca="false">Q!$P$39</f>
        <v>71.492</v>
      </c>
      <c r="F6848" s="41" t="n">
        <v>0</v>
      </c>
      <c r="G6848" s="38" t="n">
        <f aca="false">Sens!$E$6848+Sens!$F$6848</f>
        <v>71.492</v>
      </c>
      <c r="H6848" s="41" t="n">
        <v>0</v>
      </c>
      <c r="I6848" s="41" t="n">
        <v>0</v>
      </c>
      <c r="J6848" s="41" t="n">
        <v>0</v>
      </c>
      <c r="K6848" s="41" t="n">
        <v>0</v>
      </c>
      <c r="L6848" s="41" t="n">
        <v>0</v>
      </c>
      <c r="M6848" s="41" t="n">
        <v>0</v>
      </c>
      <c r="N6848" s="38" t="n">
        <f aca="false">Q!$N$39</f>
        <v>6.017</v>
      </c>
      <c r="O6848" s="38" t="n">
        <f aca="false">Q!$O$39</f>
        <v>13.593</v>
      </c>
      <c r="P6848" s="5" t="s">
        <v>704</v>
      </c>
    </row>
    <row r="6849" customFormat="false" ht="15" hidden="false" customHeight="false" outlineLevel="0" collapsed="false">
      <c r="A6849" s="5" t="s">
        <v>507</v>
      </c>
      <c r="B6849" s="0" t="s">
        <v>73</v>
      </c>
      <c r="C6849" s="38" t="n">
        <f aca="false">Q!$D$36</f>
        <v>68.614</v>
      </c>
      <c r="D6849" s="38" t="n">
        <f aca="false">Q!$E$36</f>
        <v>97.311</v>
      </c>
      <c r="E6849" s="38" t="n">
        <f aca="false">Q!$P$36</f>
        <v>120.691</v>
      </c>
      <c r="F6849" s="38" t="n">
        <f aca="false">Sens!$F$6827-Sens!$F$6846+Sens!$F$6847+Sens!$F$6848</f>
        <v>59.2236875896856</v>
      </c>
      <c r="G6849" s="38" t="n">
        <f aca="false">Sens!$E$6849+Sens!$F$6849</f>
        <v>179.914687589686</v>
      </c>
      <c r="H6849" s="38" t="n">
        <f aca="false">Sens!$H$6827-Sens!$H$6846+Sens!$H$6847+Sens!$H$6848</f>
        <v>132.22487528741</v>
      </c>
      <c r="I6849" s="38" t="n">
        <f aca="false">Sens!$I$6827-Sens!$I$6846+Sens!$I$6847+Sens!$I$6848</f>
        <v>155.256254868633</v>
      </c>
      <c r="J6849" s="38" t="n">
        <f aca="false">Sens!$J$6827-Sens!$J$6846+Sens!$J$6847+Sens!$J$6848</f>
        <v>177.272457389275</v>
      </c>
      <c r="K6849" s="38" t="n">
        <f aca="false">Sens!$K$6827-Sens!$K$6846+Sens!$K$6847+Sens!$K$6848</f>
        <v>196.921534464333</v>
      </c>
      <c r="L6849" s="38" t="n">
        <f aca="false">Sens!$L$6827-Sens!$L$6846+Sens!$L$6847+Sens!$L$6848</f>
        <v>220.12100479332</v>
      </c>
      <c r="M6849" s="38" t="n">
        <f aca="false">Sens!$M$6827-Sens!$M$6846+Sens!$M$6847+Sens!$M$6848</f>
        <v>244.529307072564</v>
      </c>
      <c r="N6849" s="38" t="n">
        <f aca="false">Q!$N$36</f>
        <v>42.536</v>
      </c>
      <c r="O6849" s="38" t="n">
        <f aca="false">Q!$O$36</f>
        <v>54.775</v>
      </c>
    </row>
    <row r="6850" customFormat="false" ht="15" hidden="false" customHeight="false" outlineLevel="0" collapsed="false">
      <c r="A6850" s="5" t="s">
        <v>508</v>
      </c>
      <c r="B6850" s="0" t="s">
        <v>73</v>
      </c>
      <c r="C6850" s="38" t="n">
        <f aca="false">Q!$D$37</f>
        <v>9.265</v>
      </c>
      <c r="D6850" s="38" t="n">
        <f aca="false">Q!$E$37</f>
        <v>19.087</v>
      </c>
      <c r="E6850" s="38" t="n">
        <f aca="false">Q!$P$37</f>
        <v>27.759</v>
      </c>
      <c r="F6850" s="38" t="n">
        <f aca="false">Sens!$F$6849*tax</f>
        <v>10.2803157750071</v>
      </c>
      <c r="G6850" s="38" t="n">
        <f aca="false">Sens!$E$6850+Sens!$F$6850</f>
        <v>38.0393157750071</v>
      </c>
      <c r="H6850" s="38" t="n">
        <f aca="false">Sens!$H$6849*tax</f>
        <v>22.9521923842892</v>
      </c>
      <c r="I6850" s="38" t="n">
        <f aca="false">Sens!$I$6849*tax</f>
        <v>26.9500835063251</v>
      </c>
      <c r="J6850" s="38" t="n">
        <f aca="false">Sens!$J$6849*tax</f>
        <v>30.7717555988633</v>
      </c>
      <c r="K6850" s="38" t="n">
        <f aca="false">Sens!$K$6849*tax</f>
        <v>34.1825313414772</v>
      </c>
      <c r="L6850" s="38" t="n">
        <f aca="false">Sens!$L$6849*tax</f>
        <v>38.209600416393</v>
      </c>
      <c r="M6850" s="38" t="n">
        <f aca="false">Sens!$M$6849*tax</f>
        <v>42.4465040131586</v>
      </c>
      <c r="N6850" s="38" t="n">
        <f aca="false">Q!$N$37</f>
        <v>7.231</v>
      </c>
      <c r="O6850" s="38" t="n">
        <f aca="false">Q!$O$37</f>
        <v>11.856</v>
      </c>
    </row>
    <row r="6851" customFormat="false" ht="15" hidden="false" customHeight="false" outlineLevel="0" collapsed="false">
      <c r="A6851" s="3" t="s">
        <v>509</v>
      </c>
      <c r="B6851" s="8" t="s">
        <v>73</v>
      </c>
      <c r="C6851" s="38" t="n">
        <f aca="false">Q!$D$38</f>
        <v>59.248</v>
      </c>
      <c r="D6851" s="38" t="n">
        <f aca="false">Q!$E$38</f>
        <v>77.67</v>
      </c>
      <c r="E6851" s="38" t="n">
        <f aca="false">Q!$P$38</f>
        <v>92.902</v>
      </c>
      <c r="F6851" s="38" t="n">
        <f aca="false">Sens!$F$6849-Sens!$F$6850</f>
        <v>48.9433718146785</v>
      </c>
      <c r="G6851" s="38" t="n">
        <f aca="false">Sens!$E$6851+Sens!$F$6851</f>
        <v>141.845371814679</v>
      </c>
      <c r="H6851" s="38" t="n">
        <f aca="false">Sens!$H$6849-Sens!$H$6850</f>
        <v>109.272682903121</v>
      </c>
      <c r="I6851" s="38" t="n">
        <f aca="false">Sens!$I$6849-Sens!$I$6850</f>
        <v>128.306171362308</v>
      </c>
      <c r="J6851" s="38" t="n">
        <f aca="false">Sens!$J$6849-Sens!$J$6850</f>
        <v>146.500701790412</v>
      </c>
      <c r="K6851" s="38" t="n">
        <f aca="false">Sens!$K$6849-Sens!$K$6850</f>
        <v>162.739003122855</v>
      </c>
      <c r="L6851" s="38" t="n">
        <f aca="false">Sens!$L$6849-Sens!$L$6850</f>
        <v>181.911404376927</v>
      </c>
      <c r="M6851" s="38" t="n">
        <f aca="false">Sens!$M$6849-Sens!$M$6850</f>
        <v>202.082803059406</v>
      </c>
      <c r="N6851" s="38" t="n">
        <f aca="false">Q!$N$38</f>
        <v>35.291</v>
      </c>
      <c r="O6851" s="38" t="n">
        <f aca="false">Q!$O$38</f>
        <v>42.379</v>
      </c>
    </row>
    <row r="6852" customFormat="false" ht="17.15" hidden="false" customHeight="false" outlineLevel="0" collapsed="false">
      <c r="A6852" s="5" t="s">
        <v>512</v>
      </c>
      <c r="B6852" s="5" t="s">
        <v>33</v>
      </c>
      <c r="C6852" s="22" t="n">
        <f aca="false">Q!$D$41</f>
        <v>10.721</v>
      </c>
      <c r="D6852" s="22" t="n">
        <f aca="false">Q!$E$41</f>
        <v>10.827</v>
      </c>
      <c r="E6852" s="22" t="n">
        <f aca="false">(Q!$L$41+Q!$M$41)/2</f>
        <v>10.8885</v>
      </c>
      <c r="F6852" s="22" t="n">
        <f aca="false">Sens!$G$6852</f>
        <v>10.924806</v>
      </c>
      <c r="G6852" s="22" t="n">
        <f aca="false">Q!$M$41*(1+sh_g*0.25)</f>
        <v>10.924806</v>
      </c>
      <c r="H6852" s="22" t="n">
        <f aca="false">Sens!$G$6852*(1+sh_g)</f>
        <v>11.012204448</v>
      </c>
      <c r="I6852" s="22" t="n">
        <f aca="false">Sens!$H$6852*(1+sh_g)</f>
        <v>11.100302083584</v>
      </c>
      <c r="J6852" s="22" t="n">
        <f aca="false">Sens!$I$6852*(1+sh_g)</f>
        <v>11.1891045002527</v>
      </c>
      <c r="K6852" s="22" t="n">
        <f aca="false">Sens!$J$6852*(1+sh_g)</f>
        <v>11.2786173362547</v>
      </c>
      <c r="L6852" s="22" t="n">
        <f aca="false">Sens!$K$6852*(1+sh_g)</f>
        <v>11.3688462749447</v>
      </c>
      <c r="M6852" s="22" t="n">
        <f aca="false">Sens!$L$6852*(1+sh_g)</f>
        <v>11.4597970451443</v>
      </c>
      <c r="P6852" s="5" t="s">
        <v>705</v>
      </c>
    </row>
    <row r="6853" customFormat="false" ht="17.15" hidden="false" customHeight="false" outlineLevel="0" collapsed="false">
      <c r="A6853" s="42" t="s">
        <v>706</v>
      </c>
      <c r="B6853" s="13" t="s">
        <v>27</v>
      </c>
      <c r="C6853" s="43" t="n">
        <f aca="false">Sens!$C$6851/Sens!$C$6852</f>
        <v>5.52635015390355</v>
      </c>
      <c r="D6853" s="43" t="n">
        <f aca="false">Sens!$D$6851/Sens!$D$6852</f>
        <v>7.1737323358271</v>
      </c>
      <c r="E6853" s="43" t="n">
        <f aca="false">Sens!$E$6851/Sens!$E$6852</f>
        <v>8.53212104513937</v>
      </c>
      <c r="F6853" s="13"/>
      <c r="G6853" s="43" t="n">
        <f aca="false">Sens!$G$6851/Sens!$G$6852</f>
        <v>12.9837886196495</v>
      </c>
      <c r="H6853" s="43" t="n">
        <f aca="false">Sens!$H$6851/Sens!$H$6852</f>
        <v>9.92287088558062</v>
      </c>
      <c r="I6853" s="43" t="n">
        <f aca="false">Sens!$I$6851/Sens!$I$6852</f>
        <v>11.5587999674403</v>
      </c>
      <c r="J6853" s="43" t="n">
        <f aca="false">Sens!$J$6851/Sens!$J$6852</f>
        <v>13.0931569892035</v>
      </c>
      <c r="K6853" s="43" t="n">
        <f aca="false">Sens!$K$6851/Sens!$K$6852</f>
        <v>14.4289852444711</v>
      </c>
      <c r="L6853" s="43" t="n">
        <f aca="false">Sens!$L$6851/Sens!$L$6852</f>
        <v>16.0008676322621</v>
      </c>
      <c r="M6853" s="43" t="n">
        <f aca="false">Sens!$M$6851/Sens!$M$6852</f>
        <v>17.6340647450673</v>
      </c>
      <c r="N6853" s="13"/>
      <c r="O6853" s="13"/>
    </row>
    <row r="6854" customFormat="false" ht="17.15" hidden="false" customHeight="false" outlineLevel="0" collapsed="false">
      <c r="A6854" s="0" t="s">
        <v>707</v>
      </c>
      <c r="B6854" s="0" t="s">
        <v>27</v>
      </c>
      <c r="C6854" s="30" t="n">
        <f aca="false">(Sens!$C$6851-Sens!$C$6848*(1-tax))/Sens!$C$6852</f>
        <v>5.33926775917445</v>
      </c>
      <c r="D6854" s="30" t="n">
        <f aca="false">(Sens!$D$6851-Sens!$D$6848*(1-tax))/Sens!$D$6852</f>
        <v>5.67691812755503</v>
      </c>
      <c r="E6854" s="30" t="n">
        <f aca="false">(Sens!$E$6851-Sens!$E$6848*(1-tax))/Sens!$E$6852</f>
        <v>3.10602057006846</v>
      </c>
      <c r="G6854" s="30" t="n">
        <f aca="false">(Sens!$G$6851-Sens!$G$6848*(1-tax))/Sens!$G$6852</f>
        <v>7.57572050175252</v>
      </c>
      <c r="H6854" s="30" t="n">
        <f aca="false">(Sens!$H$6851-Sens!$H$6848*(1-tax))/Sens!$H$6852</f>
        <v>9.92287088558062</v>
      </c>
      <c r="I6854" s="30" t="n">
        <f aca="false">(Sens!$I$6851-Sens!$I$6848*(1-tax))/Sens!$I$6852</f>
        <v>11.5587999674403</v>
      </c>
      <c r="J6854" s="30" t="n">
        <f aca="false">(Sens!$J$6851-Sens!$J$6848*(1-tax))/Sens!$J$6852</f>
        <v>13.0931569892035</v>
      </c>
      <c r="K6854" s="30" t="n">
        <f aca="false">(Sens!$K$6851-Sens!$K$6848*(1-tax))/Sens!$K$6852</f>
        <v>14.4289852444711</v>
      </c>
      <c r="L6854" s="30" t="n">
        <f aca="false">(Sens!$L$6851-Sens!$L$6848*(1-tax))/Sens!$L$6852</f>
        <v>16.0008676322621</v>
      </c>
      <c r="M6854" s="30" t="n">
        <f aca="false">(Sens!$M$6851-Sens!$M$6848*(1-tax))/Sens!$M$6852</f>
        <v>17.6340647450673</v>
      </c>
      <c r="P6854" s="5" t="s">
        <v>708</v>
      </c>
    </row>
    <row r="6855" customFormat="false" ht="17.15" hidden="false" customHeight="false" outlineLevel="0" collapsed="false">
      <c r="A6855" s="0" t="s">
        <v>709</v>
      </c>
      <c r="B6855" s="0" t="s">
        <v>52</v>
      </c>
      <c r="H6855" s="12" t="n">
        <f aca="false">Sens!$H$6853/Sens!$G$6853-1</f>
        <v>-0.23574919645846</v>
      </c>
      <c r="I6855" s="12" t="n">
        <f aca="false">Sens!$I$6853/Sens!$H$6853-1</f>
        <v>0.164864493423664</v>
      </c>
      <c r="J6855" s="12" t="n">
        <f aca="false">Sens!$J$6853/Sens!$I$6853-1</f>
        <v>0.132743626162345</v>
      </c>
      <c r="K6855" s="12" t="n">
        <f aca="false">Sens!$K$6853/Sens!$J$6853-1</f>
        <v>0.102024917013454</v>
      </c>
      <c r="L6855" s="12" t="n">
        <f aca="false">Sens!$L$6853/Sens!$K$6853-1</f>
        <v>0.108939219297719</v>
      </c>
      <c r="M6855" s="12" t="n">
        <f aca="false">Sens!$M$6853/Sens!$L$6853-1</f>
        <v>0.102069284637555</v>
      </c>
    </row>
    <row r="6858" customFormat="false" ht="19.4" hidden="false" customHeight="false" outlineLevel="0" collapsed="false">
      <c r="A6858" s="31" t="s">
        <v>1193</v>
      </c>
    </row>
    <row r="6859" customFormat="false" ht="17.15" hidden="false" customHeight="false" outlineLevel="0" collapsed="false">
      <c r="A6859" s="6" t="s">
        <v>16</v>
      </c>
      <c r="B6859" s="6" t="s">
        <v>17</v>
      </c>
      <c r="C6859" s="20" t="s">
        <v>457</v>
      </c>
      <c r="D6859" s="20" t="s">
        <v>458</v>
      </c>
      <c r="E6859" s="20" t="s">
        <v>540</v>
      </c>
      <c r="F6859" s="20" t="s">
        <v>541</v>
      </c>
      <c r="G6859" s="20" t="s">
        <v>542</v>
      </c>
      <c r="H6859" s="20" t="s">
        <v>543</v>
      </c>
      <c r="I6859" s="20" t="s">
        <v>544</v>
      </c>
      <c r="J6859" s="20" t="s">
        <v>545</v>
      </c>
      <c r="K6859" s="20" t="s">
        <v>546</v>
      </c>
      <c r="L6859" s="20" t="s">
        <v>547</v>
      </c>
      <c r="M6859" s="20" t="s">
        <v>548</v>
      </c>
      <c r="N6859" s="20" t="s">
        <v>549</v>
      </c>
      <c r="O6859" s="20" t="s">
        <v>550</v>
      </c>
      <c r="P6859" s="6" t="s">
        <v>23</v>
      </c>
      <c r="R6859" s="20" t="n">
        <v>2023</v>
      </c>
      <c r="S6859" s="20" t="n">
        <v>2024</v>
      </c>
      <c r="T6859" s="20" t="n">
        <v>2025</v>
      </c>
      <c r="U6859" s="20" t="n">
        <v>2026</v>
      </c>
      <c r="V6859" s="20" t="n">
        <v>2027</v>
      </c>
      <c r="W6859" s="20" t="n">
        <v>2028</v>
      </c>
      <c r="X6859" s="20" t="n">
        <v>2029</v>
      </c>
      <c r="Y6859" s="20" t="n">
        <v>2030</v>
      </c>
      <c r="Z6859" s="20" t="n">
        <v>2031</v>
      </c>
      <c r="AA6859" s="20" t="n">
        <v>2032</v>
      </c>
    </row>
    <row r="6860" customFormat="false" ht="15" hidden="false" customHeight="false" outlineLevel="0" collapsed="false">
      <c r="A6860" s="5" t="s">
        <v>509</v>
      </c>
      <c r="B6860" s="0" t="s">
        <v>73</v>
      </c>
      <c r="C6860" s="38" t="n">
        <f aca="false">Sens!$C$6851</f>
        <v>59.248</v>
      </c>
      <c r="D6860" s="38" t="n">
        <f aca="false">Sens!$D$6851</f>
        <v>77.67</v>
      </c>
      <c r="E6860" s="38" t="n">
        <f aca="false">Sens!$E$6851</f>
        <v>92.902</v>
      </c>
      <c r="F6860" s="38" t="n">
        <f aca="false">Sens!$F$6851</f>
        <v>48.9433718146785</v>
      </c>
      <c r="G6860" s="38" t="n">
        <f aca="false">Sens!$G$6851</f>
        <v>141.845371814679</v>
      </c>
      <c r="H6860" s="38" t="n">
        <f aca="false">Sens!$H$6851</f>
        <v>109.272682903121</v>
      </c>
      <c r="I6860" s="38" t="n">
        <f aca="false">Sens!$I$6851</f>
        <v>128.306171362308</v>
      </c>
      <c r="J6860" s="38" t="n">
        <f aca="false">Sens!$J$6851</f>
        <v>146.500701790412</v>
      </c>
      <c r="K6860" s="38" t="n">
        <f aca="false">Sens!$K$6851</f>
        <v>162.739003122855</v>
      </c>
      <c r="L6860" s="38" t="n">
        <f aca="false">Sens!$L$6851</f>
        <v>181.911404376927</v>
      </c>
      <c r="M6860" s="38" t="n">
        <f aca="false">Sens!$M$6851</f>
        <v>202.082803059406</v>
      </c>
    </row>
    <row r="6861" customFormat="false" ht="17.15" hidden="false" customHeight="false" outlineLevel="0" collapsed="false">
      <c r="A6861" s="5" t="s">
        <v>731</v>
      </c>
      <c r="B6861" s="0" t="s">
        <v>73</v>
      </c>
      <c r="C6861" s="38" t="n">
        <f aca="false">Sens!$C$6839</f>
        <v>32.067</v>
      </c>
      <c r="D6861" s="38" t="n">
        <f aca="false">Sens!$D$6839</f>
        <v>41.86</v>
      </c>
      <c r="E6861" s="38" t="n">
        <f aca="false">Sens!$E$6839</f>
        <v>26.703</v>
      </c>
      <c r="F6861" s="38" t="n">
        <f aca="false">Sens!$F$6839</f>
        <v>30.6103857251209</v>
      </c>
      <c r="G6861" s="38" t="n">
        <f aca="false">Sens!$G$6839</f>
        <v>57.3133857251209</v>
      </c>
      <c r="H6861" s="38" t="n">
        <f aca="false">Sens!$H$6839</f>
        <v>87.6845218193838</v>
      </c>
      <c r="I6861" s="38" t="n">
        <f aca="false">Sens!$I$6839</f>
        <v>122.294769708638</v>
      </c>
      <c r="J6861" s="38" t="n">
        <f aca="false">Sens!$J$6839</f>
        <v>157.133962573221</v>
      </c>
      <c r="K6861" s="38" t="n">
        <f aca="false">Sens!$K$6839</f>
        <v>191.350633353599</v>
      </c>
      <c r="L6861" s="38" t="n">
        <f aca="false">Sens!$L$6839</f>
        <v>223.909238335354</v>
      </c>
      <c r="M6861" s="38" t="n">
        <f aca="false">Sens!$M$6839</f>
        <v>257.576319867276</v>
      </c>
    </row>
    <row r="6862" customFormat="false" ht="15" hidden="false" customHeight="false" outlineLevel="0" collapsed="false">
      <c r="A6862" s="5" t="s">
        <v>732</v>
      </c>
      <c r="B6862" s="0" t="s">
        <v>73</v>
      </c>
      <c r="C6862" s="38" t="n">
        <f aca="false">Q!$D$48</f>
        <v>22.011</v>
      </c>
      <c r="D6862" s="38" t="n">
        <f aca="false">Q!$E$48</f>
        <v>19.467</v>
      </c>
      <c r="E6862" s="38" t="n">
        <f aca="false">Q!$P$48</f>
        <v>10.07</v>
      </c>
      <c r="F6862" s="38" t="n">
        <f aca="false">sbc_r*Sens!$F$6783</f>
        <v>11.2170714500462</v>
      </c>
      <c r="G6862" s="38" t="n">
        <f aca="false">Sens!$E$6862+Sens!$F$6862</f>
        <v>21.2870714500462</v>
      </c>
      <c r="H6862" s="38" t="n">
        <f aca="false">sbc_r*Sens!$H$6783</f>
        <v>24.1772394325528</v>
      </c>
      <c r="I6862" s="38" t="n">
        <f aca="false">sbc_r*Sens!$I$6783</f>
        <v>27.6495284422397</v>
      </c>
      <c r="J6862" s="38" t="n">
        <f aca="false">sbc_r*Sens!$J$6783</f>
        <v>30.9042211184633</v>
      </c>
      <c r="K6862" s="38" t="n">
        <f aca="false">sbc_r*Sens!$K$6783</f>
        <v>33.8004145402678</v>
      </c>
      <c r="L6862" s="38" t="n">
        <f aca="false">sbc_r*Sens!$L$6783</f>
        <v>36.8322537652494</v>
      </c>
      <c r="M6862" s="38" t="n">
        <f aca="false">sbc_r*Sens!$M$6783</f>
        <v>40.0097627968013</v>
      </c>
    </row>
    <row r="6863" customFormat="false" ht="17.15" hidden="false" customHeight="false" outlineLevel="0" collapsed="false">
      <c r="A6863" s="5" t="s">
        <v>733</v>
      </c>
      <c r="B6863" s="0" t="s">
        <v>73</v>
      </c>
      <c r="C6863" s="38" t="n">
        <f aca="false">Q!$D$44-Sens!$C$6860-Sens!$C$6861-Sens!$C$6862</f>
        <v>2.551</v>
      </c>
      <c r="D6863" s="38" t="n">
        <f aca="false">Q!$E$44-Sens!$D$6860-Sens!$D$6861-Sens!$D$6862</f>
        <v>0.51700000000001</v>
      </c>
      <c r="E6863" s="38" t="n">
        <f aca="false">Q!$P$44-Sens!$E$6860-Sens!$E$6861-Sens!$E$6862</f>
        <v>-58.256</v>
      </c>
      <c r="F6863" s="38" t="n">
        <f aca="false">wc_2h26+oth_r*Sens!$F$6783</f>
        <v>7.34599241893378</v>
      </c>
      <c r="G6863" s="38" t="n">
        <f aca="false">Sens!$E$6863+Sens!$F$6863</f>
        <v>-50.9100075810662</v>
      </c>
      <c r="H6863" s="38" t="n">
        <f aca="false">oth_r*Sens!$H$6783</f>
        <v>11.6369707537667</v>
      </c>
      <c r="I6863" s="38" t="n">
        <f aca="false">oth_r*Sens!$I$6783</f>
        <v>13.3082502961262</v>
      </c>
      <c r="J6863" s="38" t="n">
        <f aca="false">oth_r*Sens!$J$6783</f>
        <v>14.8747965344332</v>
      </c>
      <c r="K6863" s="38" t="n">
        <f aca="false">oth_r*Sens!$K$6783</f>
        <v>16.2687901804328</v>
      </c>
      <c r="L6863" s="38" t="n">
        <f aca="false">oth_r*Sens!$L$6783</f>
        <v>17.7280727627002</v>
      </c>
      <c r="M6863" s="38" t="n">
        <f aca="false">oth_r*Sens!$M$6783</f>
        <v>19.2574690270319</v>
      </c>
      <c r="P6863" s="8" t="s">
        <v>734</v>
      </c>
    </row>
    <row r="6864" customFormat="false" ht="15" hidden="false" customHeight="false" outlineLevel="0" collapsed="false">
      <c r="A6864" s="3" t="s">
        <v>515</v>
      </c>
      <c r="B6864" s="8" t="s">
        <v>73</v>
      </c>
      <c r="C6864" s="38" t="n">
        <f aca="false">Q!$D$44</f>
        <v>115.877</v>
      </c>
      <c r="D6864" s="38" t="n">
        <f aca="false">Q!$E$44</f>
        <v>139.514</v>
      </c>
      <c r="E6864" s="38" t="n">
        <f aca="false">Q!$P$44</f>
        <v>71.419</v>
      </c>
      <c r="F6864" s="38" t="n">
        <f aca="false">Sens!$F$6860+Sens!$F$6861+Sens!$F$6862+Sens!$F$6863</f>
        <v>98.1168214087795</v>
      </c>
      <c r="G6864" s="38" t="n">
        <f aca="false">Sens!$E$6864+Sens!$F$6864</f>
        <v>169.535821408779</v>
      </c>
      <c r="H6864" s="38" t="n">
        <f aca="false">Sens!$H$6860+Sens!$H$6861+Sens!$H$6862+Sens!$H$6863</f>
        <v>232.771414908824</v>
      </c>
      <c r="I6864" s="38" t="n">
        <f aca="false">Sens!$I$6860+Sens!$I$6861+Sens!$I$6862+Sens!$I$6863</f>
        <v>291.558719809312</v>
      </c>
      <c r="J6864" s="38" t="n">
        <f aca="false">Sens!$J$6860+Sens!$J$6861+Sens!$J$6862+Sens!$J$6863</f>
        <v>349.413682016529</v>
      </c>
      <c r="K6864" s="38" t="n">
        <f aca="false">Sens!$K$6860+Sens!$K$6861+Sens!$K$6862+Sens!$K$6863</f>
        <v>404.158841197156</v>
      </c>
      <c r="L6864" s="38" t="n">
        <f aca="false">Sens!$L$6860+Sens!$L$6861+Sens!$L$6862+Sens!$L$6863</f>
        <v>460.380969240231</v>
      </c>
      <c r="M6864" s="38" t="n">
        <f aca="false">Sens!$M$6860+Sens!$M$6861+Sens!$M$6862+Sens!$M$6863</f>
        <v>518.926354750515</v>
      </c>
    </row>
    <row r="6865" customFormat="false" ht="17.15" hidden="false" customHeight="false" outlineLevel="0" collapsed="false">
      <c r="A6865" s="5" t="s">
        <v>735</v>
      </c>
      <c r="B6865" s="0" t="s">
        <v>73</v>
      </c>
      <c r="C6865" s="38" t="n">
        <f aca="false">Sens!$C$6752</f>
        <v>25.2781053077374</v>
      </c>
      <c r="D6865" s="38" t="n">
        <f aca="false">Sens!$D$6752</f>
        <v>69.5686316310026</v>
      </c>
      <c r="E6865" s="38" t="n">
        <f aca="false">Sens!$E$6752</f>
        <v>64.1899206485108</v>
      </c>
      <c r="F6865" s="38" t="n">
        <f aca="false">Sens!$F$6752</f>
        <v>96.2481299895</v>
      </c>
      <c r="G6865" s="38" t="n">
        <f aca="false">Sens!$G$6752</f>
        <v>160.438050638011</v>
      </c>
      <c r="H6865" s="38" t="n">
        <f aca="false">Sens!$H$6752</f>
        <v>198.57136494475</v>
      </c>
      <c r="I6865" s="38" t="n">
        <f aca="false">Sens!$I$6752</f>
        <v>204.6464699105</v>
      </c>
      <c r="J6865" s="38" t="n">
        <f aca="false">Sens!$J$6752</f>
        <v>209.8832381105</v>
      </c>
      <c r="K6865" s="38" t="n">
        <f aca="false">Sens!$K$6752</f>
        <v>215.1200063105</v>
      </c>
      <c r="L6865" s="38" t="n">
        <f aca="false">Sens!$L$6752</f>
        <v>251.7773837105</v>
      </c>
      <c r="M6865" s="38" t="n">
        <f aca="false">Sens!$M$6752</f>
        <v>311.87584476575</v>
      </c>
    </row>
    <row r="6866" customFormat="false" ht="17.15" hidden="false" customHeight="false" outlineLevel="0" collapsed="false">
      <c r="A6866" s="5" t="s">
        <v>736</v>
      </c>
      <c r="B6866" s="0" t="s">
        <v>73</v>
      </c>
      <c r="C6866" s="38" t="n">
        <f aca="false">cx_awso*Sens!$C$6781</f>
        <v>21.0469989286053</v>
      </c>
      <c r="D6866" s="38" t="n">
        <f aca="false">cx_awso*Sens!$D$6781</f>
        <v>24.0042459822698</v>
      </c>
      <c r="E6866" s="38" t="n">
        <f aca="false">cx_awso*Sens!$E$6781</f>
        <v>14.261729404886</v>
      </c>
      <c r="F6866" s="38" t="n">
        <f aca="false">cx_awso*Sens!$F$6781</f>
        <v>15.7190020837331</v>
      </c>
      <c r="G6866" s="38" t="n">
        <f aca="false">Sens!$E$6866+Sens!$F$6866</f>
        <v>29.9807314886191</v>
      </c>
      <c r="H6866" s="38" t="n">
        <f aca="false">cx_awso*Sens!$H$6781</f>
        <v>36.1787121536283</v>
      </c>
      <c r="I6866" s="38" t="n">
        <f aca="false">cx_awso*Sens!$I$6781</f>
        <v>42.1296794430021</v>
      </c>
      <c r="J6866" s="38" t="n">
        <f aca="false">cx_awso*Sens!$J$6781</f>
        <v>47.279781889299</v>
      </c>
      <c r="K6866" s="38" t="n">
        <f aca="false">cx_awso*Sens!$K$6781</f>
        <v>51.0621644404429</v>
      </c>
      <c r="L6866" s="38" t="n">
        <f aca="false">cx_awso*Sens!$L$6781</f>
        <v>55.1471375956783</v>
      </c>
      <c r="M6866" s="38" t="n">
        <f aca="false">cx_awso*Sens!$M$6781</f>
        <v>59.5589086033326</v>
      </c>
    </row>
    <row r="6867" customFormat="false" ht="17.15" hidden="false" customHeight="false" outlineLevel="0" collapsed="false">
      <c r="A6867" s="5" t="s">
        <v>737</v>
      </c>
      <c r="B6867" s="0" t="s">
        <v>73</v>
      </c>
      <c r="C6867" s="38" t="n">
        <f aca="false">Q!$D$46-Sens!$C$6865-Sens!$C$6866</f>
        <v>31.3328957636573</v>
      </c>
      <c r="D6867" s="38" t="n">
        <f aca="false">Q!$E$46-Sens!$D$6865-Sens!$D$6866</f>
        <v>34.7471223867276</v>
      </c>
      <c r="E6867" s="38" t="n">
        <f aca="false">Q!$P$46-Sens!$E$6865-Sens!$E$6866</f>
        <v>17.8583499466032</v>
      </c>
      <c r="F6867" s="38" t="n">
        <f aca="false">cx_rt*Sens!$F$6716</f>
        <v>21.0855744229195</v>
      </c>
      <c r="G6867" s="38" t="n">
        <f aca="false">Sens!$E$6867+Sens!$F$6867</f>
        <v>38.9439243695228</v>
      </c>
      <c r="H6867" s="38" t="n">
        <f aca="false">cx_rt*Sens!$H$6716</f>
        <v>43.1200434029767</v>
      </c>
      <c r="I6867" s="38" t="n">
        <f aca="false">cx_rt*Sens!$I$6716</f>
        <v>47.1583152318763</v>
      </c>
      <c r="J6867" s="38" t="n">
        <f aca="false">cx_rt*Sens!$J$6716</f>
        <v>50.9060281137911</v>
      </c>
      <c r="K6867" s="38" t="n">
        <f aca="false">cx_rt*Sens!$K$6716</f>
        <v>54.2035645673053</v>
      </c>
      <c r="L6867" s="38" t="n">
        <f aca="false">cx_rt*Sens!$L$6716</f>
        <v>57.7318979121519</v>
      </c>
      <c r="M6867" s="38" t="n">
        <f aca="false">cx_rt*Sens!$M$6716</f>
        <v>61.5084196557756</v>
      </c>
    </row>
    <row r="6868" customFormat="false" ht="15" hidden="false" customHeight="false" outlineLevel="0" collapsed="false">
      <c r="A6868" s="3" t="s">
        <v>738</v>
      </c>
      <c r="B6868" s="8" t="s">
        <v>73</v>
      </c>
      <c r="C6868" s="38" t="n">
        <f aca="false">Q!$D$46</f>
        <v>77.658</v>
      </c>
      <c r="D6868" s="38" t="n">
        <f aca="false">Q!$E$46</f>
        <v>128.32</v>
      </c>
      <c r="E6868" s="38" t="n">
        <f aca="false">Q!$P$46</f>
        <v>96.31</v>
      </c>
      <c r="F6868" s="38" t="n">
        <f aca="false">Sens!$F$6865+Sens!$F$6866+Sens!$F$6867</f>
        <v>133.052706496153</v>
      </c>
      <c r="G6868" s="38" t="n">
        <f aca="false">Sens!$E$6868+Sens!$F$6868</f>
        <v>229.362706496153</v>
      </c>
      <c r="H6868" s="38" t="n">
        <f aca="false">Sens!$H$6865+Sens!$H$6866+Sens!$H$6867</f>
        <v>277.870120501355</v>
      </c>
      <c r="I6868" s="38" t="n">
        <f aca="false">Sens!$I$6865+Sens!$I$6866+Sens!$I$6867</f>
        <v>293.934464585378</v>
      </c>
      <c r="J6868" s="38" t="n">
        <f aca="false">Sens!$J$6865+Sens!$J$6866+Sens!$J$6867</f>
        <v>308.06904811359</v>
      </c>
      <c r="K6868" s="38" t="n">
        <f aca="false">Sens!$K$6865+Sens!$K$6866+Sens!$K$6867</f>
        <v>320.385735318248</v>
      </c>
      <c r="L6868" s="38" t="n">
        <f aca="false">Sens!$L$6865+Sens!$L$6866+Sens!$L$6867</f>
        <v>364.65641921833</v>
      </c>
      <c r="M6868" s="38" t="n">
        <f aca="false">Sens!$M$6865+Sens!$M$6866+Sens!$M$6867</f>
        <v>432.943173024858</v>
      </c>
    </row>
    <row r="6869" customFormat="false" ht="17.15" hidden="false" customHeight="false" outlineLevel="0" collapsed="false">
      <c r="A6869" s="5" t="s">
        <v>523</v>
      </c>
      <c r="B6869" s="0" t="s">
        <v>73</v>
      </c>
      <c r="C6869" s="38" t="n">
        <f aca="false">Q!$D$50</f>
        <v>2.043</v>
      </c>
      <c r="D6869" s="38" t="n">
        <f aca="false">Q!$E$50</f>
        <v>1.557</v>
      </c>
      <c r="E6869" s="38" t="n">
        <f aca="false">lease_pr/2</f>
        <v>0.8</v>
      </c>
      <c r="F6869" s="38" t="n">
        <f aca="false">lease_pr/2</f>
        <v>0.8</v>
      </c>
      <c r="G6869" s="38" t="n">
        <f aca="false">Sens!$E$6869+Sens!$F$6869</f>
        <v>1.6</v>
      </c>
      <c r="H6869" s="38" t="n">
        <f aca="false">lease_pr</f>
        <v>1.6</v>
      </c>
      <c r="I6869" s="38" t="n">
        <f aca="false">lease_pr</f>
        <v>1.6</v>
      </c>
      <c r="J6869" s="38" t="n">
        <f aca="false">lease_pr</f>
        <v>1.6</v>
      </c>
      <c r="K6869" s="38" t="n">
        <f aca="false">lease_pr</f>
        <v>1.6</v>
      </c>
      <c r="L6869" s="38" t="n">
        <f aca="false">lease_pr</f>
        <v>1.6</v>
      </c>
      <c r="M6869" s="38" t="n">
        <f aca="false">lease_pr</f>
        <v>1.6</v>
      </c>
      <c r="P6869" s="8" t="s">
        <v>739</v>
      </c>
    </row>
    <row r="6870" customFormat="false" ht="15" hidden="false" customHeight="false" outlineLevel="0" collapsed="false">
      <c r="A6870" s="46" t="s">
        <v>740</v>
      </c>
      <c r="B6870" s="13" t="s">
        <v>73</v>
      </c>
      <c r="C6870" s="47" t="n">
        <f aca="false">Sens!$C$6864-Sens!$C$6868-Sens!$C$6869</f>
        <v>36.176</v>
      </c>
      <c r="D6870" s="47" t="n">
        <f aca="false">Sens!$D$6864-Sens!$D$6868-Sens!$D$6869</f>
        <v>9.63700000000002</v>
      </c>
      <c r="E6870" s="47" t="n">
        <f aca="false">Sens!$E$6864-Sens!$E$6868-Sens!$E$6869</f>
        <v>-25.691</v>
      </c>
      <c r="F6870" s="47" t="n">
        <f aca="false">Sens!$F$6864-Sens!$F$6868-Sens!$F$6869</f>
        <v>-35.7358850873731</v>
      </c>
      <c r="G6870" s="47" t="n">
        <f aca="false">Sens!$G$6864-Sens!$G$6868-Sens!$G$6869</f>
        <v>-61.4268850873731</v>
      </c>
      <c r="H6870" s="47" t="n">
        <f aca="false">Sens!$H$6864-Sens!$H$6868-Sens!$H$6869</f>
        <v>-46.6987055925312</v>
      </c>
      <c r="I6870" s="47" t="n">
        <f aca="false">Sens!$I$6864-Sens!$I$6868-Sens!$I$6869</f>
        <v>-3.97574477606648</v>
      </c>
      <c r="J6870" s="47" t="n">
        <f aca="false">Sens!$J$6864-Sens!$J$6868-Sens!$J$6869</f>
        <v>39.7446339029391</v>
      </c>
      <c r="K6870" s="47" t="n">
        <f aca="false">Sens!$K$6864-Sens!$K$6868-Sens!$K$6869</f>
        <v>82.1731058789073</v>
      </c>
      <c r="L6870" s="47" t="n">
        <f aca="false">Sens!$L$6864-Sens!$L$6868-Sens!$L$6869</f>
        <v>94.1245500219009</v>
      </c>
      <c r="M6870" s="47" t="n">
        <f aca="false">Sens!$M$6864-Sens!$M$6868-Sens!$M$6869</f>
        <v>84.3831817256571</v>
      </c>
      <c r="N6870" s="13"/>
      <c r="O6870" s="13"/>
    </row>
    <row r="6871" customFormat="false" ht="17.15" hidden="false" customHeight="false" outlineLevel="0" collapsed="false">
      <c r="A6871" s="5" t="s">
        <v>741</v>
      </c>
      <c r="B6871" s="0" t="s">
        <v>73</v>
      </c>
      <c r="C6871" s="38" t="n">
        <f aca="false">dps*Sens!$C$6852</f>
        <v>0</v>
      </c>
      <c r="D6871" s="38" t="n">
        <f aca="false">dps*Sens!$D$6852</f>
        <v>0</v>
      </c>
      <c r="E6871" s="38" t="n">
        <f aca="false">dps*Sens!$E$6852</f>
        <v>0</v>
      </c>
      <c r="F6871" s="38" t="n">
        <f aca="false">0</f>
        <v>0</v>
      </c>
      <c r="G6871" s="38" t="n">
        <f aca="false">dps*Sens!$G$6852</f>
        <v>0</v>
      </c>
      <c r="H6871" s="38" t="n">
        <f aca="false">dps*Sens!$H$6852</f>
        <v>0</v>
      </c>
      <c r="I6871" s="38" t="n">
        <f aca="false">dps*Sens!$I$6852</f>
        <v>0</v>
      </c>
      <c r="J6871" s="38" t="n">
        <f aca="false">dps*Sens!$J$6852</f>
        <v>0</v>
      </c>
      <c r="K6871" s="38" t="n">
        <f aca="false">dps*Sens!$K$6852</f>
        <v>0</v>
      </c>
      <c r="L6871" s="38" t="n">
        <f aca="false">dps*Sens!$L$6852</f>
        <v>0</v>
      </c>
      <c r="M6871" s="38" t="n">
        <f aca="false">dps*Sens!$M$6852</f>
        <v>0</v>
      </c>
      <c r="P6871" s="8" t="s">
        <v>742</v>
      </c>
    </row>
    <row r="6872" customFormat="false" ht="17.15" hidden="false" customHeight="false" outlineLevel="0" collapsed="false">
      <c r="A6872" s="5" t="s">
        <v>743</v>
      </c>
      <c r="B6872" s="0" t="s">
        <v>73</v>
      </c>
      <c r="C6872" s="38" t="n">
        <f aca="false">0</f>
        <v>0</v>
      </c>
      <c r="D6872" s="38" t="n">
        <f aca="false">0</f>
        <v>0</v>
      </c>
      <c r="E6872" s="38" t="n">
        <f aca="false">0</f>
        <v>0</v>
      </c>
      <c r="F6872" s="38" t="n">
        <f aca="false">0</f>
        <v>0</v>
      </c>
      <c r="G6872" s="38" t="n">
        <f aca="false">0</f>
        <v>0</v>
      </c>
      <c r="H6872" s="38" t="n">
        <f aca="false">0</f>
        <v>0</v>
      </c>
      <c r="I6872" s="38" t="n">
        <f aca="false">0</f>
        <v>0</v>
      </c>
      <c r="J6872" s="38" t="n">
        <f aca="false">0</f>
        <v>0</v>
      </c>
      <c r="K6872" s="38" t="n">
        <f aca="false">0</f>
        <v>0</v>
      </c>
      <c r="L6872" s="38" t="n">
        <f aca="false">0</f>
        <v>0</v>
      </c>
      <c r="M6872" s="38" t="n">
        <f aca="false">0</f>
        <v>0</v>
      </c>
      <c r="P6872" s="8" t="s">
        <v>744</v>
      </c>
    </row>
    <row r="6873" customFormat="false" ht="15" hidden="false" customHeight="false" outlineLevel="0" collapsed="false">
      <c r="A6873" s="3" t="s">
        <v>745</v>
      </c>
      <c r="B6873" s="8" t="s">
        <v>73</v>
      </c>
      <c r="C6873" s="38" t="n">
        <f aca="false">Sens!$C$6870-Sens!$C$6871</f>
        <v>36.176</v>
      </c>
      <c r="D6873" s="38" t="n">
        <f aca="false">Sens!$D$6870-Sens!$D$6871</f>
        <v>9.63700000000002</v>
      </c>
      <c r="E6873" s="38" t="n">
        <f aca="false">Sens!$E$6870-Sens!$E$6871</f>
        <v>-25.691</v>
      </c>
      <c r="F6873" s="38" t="n">
        <f aca="false">Sens!$F$6870-Sens!$F$6871</f>
        <v>-35.7358850873731</v>
      </c>
      <c r="G6873" s="38" t="n">
        <f aca="false">Sens!$G$6870-Sens!$G$6871</f>
        <v>-61.4268850873731</v>
      </c>
      <c r="H6873" s="38" t="n">
        <f aca="false">Sens!$H$6870-Sens!$H$6871</f>
        <v>-46.6987055925312</v>
      </c>
      <c r="I6873" s="38" t="n">
        <f aca="false">Sens!$I$6870-Sens!$I$6871</f>
        <v>-3.97574477606648</v>
      </c>
      <c r="J6873" s="38" t="n">
        <f aca="false">Sens!$J$6870-Sens!$J$6871</f>
        <v>39.7446339029391</v>
      </c>
      <c r="K6873" s="38" t="n">
        <f aca="false">Sens!$K$6870-Sens!$K$6871</f>
        <v>82.1731058789073</v>
      </c>
      <c r="L6873" s="38" t="n">
        <f aca="false">Sens!$L$6870-Sens!$L$6871</f>
        <v>94.1245500219009</v>
      </c>
      <c r="M6873" s="38" t="n">
        <f aca="false">Sens!$M$6870-Sens!$M$6871</f>
        <v>84.3831817256571</v>
      </c>
    </row>
    <row r="6874" customFormat="false" ht="17.15" hidden="false" customHeight="false" outlineLevel="0" collapsed="false">
      <c r="A6874" s="5" t="s">
        <v>746</v>
      </c>
      <c r="B6874" s="0" t="s">
        <v>73</v>
      </c>
      <c r="E6874" s="38" t="n">
        <f aca="false">Q!$P$53</f>
        <v>39.767</v>
      </c>
      <c r="F6874" s="38" t="n">
        <f aca="false">inv_2h26</f>
        <v>21.3</v>
      </c>
      <c r="G6874" s="38" t="n">
        <f aca="false">Sens!$E$6874+Sens!$F$6874</f>
        <v>61.067</v>
      </c>
      <c r="H6874" s="41" t="n">
        <v>0</v>
      </c>
      <c r="I6874" s="41" t="n">
        <v>0</v>
      </c>
      <c r="J6874" s="41" t="n">
        <v>0</v>
      </c>
      <c r="K6874" s="41" t="n">
        <v>0</v>
      </c>
      <c r="L6874" s="41" t="n">
        <v>0</v>
      </c>
      <c r="M6874" s="41" t="n">
        <v>0</v>
      </c>
    </row>
    <row r="6875" customFormat="false" ht="17.15" hidden="false" customHeight="false" outlineLevel="0" collapsed="false">
      <c r="A6875" s="5" t="s">
        <v>747</v>
      </c>
      <c r="B6875" s="0" t="s">
        <v>73</v>
      </c>
      <c r="F6875" s="38" t="n">
        <f aca="false">iss_2h26</f>
        <v>29.25</v>
      </c>
      <c r="G6875" s="38" t="n">
        <f aca="false">Sens!$F$6875</f>
        <v>29.25</v>
      </c>
      <c r="H6875" s="41" t="n">
        <v>0</v>
      </c>
      <c r="I6875" s="41" t="n">
        <v>0</v>
      </c>
      <c r="J6875" s="41" t="n">
        <v>0</v>
      </c>
      <c r="K6875" s="41" t="n">
        <v>0</v>
      </c>
      <c r="L6875" s="41" t="n">
        <v>0</v>
      </c>
      <c r="M6875" s="41" t="n">
        <v>0</v>
      </c>
    </row>
    <row r="6876" customFormat="false" ht="17.15" hidden="false" customHeight="false" outlineLevel="0" collapsed="false">
      <c r="A6876" s="5" t="s">
        <v>748</v>
      </c>
      <c r="B6876" s="0" t="s">
        <v>73</v>
      </c>
      <c r="F6876" s="38" t="n">
        <f aca="false">cash_q2</f>
        <v>122.988</v>
      </c>
      <c r="G6876" s="38" t="n">
        <f aca="false">cash_q2</f>
        <v>122.988</v>
      </c>
      <c r="H6876" s="38" t="n">
        <f aca="false">Sens!$G$6879</f>
        <v>95.2021149126269</v>
      </c>
      <c r="I6876" s="38" t="n">
        <f aca="false">Sens!$H$6879</f>
        <v>50</v>
      </c>
      <c r="J6876" s="38" t="n">
        <f aca="false">Sens!$I$6879</f>
        <v>50</v>
      </c>
      <c r="K6876" s="38" t="n">
        <f aca="false">Sens!$J$6879</f>
        <v>89.7446339029391</v>
      </c>
      <c r="L6876" s="38" t="n">
        <f aca="false">Sens!$K$6879</f>
        <v>171.917739781846</v>
      </c>
      <c r="M6876" s="38" t="n">
        <f aca="false">Sens!$L$6879</f>
        <v>266.042289803747</v>
      </c>
    </row>
    <row r="6877" customFormat="false" ht="15" hidden="false" customHeight="false" outlineLevel="0" collapsed="false">
      <c r="A6877" s="5" t="s">
        <v>749</v>
      </c>
      <c r="B6877" s="0" t="s">
        <v>73</v>
      </c>
      <c r="F6877" s="38" t="n">
        <f aca="false">Sens!$F$6876+Sens!$F$6873-Sens!$F$6872-Sens!$F$6874+Sens!$F$6875</f>
        <v>95.2021149126269</v>
      </c>
      <c r="H6877" s="38" t="n">
        <f aca="false">Sens!$H$6876+Sens!$H$6873-Sens!$H$6872-Sens!$H$6874+Sens!$H$6875</f>
        <v>48.5034093200957</v>
      </c>
      <c r="I6877" s="38" t="n">
        <f aca="false">Sens!$I$6876+Sens!$I$6873-Sens!$I$6872-Sens!$I$6874+Sens!$I$6875</f>
        <v>46.0242552239335</v>
      </c>
      <c r="J6877" s="38" t="n">
        <f aca="false">Sens!$J$6876+Sens!$J$6873-Sens!$J$6872-Sens!$J$6874+Sens!$J$6875</f>
        <v>89.7446339029391</v>
      </c>
      <c r="K6877" s="38" t="n">
        <f aca="false">Sens!$K$6876+Sens!$K$6873-Sens!$K$6872-Sens!$K$6874+Sens!$K$6875</f>
        <v>171.917739781846</v>
      </c>
      <c r="L6877" s="38" t="n">
        <f aca="false">Sens!$L$6876+Sens!$L$6873-Sens!$L$6872-Sens!$L$6874+Sens!$L$6875</f>
        <v>266.042289803747</v>
      </c>
      <c r="M6877" s="38" t="n">
        <f aca="false">Sens!$M$6876+Sens!$M$6873-Sens!$M$6872-Sens!$M$6874+Sens!$M$6875</f>
        <v>350.425471529404</v>
      </c>
    </row>
    <row r="6878" customFormat="false" ht="17.15" hidden="false" customHeight="false" outlineLevel="0" collapsed="false">
      <c r="A6878" s="5" t="s">
        <v>750</v>
      </c>
      <c r="B6878" s="0" t="s">
        <v>73</v>
      </c>
      <c r="F6878" s="38" t="n">
        <f aca="false">MAX(0,min_cash-Sens!$F$6877)</f>
        <v>0</v>
      </c>
      <c r="G6878" s="38" t="n">
        <f aca="false">Sens!$F$6878</f>
        <v>0</v>
      </c>
      <c r="H6878" s="38" t="n">
        <f aca="false">MAX(0,min_cash-Sens!$H$6877)</f>
        <v>1.49659067990431</v>
      </c>
      <c r="I6878" s="38" t="n">
        <f aca="false">MAX(0,min_cash-Sens!$I$6877)</f>
        <v>3.97574477606648</v>
      </c>
      <c r="J6878" s="38" t="n">
        <f aca="false">MAX(0,min_cash-Sens!$J$6877)</f>
        <v>0</v>
      </c>
      <c r="K6878" s="38" t="n">
        <f aca="false">MAX(0,min_cash-Sens!$K$6877)</f>
        <v>0</v>
      </c>
      <c r="L6878" s="38" t="n">
        <f aca="false">MAX(0,min_cash-Sens!$L$6877)</f>
        <v>0</v>
      </c>
      <c r="M6878" s="38" t="n">
        <f aca="false">MAX(0,min_cash-Sens!$M$6877)</f>
        <v>0</v>
      </c>
      <c r="P6878" s="5" t="s">
        <v>751</v>
      </c>
    </row>
    <row r="6879" customFormat="false" ht="15" hidden="false" customHeight="false" outlineLevel="0" collapsed="false">
      <c r="A6879" s="5" t="s">
        <v>752</v>
      </c>
      <c r="B6879" s="0" t="s">
        <v>73</v>
      </c>
      <c r="D6879" s="38" t="n">
        <f aca="false">Q!$E$61</f>
        <v>123.029</v>
      </c>
      <c r="E6879" s="38" t="n">
        <f aca="false">Q!$M$61</f>
        <v>122.988</v>
      </c>
      <c r="F6879" s="38" t="n">
        <f aca="false">Sens!$F$6877+Sens!$F$6878</f>
        <v>95.2021149126269</v>
      </c>
      <c r="G6879" s="38" t="n">
        <f aca="false">Sens!$F$6879</f>
        <v>95.2021149126269</v>
      </c>
      <c r="H6879" s="38" t="n">
        <f aca="false">Sens!$H$6877+Sens!$H$6878</f>
        <v>50</v>
      </c>
      <c r="I6879" s="38" t="n">
        <f aca="false">Sens!$I$6877+Sens!$I$6878</f>
        <v>50</v>
      </c>
      <c r="J6879" s="38" t="n">
        <f aca="false">Sens!$J$6877+Sens!$J$6878</f>
        <v>89.7446339029391</v>
      </c>
      <c r="K6879" s="38" t="n">
        <f aca="false">Sens!$K$6877+Sens!$K$6878</f>
        <v>171.917739781846</v>
      </c>
      <c r="L6879" s="38" t="n">
        <f aca="false">Sens!$L$6877+Sens!$L$6878</f>
        <v>266.042289803747</v>
      </c>
      <c r="M6879" s="38" t="n">
        <f aca="false">Sens!$M$6877+Sens!$M$6878</f>
        <v>350.425471529404</v>
      </c>
    </row>
    <row r="6880" customFormat="false" ht="15" hidden="false" customHeight="false" outlineLevel="0" collapsed="false">
      <c r="A6880" s="5" t="s">
        <v>753</v>
      </c>
      <c r="B6880" s="0" t="s">
        <v>73</v>
      </c>
      <c r="D6880" s="38" t="n">
        <f aca="false">Q!$E$62</f>
        <v>68.836</v>
      </c>
      <c r="E6880" s="38" t="n">
        <f aca="false">Q!$M$62</f>
        <v>132.995</v>
      </c>
      <c r="F6880" s="38" t="n">
        <f aca="false">debt_q2+Sens!$F$6875+Sens!$F$6878</f>
        <v>162.245</v>
      </c>
      <c r="G6880" s="38" t="n">
        <f aca="false">Sens!$F$6880</f>
        <v>162.245</v>
      </c>
      <c r="H6880" s="38" t="n">
        <f aca="false">Sens!$G$6880+Sens!$H$6878</f>
        <v>163.741590679904</v>
      </c>
      <c r="I6880" s="38" t="n">
        <f aca="false">Sens!$H$6880+Sens!$I$6878</f>
        <v>167.717335455971</v>
      </c>
      <c r="J6880" s="38" t="n">
        <f aca="false">Sens!$I$6880+Sens!$J$6878</f>
        <v>167.717335455971</v>
      </c>
      <c r="K6880" s="38" t="n">
        <f aca="false">Sens!$J$6880+Sens!$K$6878</f>
        <v>167.717335455971</v>
      </c>
      <c r="L6880" s="38" t="n">
        <f aca="false">Sens!$K$6880+Sens!$L$6878</f>
        <v>167.717335455971</v>
      </c>
      <c r="M6880" s="38" t="n">
        <f aca="false">Sens!$L$6880+Sens!$M$6878</f>
        <v>167.717335455971</v>
      </c>
    </row>
    <row r="6881" customFormat="false" ht="15" hidden="false" customHeight="false" outlineLevel="0" collapsed="false">
      <c r="A6881" s="5" t="s">
        <v>754</v>
      </c>
      <c r="B6881" s="0" t="s">
        <v>73</v>
      </c>
      <c r="D6881" s="38" t="n">
        <f aca="false">Sens!$D$6880-Sens!$D$6879</f>
        <v>-54.193</v>
      </c>
      <c r="E6881" s="38" t="n">
        <f aca="false">Sens!$E$6880-Sens!$E$6879</f>
        <v>10.007</v>
      </c>
      <c r="F6881" s="38" t="n">
        <f aca="false">Sens!$F$6880-Sens!$F$6879</f>
        <v>67.0428850873731</v>
      </c>
      <c r="G6881" s="38" t="n">
        <f aca="false">Sens!$G$6880-Sens!$G$6879</f>
        <v>67.0428850873731</v>
      </c>
      <c r="H6881" s="38" t="n">
        <f aca="false">Sens!$H$6880-Sens!$H$6879</f>
        <v>113.741590679904</v>
      </c>
      <c r="I6881" s="38" t="n">
        <f aca="false">Sens!$I$6880-Sens!$I$6879</f>
        <v>117.717335455971</v>
      </c>
      <c r="J6881" s="38" t="n">
        <f aca="false">Sens!$J$6880-Sens!$J$6879</f>
        <v>77.9727015530317</v>
      </c>
      <c r="K6881" s="38" t="n">
        <f aca="false">Sens!$K$6880-Sens!$K$6879</f>
        <v>-4.20040432587558</v>
      </c>
      <c r="L6881" s="38" t="n">
        <f aca="false">Sens!$L$6880-Sens!$L$6879</f>
        <v>-98.3249543477765</v>
      </c>
      <c r="M6881" s="38" t="n">
        <f aca="false">Sens!$M$6880-Sens!$M$6879</f>
        <v>-182.708136073434</v>
      </c>
    </row>
    <row r="6882" customFormat="false" ht="17.15" hidden="false" customHeight="false" outlineLevel="0" collapsed="false">
      <c r="A6882" s="5" t="s">
        <v>755</v>
      </c>
      <c r="B6882" s="0" t="s">
        <v>73</v>
      </c>
      <c r="F6882" s="38" t="n">
        <f aca="false">debt_q2*kd_book*0.5+iss_2h26*kd_new*0.25</f>
        <v>3.24888964316061</v>
      </c>
      <c r="H6882" s="38" t="n">
        <f aca="false">debt_q2*kd_book+(Sens!$G$6880-debt_q2)*kd_new</f>
        <v>7.42354178632123</v>
      </c>
      <c r="I6882" s="38" t="n">
        <f aca="false">debt_q2*kd_book+(Sens!$H$6880-debt_q2)*kd_new</f>
        <v>7.51827597635917</v>
      </c>
      <c r="J6882" s="38" t="n">
        <f aca="false">debt_q2*kd_book+(Sens!$I$6880-debt_q2)*kd_new</f>
        <v>7.76994062068418</v>
      </c>
      <c r="K6882" s="38" t="n">
        <f aca="false">debt_q2*kd_book+(Sens!$J$6880-debt_q2)*kd_new</f>
        <v>7.76994062068418</v>
      </c>
      <c r="L6882" s="38" t="n">
        <f aca="false">debt_q2*kd_book+(Sens!$K$6880-debt_q2)*kd_new</f>
        <v>7.76994062068418</v>
      </c>
      <c r="M6882" s="38" t="n">
        <f aca="false">debt_q2*kd_book+(Sens!$L$6880-debt_q2)*kd_new</f>
        <v>7.76994062068418</v>
      </c>
    </row>
    <row r="6883" customFormat="false" ht="17.15" hidden="false" customHeight="false" outlineLevel="0" collapsed="false">
      <c r="A6883" s="5" t="s">
        <v>756</v>
      </c>
      <c r="B6883" s="0" t="s">
        <v>73</v>
      </c>
      <c r="F6883" s="38" t="n">
        <f aca="false">cash_q2*y_cash*0.5</f>
        <v>2.59</v>
      </c>
      <c r="H6883" s="38" t="n">
        <f aca="false">Sens!$G$6879*y_cash</f>
        <v>4.00971603121774</v>
      </c>
      <c r="I6883" s="38" t="n">
        <f aca="false">Sens!$H$6879*y_cash</f>
        <v>2.10589651022864</v>
      </c>
      <c r="J6883" s="38" t="n">
        <f aca="false">Sens!$I$6879*y_cash</f>
        <v>2.10589651022864</v>
      </c>
      <c r="K6883" s="38" t="n">
        <f aca="false">Sens!$J$6879*y_cash</f>
        <v>3.77985822695893</v>
      </c>
      <c r="L6883" s="38" t="n">
        <f aca="false">Sens!$K$6879*y_cash</f>
        <v>7.24081936505971</v>
      </c>
      <c r="M6883" s="38" t="n">
        <f aca="false">Sens!$L$6879*y_cash</f>
        <v>11.205150593419</v>
      </c>
    </row>
    <row r="6884" customFormat="false" ht="17.15" hidden="false" customHeight="false" outlineLevel="0" collapsed="false">
      <c r="A6884" s="46" t="s">
        <v>757</v>
      </c>
      <c r="B6884" s="13" t="s">
        <v>73</v>
      </c>
      <c r="C6884" s="13"/>
      <c r="D6884" s="13"/>
      <c r="E6884" s="13"/>
      <c r="F6884" s="13"/>
      <c r="G6884" s="47" t="n">
        <f aca="false">SUM(Sens!$G$6873:$K$6873)</f>
        <v>9.81640432587554</v>
      </c>
      <c r="H6884" s="13"/>
      <c r="I6884" s="13"/>
      <c r="J6884" s="13"/>
      <c r="K6884" s="13"/>
      <c r="L6884" s="13"/>
      <c r="M6884" s="13"/>
      <c r="N6884" s="13"/>
      <c r="O6884" s="13"/>
    </row>
    <row r="6885" customFormat="false" ht="17.15" hidden="false" customHeight="false" outlineLevel="0" collapsed="false">
      <c r="A6885" s="0" t="s">
        <v>724</v>
      </c>
      <c r="B6885" s="0" t="s">
        <v>73</v>
      </c>
      <c r="G6885" s="38" t="n">
        <f aca="false">SUM(Sens!$G$6878:$K$6878)</f>
        <v>5.47233545597079</v>
      </c>
    </row>
    <row r="6888" customFormat="false" ht="19.4" hidden="false" customHeight="false" outlineLevel="0" collapsed="false">
      <c r="A6888" s="31" t="s">
        <v>1194</v>
      </c>
    </row>
    <row r="6889" customFormat="false" ht="17.15" hidden="false" customHeight="false" outlineLevel="0" collapsed="false">
      <c r="A6889" s="6" t="s">
        <v>16</v>
      </c>
      <c r="B6889" s="6" t="s">
        <v>17</v>
      </c>
      <c r="C6889" s="20" t="s">
        <v>457</v>
      </c>
      <c r="D6889" s="20" t="s">
        <v>458</v>
      </c>
      <c r="E6889" s="20" t="s">
        <v>540</v>
      </c>
      <c r="F6889" s="20" t="s">
        <v>541</v>
      </c>
      <c r="G6889" s="20" t="s">
        <v>542</v>
      </c>
      <c r="H6889" s="20" t="s">
        <v>543</v>
      </c>
      <c r="I6889" s="20" t="s">
        <v>544</v>
      </c>
      <c r="J6889" s="20" t="s">
        <v>545</v>
      </c>
      <c r="K6889" s="20" t="s">
        <v>546</v>
      </c>
      <c r="L6889" s="20" t="s">
        <v>547</v>
      </c>
      <c r="M6889" s="20" t="s">
        <v>548</v>
      </c>
      <c r="N6889" s="20" t="s">
        <v>549</v>
      </c>
      <c r="O6889" s="20" t="s">
        <v>550</v>
      </c>
      <c r="P6889" s="6" t="s">
        <v>23</v>
      </c>
      <c r="R6889" s="20" t="n">
        <v>2023</v>
      </c>
      <c r="S6889" s="20" t="n">
        <v>2024</v>
      </c>
      <c r="T6889" s="20" t="n">
        <v>2025</v>
      </c>
      <c r="U6889" s="20" t="n">
        <v>2026</v>
      </c>
      <c r="V6889" s="20" t="n">
        <v>2027</v>
      </c>
      <c r="W6889" s="20" t="n">
        <v>2028</v>
      </c>
      <c r="X6889" s="20" t="n">
        <v>2029</v>
      </c>
      <c r="Y6889" s="20" t="n">
        <v>2030</v>
      </c>
      <c r="Z6889" s="20" t="n">
        <v>2031</v>
      </c>
      <c r="AA6889" s="20" t="n">
        <v>2032</v>
      </c>
    </row>
    <row r="6890" customFormat="false" ht="17.15" hidden="false" customHeight="false" outlineLevel="0" collapsed="false">
      <c r="A6890" s="1" t="s">
        <v>852</v>
      </c>
    </row>
    <row r="6891" customFormat="false" ht="17.15" hidden="false" customHeight="false" outlineLevel="0" collapsed="false">
      <c r="A6891" s="0" t="s">
        <v>853</v>
      </c>
      <c r="B6891" s="0" t="s">
        <v>73</v>
      </c>
      <c r="H6891" s="38" t="n">
        <f aca="false">Sens!$H$6827*(1-tax)</f>
        <v>112.093921330558</v>
      </c>
      <c r="I6891" s="38" t="n">
        <f aca="false">Sens!$I$6827*(1-tax)</f>
        <v>132.779045500917</v>
      </c>
      <c r="J6891" s="38" t="n">
        <f aca="false">Sens!$J$6827*(1-tax)</f>
        <v>151.181555485193</v>
      </c>
      <c r="K6891" s="38" t="n">
        <f aca="false">Sens!$K$6827*(1-tax)</f>
        <v>166.036468953087</v>
      </c>
      <c r="L6891" s="38" t="n">
        <f aca="false">Sens!$L$6827*(1-tax)</f>
        <v>182.348678369869</v>
      </c>
      <c r="M6891" s="38" t="n">
        <f aca="false">Sens!$M$6827*(1-tax)</f>
        <v>199.243892383632</v>
      </c>
    </row>
    <row r="6892" customFormat="false" ht="15" hidden="false" customHeight="false" outlineLevel="0" collapsed="false">
      <c r="A6892" s="5" t="s">
        <v>854</v>
      </c>
      <c r="B6892" s="0" t="s">
        <v>73</v>
      </c>
      <c r="H6892" s="38" t="n">
        <f aca="false">Sens!$H$6839</f>
        <v>87.6845218193838</v>
      </c>
      <c r="I6892" s="38" t="n">
        <f aca="false">Sens!$I$6839</f>
        <v>122.294769708638</v>
      </c>
      <c r="J6892" s="38" t="n">
        <f aca="false">Sens!$J$6839</f>
        <v>157.133962573221</v>
      </c>
      <c r="K6892" s="38" t="n">
        <f aca="false">Sens!$K$6839</f>
        <v>191.350633353599</v>
      </c>
      <c r="L6892" s="38" t="n">
        <f aca="false">Sens!$L$6839</f>
        <v>223.909238335354</v>
      </c>
      <c r="M6892" s="38" t="n">
        <f aca="false">Sens!$M$6839</f>
        <v>257.576319867276</v>
      </c>
    </row>
    <row r="6893" customFormat="false" ht="15" hidden="false" customHeight="false" outlineLevel="0" collapsed="false">
      <c r="A6893" s="5" t="s">
        <v>855</v>
      </c>
      <c r="B6893" s="0" t="s">
        <v>73</v>
      </c>
      <c r="H6893" s="38" t="n">
        <f aca="false">Sens!$H$6868</f>
        <v>277.870120501355</v>
      </c>
      <c r="I6893" s="38" t="n">
        <f aca="false">Sens!$I$6868</f>
        <v>293.934464585378</v>
      </c>
      <c r="J6893" s="38" t="n">
        <f aca="false">Sens!$J$6868</f>
        <v>308.06904811359</v>
      </c>
      <c r="K6893" s="38" t="n">
        <f aca="false">Sens!$K$6868</f>
        <v>320.385735318248</v>
      </c>
      <c r="L6893" s="38" t="n">
        <f aca="false">Sens!$L$6868</f>
        <v>364.65641921833</v>
      </c>
      <c r="M6893" s="38" t="n">
        <f aca="false">Sens!$M$6868</f>
        <v>432.943173024858</v>
      </c>
    </row>
    <row r="6894" customFormat="false" ht="15" hidden="false" customHeight="false" outlineLevel="0" collapsed="false">
      <c r="A6894" s="5" t="s">
        <v>856</v>
      </c>
      <c r="B6894" s="0" t="s">
        <v>73</v>
      </c>
      <c r="H6894" s="38" t="n">
        <f aca="false">Sens!$H$6869</f>
        <v>1.6</v>
      </c>
      <c r="I6894" s="38" t="n">
        <f aca="false">Sens!$I$6869</f>
        <v>1.6</v>
      </c>
      <c r="J6894" s="38" t="n">
        <f aca="false">Sens!$J$6869</f>
        <v>1.6</v>
      </c>
      <c r="K6894" s="38" t="n">
        <f aca="false">Sens!$K$6869</f>
        <v>1.6</v>
      </c>
      <c r="L6894" s="38" t="n">
        <f aca="false">Sens!$L$6869</f>
        <v>1.6</v>
      </c>
      <c r="M6894" s="38" t="n">
        <f aca="false">Sens!$M$6869</f>
        <v>1.6</v>
      </c>
    </row>
    <row r="6895" customFormat="false" ht="15" hidden="false" customHeight="false" outlineLevel="0" collapsed="false">
      <c r="A6895" s="5" t="s">
        <v>857</v>
      </c>
      <c r="B6895" s="0" t="s">
        <v>73</v>
      </c>
      <c r="H6895" s="38" t="n">
        <f aca="false">Sens!$H$6863</f>
        <v>11.6369707537667</v>
      </c>
      <c r="I6895" s="38" t="n">
        <f aca="false">Sens!$I$6863</f>
        <v>13.3082502961262</v>
      </c>
      <c r="J6895" s="38" t="n">
        <f aca="false">Sens!$J$6863</f>
        <v>14.8747965344332</v>
      </c>
      <c r="K6895" s="38" t="n">
        <f aca="false">Sens!$K$6863</f>
        <v>16.2687901804328</v>
      </c>
      <c r="L6895" s="38" t="n">
        <f aca="false">Sens!$L$6863</f>
        <v>17.7280727627002</v>
      </c>
      <c r="M6895" s="38" t="n">
        <f aca="false">Sens!$M$6863</f>
        <v>19.2574690270319</v>
      </c>
    </row>
    <row r="6896" customFormat="false" ht="17.15" hidden="false" customHeight="false" outlineLevel="0" collapsed="false">
      <c r="A6896" s="1" t="s">
        <v>858</v>
      </c>
      <c r="B6896" s="8" t="s">
        <v>73</v>
      </c>
      <c r="H6896" s="38" t="n">
        <f aca="false">Sens!$H$6891+Sens!$H$6892-Sens!$H$6893-Sens!$H$6894+Sens!$H$6895</f>
        <v>-68.0547065976468</v>
      </c>
      <c r="I6896" s="38" t="n">
        <f aca="false">Sens!$I$6891+Sens!$I$6892-Sens!$I$6893-Sens!$I$6894+Sens!$I$6895</f>
        <v>-27.1523990796972</v>
      </c>
      <c r="J6896" s="38" t="n">
        <f aca="false">Sens!$J$6891+Sens!$J$6892-Sens!$J$6893-Sens!$J$6894+Sens!$J$6895</f>
        <v>13.5212664792573</v>
      </c>
      <c r="K6896" s="38" t="n">
        <f aca="false">Sens!$K$6891+Sens!$K$6892-Sens!$K$6893-Sens!$K$6894+Sens!$K$6895</f>
        <v>51.6701571688709</v>
      </c>
      <c r="L6896" s="38" t="n">
        <f aca="false">Sens!$L$6891+Sens!$L$6892-Sens!$L$6893-Sens!$L$6894+Sens!$L$6895</f>
        <v>57.7295702495933</v>
      </c>
      <c r="M6896" s="38" t="n">
        <f aca="false">Sens!$M$6891+Sens!$M$6892-Sens!$M$6893-Sens!$M$6894+Sens!$M$6895</f>
        <v>41.534508253082</v>
      </c>
    </row>
    <row r="6897" customFormat="false" ht="15" hidden="false" customHeight="false" outlineLevel="0" collapsed="false">
      <c r="A6897" s="5" t="s">
        <v>859</v>
      </c>
      <c r="B6897" s="0" t="s">
        <v>57</v>
      </c>
      <c r="H6897" s="51" t="n">
        <f aca="false">1/(1+wacc)^(2027-2026-0.5)</f>
        <v>0.942858177653364</v>
      </c>
      <c r="I6897" s="51" t="n">
        <f aca="false">1/(1+wacc)^(2028-2026-0.5)</f>
        <v>0.838183517758688</v>
      </c>
      <c r="J6897" s="51" t="n">
        <f aca="false">1/(1+wacc)^(2029-2026-0.5)</f>
        <v>0.745129677074952</v>
      </c>
      <c r="K6897" s="51" t="n">
        <f aca="false">1/(1+wacc)^(2030-2026-0.5)</f>
        <v>0.662406530186232</v>
      </c>
      <c r="L6897" s="51" t="n">
        <f aca="false">1/(1+wacc)^(2031-2026-0.5)</f>
        <v>0.588867179409399</v>
      </c>
      <c r="M6897" s="51" t="n">
        <f aca="false">1/(1+wacc)^(2032-2026-0.5)</f>
        <v>0.52349205387225</v>
      </c>
    </row>
    <row r="6898" customFormat="false" ht="15" hidden="false" customHeight="false" outlineLevel="0" collapsed="false">
      <c r="A6898" s="5" t="s">
        <v>860</v>
      </c>
      <c r="B6898" s="0" t="s">
        <v>73</v>
      </c>
      <c r="H6898" s="38" t="n">
        <f aca="false">Sens!$H$6896*Sens!$H$6897</f>
        <v>-64.1659366433916</v>
      </c>
      <c r="I6898" s="38" t="n">
        <f aca="false">Sens!$I$6896*Sens!$I$6897</f>
        <v>-22.7586933762084</v>
      </c>
      <c r="J6898" s="38" t="n">
        <f aca="false">Sens!$J$6896*Sens!$J$6897</f>
        <v>10.0750969253334</v>
      </c>
      <c r="K6898" s="38" t="n">
        <f aca="false">Sens!$K$6896*Sens!$K$6897</f>
        <v>34.226649524409</v>
      </c>
      <c r="L6898" s="38" t="n">
        <f aca="false">Sens!$L$6896*Sens!$L$6897</f>
        <v>33.9950492013948</v>
      </c>
      <c r="M6898" s="38" t="n">
        <f aca="false">Sens!$M$6896*Sens!$M$6897</f>
        <v>21.7429850319798</v>
      </c>
    </row>
    <row r="6899" customFormat="false" ht="15" hidden="false" customHeight="false" outlineLevel="0" collapsed="false">
      <c r="A6899" s="5" t="s">
        <v>861</v>
      </c>
      <c r="B6899" s="0" t="s">
        <v>73</v>
      </c>
      <c r="C6899" s="38" t="n">
        <f aca="false">SUM(Sens!$H$6898:$M$6898)</f>
        <v>13.115150663517</v>
      </c>
    </row>
    <row r="6900" customFormat="false" ht="17.15" hidden="false" customHeight="false" outlineLevel="0" collapsed="false">
      <c r="A6900" s="5" t="s">
        <v>862</v>
      </c>
      <c r="B6900" s="0" t="s">
        <v>73</v>
      </c>
      <c r="C6900" s="38" t="n">
        <f aca="false">Sens!$M$6891*(1+tg)*(1-tg/ronic)/(wacc-tg)</f>
        <v>1643.3111431308</v>
      </c>
    </row>
    <row r="6901" customFormat="false" ht="15" hidden="false" customHeight="false" outlineLevel="0" collapsed="false">
      <c r="A6901" s="5" t="s">
        <v>863</v>
      </c>
      <c r="B6901" s="0" t="s">
        <v>73</v>
      </c>
      <c r="C6901" s="38" t="n">
        <f aca="false">Sens!$C$6900/(1+wacc)^6</f>
        <v>811.103482778908</v>
      </c>
    </row>
    <row r="6902" customFormat="false" ht="17.15" hidden="false" customHeight="false" outlineLevel="0" collapsed="false">
      <c r="A6902" s="5" t="s">
        <v>864</v>
      </c>
      <c r="B6902" s="0" t="s">
        <v>73</v>
      </c>
      <c r="C6902" s="38" t="n">
        <f aca="false">Sens!$C$6899+Sens!$C$6901</f>
        <v>824.218633442425</v>
      </c>
    </row>
    <row r="6903" customFormat="false" ht="17.15" hidden="false" customHeight="false" outlineLevel="0" collapsed="false">
      <c r="A6903" s="5" t="s">
        <v>865</v>
      </c>
      <c r="B6903" s="0" t="s">
        <v>52</v>
      </c>
      <c r="C6903" s="12" t="n">
        <f aca="false">Sens!$C$6901/Sens!$C$6902</f>
        <v>0.984087777039521</v>
      </c>
    </row>
    <row r="6904" customFormat="false" ht="17.15" hidden="false" customHeight="false" outlineLevel="0" collapsed="false">
      <c r="A6904" s="5" t="s">
        <v>866</v>
      </c>
      <c r="B6904" s="0" t="s">
        <v>73</v>
      </c>
      <c r="C6904" s="38" t="n">
        <f aca="false">Sens!$G$6881</f>
        <v>67.0428850873731</v>
      </c>
    </row>
    <row r="6905" customFormat="false" ht="17.15" hidden="false" customHeight="false" outlineLevel="0" collapsed="false">
      <c r="A6905" s="5" t="s">
        <v>867</v>
      </c>
      <c r="B6905" s="0" t="s">
        <v>73</v>
      </c>
      <c r="C6905" s="38" t="n">
        <f aca="false">(ant_val*ant_sh+oai_val*oai_sh)*(1-liq_disc)</f>
        <v>178.944</v>
      </c>
    </row>
    <row r="6906" customFormat="false" ht="15" hidden="false" customHeight="false" outlineLevel="0" collapsed="false">
      <c r="A6906" s="5" t="s">
        <v>868</v>
      </c>
      <c r="B6906" s="0" t="s">
        <v>73</v>
      </c>
      <c r="C6906" s="38" t="n">
        <f aca="false">Sens!$C$6902-Sens!$C$6904+Sens!$C$6905</f>
        <v>936.119748355051</v>
      </c>
    </row>
    <row r="6907" customFormat="false" ht="17.15" hidden="false" customHeight="false" outlineLevel="0" collapsed="false">
      <c r="A6907" s="5" t="s">
        <v>869</v>
      </c>
      <c r="B6907" s="0" t="s">
        <v>27</v>
      </c>
      <c r="C6907" s="30" t="n">
        <f aca="false">Sens!$C$6906/sh_val</f>
        <v>84.8679147624493</v>
      </c>
    </row>
    <row r="6908" customFormat="false" ht="17.15" hidden="false" customHeight="false" outlineLevel="0" collapsed="false">
      <c r="A6908" s="1" t="s">
        <v>870</v>
      </c>
      <c r="B6908" s="8" t="s">
        <v>27</v>
      </c>
      <c r="C6908" s="30" t="n">
        <f aca="false">Sens!$C$6907*(1+ke)^tp_yf</f>
        <v>93.7319373662158</v>
      </c>
    </row>
    <row r="6909" customFormat="false" ht="17.15" hidden="false" customHeight="false" outlineLevel="0" collapsed="false">
      <c r="A6909" s="3" t="s">
        <v>871</v>
      </c>
    </row>
    <row r="6910" customFormat="false" ht="17.15" hidden="false" customHeight="false" outlineLevel="0" collapsed="false">
      <c r="A6910" s="5" t="s">
        <v>872</v>
      </c>
      <c r="B6910" s="0" t="s">
        <v>73</v>
      </c>
      <c r="C6910" s="38" t="n">
        <f aca="false">0.25*Sens!$H$6840+0.75*Sens!$I$6840</f>
        <v>57.5541093268329</v>
      </c>
    </row>
    <row r="6911" customFormat="false" ht="15" hidden="false" customHeight="false" outlineLevel="0" collapsed="false">
      <c r="A6911" s="5" t="s">
        <v>873</v>
      </c>
      <c r="B6911" s="0" t="s">
        <v>57</v>
      </c>
      <c r="C6911" s="30" t="n">
        <f aca="false">m_ads*m_x</f>
        <v>9.11</v>
      </c>
    </row>
    <row r="6912" customFormat="false" ht="17.15" hidden="false" customHeight="false" outlineLevel="0" collapsed="false">
      <c r="A6912" s="5" t="s">
        <v>874</v>
      </c>
      <c r="B6912" s="0" t="s">
        <v>73</v>
      </c>
      <c r="C6912" s="38" t="n">
        <f aca="false">Sens!$C$6910*Sens!$C$6911</f>
        <v>524.317935967448</v>
      </c>
    </row>
    <row r="6913" customFormat="false" ht="17.15" hidden="false" customHeight="false" outlineLevel="0" collapsed="false">
      <c r="A6913" s="5" t="s">
        <v>875</v>
      </c>
      <c r="B6913" s="0" t="s">
        <v>73</v>
      </c>
      <c r="C6913" s="38" t="n">
        <f aca="false">0.25*Sens!$H$6841+0.75*Sens!$I$6841</f>
        <v>30.6290803533085</v>
      </c>
    </row>
    <row r="6914" customFormat="false" ht="15" hidden="false" customHeight="false" outlineLevel="0" collapsed="false">
      <c r="A6914" s="5" t="s">
        <v>876</v>
      </c>
      <c r="B6914" s="0" t="s">
        <v>57</v>
      </c>
      <c r="C6914" s="30" t="n">
        <f aca="false">m_retail*m_x</f>
        <v>17.72</v>
      </c>
    </row>
    <row r="6915" customFormat="false" ht="17.15" hidden="false" customHeight="false" outlineLevel="0" collapsed="false">
      <c r="A6915" s="5" t="s">
        <v>877</v>
      </c>
      <c r="B6915" s="0" t="s">
        <v>73</v>
      </c>
      <c r="C6915" s="38" t="n">
        <f aca="false">Sens!$C$6913*Sens!$C$6914</f>
        <v>542.747303860627</v>
      </c>
    </row>
    <row r="6916" customFormat="false" ht="17.15" hidden="false" customHeight="false" outlineLevel="0" collapsed="false">
      <c r="A6916" s="0" t="s">
        <v>878</v>
      </c>
      <c r="B6916" s="0" t="s">
        <v>73</v>
      </c>
      <c r="C6916" s="38" t="n">
        <f aca="false">0.25*Sens!$H$6842+0.75*Sens!$I$6842</f>
        <v>107.575398943098</v>
      </c>
    </row>
    <row r="6917" customFormat="false" ht="17.15" hidden="false" customHeight="false" outlineLevel="0" collapsed="false">
      <c r="A6917" s="0" t="s">
        <v>879</v>
      </c>
      <c r="B6917" s="0" t="s">
        <v>57</v>
      </c>
      <c r="C6917" s="30" t="n">
        <f aca="false">m_cloud*m_x</f>
        <v>13.82</v>
      </c>
    </row>
    <row r="6918" customFormat="false" ht="17.15" hidden="false" customHeight="false" outlineLevel="0" collapsed="false">
      <c r="A6918" s="0" t="s">
        <v>880</v>
      </c>
      <c r="B6918" s="0" t="s">
        <v>73</v>
      </c>
      <c r="C6918" s="38" t="n">
        <f aca="false">Sens!$C$6916*Sens!$C$6917</f>
        <v>1486.69201339361</v>
      </c>
    </row>
    <row r="6919" customFormat="false" ht="17.15" hidden="false" customHeight="false" outlineLevel="0" collapsed="false">
      <c r="A6919" s="0" t="s">
        <v>881</v>
      </c>
      <c r="B6919" s="0" t="s">
        <v>73</v>
      </c>
      <c r="C6919" s="38" t="n">
        <f aca="false">0.25*Sens!$H$6843+0.75*Sens!$I$6843</f>
        <v>72.2947701247864</v>
      </c>
    </row>
    <row r="6920" customFormat="false" ht="17.15" hidden="false" customHeight="false" outlineLevel="0" collapsed="false">
      <c r="A6920" s="0" t="s">
        <v>882</v>
      </c>
      <c r="B6920" s="0" t="s">
        <v>57</v>
      </c>
      <c r="C6920" s="30" t="n">
        <f aca="false">m_ai</f>
        <v>6</v>
      </c>
    </row>
    <row r="6921" customFormat="false" ht="17.15" hidden="false" customHeight="false" outlineLevel="0" collapsed="false">
      <c r="A6921" s="0" t="s">
        <v>883</v>
      </c>
      <c r="B6921" s="0" t="s">
        <v>73</v>
      </c>
      <c r="C6921" s="38" t="n">
        <f aca="false">Sens!$C$6919*Sens!$C$6920</f>
        <v>433.768620748718</v>
      </c>
    </row>
    <row r="6922" customFormat="false" ht="17.15" hidden="false" customHeight="false" outlineLevel="0" collapsed="false">
      <c r="A6922" s="5" t="s">
        <v>884</v>
      </c>
      <c r="B6922" s="0" t="s">
        <v>73</v>
      </c>
      <c r="C6922" s="38" t="n">
        <f aca="false">Sens!$C$6912+Sens!$C$6915+Sens!$C$6918+Sens!$C$6921</f>
        <v>2987.5258739704</v>
      </c>
    </row>
    <row r="6923" customFormat="false" ht="17.15" hidden="false" customHeight="false" outlineLevel="0" collapsed="false">
      <c r="A6923" s="5" t="s">
        <v>885</v>
      </c>
      <c r="B6923" s="0" t="s">
        <v>73</v>
      </c>
      <c r="C6923" s="38" t="n">
        <f aca="false">Sens!$H$6881</f>
        <v>113.741590679904</v>
      </c>
    </row>
    <row r="6924" customFormat="false" ht="15" hidden="false" customHeight="false" outlineLevel="0" collapsed="false">
      <c r="A6924" s="5" t="s">
        <v>886</v>
      </c>
      <c r="B6924" s="0" t="s">
        <v>73</v>
      </c>
      <c r="C6924" s="38" t="n">
        <f aca="false">Sens!$C$6922-Sens!$C$6923+Sens!$C$6905</f>
        <v>3052.7282832905</v>
      </c>
    </row>
    <row r="6925" customFormat="false" ht="15" hidden="false" customHeight="false" outlineLevel="0" collapsed="false">
      <c r="A6925" s="3" t="s">
        <v>887</v>
      </c>
      <c r="B6925" s="8" t="s">
        <v>27</v>
      </c>
      <c r="C6925" s="30" t="n">
        <f aca="false">Sens!$C$6924/sh_val</f>
        <v>276.758058137828</v>
      </c>
    </row>
    <row r="6926" customFormat="false" ht="17.15" hidden="false" customHeight="false" outlineLevel="0" collapsed="false">
      <c r="A6926" s="46" t="s">
        <v>888</v>
      </c>
      <c r="B6926" s="13" t="s">
        <v>27</v>
      </c>
      <c r="C6926" s="43" t="n">
        <f aca="false">0.3*Sens!$C$6908+(1-0.3)*Sens!$C$6925</f>
        <v>221.850221906344</v>
      </c>
      <c r="D6926" s="13"/>
      <c r="E6926" s="13"/>
      <c r="F6926" s="13"/>
      <c r="G6926" s="13"/>
      <c r="H6926" s="13"/>
      <c r="I6926" s="13"/>
      <c r="J6926" s="13"/>
      <c r="K6926" s="13"/>
      <c r="L6926" s="13"/>
      <c r="M6926" s="13"/>
      <c r="N6926" s="13"/>
      <c r="O6926" s="13"/>
    </row>
    <row r="6927" customFormat="false" ht="17.15" hidden="false" customHeight="false" outlineLevel="0" collapsed="false">
      <c r="A6927" s="5" t="s">
        <v>889</v>
      </c>
      <c r="B6927" s="0" t="s">
        <v>27</v>
      </c>
      <c r="C6927" s="30" t="n">
        <f aca="false">0.45*Sens!$C$6908+0.55*Sens!$C$6925</f>
        <v>194.396303790603</v>
      </c>
    </row>
    <row r="6930" customFormat="false" ht="19.4" hidden="false" customHeight="false" outlineLevel="0" collapsed="false">
      <c r="A6930" s="31" t="s">
        <v>1195</v>
      </c>
    </row>
    <row r="6931" customFormat="false" ht="17.15" hidden="false" customHeight="false" outlineLevel="0" collapsed="false">
      <c r="A6931" s="6" t="s">
        <v>16</v>
      </c>
      <c r="B6931" s="6" t="s">
        <v>17</v>
      </c>
      <c r="C6931" s="20" t="s">
        <v>457</v>
      </c>
      <c r="D6931" s="20" t="s">
        <v>458</v>
      </c>
      <c r="E6931" s="20" t="s">
        <v>540</v>
      </c>
      <c r="F6931" s="20" t="s">
        <v>541</v>
      </c>
      <c r="G6931" s="20" t="s">
        <v>542</v>
      </c>
      <c r="H6931" s="20" t="s">
        <v>543</v>
      </c>
      <c r="I6931" s="20" t="s">
        <v>544</v>
      </c>
      <c r="J6931" s="20" t="s">
        <v>545</v>
      </c>
      <c r="K6931" s="20" t="s">
        <v>546</v>
      </c>
      <c r="L6931" s="20" t="s">
        <v>547</v>
      </c>
      <c r="M6931" s="20" t="s">
        <v>548</v>
      </c>
      <c r="N6931" s="20" t="s">
        <v>549</v>
      </c>
      <c r="O6931" s="20" t="s">
        <v>550</v>
      </c>
      <c r="P6931" s="6" t="s">
        <v>23</v>
      </c>
      <c r="R6931" s="20" t="n">
        <v>2023</v>
      </c>
      <c r="S6931" s="20" t="n">
        <v>2024</v>
      </c>
      <c r="T6931" s="20" t="n">
        <v>2025</v>
      </c>
      <c r="U6931" s="20" t="n">
        <v>2026</v>
      </c>
      <c r="V6931" s="20" t="n">
        <v>2027</v>
      </c>
      <c r="W6931" s="20" t="n">
        <v>2028</v>
      </c>
      <c r="X6931" s="20" t="n">
        <v>2029</v>
      </c>
      <c r="Y6931" s="20" t="n">
        <v>2030</v>
      </c>
      <c r="Z6931" s="20" t="n">
        <v>2031</v>
      </c>
      <c r="AA6931" s="20" t="n">
        <v>2032</v>
      </c>
    </row>
    <row r="6932" customFormat="false" ht="17.15" hidden="false" customHeight="false" outlineLevel="0" collapsed="false">
      <c r="A6932" s="1" t="s">
        <v>621</v>
      </c>
    </row>
    <row r="6933" customFormat="false" ht="17.15" hidden="false" customHeight="false" outlineLevel="0" collapsed="false">
      <c r="A6933" s="0" t="s">
        <v>479</v>
      </c>
      <c r="B6933" s="0" t="s">
        <v>73</v>
      </c>
      <c r="C6933" s="38" t="n">
        <f aca="false">Q!$D$10</f>
        <v>247.029</v>
      </c>
      <c r="D6933" s="38" t="n">
        <f aca="false">Q!$E$10</f>
        <v>269.287</v>
      </c>
      <c r="E6933" s="38" t="n">
        <f aca="false">Q!$P$10</f>
        <v>134.686</v>
      </c>
      <c r="F6933" s="38" t="n">
        <f aca="false">Sens!$O$6933*(1+Sens!$F$6934)-pd_amt*Q!$O$10/(Q!$O$10+Q!$O$12)</f>
        <v>160.728085930082</v>
      </c>
      <c r="G6933" s="38" t="n">
        <f aca="false">Sens!$E$6933+Sens!$F$6933</f>
        <v>295.414085930082</v>
      </c>
      <c r="H6933" s="38" t="n">
        <f aca="false">Sens!$G$6933*(1+Sens!$H$6934)</f>
        <v>320.828163943375</v>
      </c>
      <c r="I6933" s="38" t="n">
        <f aca="false">Sens!$H$6933*(1+Sens!$I$6934)</f>
        <v>344.575578072228</v>
      </c>
      <c r="J6933" s="38" t="n">
        <f aca="false">Sens!$I$6933*(1+Sens!$J$6934)</f>
        <v>365.942555779681</v>
      </c>
      <c r="K6933" s="38" t="n">
        <f aca="false">Sens!$J$6933*(1+Sens!$K$6934)</f>
        <v>384.239683568665</v>
      </c>
      <c r="L6933" s="38" t="n">
        <f aca="false">Sens!$K$6933*(1+Sens!$L$6934)</f>
        <v>403.451667747098</v>
      </c>
      <c r="M6933" s="38" t="n">
        <f aca="false">Sens!$L$6933*(1+Sens!$M$6934)</f>
        <v>423.624251134453</v>
      </c>
      <c r="N6933" s="38" t="n">
        <f aca="false">Q!$N$10</f>
        <v>118.892</v>
      </c>
      <c r="O6933" s="38" t="n">
        <f aca="false">Q!$O$10</f>
        <v>150.395</v>
      </c>
      <c r="P6933" s="8" t="s">
        <v>622</v>
      </c>
    </row>
    <row r="6934" customFormat="false" ht="17.15" hidden="false" customHeight="false" outlineLevel="0" collapsed="false">
      <c r="A6934" s="0" t="s">
        <v>623</v>
      </c>
      <c r="B6934" s="0" t="s">
        <v>52</v>
      </c>
      <c r="E6934" s="12" t="n">
        <f aca="false">Sens!$E$6933/Sens!$N$6933-1</f>
        <v>0.132843252699929</v>
      </c>
      <c r="F6934" s="12" t="n">
        <f aca="false">Sens!$O$6933/(Q!$F$10+Q!$G$10)-1</f>
        <v>0.0980382135842941</v>
      </c>
      <c r="G6934" s="12" t="n">
        <f aca="false">Sens!$G$6933/Sens!$D$6933-1</f>
        <v>0.0970231980380869</v>
      </c>
      <c r="H6934" s="12" t="n">
        <f aca="false">Sens!$F$6934+(g_os-Sens!$F$6934)*1/4</f>
        <v>0.0860286601882206</v>
      </c>
      <c r="I6934" s="12" t="n">
        <f aca="false">Sens!$F$6934+(g_os-Sens!$F$6934)*2/4</f>
        <v>0.074019106792147</v>
      </c>
      <c r="J6934" s="12" t="n">
        <f aca="false">Sens!$F$6934+(g_os-Sens!$F$6934)*3/4</f>
        <v>0.0620095533960735</v>
      </c>
      <c r="K6934" s="12" t="n">
        <f aca="false">Sens!$F$6934+(g_os-Sens!$F$6934)*4/4</f>
        <v>0.05</v>
      </c>
      <c r="L6934" s="12" t="n">
        <f aca="false">g_os</f>
        <v>0.05</v>
      </c>
      <c r="M6934" s="12" t="n">
        <f aca="false">g_os</f>
        <v>0.05</v>
      </c>
      <c r="P6934" s="8" t="s">
        <v>624</v>
      </c>
    </row>
    <row r="6935" customFormat="false" ht="17.15" hidden="false" customHeight="false" outlineLevel="0" collapsed="false">
      <c r="A6935" s="0" t="s">
        <v>480</v>
      </c>
      <c r="B6935" s="0" t="s">
        <v>73</v>
      </c>
      <c r="C6935" s="38" t="n">
        <f aca="false">Q!$D$11</f>
        <v>21.215</v>
      </c>
      <c r="D6935" s="38" t="n">
        <f aca="false">Q!$E$11</f>
        <v>22.561</v>
      </c>
      <c r="E6935" s="38" t="n">
        <f aca="false">Q!$P$11</f>
        <v>11.579</v>
      </c>
      <c r="F6935" s="38" t="n">
        <f aca="false">Sens!$O$6935*(1+Sens!$F$6936)</f>
        <v>12.0952613121125</v>
      </c>
      <c r="G6935" s="38" t="n">
        <f aca="false">Sens!$E$6935+Sens!$F$6935</f>
        <v>23.6742613121125</v>
      </c>
      <c r="H6935" s="38" t="n">
        <f aca="false">Sens!$G$6935*(1+Sens!$H$6936)</f>
        <v>24.8803243963206</v>
      </c>
      <c r="I6935" s="38" t="n">
        <f aca="false">Sens!$H$6935*(1+Sens!$I$6936)</f>
        <v>25.9741308664154</v>
      </c>
      <c r="J6935" s="38" t="n">
        <f aca="false">Sens!$I$6935*(1+Sens!$J$6936)</f>
        <v>26.9346894124267</v>
      </c>
      <c r="K6935" s="38" t="n">
        <f aca="false">Sens!$J$6935*(1+Sens!$K$6936)</f>
        <v>27.7427300947995</v>
      </c>
      <c r="L6935" s="38" t="n">
        <f aca="false">Sens!$K$6935*(1+Sens!$L$6936)</f>
        <v>28.5750119976435</v>
      </c>
      <c r="M6935" s="38" t="n">
        <f aca="false">Sens!$L$6935*(1+Sens!$M$6936)</f>
        <v>29.4322623575728</v>
      </c>
      <c r="N6935" s="38" t="n">
        <f aca="false">Q!$N$11</f>
        <v>11.128</v>
      </c>
      <c r="O6935" s="38" t="n">
        <f aca="false">Q!$O$11</f>
        <v>11.433</v>
      </c>
      <c r="P6935" s="8" t="s">
        <v>622</v>
      </c>
    </row>
    <row r="6936" customFormat="false" ht="17.15" hidden="false" customHeight="false" outlineLevel="0" collapsed="false">
      <c r="A6936" s="0" t="s">
        <v>625</v>
      </c>
      <c r="B6936" s="0" t="s">
        <v>52</v>
      </c>
      <c r="E6936" s="12" t="n">
        <f aca="false">Sens!$E$6935/Sens!$N$6935-1</f>
        <v>0.0405283968368082</v>
      </c>
      <c r="F6936" s="12" t="n">
        <f aca="false">Sens!$O$6935/(Q!$F$11+Q!$G$11)-1</f>
        <v>0.0579254187100955</v>
      </c>
      <c r="G6936" s="12" t="n">
        <f aca="false">Sens!$G$6935/Sens!$D$6935-1</f>
        <v>0.0493445021103904</v>
      </c>
      <c r="H6936" s="12" t="n">
        <f aca="false">Sens!$F$6936+(g_ps-Sens!$F$6936)*1/4</f>
        <v>0.0509440640325716</v>
      </c>
      <c r="I6936" s="12" t="n">
        <f aca="false">Sens!$F$6936+(g_ps-Sens!$F$6936)*2/4</f>
        <v>0.0439627093550477</v>
      </c>
      <c r="J6936" s="12" t="n">
        <f aca="false">Sens!$F$6936+(g_ps-Sens!$F$6936)*3/4</f>
        <v>0.0369813546775239</v>
      </c>
      <c r="K6936" s="12" t="n">
        <f aca="false">Sens!$F$6936+(g_ps-Sens!$F$6936)*4/4</f>
        <v>0.03</v>
      </c>
      <c r="L6936" s="12" t="n">
        <f aca="false">g_ps</f>
        <v>0.03</v>
      </c>
      <c r="M6936" s="12" t="n">
        <f aca="false">g_ps</f>
        <v>0.03</v>
      </c>
      <c r="P6936" s="8" t="s">
        <v>626</v>
      </c>
    </row>
    <row r="6937" customFormat="false" ht="17.15" hidden="false" customHeight="false" outlineLevel="0" collapsed="false">
      <c r="A6937" s="0" t="s">
        <v>481</v>
      </c>
      <c r="B6937" s="0" t="s">
        <v>73</v>
      </c>
      <c r="C6937" s="38" t="n">
        <f aca="false">Q!$D$12</f>
        <v>156.146</v>
      </c>
      <c r="D6937" s="38" t="n">
        <f aca="false">Q!$E$12</f>
        <v>172.162</v>
      </c>
      <c r="E6937" s="38" t="n">
        <f aca="false">Q!$P$12</f>
        <v>88.358</v>
      </c>
      <c r="F6937" s="38" t="n">
        <f aca="false">Sens!$O$6937*(1+Sens!$F$6938)-pd_amt*Q!$O$12/(Q!$O$10+Q!$O$12)</f>
        <v>103.62028337149</v>
      </c>
      <c r="G6937" s="38" t="n">
        <f aca="false">Sens!$E$6937+Sens!$F$6937</f>
        <v>191.97828337149</v>
      </c>
      <c r="H6937" s="38" t="n">
        <f aca="false">Sens!$G$6937*(1+Sens!$H$6938)</f>
        <v>212.128608444755</v>
      </c>
      <c r="I6937" s="38" t="n">
        <f aca="false">Sens!$H$6937*(1+Sens!$I$6938)</f>
        <v>231.92183134134</v>
      </c>
      <c r="J6937" s="38" t="n">
        <f aca="false">Sens!$I$6937*(1+Sens!$J$6938)</f>
        <v>250.859136487863</v>
      </c>
      <c r="K6937" s="38" t="n">
        <f aca="false">Sens!$J$6937*(1+Sens!$K$6938)</f>
        <v>268.419276042014</v>
      </c>
      <c r="L6937" s="38" t="n">
        <f aca="false">Sens!$K$6937*(1+Sens!$L$6938)</f>
        <v>287.208625364954</v>
      </c>
      <c r="M6937" s="38" t="n">
        <f aca="false">Sens!$L$6937*(1+Sens!$M$6938)</f>
        <v>307.313229140501</v>
      </c>
      <c r="N6937" s="38" t="n">
        <f aca="false">Q!$N$12</f>
        <v>76.86</v>
      </c>
      <c r="O6937" s="38" t="n">
        <f aca="false">Q!$O$12</f>
        <v>95.302</v>
      </c>
      <c r="P6937" s="8" t="s">
        <v>622</v>
      </c>
    </row>
    <row r="6938" customFormat="false" ht="17.15" hidden="false" customHeight="false" outlineLevel="0" collapsed="false">
      <c r="A6938" s="0" t="s">
        <v>627</v>
      </c>
      <c r="B6938" s="0" t="s">
        <v>52</v>
      </c>
      <c r="E6938" s="12" t="n">
        <f aca="false">Sens!$E$6937/Sens!$N$6937-1</f>
        <v>0.1495966692688</v>
      </c>
      <c r="F6938" s="12" t="n">
        <f aca="false">Sens!$O$6937/(Q!$F$12+Q!$G$12)-1</f>
        <v>0.11661530890813</v>
      </c>
      <c r="G6938" s="12" t="n">
        <f aca="false">Sens!$G$6937/Sens!$D$6937-1</f>
        <v>0.115102539303041</v>
      </c>
      <c r="H6938" s="12" t="n">
        <f aca="false">Sens!$F$6938+(g_sp-Sens!$F$6938)*1/4</f>
        <v>0.104961481681098</v>
      </c>
      <c r="I6938" s="12" t="n">
        <f aca="false">Sens!$F$6938+(g_sp-Sens!$F$6938)*2/4</f>
        <v>0.0933076544540651</v>
      </c>
      <c r="J6938" s="12" t="n">
        <f aca="false">Sens!$F$6938+(g_sp-Sens!$F$6938)*3/4</f>
        <v>0.0816538272270325</v>
      </c>
      <c r="K6938" s="12" t="n">
        <f aca="false">Sens!$F$6938+(g_sp-Sens!$F$6938)*4/4</f>
        <v>0.07</v>
      </c>
      <c r="L6938" s="12" t="n">
        <f aca="false">g_sp</f>
        <v>0.07</v>
      </c>
      <c r="M6938" s="12" t="n">
        <f aca="false">g_sp</f>
        <v>0.07</v>
      </c>
      <c r="P6938" s="8" t="s">
        <v>628</v>
      </c>
    </row>
    <row r="6939" customFormat="false" ht="17.15" hidden="false" customHeight="false" outlineLevel="0" collapsed="false">
      <c r="A6939" s="0" t="s">
        <v>482</v>
      </c>
      <c r="B6939" s="0" t="s">
        <v>73</v>
      </c>
      <c r="C6939" s="38" t="n">
        <f aca="false">Q!$D$13</f>
        <v>56.214</v>
      </c>
      <c r="D6939" s="38" t="n">
        <f aca="false">Q!$E$13</f>
        <v>68.635</v>
      </c>
      <c r="E6939" s="38" t="n">
        <f aca="false">Q!$P$13</f>
        <v>37.052</v>
      </c>
      <c r="F6939" s="38" t="n">
        <f aca="false">Sens!$O$6939*(1+Sens!$F$6940)</f>
        <v>48.1533381827382</v>
      </c>
      <c r="G6939" s="38" t="n">
        <f aca="false">Sens!$E$6939+Sens!$F$6939</f>
        <v>85.2053381827382</v>
      </c>
      <c r="H6939" s="38" t="n">
        <f aca="false">Sens!$G$6939*(1+Sens!$H$6940)</f>
        <v>102.29336185894</v>
      </c>
      <c r="I6939" s="38" t="n">
        <f aca="false">Sens!$H$6939*(1+Sens!$I$6940)</f>
        <v>119.379837585241</v>
      </c>
      <c r="J6939" s="38" t="n">
        <f aca="false">Sens!$I$6939*(1+Sens!$J$6940)</f>
        <v>135.319079048844</v>
      </c>
      <c r="K6939" s="38" t="n">
        <f aca="false">Sens!$J$6939*(1+Sens!$K$6940)</f>
        <v>148.850986953729</v>
      </c>
      <c r="L6939" s="38" t="n">
        <f aca="false">Sens!$K$6939*(1+Sens!$L$6940)</f>
        <v>163.736085649102</v>
      </c>
      <c r="M6939" s="38" t="n">
        <f aca="false">Sens!$L$6939*(1+Sens!$M$6940)</f>
        <v>180.109694214012</v>
      </c>
      <c r="N6939" s="38" t="n">
        <f aca="false">Q!$N$13</f>
        <v>29.615</v>
      </c>
      <c r="O6939" s="38" t="n">
        <f aca="false">Q!$O$13</f>
        <v>39.02</v>
      </c>
      <c r="P6939" s="8" t="s">
        <v>622</v>
      </c>
    </row>
    <row r="6940" customFormat="false" ht="17.15" hidden="false" customHeight="false" outlineLevel="0" collapsed="false">
      <c r="A6940" s="0" t="s">
        <v>629</v>
      </c>
      <c r="B6940" s="0" t="s">
        <v>52</v>
      </c>
      <c r="E6940" s="12" t="n">
        <f aca="false">Sens!$E$6939/Sens!$N$6939-1</f>
        <v>0.25112274185379</v>
      </c>
      <c r="F6940" s="12" t="n">
        <f aca="false">Sens!$O$6939/(Q!$F$13+Q!$G$13)-1</f>
        <v>0.234068123596572</v>
      </c>
      <c r="G6940" s="12" t="n">
        <f aca="false">Sens!$G$6939/Sens!$D$6939-1</f>
        <v>0.241426942270536</v>
      </c>
      <c r="H6940" s="12" t="n">
        <f aca="false">Sens!$F$6940+(g_ad-Sens!$F$6940)*1/4</f>
        <v>0.200551092697429</v>
      </c>
      <c r="I6940" s="12" t="n">
        <f aca="false">Sens!$F$6940+(g_ad-Sens!$F$6940)*2/4</f>
        <v>0.167034061798286</v>
      </c>
      <c r="J6940" s="12" t="n">
        <f aca="false">Sens!$F$6940+(g_ad-Sens!$F$6940)*3/4</f>
        <v>0.133517030899143</v>
      </c>
      <c r="K6940" s="12" t="n">
        <f aca="false">Sens!$F$6940+(g_ad-Sens!$F$6940)*4/4</f>
        <v>0.1</v>
      </c>
      <c r="L6940" s="12" t="n">
        <f aca="false">g_ad</f>
        <v>0.1</v>
      </c>
      <c r="M6940" s="12" t="n">
        <f aca="false">g_ad</f>
        <v>0.1</v>
      </c>
      <c r="P6940" s="8" t="s">
        <v>630</v>
      </c>
    </row>
    <row r="6941" customFormat="false" ht="17.15" hidden="false" customHeight="false" outlineLevel="0" collapsed="false">
      <c r="A6941" s="0" t="s">
        <v>483</v>
      </c>
      <c r="B6941" s="0" t="s">
        <v>73</v>
      </c>
      <c r="C6941" s="38" t="n">
        <f aca="false">Q!$D$14</f>
        <v>44.374</v>
      </c>
      <c r="D6941" s="38" t="n">
        <f aca="false">Q!$E$14</f>
        <v>49.619</v>
      </c>
      <c r="E6941" s="38" t="n">
        <f aca="false">Q!$P$14</f>
        <v>27.157</v>
      </c>
      <c r="F6941" s="38" t="n">
        <f aca="false">Sens!$O$6941*(1+Sens!$F$6942)</f>
        <v>28.9776360923374</v>
      </c>
      <c r="G6941" s="38" t="n">
        <f aca="false">Sens!$E$6941+Sens!$F$6941</f>
        <v>56.1346360923374</v>
      </c>
      <c r="H6941" s="38" t="n">
        <f aca="false">Sens!$G$6941*(1+Sens!$H$6942)</f>
        <v>62.4937078946075</v>
      </c>
      <c r="I6941" s="38" t="n">
        <f aca="false">Sens!$H$6941*(1+Sens!$I$6942)</f>
        <v>68.6715233062498</v>
      </c>
      <c r="J6941" s="38" t="n">
        <f aca="false">Sens!$I$6941*(1+Sens!$J$6942)</f>
        <v>74.4692882949818</v>
      </c>
      <c r="K6941" s="38" t="n">
        <f aca="false">Sens!$J$6941*(1+Sens!$K$6942)</f>
        <v>79.6821384756306</v>
      </c>
      <c r="L6941" s="38" t="n">
        <f aca="false">Sens!$K$6941*(1+Sens!$L$6942)</f>
        <v>85.2598881689247</v>
      </c>
      <c r="M6941" s="38" t="n">
        <f aca="false">Sens!$L$6941*(1+Sens!$M$6942)</f>
        <v>91.2280803407494</v>
      </c>
      <c r="N6941" s="38" t="n">
        <f aca="false">Q!$N$14</f>
        <v>23.923</v>
      </c>
      <c r="O6941" s="38" t="n">
        <f aca="false">Q!$O$14</f>
        <v>25.696</v>
      </c>
      <c r="P6941" s="8" t="s">
        <v>622</v>
      </c>
    </row>
    <row r="6942" customFormat="false" ht="17.15" hidden="false" customHeight="false" outlineLevel="0" collapsed="false">
      <c r="A6942" s="0" t="s">
        <v>631</v>
      </c>
      <c r="B6942" s="0" t="s">
        <v>52</v>
      </c>
      <c r="E6942" s="12" t="n">
        <f aca="false">Sens!$E$6941/Sens!$N$6941-1</f>
        <v>0.135183714417088</v>
      </c>
      <c r="F6942" s="12" t="n">
        <f aca="false">Sens!$O$6941/(Q!$F$14+Q!$G$14)-1</f>
        <v>0.127709997366804</v>
      </c>
      <c r="G6942" s="12" t="n">
        <f aca="false">Sens!$G$6941/Sens!$D$6941-1</f>
        <v>0.131313329416905</v>
      </c>
      <c r="H6942" s="12" t="n">
        <f aca="false">Sens!$F$6942+(g_sub-Sens!$F$6942)*1/4</f>
        <v>0.113282498025103</v>
      </c>
      <c r="I6942" s="12" t="n">
        <f aca="false">Sens!$F$6942+(g_sub-Sens!$F$6942)*2/4</f>
        <v>0.0988549986834021</v>
      </c>
      <c r="J6942" s="12" t="n">
        <f aca="false">Sens!$F$6942+(g_sub-Sens!$F$6942)*3/4</f>
        <v>0.084427499341701</v>
      </c>
      <c r="K6942" s="12" t="n">
        <f aca="false">Sens!$F$6942+(g_sub-Sens!$F$6942)*4/4</f>
        <v>0.07</v>
      </c>
      <c r="L6942" s="12" t="n">
        <f aca="false">g_sub</f>
        <v>0.07</v>
      </c>
      <c r="M6942" s="12" t="n">
        <f aca="false">g_sub</f>
        <v>0.07</v>
      </c>
      <c r="P6942" s="8" t="s">
        <v>632</v>
      </c>
    </row>
    <row r="6943" customFormat="false" ht="17.15" hidden="false" customHeight="false" outlineLevel="0" collapsed="false">
      <c r="A6943" s="0" t="s">
        <v>484</v>
      </c>
      <c r="B6943" s="0" t="s">
        <v>73</v>
      </c>
      <c r="C6943" s="38" t="n">
        <f aca="false">Q!$D$15</f>
        <v>5.425</v>
      </c>
      <c r="D6943" s="38" t="n">
        <f aca="false">Q!$E$15</f>
        <v>5.935</v>
      </c>
      <c r="E6943" s="38" t="n">
        <f aca="false">Q!$P$15</f>
        <v>3.474</v>
      </c>
      <c r="F6943" s="38" t="n">
        <f aca="false">Sens!$O$6943*(1+Sens!$F$6944)</f>
        <v>3.36182431966931</v>
      </c>
      <c r="G6943" s="38" t="n">
        <f aca="false">Sens!$E$6943+Sens!$F$6943</f>
        <v>6.83582431966931</v>
      </c>
      <c r="H6943" s="38" t="n">
        <f aca="false">Sens!$G$6943*(1+Sens!$H$6944)</f>
        <v>7.31157108370141</v>
      </c>
      <c r="I6943" s="38" t="n">
        <f aca="false">Sens!$H$6943*(1+Sens!$I$6944)</f>
        <v>7.77266852639815</v>
      </c>
      <c r="J6943" s="38" t="n">
        <f aca="false">Sens!$I$6943*(1+Sens!$J$6944)</f>
        <v>8.2120733019884</v>
      </c>
      <c r="K6943" s="38" t="n">
        <f aca="false">Sens!$J$6943*(1+Sens!$K$6944)</f>
        <v>8.62267696708783</v>
      </c>
      <c r="L6943" s="38" t="n">
        <f aca="false">Sens!$K$6943*(1+Sens!$L$6944)</f>
        <v>9.05381081544222</v>
      </c>
      <c r="M6943" s="38" t="n">
        <f aca="false">Sens!$L$6943*(1+Sens!$M$6944)</f>
        <v>9.50650135621433</v>
      </c>
      <c r="N6943" s="38" t="n">
        <f aca="false">Q!$N$15</f>
        <v>2.811</v>
      </c>
      <c r="O6943" s="38" t="n">
        <f aca="false">Q!$O$15</f>
        <v>3.124</v>
      </c>
      <c r="P6943" s="8" t="s">
        <v>622</v>
      </c>
    </row>
    <row r="6944" customFormat="false" ht="17.15" hidden="false" customHeight="false" outlineLevel="0" collapsed="false">
      <c r="A6944" s="0" t="s">
        <v>633</v>
      </c>
      <c r="B6944" s="0" t="s">
        <v>52</v>
      </c>
      <c r="E6944" s="12" t="n">
        <f aca="false">Sens!$E$6943/Sens!$N$6943-1</f>
        <v>0.235859124866596</v>
      </c>
      <c r="F6944" s="12" t="n">
        <f aca="false">Sens!$O$6943/(Q!$F$15+Q!$G$15)-1</f>
        <v>0.0761281433000345</v>
      </c>
      <c r="G6944" s="12" t="n">
        <f aca="false">Sens!$G$6943/Sens!$D$6943-1</f>
        <v>0.151781688234087</v>
      </c>
      <c r="H6944" s="12" t="n">
        <f aca="false">Sens!$F$6944+(g_ot-Sens!$F$6944)*1/4</f>
        <v>0.0695961074750259</v>
      </c>
      <c r="I6944" s="12" t="n">
        <f aca="false">Sens!$F$6944+(g_ot-Sens!$F$6944)*2/4</f>
        <v>0.0630640716500172</v>
      </c>
      <c r="J6944" s="12" t="n">
        <f aca="false">Sens!$F$6944+(g_ot-Sens!$F$6944)*3/4</f>
        <v>0.0565320358250086</v>
      </c>
      <c r="K6944" s="12" t="n">
        <f aca="false">Sens!$F$6944+(g_ot-Sens!$F$6944)*4/4</f>
        <v>0.05</v>
      </c>
      <c r="L6944" s="12" t="n">
        <f aca="false">g_ot</f>
        <v>0.05</v>
      </c>
      <c r="M6944" s="12" t="n">
        <f aca="false">g_ot</f>
        <v>0.05</v>
      </c>
      <c r="P6944" s="8" t="s">
        <v>634</v>
      </c>
    </row>
    <row r="6945" customFormat="false" ht="17.15" hidden="false" customHeight="false" outlineLevel="0" collapsed="false">
      <c r="A6945" s="3" t="s">
        <v>635</v>
      </c>
      <c r="B6945" s="8" t="s">
        <v>73</v>
      </c>
      <c r="C6945" s="38" t="n">
        <f aca="false">Sens!$C$6933+Sens!$C$6935+Sens!$C$6937+Sens!$C$6939+Sens!$C$6941+Sens!$C$6943</f>
        <v>530.403</v>
      </c>
      <c r="D6945" s="38" t="n">
        <f aca="false">Sens!$D$6933+Sens!$D$6935+Sens!$D$6937+Sens!$D$6939+Sens!$D$6941+Sens!$D$6943</f>
        <v>588.199</v>
      </c>
      <c r="E6945" s="38" t="n">
        <f aca="false">Sens!$E$6933+Sens!$E$6935+Sens!$E$6937+Sens!$E$6939+Sens!$E$6941+Sens!$E$6943</f>
        <v>302.306</v>
      </c>
      <c r="F6945" s="38" t="n">
        <f aca="false">Sens!$F$6933+Sens!$F$6935+Sens!$F$6937+Sens!$F$6939+Sens!$F$6941+Sens!$F$6943</f>
        <v>356.93642920843</v>
      </c>
      <c r="G6945" s="38" t="n">
        <f aca="false">Sens!$G$6933+Sens!$G$6935+Sens!$G$6937+Sens!$G$6939+Sens!$G$6941+Sens!$G$6943</f>
        <v>659.24242920843</v>
      </c>
      <c r="H6945" s="38" t="n">
        <f aca="false">Sens!$H$6933+Sens!$H$6935+Sens!$H$6937+Sens!$H$6939+Sens!$H$6941+Sens!$H$6943</f>
        <v>729.935737621701</v>
      </c>
      <c r="I6945" s="38" t="n">
        <f aca="false">Sens!$I$6933+Sens!$I$6935+Sens!$I$6937+Sens!$I$6939+Sens!$I$6941+Sens!$I$6943</f>
        <v>798.295569697873</v>
      </c>
      <c r="J6945" s="38" t="n">
        <f aca="false">Sens!$J$6933+Sens!$J$6935+Sens!$J$6937+Sens!$J$6939+Sens!$J$6941+Sens!$J$6943</f>
        <v>861.736822325785</v>
      </c>
      <c r="K6945" s="38" t="n">
        <f aca="false">Sens!$K$6933+Sens!$K$6935+Sens!$K$6937+Sens!$K$6939+Sens!$K$6941+Sens!$K$6943</f>
        <v>917.557492101925</v>
      </c>
      <c r="L6945" s="38" t="n">
        <f aca="false">Sens!$L$6933+Sens!$L$6935+Sens!$L$6937+Sens!$L$6939+Sens!$L$6941+Sens!$L$6943</f>
        <v>977.285089743165</v>
      </c>
      <c r="M6945" s="38" t="n">
        <f aca="false">Sens!$M$6933+Sens!$M$6935+Sens!$M$6937+Sens!$M$6939+Sens!$M$6941+Sens!$M$6943</f>
        <v>1041.2140185435</v>
      </c>
      <c r="N6945" s="38" t="n">
        <f aca="false">Sens!$N$6933+Sens!$N$6935+Sens!$N$6937+Sens!$N$6939+Sens!$N$6941+Sens!$N$6943</f>
        <v>263.229</v>
      </c>
      <c r="O6945" s="38" t="n">
        <f aca="false">Sens!$O$6933+Sens!$O$6935+Sens!$O$6937+Sens!$O$6939+Sens!$O$6941+Sens!$O$6943</f>
        <v>324.97</v>
      </c>
    </row>
    <row r="6946" customFormat="false" ht="17.15" hidden="false" customHeight="false" outlineLevel="0" collapsed="false">
      <c r="A6946" s="5" t="s">
        <v>636</v>
      </c>
      <c r="B6946" s="0" t="s">
        <v>52</v>
      </c>
      <c r="C6946" s="12" t="n">
        <f aca="false">Q!$D$5/(Q!$D$5+Q!$D$6)</f>
        <v>0.730570905519011</v>
      </c>
      <c r="D6946" s="12" t="n">
        <f aca="false">Q!$E$5/(Q!$E$5+Q!$E$6)</f>
        <v>0.724763217890544</v>
      </c>
      <c r="E6946" s="12" t="n">
        <f aca="false">Q!$P$5/(Q!$P$5+Q!$P$6)</f>
        <v>0.728797972914861</v>
      </c>
      <c r="F6946" s="12" t="n">
        <f aca="false">Sens!$O$6946</f>
        <v>0.718066283041511</v>
      </c>
      <c r="G6946" s="12" t="n">
        <f aca="false">Sens!$G$6947/Sens!$G$6945</f>
        <v>0.722987468473627</v>
      </c>
      <c r="H6946" s="12" t="n">
        <f aca="false">Sens!$G$6946</f>
        <v>0.722987468473627</v>
      </c>
      <c r="I6946" s="12" t="n">
        <f aca="false">Sens!$G$6946</f>
        <v>0.722987468473627</v>
      </c>
      <c r="J6946" s="12" t="n">
        <f aca="false">Sens!$G$6946</f>
        <v>0.722987468473627</v>
      </c>
      <c r="K6946" s="12" t="n">
        <f aca="false">Sens!$G$6946</f>
        <v>0.722987468473627</v>
      </c>
      <c r="L6946" s="12" t="n">
        <f aca="false">Sens!$G$6946</f>
        <v>0.722987468473627</v>
      </c>
      <c r="M6946" s="12" t="n">
        <f aca="false">Sens!$G$6946</f>
        <v>0.722987468473627</v>
      </c>
      <c r="N6946" s="12" t="n">
        <f aca="false">Q!$N$5/(Q!$N$5+Q!$N$6)</f>
        <v>0.733030935041352</v>
      </c>
      <c r="O6946" s="12" t="n">
        <f aca="false">Q!$O$5/(Q!$O$5+Q!$O$6)</f>
        <v>0.718066283041511</v>
      </c>
      <c r="P6946" s="8" t="s">
        <v>637</v>
      </c>
    </row>
    <row r="6947" customFormat="false" ht="17.15" hidden="false" customHeight="false" outlineLevel="0" collapsed="false">
      <c r="A6947" s="1" t="s">
        <v>472</v>
      </c>
      <c r="B6947" s="8" t="s">
        <v>73</v>
      </c>
      <c r="C6947" s="38" t="n">
        <f aca="false">Q!$D$5</f>
        <v>387.497</v>
      </c>
      <c r="D6947" s="38" t="n">
        <f aca="false">Q!$E$5</f>
        <v>426.305</v>
      </c>
      <c r="E6947" s="38" t="n">
        <f aca="false">Q!$P$5</f>
        <v>220.32</v>
      </c>
      <c r="F6947" s="38" t="n">
        <f aca="false">Sens!$F$6945*Sens!$F$6946</f>
        <v>256.304015003807</v>
      </c>
      <c r="G6947" s="38" t="n">
        <f aca="false">Sens!$E$6947+Sens!$F$6947</f>
        <v>476.624015003807</v>
      </c>
      <c r="H6947" s="38" t="n">
        <f aca="false">Sens!$H$6945*Sens!$H$6946</f>
        <v>527.734391091543</v>
      </c>
      <c r="I6947" s="38" t="n">
        <f aca="false">Sens!$I$6945*Sens!$I$6946</f>
        <v>577.157693029577</v>
      </c>
      <c r="J6947" s="38" t="n">
        <f aca="false">Sens!$J$6945*Sens!$J$6946</f>
        <v>623.024923663827</v>
      </c>
      <c r="K6947" s="38" t="n">
        <f aca="false">Sens!$K$6945*Sens!$K$6946</f>
        <v>663.382568393781</v>
      </c>
      <c r="L6947" s="38" t="n">
        <f aca="false">Sens!$L$6945*Sens!$L$6946</f>
        <v>706.564873010432</v>
      </c>
      <c r="M6947" s="38" t="n">
        <f aca="false">Sens!$M$6945*Sens!$M$6946</f>
        <v>752.784687406019</v>
      </c>
      <c r="N6947" s="38" t="n">
        <f aca="false">Q!$N$5</f>
        <v>192.955</v>
      </c>
      <c r="O6947" s="38" t="n">
        <f aca="false">Q!$O$5</f>
        <v>233.35</v>
      </c>
      <c r="P6947" s="5" t="s">
        <v>638</v>
      </c>
    </row>
    <row r="6948" customFormat="false" ht="17.15" hidden="false" customHeight="false" outlineLevel="0" collapsed="false">
      <c r="A6948" s="1" t="s">
        <v>475</v>
      </c>
      <c r="B6948" s="8" t="s">
        <v>73</v>
      </c>
      <c r="C6948" s="38" t="n">
        <f aca="false">Q!$D$6</f>
        <v>142.906</v>
      </c>
      <c r="D6948" s="38" t="n">
        <f aca="false">Q!$E$6</f>
        <v>161.894</v>
      </c>
      <c r="E6948" s="38" t="n">
        <f aca="false">Q!$P$6</f>
        <v>81.986</v>
      </c>
      <c r="F6948" s="38" t="n">
        <f aca="false">Sens!$F$6945*(1-Sens!$F$6946)</f>
        <v>100.632414204623</v>
      </c>
      <c r="G6948" s="38" t="n">
        <f aca="false">Sens!$E$6948+Sens!$F$6948</f>
        <v>182.618414204623</v>
      </c>
      <c r="H6948" s="38" t="n">
        <f aca="false">Sens!$H$6945*(1-Sens!$H$6946)</f>
        <v>202.201346530158</v>
      </c>
      <c r="I6948" s="38" t="n">
        <f aca="false">Sens!$I$6945*(1-Sens!$I$6946)</f>
        <v>221.137876668296</v>
      </c>
      <c r="J6948" s="38" t="n">
        <f aca="false">Sens!$J$6945*(1-Sens!$J$6946)</f>
        <v>238.711898661958</v>
      </c>
      <c r="K6948" s="38" t="n">
        <f aca="false">Sens!$K$6945*(1-Sens!$K$6946)</f>
        <v>254.174923708144</v>
      </c>
      <c r="L6948" s="38" t="n">
        <f aca="false">Sens!$L$6945*(1-Sens!$L$6946)</f>
        <v>270.720216732733</v>
      </c>
      <c r="M6948" s="38" t="n">
        <f aca="false">Sens!$M$6945*(1-Sens!$M$6946)</f>
        <v>288.429331137484</v>
      </c>
      <c r="N6948" s="38" t="n">
        <f aca="false">Q!$N$6</f>
        <v>70.274</v>
      </c>
      <c r="O6948" s="38" t="n">
        <f aca="false">Q!$O$6</f>
        <v>91.62</v>
      </c>
      <c r="P6948" s="5" t="s">
        <v>639</v>
      </c>
    </row>
    <row r="6949" customFormat="false" ht="17.15" hidden="false" customHeight="false" outlineLevel="0" collapsed="false">
      <c r="A6949" s="5" t="s">
        <v>640</v>
      </c>
      <c r="B6949" s="0" t="s">
        <v>73</v>
      </c>
      <c r="C6949" s="38" t="n">
        <f aca="false">Sens!$C$6939*Sens!$C$6946</f>
        <v>41.0683128828457</v>
      </c>
      <c r="D6949" s="38" t="n">
        <f aca="false">Sens!$D$6939*Sens!$D$6946</f>
        <v>49.7441234599175</v>
      </c>
      <c r="E6949" s="38" t="n">
        <f aca="false">Sens!$E$6939*Sens!$E$6946</f>
        <v>27.0034224924414</v>
      </c>
      <c r="F6949" s="38" t="n">
        <f aca="false">Sens!$F$6939*Sens!$F$6946</f>
        <v>34.5772885649197</v>
      </c>
      <c r="G6949" s="38" t="n">
        <f aca="false">Sens!$G$6939*Sens!$G$6946</f>
        <v>61.6023917531772</v>
      </c>
      <c r="H6949" s="38" t="n">
        <f aca="false">Sens!$H$6939*Sens!$H$6946</f>
        <v>73.9568187320519</v>
      </c>
      <c r="I6949" s="38" t="n">
        <f aca="false">Sens!$I$6939*Sens!$I$6946</f>
        <v>86.3101265625461</v>
      </c>
      <c r="J6949" s="38" t="n">
        <f aca="false">Sens!$J$6939*Sens!$J$6946</f>
        <v>97.8339983977065</v>
      </c>
      <c r="K6949" s="38" t="n">
        <f aca="false">Sens!$K$6939*Sens!$K$6946</f>
        <v>107.617398237477</v>
      </c>
      <c r="L6949" s="38" t="n">
        <f aca="false">Sens!$L$6939*Sens!$L$6946</f>
        <v>118.379138061225</v>
      </c>
      <c r="M6949" s="38" t="n">
        <f aca="false">Sens!$M$6939*Sens!$M$6946</f>
        <v>130.217051867347</v>
      </c>
      <c r="N6949" s="38" t="n">
        <f aca="false">Sens!$N$6939*Sens!$N$6946</f>
        <v>21.7087111412496</v>
      </c>
      <c r="O6949" s="38" t="n">
        <f aca="false">Sens!$O$6939*Sens!$O$6946</f>
        <v>28.0189463642798</v>
      </c>
      <c r="P6949" s="5" t="s">
        <v>641</v>
      </c>
    </row>
    <row r="6950" customFormat="false" ht="15" hidden="false" customHeight="false" outlineLevel="0" collapsed="false">
      <c r="A6950" s="5" t="s">
        <v>642</v>
      </c>
      <c r="B6950" s="0" t="s">
        <v>73</v>
      </c>
      <c r="C6950" s="38" t="n">
        <f aca="false">Sens!$C$6939-Sens!$C$6949</f>
        <v>15.1456871171543</v>
      </c>
      <c r="D6950" s="38" t="n">
        <f aca="false">Sens!$D$6939-Sens!$D$6949</f>
        <v>18.8908765400825</v>
      </c>
      <c r="E6950" s="38" t="n">
        <f aca="false">Sens!$E$6939-Sens!$E$6949</f>
        <v>10.0485775075586</v>
      </c>
      <c r="F6950" s="38" t="n">
        <f aca="false">Sens!$F$6939-Sens!$F$6949</f>
        <v>13.5760496178185</v>
      </c>
      <c r="G6950" s="38" t="n">
        <f aca="false">Sens!$G$6939-Sens!$G$6949</f>
        <v>23.6029464295611</v>
      </c>
      <c r="H6950" s="38" t="n">
        <f aca="false">Sens!$H$6939-Sens!$H$6949</f>
        <v>28.3365431268884</v>
      </c>
      <c r="I6950" s="38" t="n">
        <f aca="false">Sens!$I$6939-Sens!$I$6949</f>
        <v>33.0697110226949</v>
      </c>
      <c r="J6950" s="38" t="n">
        <f aca="false">Sens!$J$6939-Sens!$J$6949</f>
        <v>37.4850806511378</v>
      </c>
      <c r="K6950" s="38" t="n">
        <f aca="false">Sens!$K$6939-Sens!$K$6949</f>
        <v>41.2335887162515</v>
      </c>
      <c r="L6950" s="38" t="n">
        <f aca="false">Sens!$L$6939-Sens!$L$6949</f>
        <v>45.3569475878767</v>
      </c>
      <c r="M6950" s="38" t="n">
        <f aca="false">Sens!$M$6939-Sens!$M$6949</f>
        <v>49.8926423466644</v>
      </c>
      <c r="N6950" s="38" t="n">
        <f aca="false">Sens!$N$6939-Sens!$N$6949</f>
        <v>7.90628885875037</v>
      </c>
      <c r="O6950" s="38" t="n">
        <f aca="false">Sens!$O$6939-Sens!$O$6949</f>
        <v>11.0010536357202</v>
      </c>
    </row>
    <row r="6951" customFormat="false" ht="19.4" hidden="false" customHeight="false" outlineLevel="0" collapsed="false">
      <c r="A6951" s="31" t="s">
        <v>1196</v>
      </c>
    </row>
    <row r="6952" customFormat="false" ht="17.15" hidden="false" customHeight="false" outlineLevel="0" collapsed="false">
      <c r="A6952" s="6" t="s">
        <v>16</v>
      </c>
      <c r="B6952" s="6" t="s">
        <v>17</v>
      </c>
      <c r="C6952" s="20" t="s">
        <v>457</v>
      </c>
      <c r="D6952" s="20" t="s">
        <v>458</v>
      </c>
      <c r="E6952" s="20" t="s">
        <v>540</v>
      </c>
      <c r="F6952" s="20" t="s">
        <v>541</v>
      </c>
      <c r="G6952" s="20" t="s">
        <v>542</v>
      </c>
      <c r="H6952" s="20" t="s">
        <v>543</v>
      </c>
      <c r="I6952" s="20" t="s">
        <v>544</v>
      </c>
      <c r="J6952" s="20" t="s">
        <v>545</v>
      </c>
      <c r="K6952" s="20" t="s">
        <v>546</v>
      </c>
      <c r="L6952" s="20" t="s">
        <v>547</v>
      </c>
      <c r="M6952" s="20" t="s">
        <v>548</v>
      </c>
      <c r="N6952" s="20" t="s">
        <v>549</v>
      </c>
      <c r="O6952" s="20" t="s">
        <v>550</v>
      </c>
      <c r="P6952" s="6" t="s">
        <v>23</v>
      </c>
      <c r="R6952" s="20" t="n">
        <v>2023</v>
      </c>
      <c r="S6952" s="20" t="n">
        <v>2024</v>
      </c>
      <c r="T6952" s="20" t="n">
        <v>2025</v>
      </c>
      <c r="U6952" s="20" t="n">
        <v>2026</v>
      </c>
      <c r="V6952" s="20" t="n">
        <v>2027</v>
      </c>
      <c r="W6952" s="20" t="n">
        <v>2028</v>
      </c>
      <c r="X6952" s="20" t="n">
        <v>2029</v>
      </c>
      <c r="Y6952" s="20" t="n">
        <v>2030</v>
      </c>
      <c r="Z6952" s="20" t="n">
        <v>2031</v>
      </c>
      <c r="AA6952" s="20" t="n">
        <v>2032</v>
      </c>
    </row>
    <row r="6953" customFormat="false" ht="17.15" hidden="false" customHeight="false" outlineLevel="0" collapsed="false">
      <c r="A6953" s="1" t="s">
        <v>551</v>
      </c>
    </row>
    <row r="6954" customFormat="false" ht="17.15" hidden="false" customHeight="false" outlineLevel="0" collapsed="false">
      <c r="A6954" s="14" t="s">
        <v>552</v>
      </c>
      <c r="B6954" s="13" t="s">
        <v>108</v>
      </c>
      <c r="C6954" s="32" t="n">
        <f aca="false">mw_ye24</f>
        <v>360</v>
      </c>
      <c r="D6954" s="32" t="n">
        <f aca="false">mw_ye25</f>
        <v>1440</v>
      </c>
      <c r="E6954" s="32" t="n">
        <f aca="false">mw_open</f>
        <v>2080</v>
      </c>
      <c r="F6954" s="32" t="n">
        <f aca="false">Sens!$E$6954+pace_B*0.5</f>
        <v>3897.15</v>
      </c>
      <c r="G6954" s="32" t="n">
        <f aca="false">Sens!$F$6954</f>
        <v>3897.15</v>
      </c>
      <c r="H6954" s="32" t="n">
        <f aca="false">Sens!$G$6954+pace_B</f>
        <v>7531.45</v>
      </c>
      <c r="I6954" s="32" t="n">
        <f aca="false">Sens!$H$6954+pace_B</f>
        <v>11165.75</v>
      </c>
      <c r="J6954" s="32" t="n">
        <f aca="false">Sens!$I$6954+pace_B</f>
        <v>14800.05</v>
      </c>
      <c r="K6954" s="32" t="n">
        <f aca="false">Sens!$J$6954+pace_B</f>
        <v>18434.35</v>
      </c>
      <c r="L6954" s="32" t="n">
        <f aca="false">Sens!$K$6954+pace_B</f>
        <v>22068.65</v>
      </c>
      <c r="M6954" s="32" t="n">
        <f aca="false">Sens!$L$6954+pace_B</f>
        <v>25702.95</v>
      </c>
      <c r="N6954" s="32" t="n">
        <f aca="false">(mw_ye24+mw_ye25)/2</f>
        <v>900</v>
      </c>
      <c r="O6954" s="32" t="n">
        <f aca="false">mw_ye25</f>
        <v>1440</v>
      </c>
      <c r="P6954" s="5" t="s">
        <v>553</v>
      </c>
    </row>
    <row r="6955" customFormat="false" ht="17.15" hidden="false" customHeight="false" outlineLevel="0" collapsed="false">
      <c r="A6955" s="5" t="s">
        <v>554</v>
      </c>
      <c r="B6955" s="0" t="s">
        <v>108</v>
      </c>
      <c r="C6955" s="33" t="n">
        <f aca="false">(mw_ye23+mw_ye24)/2</f>
        <v>240</v>
      </c>
      <c r="D6955" s="33" t="n">
        <f aca="false">(Sens!$C$6954+Sens!$D$6954)/2</f>
        <v>900</v>
      </c>
      <c r="E6955" s="33" t="n">
        <f aca="false">(Sens!$D$6954+Sens!$E$6954)/2</f>
        <v>1760</v>
      </c>
      <c r="F6955" s="33" t="n">
        <f aca="false">(Sens!$E$6954+Sens!$F$6954)/2</f>
        <v>2988.575</v>
      </c>
      <c r="G6955" s="33" t="n">
        <f aca="false">(Sens!$E$6955+Sens!$F$6955)/2</f>
        <v>2374.2875</v>
      </c>
      <c r="H6955" s="33" t="n">
        <f aca="false">(Sens!$G$6954+Sens!$H$6954)/2</f>
        <v>5714.3</v>
      </c>
      <c r="I6955" s="33" t="n">
        <f aca="false">(Sens!$H$6954+Sens!$I$6954)/2</f>
        <v>9348.6</v>
      </c>
      <c r="J6955" s="33" t="n">
        <f aca="false">(Sens!$I$6954+Sens!$J$6954)/2</f>
        <v>12982.9</v>
      </c>
      <c r="K6955" s="33" t="n">
        <f aca="false">(Sens!$J$6954+Sens!$K$6954)/2</f>
        <v>16617.2</v>
      </c>
      <c r="L6955" s="33" t="n">
        <f aca="false">(Sens!$K$6954+Sens!$L$6954)/2</f>
        <v>20251.5</v>
      </c>
      <c r="M6955" s="33" t="n">
        <f aca="false">(Sens!$L$6954+Sens!$M$6954)/2</f>
        <v>23885.8</v>
      </c>
      <c r="N6955" s="33" t="n">
        <f aca="false">(Sens!$C$6954+Sens!$N$6954)/2</f>
        <v>630</v>
      </c>
      <c r="O6955" s="33" t="n">
        <f aca="false">(Sens!$N$6954+Sens!$O$6954)/2</f>
        <v>1170</v>
      </c>
    </row>
    <row r="6956" customFormat="false" ht="15" hidden="false" customHeight="false" outlineLevel="0" collapsed="false">
      <c r="A6956" s="5" t="s">
        <v>555</v>
      </c>
      <c r="B6956" s="5" t="s">
        <v>102</v>
      </c>
      <c r="C6956" s="34" t="n">
        <v>1</v>
      </c>
      <c r="D6956" s="34" t="n">
        <v>1</v>
      </c>
      <c r="E6956" s="34" t="n">
        <v>0.5</v>
      </c>
      <c r="F6956" s="34" t="n">
        <v>0.5</v>
      </c>
      <c r="G6956" s="34" t="n">
        <v>1</v>
      </c>
      <c r="H6956" s="34" t="n">
        <v>1</v>
      </c>
      <c r="I6956" s="34" t="n">
        <v>1</v>
      </c>
      <c r="J6956" s="34" t="n">
        <v>1</v>
      </c>
      <c r="K6956" s="34" t="n">
        <v>1</v>
      </c>
      <c r="L6956" s="34" t="n">
        <v>1</v>
      </c>
      <c r="M6956" s="34" t="n">
        <v>1</v>
      </c>
      <c r="N6956" s="34" t="n">
        <v>0.5</v>
      </c>
      <c r="O6956" s="34" t="n">
        <v>0.5</v>
      </c>
    </row>
    <row r="6957" customFormat="false" ht="17.15" hidden="false" customHeight="false" outlineLevel="0" collapsed="false">
      <c r="A6957" s="5" t="s">
        <v>556</v>
      </c>
      <c r="B6957" s="0" t="s">
        <v>108</v>
      </c>
      <c r="C6957" s="33" t="n">
        <f aca="false">Sens!$C$6954-mw_ye23</f>
        <v>240</v>
      </c>
      <c r="D6957" s="33" t="n">
        <f aca="false">Sens!$D$6954-Sens!$C$6954</f>
        <v>1080</v>
      </c>
      <c r="E6957" s="33" t="n">
        <f aca="false">Sens!$E$6954-Sens!$D$6954</f>
        <v>640</v>
      </c>
      <c r="F6957" s="33" t="n">
        <f aca="false">Sens!$F$6954-Sens!$E$6954</f>
        <v>1817.15</v>
      </c>
      <c r="G6957" s="33" t="n">
        <f aca="false">Sens!$E$6957+Sens!$F$6957</f>
        <v>2457.15</v>
      </c>
      <c r="H6957" s="33" t="n">
        <f aca="false">Sens!$H$6954-Sens!$G$6954</f>
        <v>3634.3</v>
      </c>
      <c r="I6957" s="33" t="n">
        <f aca="false">Sens!$I$6954-Sens!$H$6954</f>
        <v>3634.3</v>
      </c>
      <c r="J6957" s="33" t="n">
        <f aca="false">Sens!$J$6954-Sens!$I$6954</f>
        <v>3634.3</v>
      </c>
      <c r="K6957" s="33" t="n">
        <f aca="false">Sens!$K$6954-Sens!$J$6954</f>
        <v>3634.3</v>
      </c>
      <c r="L6957" s="33" t="n">
        <f aca="false">Sens!$L$6954-Sens!$K$6954</f>
        <v>3634.3</v>
      </c>
      <c r="M6957" s="33" t="n">
        <f aca="false">Sens!$M$6954-Sens!$L$6954</f>
        <v>3634.3</v>
      </c>
      <c r="N6957" s="33" t="n">
        <f aca="false">Sens!$N$6954-Sens!$C$6954</f>
        <v>540</v>
      </c>
      <c r="O6957" s="33" t="n">
        <f aca="false">Sens!$O$6954-Sens!$N$6954</f>
        <v>540</v>
      </c>
    </row>
    <row r="6958" customFormat="false" ht="17.15" hidden="false" customHeight="false" outlineLevel="0" collapsed="false">
      <c r="A6958" s="5" t="s">
        <v>557</v>
      </c>
      <c r="B6958" s="0" t="s">
        <v>108</v>
      </c>
      <c r="C6958" s="33" t="n">
        <f aca="false">Sens!$C$6957/ext_sh</f>
        <v>300</v>
      </c>
      <c r="D6958" s="33" t="n">
        <f aca="false">Sens!$D$6957/ext_sh</f>
        <v>1350</v>
      </c>
      <c r="E6958" s="33" t="n">
        <f aca="false">Sens!$E$6957/ext_sh</f>
        <v>800</v>
      </c>
      <c r="F6958" s="33" t="n">
        <f aca="false">Sens!$F$6957/ext_sh</f>
        <v>2271.4375</v>
      </c>
      <c r="G6958" s="33" t="n">
        <f aca="false">Sens!$G$6957/ext_sh</f>
        <v>3071.4375</v>
      </c>
      <c r="H6958" s="33" t="n">
        <f aca="false">Sens!$H$6957/ext_sh</f>
        <v>4542.875</v>
      </c>
      <c r="I6958" s="33" t="n">
        <f aca="false">Sens!$I$6957/ext_sh</f>
        <v>4542.875</v>
      </c>
      <c r="J6958" s="33" t="n">
        <f aca="false">Sens!$J$6957/ext_sh</f>
        <v>4542.875</v>
      </c>
      <c r="K6958" s="33" t="n">
        <f aca="false">Sens!$K$6957/ext_sh</f>
        <v>4542.875</v>
      </c>
      <c r="L6958" s="33" t="n">
        <f aca="false">Sens!$L$6957/ext_sh</f>
        <v>4542.875</v>
      </c>
      <c r="M6958" s="33" t="n">
        <f aca="false">Sens!$M$6957/ext_sh</f>
        <v>4542.875</v>
      </c>
      <c r="N6958" s="33" t="n">
        <f aca="false">Sens!$N$6957/ext_sh</f>
        <v>675</v>
      </c>
      <c r="O6958" s="33" t="n">
        <f aca="false">Sens!$O$6957/ext_sh</f>
        <v>675</v>
      </c>
      <c r="P6958" s="8" t="s">
        <v>558</v>
      </c>
      <c r="R6958" s="33" t="n">
        <f aca="false">mw_ye23/ext_sh</f>
        <v>150</v>
      </c>
      <c r="S6958" s="33" t="n">
        <f aca="false">Sens!$C$6958</f>
        <v>300</v>
      </c>
      <c r="T6958" s="33" t="n">
        <f aca="false">Sens!$D$6958</f>
        <v>1350</v>
      </c>
      <c r="U6958" s="33" t="n">
        <f aca="false">Sens!$G$6958</f>
        <v>3071.4375</v>
      </c>
      <c r="V6958" s="33" t="n">
        <f aca="false">Sens!$H$6958</f>
        <v>4542.875</v>
      </c>
      <c r="W6958" s="33" t="n">
        <f aca="false">Sens!$I$6958</f>
        <v>4542.875</v>
      </c>
      <c r="X6958" s="33" t="n">
        <f aca="false">Sens!$J$6958</f>
        <v>4542.875</v>
      </c>
      <c r="Y6958" s="33" t="n">
        <f aca="false">Sens!$K$6958</f>
        <v>4542.875</v>
      </c>
      <c r="Z6958" s="33" t="n">
        <f aca="false">Sens!$L$6958</f>
        <v>4542.875</v>
      </c>
      <c r="AA6958" s="33" t="n">
        <f aca="false">Sens!$M$6958</f>
        <v>4542.875</v>
      </c>
    </row>
    <row r="6959" customFormat="false" ht="17.15" hidden="false" customHeight="false" outlineLevel="0" collapsed="false">
      <c r="A6959" s="1" t="s">
        <v>559</v>
      </c>
    </row>
    <row r="6960" customFormat="false" ht="17.15" hidden="false" customHeight="false" outlineLevel="0" collapsed="false">
      <c r="A6960" s="0" t="s">
        <v>560</v>
      </c>
      <c r="B6960" s="0" t="s">
        <v>52</v>
      </c>
      <c r="F6960" s="35" t="n">
        <f aca="false">na_vr26</f>
        <v>0</v>
      </c>
      <c r="G6960" s="35" t="n">
        <f aca="false">na_vr26</f>
        <v>0</v>
      </c>
      <c r="H6960" s="35" t="n">
        <f aca="false">na_vr27</f>
        <v>0.5</v>
      </c>
      <c r="I6960" s="35" t="n">
        <f aca="false">na_vr28</f>
        <v>1</v>
      </c>
      <c r="J6960" s="35" t="n">
        <f aca="false">na_vr28</f>
        <v>1</v>
      </c>
      <c r="K6960" s="35" t="n">
        <f aca="false">na_vr28</f>
        <v>1</v>
      </c>
      <c r="L6960" s="35" t="n">
        <f aca="false">na_vr28</f>
        <v>1</v>
      </c>
      <c r="M6960" s="35" t="n">
        <f aca="false">na_vr28</f>
        <v>1</v>
      </c>
    </row>
    <row r="6961" customFormat="false" ht="17.15" hidden="false" customHeight="false" outlineLevel="0" collapsed="false">
      <c r="A6961" s="5" t="s">
        <v>561</v>
      </c>
      <c r="B6961" s="0" t="s">
        <v>151</v>
      </c>
      <c r="F6961" s="36" t="n">
        <f aca="false">cust_sh*tk_he_gb300*cf_chip+(1-cust_sh)*((1-Sens!$F$6960)*tk_he_gb300+Sens!$F$6960*tk_he_vr200)</f>
        <v>10.8864110021101</v>
      </c>
      <c r="G6961" s="36" t="n">
        <f aca="false">cust_sh*tk_he_gb300*cf_chip+(1-cust_sh)*((1-Sens!$G$6960)*tk_he_gb300+Sens!$G$6960*tk_he_vr200)</f>
        <v>10.8864110021101</v>
      </c>
      <c r="H6961" s="36" t="n">
        <f aca="false">cust_sh*tk_he_gb300*cf_chip+(1-cust_sh)*((1-Sens!$H$6960)*tk_he_gb300+Sens!$H$6960*tk_he_vr200)</f>
        <v>11.2211760027286</v>
      </c>
      <c r="I6961" s="36" t="n">
        <f aca="false">cust_sh*tk_he_gb300*cf_chip+(1-cust_sh)*((1-Sens!$I$6960)*tk_he_gb300+Sens!$I$6960*tk_he_vr200)</f>
        <v>11.5559410033471</v>
      </c>
      <c r="J6961" s="36" t="n">
        <f aca="false">cust_sh*tk_he_gb300*cf_chip+(1-cust_sh)*((1-Sens!$J$6960)*tk_he_gb300+Sens!$J$6960*tk_he_vr200)</f>
        <v>11.5559410033471</v>
      </c>
      <c r="K6961" s="36" t="n">
        <f aca="false">cust_sh*tk_he_gb300*cf_chip+(1-cust_sh)*((1-Sens!$K$6960)*tk_he_gb300+Sens!$K$6960*tk_he_vr200)</f>
        <v>11.5559410033471</v>
      </c>
      <c r="L6961" s="36" t="n">
        <f aca="false">cust_sh*tk_he_gb300*cf_chip+(1-cust_sh)*((1-Sens!$L$6960)*tk_he_gb300+Sens!$L$6960*tk_he_vr200)</f>
        <v>11.5559410033471</v>
      </c>
      <c r="M6961" s="36" t="n">
        <f aca="false">cust_sh*tk_he_gb300*cf_chip+(1-cust_sh)*((1-Sens!$M$6960)*tk_he_gb300+Sens!$M$6960*tk_he_vr200)</f>
        <v>11.5559410033471</v>
      </c>
    </row>
    <row r="6962" customFormat="false" ht="17.15" hidden="false" customHeight="false" outlineLevel="0" collapsed="false">
      <c r="A6962" s="5" t="s">
        <v>562</v>
      </c>
      <c r="B6962" s="0" t="s">
        <v>151</v>
      </c>
      <c r="F6962" s="36" t="n">
        <f aca="false">cust_sh*tk_ox_gb300+(1-cust_sh)*((1-Sens!$F$6960)*tk_ox_gb300+Sens!$F$6960*tk_ox_vr200)</f>
        <v>1.98263481314457</v>
      </c>
      <c r="G6962" s="36" t="n">
        <f aca="false">cust_sh*tk_ox_gb300+(1-cust_sh)*((1-Sens!$G$6960)*tk_ox_gb300+Sens!$G$6960*tk_ox_vr200)</f>
        <v>1.98263481314457</v>
      </c>
      <c r="H6962" s="36" t="n">
        <f aca="false">cust_sh*tk_ox_gb300+(1-cust_sh)*((1-Sens!$H$6960)*tk_ox_gb300+Sens!$H$6960*tk_ox_vr200)</f>
        <v>2.01034999693694</v>
      </c>
      <c r="I6962" s="36" t="n">
        <f aca="false">cust_sh*tk_ox_gb300+(1-cust_sh)*((1-Sens!$I$6960)*tk_ox_gb300+Sens!$I$6960*tk_ox_vr200)</f>
        <v>2.0380651807293</v>
      </c>
      <c r="J6962" s="36" t="n">
        <f aca="false">cust_sh*tk_ox_gb300+(1-cust_sh)*((1-Sens!$J$6960)*tk_ox_gb300+Sens!$J$6960*tk_ox_vr200)</f>
        <v>2.0380651807293</v>
      </c>
      <c r="K6962" s="36" t="n">
        <f aca="false">cust_sh*tk_ox_gb300+(1-cust_sh)*((1-Sens!$K$6960)*tk_ox_gb300+Sens!$K$6960*tk_ox_vr200)</f>
        <v>2.0380651807293</v>
      </c>
      <c r="L6962" s="36" t="n">
        <f aca="false">cust_sh*tk_ox_gb300+(1-cust_sh)*((1-Sens!$L$6960)*tk_ox_gb300+Sens!$L$6960*tk_ox_vr200)</f>
        <v>2.0380651807293</v>
      </c>
      <c r="M6962" s="36" t="n">
        <f aca="false">cust_sh*tk_ox_gb300+(1-cust_sh)*((1-Sens!$M$6960)*tk_ox_gb300+Sens!$M$6960*tk_ox_vr200)</f>
        <v>2.0380651807293</v>
      </c>
    </row>
    <row r="6963" customFormat="false" ht="17.15" hidden="false" customHeight="false" outlineLevel="0" collapsed="false">
      <c r="A6963" s="5" t="s">
        <v>563</v>
      </c>
      <c r="B6963" s="0" t="s">
        <v>170</v>
      </c>
      <c r="F6963" s="36" t="n">
        <f aca="false">cust_sh*tk_cx_gb300*cf_cx+(1-cust_sh)*((1-Sens!$F$6960)*tk_cx_gb300+Sens!$F$6960*tk_cx_vr200)</f>
        <v>32.237224</v>
      </c>
      <c r="G6963" s="36" t="n">
        <f aca="false">cust_sh*tk_cx_gb300*cf_cx+(1-cust_sh)*((1-Sens!$G$6960)*tk_cx_gb300+Sens!$G$6960*tk_cx_vr200)</f>
        <v>32.237224</v>
      </c>
      <c r="H6963" s="36" t="n">
        <f aca="false">cust_sh*tk_cx_gb300*cf_cx+(1-cust_sh)*((1-Sens!$H$6960)*tk_cx_gb300+Sens!$H$6960*tk_cx_vr200)</f>
        <v>33.574506</v>
      </c>
      <c r="I6963" s="36" t="n">
        <f aca="false">cust_sh*tk_cx_gb300*cf_cx+(1-cust_sh)*((1-Sens!$I$6960)*tk_cx_gb300+Sens!$I$6960*tk_cx_vr200)</f>
        <v>34.911788</v>
      </c>
      <c r="J6963" s="36" t="n">
        <f aca="false">cust_sh*tk_cx_gb300*cf_cx+(1-cust_sh)*((1-Sens!$J$6960)*tk_cx_gb300+Sens!$J$6960*tk_cx_vr200)</f>
        <v>34.911788</v>
      </c>
      <c r="K6963" s="36" t="n">
        <f aca="false">cust_sh*tk_cx_gb300*cf_cx+(1-cust_sh)*((1-Sens!$K$6960)*tk_cx_gb300+Sens!$K$6960*tk_cx_vr200)</f>
        <v>34.911788</v>
      </c>
      <c r="L6963" s="36" t="n">
        <f aca="false">cust_sh*tk_cx_gb300*cf_cx+(1-cust_sh)*((1-Sens!$L$6960)*tk_cx_gb300+Sens!$L$6960*tk_cx_vr200)</f>
        <v>34.911788</v>
      </c>
      <c r="M6963" s="36" t="n">
        <f aca="false">cust_sh*tk_cx_gb300*cf_cx+(1-cust_sh)*((1-Sens!$M$6960)*tk_cx_gb300+Sens!$M$6960*tk_cx_vr200)</f>
        <v>34.911788</v>
      </c>
    </row>
    <row r="6964" customFormat="false" ht="17.15" hidden="false" customHeight="false" outlineLevel="0" collapsed="false">
      <c r="A6964" s="5" t="s">
        <v>564</v>
      </c>
      <c r="B6964" s="0" t="s">
        <v>108</v>
      </c>
      <c r="F6964" s="33" t="n">
        <f aca="false">Sens!$F$6954-mw_open</f>
        <v>1817.15</v>
      </c>
      <c r="G6964" s="33" t="n">
        <f aca="false">Sens!$F$6964</f>
        <v>1817.15</v>
      </c>
      <c r="H6964" s="33" t="n">
        <f aca="false">Sens!$H$6954-mw_open</f>
        <v>5451.45</v>
      </c>
      <c r="I6964" s="33" t="n">
        <f aca="false">Sens!$I$6954-mw_open</f>
        <v>9085.75</v>
      </c>
      <c r="J6964" s="33" t="n">
        <f aca="false">Sens!$J$6954-mw_open</f>
        <v>12720.05</v>
      </c>
      <c r="K6964" s="33" t="n">
        <f aca="false">Sens!$K$6954-mw_open</f>
        <v>16354.35</v>
      </c>
      <c r="L6964" s="33" t="n">
        <f aca="false">Sens!$L$6954-mw_open</f>
        <v>19988.65</v>
      </c>
      <c r="M6964" s="33" t="n">
        <f aca="false">Sens!$M$6954-mw_open</f>
        <v>23622.95</v>
      </c>
    </row>
    <row r="6965" customFormat="false" ht="17.15" hidden="false" customHeight="false" outlineLevel="0" collapsed="false">
      <c r="A6965" s="0" t="s">
        <v>565</v>
      </c>
      <c r="B6965" s="0" t="s">
        <v>566</v>
      </c>
      <c r="F6965" s="33" t="n">
        <f aca="false">Sens!$F$6957*Sens!$F$6961</f>
        <v>19782.2417524844</v>
      </c>
      <c r="G6965" s="33" t="n">
        <f aca="false">Sens!$F$6965</f>
        <v>19782.2417524844</v>
      </c>
      <c r="H6965" s="33" t="n">
        <f aca="false">Sens!$G$6965+Sens!$H$6957*Sens!$H$6961</f>
        <v>60563.3616992009</v>
      </c>
      <c r="I6965" s="33" t="n">
        <f aca="false">Sens!$H$6965+Sens!$I$6957*Sens!$I$6961</f>
        <v>102561.118087665</v>
      </c>
      <c r="J6965" s="33" t="n">
        <f aca="false">Sens!$I$6965+Sens!$J$6957*Sens!$J$6961</f>
        <v>144558.87447613</v>
      </c>
      <c r="K6965" s="33" t="n">
        <f aca="false">Sens!$J$6965+Sens!$K$6957*Sens!$K$6961</f>
        <v>186556.630864594</v>
      </c>
      <c r="L6965" s="33" t="n">
        <f aca="false">Sens!$K$6965+Sens!$L$6957*Sens!$L$6961</f>
        <v>228554.387253058</v>
      </c>
      <c r="M6965" s="33" t="n">
        <f aca="false">Sens!$L$6965+Sens!$M$6957*Sens!$M$6961</f>
        <v>270552.143641523</v>
      </c>
    </row>
    <row r="6966" customFormat="false" ht="17.15" hidden="false" customHeight="false" outlineLevel="0" collapsed="false">
      <c r="A6966" s="0" t="s">
        <v>567</v>
      </c>
      <c r="B6966" s="0" t="s">
        <v>566</v>
      </c>
      <c r="F6966" s="33" t="n">
        <f aca="false">Sens!$F$6957*Sens!$F$6962</f>
        <v>3602.74485070566</v>
      </c>
      <c r="G6966" s="33" t="n">
        <f aca="false">Sens!$F$6966</f>
        <v>3602.74485070566</v>
      </c>
      <c r="H6966" s="33" t="n">
        <f aca="false">Sens!$G$6966+Sens!$H$6957*Sens!$H$6962</f>
        <v>10908.9598445736</v>
      </c>
      <c r="I6966" s="33" t="n">
        <f aca="false">Sens!$H$6966+Sens!$I$6957*Sens!$I$6962</f>
        <v>18315.9001308981</v>
      </c>
      <c r="J6966" s="33" t="n">
        <f aca="false">Sens!$I$6966+Sens!$J$6957*Sens!$J$6962</f>
        <v>25722.8404172225</v>
      </c>
      <c r="K6966" s="33" t="n">
        <f aca="false">Sens!$J$6966+Sens!$K$6957*Sens!$K$6962</f>
        <v>33129.780703547</v>
      </c>
      <c r="L6966" s="33" t="n">
        <f aca="false">Sens!$K$6966+Sens!$L$6957*Sens!$L$6962</f>
        <v>40536.7209898715</v>
      </c>
      <c r="M6966" s="33" t="n">
        <f aca="false">Sens!$L$6966+Sens!$M$6957*Sens!$M$6962</f>
        <v>47943.661276196</v>
      </c>
    </row>
    <row r="6967" customFormat="false" ht="17.15" hidden="false" customHeight="false" outlineLevel="0" collapsed="false">
      <c r="A6967" s="5" t="s">
        <v>568</v>
      </c>
      <c r="B6967" s="0" t="s">
        <v>151</v>
      </c>
      <c r="F6967" s="36" t="n">
        <f aca="false">IF(Sens!$F$6964&gt;0,Sens!$F$6965/Sens!$F$6964,Sens!$F$6961)</f>
        <v>10.8864110021101</v>
      </c>
      <c r="G6967" s="36" t="n">
        <f aca="false">IF(Sens!$G$6964&gt;0,Sens!$G$6965/Sens!$G$6964,Sens!$G$6961)</f>
        <v>10.8864110021101</v>
      </c>
      <c r="H6967" s="36" t="n">
        <f aca="false">IF(Sens!$H$6964&gt;0,Sens!$H$6965/Sens!$H$6964,Sens!$H$6961)</f>
        <v>11.1095876691891</v>
      </c>
      <c r="I6967" s="36" t="n">
        <f aca="false">IF(Sens!$I$6964&gt;0,Sens!$I$6965/Sens!$I$6964,Sens!$I$6961)</f>
        <v>11.2881290028523</v>
      </c>
      <c r="J6967" s="36" t="n">
        <f aca="false">IF(Sens!$J$6964&gt;0,Sens!$J$6965/Sens!$J$6964,Sens!$J$6961)</f>
        <v>11.3646467172794</v>
      </c>
      <c r="K6967" s="36" t="n">
        <f aca="false">IF(Sens!$K$6964&gt;0,Sens!$K$6965/Sens!$K$6964,Sens!$K$6961)</f>
        <v>11.4071565586278</v>
      </c>
      <c r="L6967" s="36" t="n">
        <f aca="false">IF(Sens!$L$6964&gt;0,Sens!$L$6965/Sens!$L$6964,Sens!$L$6961)</f>
        <v>11.4342082758495</v>
      </c>
      <c r="M6967" s="36" t="n">
        <f aca="false">IF(Sens!$M$6964&gt;0,Sens!$M$6965/Sens!$M$6964,Sens!$M$6961)</f>
        <v>11.4529363877722</v>
      </c>
    </row>
    <row r="6968" customFormat="false" ht="17.15" hidden="false" customHeight="false" outlineLevel="0" collapsed="false">
      <c r="A6968" s="5" t="s">
        <v>569</v>
      </c>
      <c r="B6968" s="0" t="s">
        <v>151</v>
      </c>
      <c r="F6968" s="36" t="n">
        <f aca="false">IF(Sens!$F$6964&gt;0,Sens!$F$6966/Sens!$F$6964,Sens!$F$6962)</f>
        <v>1.98263481314457</v>
      </c>
      <c r="G6968" s="36" t="n">
        <f aca="false">IF(Sens!$G$6964&gt;0,Sens!$G$6966/Sens!$G$6964,Sens!$G$6962)</f>
        <v>1.98263481314457</v>
      </c>
      <c r="H6968" s="36" t="n">
        <f aca="false">IF(Sens!$H$6964&gt;0,Sens!$H$6966/Sens!$H$6964,Sens!$H$6962)</f>
        <v>2.00111160233948</v>
      </c>
      <c r="I6968" s="36" t="n">
        <f aca="false">IF(Sens!$I$6964&gt;0,Sens!$I$6966/Sens!$I$6964,Sens!$I$6962)</f>
        <v>2.01589303369541</v>
      </c>
      <c r="J6968" s="36" t="n">
        <f aca="false">IF(Sens!$J$6964&gt;0,Sens!$J$6966/Sens!$J$6964,Sens!$J$6962)</f>
        <v>2.02222793284795</v>
      </c>
      <c r="K6968" s="36" t="n">
        <f aca="false">IF(Sens!$K$6964&gt;0,Sens!$K$6966/Sens!$K$6964,Sens!$K$6962)</f>
        <v>2.02574732126603</v>
      </c>
      <c r="L6968" s="36" t="n">
        <f aca="false">IF(Sens!$L$6964&gt;0,Sens!$L$6966/Sens!$L$6964,Sens!$L$6962)</f>
        <v>2.02798693207753</v>
      </c>
      <c r="M6968" s="36" t="n">
        <f aca="false">IF(Sens!$M$6964&gt;0,Sens!$M$6966/Sens!$M$6964,Sens!$M$6962)</f>
        <v>2.02953743187011</v>
      </c>
    </row>
    <row r="6969" customFormat="false" ht="17.15" hidden="false" customHeight="false" outlineLevel="0" collapsed="false">
      <c r="A6969" s="14" t="s">
        <v>570</v>
      </c>
      <c r="B6969" s="13" t="s">
        <v>151</v>
      </c>
      <c r="C6969" s="13"/>
      <c r="D6969" s="13"/>
      <c r="E6969" s="13"/>
      <c r="F6969" s="37" t="n">
        <f aca="false">Sens!$F$6967*k_B</f>
        <v>10.7987645808025</v>
      </c>
      <c r="G6969" s="37" t="n">
        <f aca="false">Sens!$G$6967*k_B</f>
        <v>10.7987645808025</v>
      </c>
      <c r="H6969" s="37" t="n">
        <f aca="false">Sens!$H$6967*k_B</f>
        <v>11.0201444540452</v>
      </c>
      <c r="I6969" s="37" t="n">
        <f aca="false">Sens!$I$6967*k_B</f>
        <v>11.1972483526393</v>
      </c>
      <c r="J6969" s="37" t="n">
        <f aca="false">Sens!$J$6967*k_B</f>
        <v>11.2731500234653</v>
      </c>
      <c r="K6969" s="37" t="n">
        <f aca="false">Sens!$K$6967*k_B</f>
        <v>11.3153176183687</v>
      </c>
      <c r="L6969" s="37" t="n">
        <f aca="false">Sens!$L$6967*k_B</f>
        <v>11.3421515423981</v>
      </c>
      <c r="M6969" s="37" t="n">
        <f aca="false">Sens!$M$6967*k_B</f>
        <v>11.3607288744184</v>
      </c>
      <c r="N6969" s="13"/>
      <c r="O6969" s="13"/>
      <c r="P6969" s="5" t="s">
        <v>571</v>
      </c>
    </row>
    <row r="6970" customFormat="false" ht="17.15" hidden="false" customHeight="false" outlineLevel="0" collapsed="false">
      <c r="A6970" s="5" t="s">
        <v>572</v>
      </c>
      <c r="B6970" s="0" t="s">
        <v>108</v>
      </c>
      <c r="F6970" s="33" t="n">
        <f aca="false">Sens!$F$6964/2</f>
        <v>908.575</v>
      </c>
      <c r="H6970" s="33" t="n">
        <f aca="false">(Sens!$G$6964+Sens!$H$6964)/2</f>
        <v>3634.3</v>
      </c>
      <c r="I6970" s="33" t="n">
        <f aca="false">(Sens!$H$6964+Sens!$I$6964)/2</f>
        <v>7268.6</v>
      </c>
      <c r="J6970" s="33" t="n">
        <f aca="false">(Sens!$I$6964+Sens!$J$6964)/2</f>
        <v>10902.9</v>
      </c>
      <c r="K6970" s="33" t="n">
        <f aca="false">(Sens!$J$6964+Sens!$K$6964)/2</f>
        <v>14537.2</v>
      </c>
      <c r="L6970" s="33" t="n">
        <f aca="false">(Sens!$K$6964+Sens!$L$6964)/2</f>
        <v>18171.5</v>
      </c>
      <c r="M6970" s="33" t="n">
        <f aca="false">(Sens!$L$6964+Sens!$M$6964)/2</f>
        <v>21805.8</v>
      </c>
    </row>
    <row r="6971" customFormat="false" ht="17.15" hidden="false" customHeight="false" outlineLevel="0" collapsed="false">
      <c r="A6971" s="1" t="s">
        <v>573</v>
      </c>
    </row>
    <row r="6972" customFormat="false" ht="17.15" hidden="false" customHeight="false" outlineLevel="0" collapsed="false">
      <c r="A6972" s="1" t="s">
        <v>574</v>
      </c>
      <c r="B6972" s="8" t="s">
        <v>73</v>
      </c>
      <c r="C6972" s="38" t="n">
        <f aca="false">Sens!$C$6955*rpm_open*Sens!$C$6956/1000</f>
        <v>2.32100535697364</v>
      </c>
      <c r="D6972" s="38" t="n">
        <f aca="false">Sens!$D$6955*rpm_open*Sens!$D$6956/1000</f>
        <v>8.70377008865116</v>
      </c>
      <c r="E6972" s="38" t="n">
        <f aca="false">Sens!$E$6955*rpm_open*Sens!$E$6956/1000</f>
        <v>8.51035297557002</v>
      </c>
      <c r="F6972" s="38" t="n">
        <f aca="false">(mw_open*rpm_open+Sens!$F$6970*Sens!$F$6969)*Sens!$F$6956/1000</f>
        <v>14.9634336447205</v>
      </c>
      <c r="G6972" s="38" t="n">
        <f aca="false">Sens!$E$6972+Sens!$F$6972</f>
        <v>23.4737866202905</v>
      </c>
      <c r="H6972" s="38" t="n">
        <f aca="false">(mw_open*rpm_open+Sens!$H$6970*Sens!$H$6969)/1000</f>
        <v>60.1658907497746</v>
      </c>
      <c r="I6972" s="38" t="n">
        <f aca="false">(mw_open*rpm_open+Sens!$I$6970*Sens!$I$6969)/1000</f>
        <v>101.503699136432</v>
      </c>
      <c r="J6972" s="38" t="n">
        <f aca="false">(mw_open*rpm_open+Sens!$J$6970*Sens!$J$6969)/1000</f>
        <v>143.025407151278</v>
      </c>
      <c r="K6972" s="38" t="n">
        <f aca="false">(mw_open*rpm_open+Sens!$K$6970*Sens!$K$6969)/1000</f>
        <v>184.608415042187</v>
      </c>
      <c r="L6972" s="38" t="n">
        <f aca="false">(mw_open*rpm_open+Sens!$L$6970*Sens!$L$6969)/1000</f>
        <v>226.219286513125</v>
      </c>
      <c r="M6972" s="38" t="n">
        <f aca="false">(mw_open*rpm_open+Sens!$M$6970*Sens!$M$6969)/1000</f>
        <v>267.845161450232</v>
      </c>
      <c r="N6972" s="38" t="n">
        <f aca="false">Sens!$N$6955*rpm_open*Sens!$N$6956/1000</f>
        <v>3.04631953102791</v>
      </c>
      <c r="O6972" s="38" t="n">
        <f aca="false">Sens!$O$6955*rpm_open*Sens!$O$6956/1000</f>
        <v>5.65745055762326</v>
      </c>
      <c r="P6972" s="5" t="s">
        <v>575</v>
      </c>
    </row>
    <row r="6973" customFormat="false" ht="17.15" hidden="false" customHeight="false" outlineLevel="0" collapsed="false">
      <c r="A6973" s="5" t="s">
        <v>576</v>
      </c>
      <c r="B6973" s="0" t="s">
        <v>151</v>
      </c>
      <c r="C6973" s="36" t="n">
        <f aca="false">Sens!$C$6972*1000/(Sens!$C$6955*Sens!$C$6956)</f>
        <v>9.67085565405685</v>
      </c>
      <c r="D6973" s="36" t="n">
        <f aca="false">Sens!$D$6972*1000/(Sens!$D$6955*Sens!$D$6956)</f>
        <v>9.67085565405685</v>
      </c>
      <c r="E6973" s="36" t="n">
        <f aca="false">Sens!$E$6972*1000/(Sens!$E$6955*Sens!$E$6956)</f>
        <v>9.67085565405685</v>
      </c>
      <c r="F6973" s="36" t="n">
        <f aca="false">Sens!$F$6972*1000/(Sens!$F$6955*Sens!$F$6956)</f>
        <v>10.0137581588017</v>
      </c>
      <c r="G6973" s="36" t="n">
        <f aca="false">Sens!$G$6972*1000/(Sens!$G$6955*Sens!$G$6956)</f>
        <v>9.88666562928478</v>
      </c>
      <c r="H6973" s="36" t="n">
        <f aca="false">Sens!$H$6972*1000/(Sens!$H$6955*Sens!$H$6956)</f>
        <v>10.5290045586992</v>
      </c>
      <c r="I6973" s="36" t="n">
        <f aca="false">Sens!$I$6972*1000/(Sens!$I$6955*Sens!$I$6956)</f>
        <v>10.8576363451674</v>
      </c>
      <c r="J6973" s="36" t="n">
        <f aca="false">Sens!$J$6972*1000/(Sens!$J$6955*Sens!$J$6956)</f>
        <v>11.0164452588619</v>
      </c>
      <c r="K6973" s="36" t="n">
        <f aca="false">Sens!$K$6972*1000/(Sens!$K$6955*Sens!$K$6956)</f>
        <v>11.1094778327388</v>
      </c>
      <c r="L6973" s="36" t="n">
        <f aca="false">Sens!$L$6972*1000/(Sens!$L$6955*Sens!$L$6956)</f>
        <v>11.1704953466718</v>
      </c>
      <c r="M6973" s="36" t="n">
        <f aca="false">Sens!$M$6972*1000/(Sens!$M$6955*Sens!$M$6956)</f>
        <v>11.2135729785158</v>
      </c>
      <c r="N6973" s="36" t="n">
        <f aca="false">Sens!$N$6972*1000/(Sens!$N$6955*Sens!$N$6956)</f>
        <v>9.67085565405685</v>
      </c>
      <c r="O6973" s="36" t="n">
        <f aca="false">Sens!$O$6972*1000/(Sens!$O$6955*Sens!$O$6956)</f>
        <v>9.67085565405685</v>
      </c>
    </row>
    <row r="6974" customFormat="false" ht="17.15" hidden="false" customHeight="false" outlineLevel="0" collapsed="false">
      <c r="A6974" s="0" t="s">
        <v>577</v>
      </c>
      <c r="B6974" s="0" t="s">
        <v>73</v>
      </c>
      <c r="C6974" s="38" t="n">
        <f aca="false">Sens!$C$6955/ext_sh*(ox_open+rent_mw)*Sens!$C$6956/1000</f>
        <v>0.642569210675032</v>
      </c>
      <c r="D6974" s="38" t="n">
        <f aca="false">Sens!$D$6955/ext_sh*(ox_open+rent_mw)*Sens!$D$6956/1000</f>
        <v>2.40963454003137</v>
      </c>
      <c r="E6974" s="38" t="n">
        <f aca="false">Sens!$E$6955/ext_sh*(ox_open+rent_mw)*Sens!$E$6956/1000</f>
        <v>2.35608710580845</v>
      </c>
      <c r="F6974" s="38" t="n">
        <f aca="false">((mw_open*ox_open+Sens!$F$6970*Sens!$F$6968)/ext_sh+Sens!$F$6955/ext_sh*rent_mw)*Sens!$F$6956/1000</f>
        <v>4.05421991106232</v>
      </c>
      <c r="G6974" s="38" t="n">
        <f aca="false">Sens!$E$6974+Sens!$F$6974</f>
        <v>6.41030701687077</v>
      </c>
      <c r="H6974" s="38" t="n">
        <f aca="false">((mw_open*ox_open+Sens!$H$6970*Sens!$H$6968)/ext_sh+Sens!$H$6955/ext_sh*rent_mw)*Sens!$H$6956/1000</f>
        <v>15.8108975546616</v>
      </c>
      <c r="I6974" s="38" t="n">
        <f aca="false">((mw_open*ox_open+Sens!$I$6970*Sens!$I$6968)/ext_sh+Sens!$I$6955/ext_sh*rent_mw)*Sens!$I$6956/1000</f>
        <v>26.1871623400817</v>
      </c>
      <c r="J6974" s="38" t="n">
        <f aca="false">((mw_open*ox_open+Sens!$J$6970*Sens!$J$6968)/ext_sh+Sens!$J$6955/ext_sh*rent_mw)*Sens!$J$6956/1000</f>
        <v>36.5826128954935</v>
      </c>
      <c r="K6974" s="38" t="n">
        <f aca="false">((mw_open*ox_open+Sens!$K$6970*Sens!$K$6968)/ext_sh+Sens!$K$6955/ext_sh*rent_mw)*Sens!$K$6956/1000</f>
        <v>46.9844587075692</v>
      </c>
      <c r="L6974" s="38" t="n">
        <f aca="false">((mw_open*ox_open+Sens!$L$6970*Sens!$L$6968)/ext_sh+Sens!$L$6955/ext_sh*rent_mw)*Sens!$L$6956/1000</f>
        <v>57.3892114544922</v>
      </c>
      <c r="M6974" s="38" t="n">
        <f aca="false">((mw_open*ox_open+Sens!$M$6970*Sens!$M$6968)/ext_sh+Sens!$M$6955/ext_sh*rent_mw)*Sens!$M$6956/1000</f>
        <v>67.7955294740252</v>
      </c>
      <c r="N6974" s="38" t="n">
        <f aca="false">Sens!$N$6955/ext_sh*(ox_open+rent_mw)*Sens!$N$6956/1000</f>
        <v>0.84337208901098</v>
      </c>
      <c r="O6974" s="38" t="n">
        <f aca="false">Sens!$O$6955/ext_sh*(ox_open+rent_mw)*Sens!$O$6956/1000</f>
        <v>1.56626245102039</v>
      </c>
    </row>
    <row r="6975" customFormat="false" ht="17.15" hidden="false" customHeight="false" outlineLevel="0" collapsed="false">
      <c r="A6975" s="0" t="s">
        <v>578</v>
      </c>
      <c r="B6975" s="0" t="s">
        <v>73</v>
      </c>
      <c r="C6975" s="38" t="n">
        <f aca="false">Q!$D$7</f>
        <v>107.556</v>
      </c>
      <c r="D6975" s="38" t="n">
        <f aca="false">Q!$E$7</f>
        <v>128.725</v>
      </c>
      <c r="E6975" s="38" t="n">
        <f aca="false">Q!$P$7</f>
        <v>79.819</v>
      </c>
      <c r="N6975" s="38" t="n">
        <f aca="false">Q!$N$7</f>
        <v>60.14</v>
      </c>
      <c r="O6975" s="38" t="n">
        <f aca="false">Q!$O$7</f>
        <v>68.585</v>
      </c>
    </row>
    <row r="6976" customFormat="false" ht="17.15" hidden="false" customHeight="false" outlineLevel="0" collapsed="false">
      <c r="A6976" s="1" t="s">
        <v>579</v>
      </c>
      <c r="B6976" s="8" t="s">
        <v>73</v>
      </c>
      <c r="C6976" s="38" t="n">
        <f aca="false">Sens!$C$6975-Sens!$C$6972</f>
        <v>105.234994643026</v>
      </c>
      <c r="D6976" s="38" t="n">
        <f aca="false">Sens!$D$6975-Sens!$D$6972</f>
        <v>120.021229911349</v>
      </c>
      <c r="E6976" s="38" t="n">
        <f aca="false">Sens!$E$6975-Sens!$E$6972</f>
        <v>71.30864702443</v>
      </c>
      <c r="F6976" s="38" t="n">
        <f aca="false">Sens!$O$6976*(1+Sens!$F$6977)</f>
        <v>78.5950104186653</v>
      </c>
      <c r="G6976" s="38" t="n">
        <f aca="false">Sens!$E$6976+Sens!$F$6976</f>
        <v>149.903657443095</v>
      </c>
      <c r="H6976" s="38" t="n">
        <f aca="false">Sens!$G$6976*(1+Sens!$H$6977)</f>
        <v>180.893560768142</v>
      </c>
      <c r="I6976" s="38" t="n">
        <f aca="false">Sens!$H$6976*(1+Sens!$I$6977)</f>
        <v>210.64839721501</v>
      </c>
      <c r="J6976" s="38" t="n">
        <f aca="false">Sens!$I$6976*(1+Sens!$J$6977)</f>
        <v>236.398909446495</v>
      </c>
      <c r="K6976" s="38" t="n">
        <f aca="false">Sens!$J$6976*(1+Sens!$K$6977)</f>
        <v>255.310822202215</v>
      </c>
      <c r="L6976" s="38" t="n">
        <f aca="false">Sens!$K$6976*(1+Sens!$L$6977)</f>
        <v>275.735687978392</v>
      </c>
      <c r="M6976" s="38" t="n">
        <f aca="false">Sens!$L$6976*(1+Sens!$M$6977)</f>
        <v>297.794543016663</v>
      </c>
      <c r="N6976" s="38" t="n">
        <f aca="false">Sens!$N$6975-Sens!$N$6972</f>
        <v>57.0936804689721</v>
      </c>
      <c r="O6976" s="38" t="n">
        <f aca="false">Sens!$O$6975-Sens!$O$6972</f>
        <v>62.9275494423768</v>
      </c>
      <c r="P6976" s="5" t="s">
        <v>580</v>
      </c>
    </row>
    <row r="6977" customFormat="false" ht="17.15" hidden="false" customHeight="false" outlineLevel="0" collapsed="false">
      <c r="A6977" s="0" t="s">
        <v>581</v>
      </c>
      <c r="B6977" s="0" t="s">
        <v>52</v>
      </c>
      <c r="E6977" s="12" t="n">
        <f aca="false">Sens!$E$6976/Sens!$N$6976-1</f>
        <v>0.248976181579029</v>
      </c>
      <c r="F6977" s="12" t="n">
        <f aca="false">Sens!$E$6977</f>
        <v>0.248976181579029</v>
      </c>
      <c r="G6977" s="12" t="n">
        <f aca="false">Sens!$G$6976/Sens!$D$6976-1</f>
        <v>0.248976181579029</v>
      </c>
      <c r="H6977" s="12" t="n">
        <f aca="false">Sens!$E$6977+(g_awso_lt-Sens!$E$6977)*1/4</f>
        <v>0.206732136184272</v>
      </c>
      <c r="I6977" s="12" t="n">
        <f aca="false">Sens!$E$6977+(g_awso_lt-Sens!$E$6977)*2/4</f>
        <v>0.164488090789515</v>
      </c>
      <c r="J6977" s="12" t="n">
        <f aca="false">Sens!$E$6977+(g_awso_lt-Sens!$E$6977)*3/4</f>
        <v>0.122244045394757</v>
      </c>
      <c r="K6977" s="12" t="n">
        <f aca="false">Sens!$E$6977+(g_awso_lt-Sens!$E$6977)*4/4</f>
        <v>0.08</v>
      </c>
      <c r="L6977" s="12" t="n">
        <f aca="false">g_awso_lt</f>
        <v>0.08</v>
      </c>
      <c r="M6977" s="12" t="n">
        <f aca="false">g_awso_lt</f>
        <v>0.08</v>
      </c>
      <c r="P6977" s="8" t="s">
        <v>582</v>
      </c>
    </row>
    <row r="6978" customFormat="false" ht="17.15" hidden="false" customHeight="false" outlineLevel="0" collapsed="false">
      <c r="A6978" s="1" t="s">
        <v>583</v>
      </c>
    </row>
    <row r="6979" customFormat="false" ht="17.15" hidden="false" customHeight="false" outlineLevel="0" collapsed="false">
      <c r="A6979" s="0" t="s">
        <v>584</v>
      </c>
      <c r="B6979" s="0" t="s">
        <v>73</v>
      </c>
      <c r="F6979" s="38" t="n">
        <f aca="false">cx_rt*Sens!$F$6945+cx_awso*Sens!$F$6976</f>
        <v>36.8045765066526</v>
      </c>
    </row>
    <row r="6980" customFormat="false" ht="17.15" hidden="false" customHeight="false" outlineLevel="0" collapsed="false">
      <c r="A6980" s="0" t="s">
        <v>585</v>
      </c>
      <c r="B6980" s="0" t="s">
        <v>52</v>
      </c>
      <c r="C6980" s="12" t="n">
        <f aca="false">tk_cx_h100/(tk_cx_h100+tk_fac*(1-colo_sh))</f>
        <v>0.730756458006641</v>
      </c>
      <c r="D6980" s="12" t="n">
        <f aca="false">tk_cx_h100/(tk_cx_h100+tk_fac*(1-colo_sh))</f>
        <v>0.730756458006641</v>
      </c>
      <c r="E6980" s="12" t="n">
        <f aca="false">Sens!$F$6980</f>
        <v>0.760792334328868</v>
      </c>
      <c r="F6980" s="12" t="n">
        <f aca="false">Sens!$F$6963/(Sens!$F$6963+tk_fac*(1-colo_sh))</f>
        <v>0.760792334328868</v>
      </c>
      <c r="G6980" s="12" t="n">
        <f aca="false">Sens!$G$6963/(Sens!$G$6963+tk_fac*(1-colo_sh))</f>
        <v>0.760792334328868</v>
      </c>
      <c r="H6980" s="12" t="n">
        <f aca="false">Sens!$H$6963/(Sens!$H$6963+tk_fac*(1-colo_sh))</f>
        <v>0.768110668862996</v>
      </c>
      <c r="I6980" s="12" t="n">
        <f aca="false">Sens!$I$6963/(Sens!$I$6963+tk_fac*(1-colo_sh))</f>
        <v>0.77499450139483</v>
      </c>
      <c r="J6980" s="12" t="n">
        <f aca="false">Sens!$J$6963/(Sens!$J$6963+tk_fac*(1-colo_sh))</f>
        <v>0.77499450139483</v>
      </c>
      <c r="K6980" s="12" t="n">
        <f aca="false">Sens!$K$6963/(Sens!$K$6963+tk_fac*(1-colo_sh))</f>
        <v>0.77499450139483</v>
      </c>
      <c r="L6980" s="12" t="n">
        <f aca="false">Sens!$L$6963/(Sens!$L$6963+tk_fac*(1-colo_sh))</f>
        <v>0.77499450139483</v>
      </c>
      <c r="M6980" s="12" t="n">
        <f aca="false">Sens!$M$6963/(Sens!$M$6963+tk_fac*(1-colo_sh))</f>
        <v>0.77499450139483</v>
      </c>
    </row>
    <row r="6981" customFormat="false" ht="17.15" hidden="false" customHeight="false" outlineLevel="0" collapsed="false">
      <c r="A6981" s="1" t="s">
        <v>586</v>
      </c>
      <c r="B6981" s="8" t="s">
        <v>73</v>
      </c>
      <c r="C6981" s="38" t="n">
        <f aca="false">Q!$D$46-cx_rt*Q!$D$16-cx_awso*Sens!$C$6976</f>
        <v>25.2781053077374</v>
      </c>
      <c r="D6981" s="38" t="n">
        <f aca="false">Q!$E$46-cx_rt*Q!$E$16-cx_awso*Sens!$D$6976</f>
        <v>69.5686316310026</v>
      </c>
      <c r="E6981" s="38" t="n">
        <f aca="false">Q!$P$46-cx_rt*Q!$P$16-cx_awso*Sens!$E$6976</f>
        <v>64.1899206485108</v>
      </c>
      <c r="F6981" s="38" t="n">
        <f aca="false">MAX(Sens!$F$6958*(Sens!$F$6963+tk_fac*(1-colo_sh))/1000,capex_g26-Q!$P$46-Sens!$F$6979)</f>
        <v>96.2481299895</v>
      </c>
      <c r="G6981" s="38" t="n">
        <f aca="false">Sens!$E$6981+Sens!$F$6981</f>
        <v>160.438050638011</v>
      </c>
      <c r="H6981" s="38" t="n">
        <f aca="false">Sens!$H$6958*(Sens!$H$6963+tk_fac*(1-colo_sh))/1000+Sens!$H$6982</f>
        <v>198.57136494475</v>
      </c>
      <c r="I6981" s="38" t="n">
        <f aca="false">Sens!$I$6958*(Sens!$I$6963+tk_fac*(1-colo_sh))/1000+Sens!$I$6982</f>
        <v>204.6464699105</v>
      </c>
      <c r="J6981" s="38" t="n">
        <f aca="false">Sens!$J$6958*(Sens!$J$6963+tk_fac*(1-colo_sh))/1000+Sens!$J$6982</f>
        <v>209.8832381105</v>
      </c>
      <c r="K6981" s="38" t="n">
        <f aca="false">Sens!$K$6958*(Sens!$K$6963+tk_fac*(1-colo_sh))/1000+Sens!$K$6982</f>
        <v>215.1200063105</v>
      </c>
      <c r="L6981" s="38" t="n">
        <f aca="false">Sens!$L$6958*(Sens!$L$6963+tk_fac*(1-colo_sh))/1000+Sens!$L$6982</f>
        <v>251.7773837105</v>
      </c>
      <c r="M6981" s="38" t="n">
        <f aca="false">Sens!$M$6958*(Sens!$M$6963+tk_fac*(1-colo_sh))/1000+Sens!$M$6982</f>
        <v>311.87584476575</v>
      </c>
      <c r="P6981" s="5" t="s">
        <v>587</v>
      </c>
      <c r="R6981" s="38" t="n">
        <f aca="false">Q!$C$46-cx_rt*Q!$C$16-cx_awso*(Q!$C$7-mw_ye23/2*rpm_open/1000)</f>
        <v>1.50429979529945</v>
      </c>
      <c r="S6981" s="38" t="n">
        <f aca="false">Sens!$C$6981</f>
        <v>25.2781053077374</v>
      </c>
      <c r="T6981" s="38" t="n">
        <f aca="false">Sens!$D$6981</f>
        <v>69.5686316310026</v>
      </c>
      <c r="U6981" s="38" t="n">
        <f aca="false">Sens!$G$6981</f>
        <v>160.438050638011</v>
      </c>
      <c r="V6981" s="38" t="n">
        <f aca="false">Sens!$H$6981</f>
        <v>198.57136494475</v>
      </c>
      <c r="W6981" s="38" t="n">
        <f aca="false">Sens!$I$6981</f>
        <v>204.6464699105</v>
      </c>
      <c r="X6981" s="38" t="n">
        <f aca="false">Sens!$J$6981</f>
        <v>209.8832381105</v>
      </c>
      <c r="Y6981" s="38" t="n">
        <f aca="false">Sens!$K$6981</f>
        <v>215.1200063105</v>
      </c>
      <c r="Z6981" s="38" t="n">
        <f aca="false">Sens!$L$6981</f>
        <v>251.7773837105</v>
      </c>
      <c r="AA6981" s="38" t="n">
        <f aca="false">Sens!$M$6981</f>
        <v>311.87584476575</v>
      </c>
    </row>
    <row r="6982" customFormat="false" ht="17.15" hidden="false" customHeight="false" outlineLevel="0" collapsed="false">
      <c r="A6982" s="0" t="s">
        <v>588</v>
      </c>
      <c r="B6982" s="0" t="s">
        <v>73</v>
      </c>
      <c r="H6982" s="38" t="n">
        <f aca="false">SUMPRODUCT(--(Sens!$R$6952:$AA$6952=2027-tk_life),Sens!$R$6958:$AA$6958)*Sens!$H$6963/1000</f>
        <v>0</v>
      </c>
      <c r="I6982" s="38" t="n">
        <f aca="false">SUMPRODUCT(--(Sens!$R$6952:$AA$6952=2028-tk_life),Sens!$R$6958:$AA$6958)*Sens!$I$6963/1000</f>
        <v>0</v>
      </c>
      <c r="J6982" s="38" t="n">
        <f aca="false">SUMPRODUCT(--(Sens!$R$6952:$AA$6952=2029-tk_life),Sens!$R$6958:$AA$6958)*Sens!$J$6963/1000</f>
        <v>5.2367682</v>
      </c>
      <c r="K6982" s="38" t="n">
        <f aca="false">SUMPRODUCT(--(Sens!$R$6952:$AA$6952=2030-tk_life),Sens!$R$6958:$AA$6958)*Sens!$K$6963/1000</f>
        <v>10.4735364</v>
      </c>
      <c r="L6982" s="38" t="n">
        <f aca="false">SUMPRODUCT(--(Sens!$R$6952:$AA$6952=2031-tk_life),Sens!$R$6958:$AA$6958)*Sens!$L$6963/1000</f>
        <v>47.1309138</v>
      </c>
      <c r="M6982" s="38" t="n">
        <f aca="false">SUMPRODUCT(--(Sens!$R$6952:$AA$6952=2032-tk_life),Sens!$R$6958:$AA$6958)*Sens!$M$6963/1000</f>
        <v>107.22937485525</v>
      </c>
    </row>
    <row r="6983" customFormat="false" ht="17.15" hidden="false" customHeight="false" outlineLevel="0" collapsed="false">
      <c r="A6983" s="5" t="s">
        <v>589</v>
      </c>
      <c r="B6983" s="0" t="s">
        <v>73</v>
      </c>
      <c r="C6983" s="38" t="n">
        <f aca="false">Sens!$C$6981*Sens!$C$6980</f>
        <v>18.472138699801</v>
      </c>
      <c r="D6983" s="38" t="n">
        <f aca="false">Sens!$D$6981*Sens!$D$6980</f>
        <v>50.8377268390402</v>
      </c>
      <c r="E6983" s="38" t="n">
        <f aca="false">Sens!$E$6981*Sens!$E$6980</f>
        <v>48.8351995705653</v>
      </c>
      <c r="F6983" s="38" t="n">
        <f aca="false">Sens!$F$6981*Sens!$F$6980</f>
        <v>73.2248394895</v>
      </c>
      <c r="G6983" s="38" t="n">
        <f aca="false">Sens!$E$6983+Sens!$F$6983</f>
        <v>122.060039060065</v>
      </c>
      <c r="H6983" s="38" t="n">
        <f aca="false">(Sens!$H$6981-Sens!$H$6982)*Sens!$H$6980+Sens!$H$6982</f>
        <v>152.52478394475</v>
      </c>
      <c r="I6983" s="38" t="n">
        <f aca="false">(Sens!$I$6981-Sens!$I$6982)*Sens!$I$6980+Sens!$I$6982</f>
        <v>158.5998889105</v>
      </c>
      <c r="J6983" s="38" t="n">
        <f aca="false">(Sens!$J$6981-Sens!$J$6982)*Sens!$J$6980+Sens!$J$6982</f>
        <v>163.8366571105</v>
      </c>
      <c r="K6983" s="38" t="n">
        <f aca="false">(Sens!$K$6981-Sens!$K$6982)*Sens!$K$6980+Sens!$K$6982</f>
        <v>169.0734253105</v>
      </c>
      <c r="L6983" s="38" t="n">
        <f aca="false">(Sens!$L$6981-Sens!$L$6982)*Sens!$L$6980+Sens!$L$6982</f>
        <v>205.7308027105</v>
      </c>
      <c r="M6983" s="38" t="n">
        <f aca="false">(Sens!$M$6981-Sens!$M$6982)*Sens!$M$6980+Sens!$M$6982</f>
        <v>265.82926376575</v>
      </c>
      <c r="R6983" s="38" t="n">
        <f aca="false">Sens!$R$6981*Sens!$C$6980</f>
        <v>1.09927679019314</v>
      </c>
      <c r="S6983" s="38" t="n">
        <f aca="false">Sens!$C$6983</f>
        <v>18.472138699801</v>
      </c>
      <c r="T6983" s="38" t="n">
        <f aca="false">Sens!$D$6983</f>
        <v>50.8377268390402</v>
      </c>
      <c r="U6983" s="38" t="n">
        <f aca="false">Sens!$G$6983</f>
        <v>122.060039060065</v>
      </c>
      <c r="V6983" s="38" t="n">
        <f aca="false">Sens!$H$6983</f>
        <v>152.52478394475</v>
      </c>
      <c r="W6983" s="38" t="n">
        <f aca="false">Sens!$I$6983</f>
        <v>158.5998889105</v>
      </c>
      <c r="X6983" s="38" t="n">
        <f aca="false">Sens!$J$6983</f>
        <v>163.8366571105</v>
      </c>
      <c r="Y6983" s="38" t="n">
        <f aca="false">Sens!$K$6983</f>
        <v>169.0734253105</v>
      </c>
      <c r="Z6983" s="38" t="n">
        <f aca="false">Sens!$L$6983</f>
        <v>205.7308027105</v>
      </c>
      <c r="AA6983" s="38" t="n">
        <f aca="false">Sens!$M$6983</f>
        <v>265.82926376575</v>
      </c>
    </row>
    <row r="6984" customFormat="false" ht="15" hidden="false" customHeight="false" outlineLevel="0" collapsed="false">
      <c r="A6984" s="5" t="s">
        <v>590</v>
      </c>
      <c r="B6984" s="0" t="s">
        <v>73</v>
      </c>
      <c r="C6984" s="38" t="n">
        <f aca="false">Sens!$C$6981-Sens!$C$6983</f>
        <v>6.80596660793636</v>
      </c>
      <c r="D6984" s="38" t="n">
        <f aca="false">Sens!$D$6981-Sens!$D$6983</f>
        <v>18.7309047919624</v>
      </c>
      <c r="E6984" s="38" t="n">
        <f aca="false">Sens!$E$6981-Sens!$E$6983</f>
        <v>15.3547210779455</v>
      </c>
      <c r="F6984" s="38" t="n">
        <f aca="false">Sens!$F$6981-Sens!$F$6983</f>
        <v>23.0232905</v>
      </c>
      <c r="G6984" s="38" t="n">
        <f aca="false">Sens!$G$6981-Sens!$G$6983</f>
        <v>38.3780115779455</v>
      </c>
      <c r="H6984" s="38" t="n">
        <f aca="false">Sens!$H$6981-Sens!$H$6983</f>
        <v>46.046581</v>
      </c>
      <c r="I6984" s="38" t="n">
        <f aca="false">Sens!$I$6981-Sens!$I$6983</f>
        <v>46.046581</v>
      </c>
      <c r="J6984" s="38" t="n">
        <f aca="false">Sens!$J$6981-Sens!$J$6983</f>
        <v>46.046581</v>
      </c>
      <c r="K6984" s="38" t="n">
        <f aca="false">Sens!$K$6981-Sens!$K$6983</f>
        <v>46.046581</v>
      </c>
      <c r="L6984" s="38" t="n">
        <f aca="false">Sens!$L$6981-Sens!$L$6983</f>
        <v>46.046581</v>
      </c>
      <c r="M6984" s="38" t="n">
        <f aca="false">Sens!$M$6981-Sens!$M$6983</f>
        <v>46.046581</v>
      </c>
      <c r="R6984" s="38" t="n">
        <f aca="false">Sens!$R$6981-Sens!$R$6983</f>
        <v>0.405023005106309</v>
      </c>
      <c r="S6984" s="38" t="n">
        <f aca="false">Sens!$S$6981-Sens!$S$6983</f>
        <v>6.80596660793636</v>
      </c>
      <c r="T6984" s="38" t="n">
        <f aca="false">Sens!$T$6981-Sens!$T$6983</f>
        <v>18.7309047919624</v>
      </c>
      <c r="U6984" s="38" t="n">
        <f aca="false">Sens!$U$6981-Sens!$U$6983</f>
        <v>38.3780115779455</v>
      </c>
      <c r="V6984" s="38" t="n">
        <f aca="false">Sens!$V$6981-Sens!$V$6983</f>
        <v>46.046581</v>
      </c>
      <c r="W6984" s="38" t="n">
        <f aca="false">Sens!$W$6981-Sens!$W$6983</f>
        <v>46.046581</v>
      </c>
      <c r="X6984" s="38" t="n">
        <f aca="false">Sens!$X$6981-Sens!$X$6983</f>
        <v>46.046581</v>
      </c>
      <c r="Y6984" s="38" t="n">
        <f aca="false">Sens!$Y$6981-Sens!$Y$6983</f>
        <v>46.046581</v>
      </c>
      <c r="Z6984" s="38" t="n">
        <f aca="false">Sens!$Z$6981-Sens!$Z$6983</f>
        <v>46.046581</v>
      </c>
      <c r="AA6984" s="38" t="n">
        <f aca="false">Sens!$AA$6981-Sens!$AA$6983</f>
        <v>46.046581</v>
      </c>
    </row>
    <row r="6985" customFormat="false" ht="17.15" hidden="false" customHeight="false" outlineLevel="0" collapsed="false">
      <c r="A6985" s="0" t="s">
        <v>591</v>
      </c>
      <c r="B6985" s="0" t="s">
        <v>52</v>
      </c>
      <c r="C6985" s="12" t="n">
        <f aca="false">Sens!$C$6981/Sens!$C$7097</f>
        <v>0.325505489553393</v>
      </c>
      <c r="D6985" s="12" t="n">
        <f aca="false">Sens!$D$6981/Sens!$D$7097</f>
        <v>0.54214956071542</v>
      </c>
      <c r="E6985" s="12" t="n">
        <f aca="false">Sens!$E$6981/Sens!$E$7097</f>
        <v>0.666492790452817</v>
      </c>
      <c r="F6985" s="12" t="n">
        <f aca="false">Sens!$F$6981/Sens!$F$7097</f>
        <v>0.723383481058938</v>
      </c>
      <c r="G6985" s="12" t="n">
        <f aca="false">Sens!$G$6981/Sens!$G$7097</f>
        <v>0.699494931364102</v>
      </c>
      <c r="H6985" s="12" t="n">
        <f aca="false">Sens!$H$6981/Sens!$H$7097</f>
        <v>0.714619350171483</v>
      </c>
      <c r="I6985" s="12" t="n">
        <f aca="false">Sens!$I$6981/Sens!$I$7097</f>
        <v>0.696231624961614</v>
      </c>
      <c r="J6985" s="12" t="n">
        <f aca="false">Sens!$J$6981/Sens!$J$7097</f>
        <v>0.681286352509885</v>
      </c>
      <c r="K6985" s="12" t="n">
        <f aca="false">Sens!$K$6981/Sens!$K$7097</f>
        <v>0.671440649805508</v>
      </c>
      <c r="L6985" s="12" t="n">
        <f aca="false">Sens!$L$6981/Sens!$L$7097</f>
        <v>0.6904509846562</v>
      </c>
      <c r="M6985" s="12" t="n">
        <f aca="false">Sens!$M$6981/Sens!$M$7097</f>
        <v>0.720362080285865</v>
      </c>
    </row>
    <row r="6986" customFormat="false" ht="17.15" hidden="false" customHeight="false" outlineLevel="0" collapsed="false">
      <c r="A6986" s="0" t="s">
        <v>592</v>
      </c>
      <c r="B6986" s="0" t="s">
        <v>73</v>
      </c>
      <c r="C6986" s="38" t="n">
        <f aca="false">Sens!$S$6986</f>
        <v>0.183212798365523</v>
      </c>
      <c r="D6986" s="38" t="n">
        <f aca="false">Sens!$T$6986</f>
        <v>3.2619025816657</v>
      </c>
      <c r="E6986" s="38" t="n">
        <f aca="false">Sens!$G$6986/2</f>
        <v>5.86742852741953</v>
      </c>
      <c r="F6986" s="38" t="n">
        <f aca="false">Sens!$G$6986/2</f>
        <v>5.86742852741953</v>
      </c>
      <c r="G6986" s="38" t="n">
        <f aca="false">Sens!$U$6986</f>
        <v>11.7348570548391</v>
      </c>
      <c r="H6986" s="38" t="n">
        <f aca="false">Sens!$V$6986</f>
        <v>32.0781968981833</v>
      </c>
      <c r="I6986" s="38" t="n">
        <f aca="false">Sens!$W$6986</f>
        <v>57.4989942223083</v>
      </c>
      <c r="J6986" s="38" t="n">
        <f aca="false">Sens!$X$6986</f>
        <v>83.932309040725</v>
      </c>
      <c r="K6986" s="38" t="n">
        <f aca="false">Sens!$Y$6986</f>
        <v>111.055205760776</v>
      </c>
      <c r="L6986" s="38" t="n">
        <f aca="false">Sens!$Z$6986</f>
        <v>136.155420195893</v>
      </c>
      <c r="M6986" s="38" t="n">
        <f aca="false">Sens!$AA$6986</f>
        <v>161.970932841136</v>
      </c>
      <c r="N6986" s="38" t="n">
        <f aca="false">Sens!$D$6986/2</f>
        <v>1.63095129083285</v>
      </c>
      <c r="O6986" s="38" t="n">
        <f aca="false">Sens!$D$6986/2</f>
        <v>1.63095129083285</v>
      </c>
      <c r="R6986" s="38" t="n">
        <f aca="false">SUMPRODUCT(--(Sens!$R$6952:$AA$6952&lt;Sens!R$6952),--(Sens!$R$6952:$AA$6952&gt;=Sens!R$6952-tk_life),Sens!$R$6983:$AA$6983)/tk_life</f>
        <v>0</v>
      </c>
      <c r="S6986" s="38" t="n">
        <f aca="false">SUMPRODUCT(--(Sens!$R$6952:$AA$6952&lt;Sens!S$6952),--(Sens!$R$6952:$AA$6952&gt;=Sens!S$6952-tk_life),Sens!$R$6983:$AA$6983)/tk_life</f>
        <v>0.183212798365523</v>
      </c>
      <c r="T6986" s="38" t="n">
        <f aca="false">SUMPRODUCT(--(Sens!$R$6952:$AA$6952&lt;Sens!T$6952),--(Sens!$R$6952:$AA$6952&gt;=Sens!T$6952-tk_life),Sens!$R$6983:$AA$6983)/tk_life</f>
        <v>3.2619025816657</v>
      </c>
      <c r="U6986" s="38" t="n">
        <f aca="false">SUMPRODUCT(--(Sens!$R$6952:$AA$6952&lt;Sens!U$6952),--(Sens!$R$6952:$AA$6952&gt;=Sens!U$6952-tk_life),Sens!$R$6983:$AA$6983)/tk_life</f>
        <v>11.7348570548391</v>
      </c>
      <c r="V6986" s="38" t="n">
        <f aca="false">SUMPRODUCT(--(Sens!$R$6952:$AA$6952&lt;Sens!V$6952),--(Sens!$R$6952:$AA$6952&gt;=Sens!V$6952-tk_life),Sens!$R$6983:$AA$6983)/tk_life</f>
        <v>32.0781968981833</v>
      </c>
      <c r="W6986" s="38" t="n">
        <f aca="false">SUMPRODUCT(--(Sens!$R$6952:$AA$6952&lt;Sens!W$6952),--(Sens!$R$6952:$AA$6952&gt;=Sens!W$6952-tk_life),Sens!$R$6983:$AA$6983)/tk_life</f>
        <v>57.4989942223083</v>
      </c>
      <c r="X6986" s="38" t="n">
        <f aca="false">SUMPRODUCT(--(Sens!$R$6952:$AA$6952&lt;Sens!X$6952),--(Sens!$R$6952:$AA$6952&gt;=Sens!X$6952-tk_life),Sens!$R$6983:$AA$6983)/tk_life</f>
        <v>83.932309040725</v>
      </c>
      <c r="Y6986" s="38" t="n">
        <f aca="false">SUMPRODUCT(--(Sens!$R$6952:$AA$6952&lt;Sens!Y$6952),--(Sens!$R$6952:$AA$6952&gt;=Sens!Y$6952-tk_life),Sens!$R$6983:$AA$6983)/tk_life</f>
        <v>111.055205760776</v>
      </c>
      <c r="Z6986" s="38" t="n">
        <f aca="false">SUMPRODUCT(--(Sens!$R$6952:$AA$6952&lt;Sens!Z$6952),--(Sens!$R$6952:$AA$6952&gt;=Sens!Z$6952-tk_life),Sens!$R$6983:$AA$6983)/tk_life</f>
        <v>136.155420195893</v>
      </c>
      <c r="AA6986" s="38" t="n">
        <f aca="false">SUMPRODUCT(--(Sens!$R$6952:$AA$6952&lt;Sens!AA$6952),--(Sens!$R$6952:$AA$6952&gt;=Sens!AA$6952-tk_life),Sens!$R$6983:$AA$6983)/tk_life</f>
        <v>161.970932841136</v>
      </c>
    </row>
    <row r="6987" customFormat="false" ht="17.15" hidden="false" customHeight="false" outlineLevel="0" collapsed="false">
      <c r="A6987" s="0" t="s">
        <v>593</v>
      </c>
      <c r="B6987" s="0" t="s">
        <v>73</v>
      </c>
      <c r="C6987" s="38" t="n">
        <f aca="false">Sens!$S$6987</f>
        <v>0.0202511502553155</v>
      </c>
      <c r="D6987" s="38" t="n">
        <f aca="false">Sens!$T$6987</f>
        <v>0.360549480652134</v>
      </c>
      <c r="E6987" s="38" t="n">
        <f aca="false">Sens!$G$6987/2</f>
        <v>0.648547360125127</v>
      </c>
      <c r="F6987" s="38" t="n">
        <f aca="false">Sens!$G$6987/2</f>
        <v>0.648547360125127</v>
      </c>
      <c r="G6987" s="38" t="n">
        <f aca="false">Sens!$U$6987</f>
        <v>1.29709472025025</v>
      </c>
      <c r="H6987" s="38" t="n">
        <f aca="false">Sens!$V$6987</f>
        <v>3.21599529914753</v>
      </c>
      <c r="I6987" s="38" t="n">
        <f aca="false">Sens!$W$6987</f>
        <v>5.51832434914753</v>
      </c>
      <c r="J6987" s="38" t="n">
        <f aca="false">Sens!$X$6987</f>
        <v>7.82065339914753</v>
      </c>
      <c r="K6987" s="38" t="n">
        <f aca="false">Sens!$Y$6987</f>
        <v>10.1229824491475</v>
      </c>
      <c r="L6987" s="38" t="n">
        <f aca="false">Sens!$Z$6987</f>
        <v>12.4253114991475</v>
      </c>
      <c r="M6987" s="38" t="n">
        <f aca="false">Sens!$AA$6987</f>
        <v>14.7276405491475</v>
      </c>
      <c r="N6987" s="38" t="n">
        <f aca="false">Sens!$D$6987/2</f>
        <v>0.180274740326067</v>
      </c>
      <c r="O6987" s="38" t="n">
        <f aca="false">Sens!$D$6987/2</f>
        <v>0.180274740326067</v>
      </c>
      <c r="R6987" s="38" t="n">
        <f aca="false">SUMPRODUCT(--(Sens!$R$6952:$AA$6952&lt;Sens!R$6952),Sens!$R$6984:$AA$6984)/fac_life</f>
        <v>0</v>
      </c>
      <c r="S6987" s="38" t="n">
        <f aca="false">SUMPRODUCT(--(Sens!$R$6952:$AA$6952&lt;Sens!S$6952),Sens!$R$6984:$AA$6984)/fac_life</f>
        <v>0.0202511502553155</v>
      </c>
      <c r="T6987" s="38" t="n">
        <f aca="false">SUMPRODUCT(--(Sens!$R$6952:$AA$6952&lt;Sens!T$6952),Sens!$R$6984:$AA$6984)/fac_life</f>
        <v>0.360549480652134</v>
      </c>
      <c r="U6987" s="38" t="n">
        <f aca="false">SUMPRODUCT(--(Sens!$R$6952:$AA$6952&lt;Sens!U$6952),Sens!$R$6984:$AA$6984)/fac_life</f>
        <v>1.29709472025025</v>
      </c>
      <c r="V6987" s="38" t="n">
        <f aca="false">SUMPRODUCT(--(Sens!$R$6952:$AA$6952&lt;Sens!V$6952),Sens!$R$6984:$AA$6984)/fac_life</f>
        <v>3.21599529914753</v>
      </c>
      <c r="W6987" s="38" t="n">
        <f aca="false">SUMPRODUCT(--(Sens!$R$6952:$AA$6952&lt;Sens!W$6952),Sens!$R$6984:$AA$6984)/fac_life</f>
        <v>5.51832434914753</v>
      </c>
      <c r="X6987" s="38" t="n">
        <f aca="false">SUMPRODUCT(--(Sens!$R$6952:$AA$6952&lt;Sens!X$6952),Sens!$R$6984:$AA$6984)/fac_life</f>
        <v>7.82065339914753</v>
      </c>
      <c r="Y6987" s="38" t="n">
        <f aca="false">SUMPRODUCT(--(Sens!$R$6952:$AA$6952&lt;Sens!Y$6952),Sens!$R$6984:$AA$6984)/fac_life</f>
        <v>10.1229824491475</v>
      </c>
      <c r="Z6987" s="38" t="n">
        <f aca="false">SUMPRODUCT(--(Sens!$R$6952:$AA$6952&lt;Sens!Z$6952),Sens!$R$6984:$AA$6984)/fac_life</f>
        <v>12.4253114991475</v>
      </c>
      <c r="AA6987" s="38" t="n">
        <f aca="false">SUMPRODUCT(--(Sens!$R$6952:$AA$6952&lt;Sens!AA$6952),Sens!$R$6984:$AA$6984)/fac_life</f>
        <v>14.7276405491475</v>
      </c>
    </row>
    <row r="6988" customFormat="false" ht="17.15" hidden="false" customHeight="false" outlineLevel="0" collapsed="false">
      <c r="A6988" s="1" t="s">
        <v>594</v>
      </c>
      <c r="B6988" s="8" t="s">
        <v>73</v>
      </c>
      <c r="C6988" s="38" t="n">
        <f aca="false">Sens!$C$6986+Sens!$C$6987</f>
        <v>0.203463948620839</v>
      </c>
      <c r="D6988" s="38" t="n">
        <f aca="false">Sens!$D$6986+Sens!$D$6987</f>
        <v>3.62245206231783</v>
      </c>
      <c r="E6988" s="38" t="n">
        <f aca="false">Sens!$E$6986+Sens!$E$6987</f>
        <v>6.51597588754466</v>
      </c>
      <c r="F6988" s="38" t="n">
        <f aca="false">Sens!$F$6986+Sens!$F$6987</f>
        <v>6.51597588754466</v>
      </c>
      <c r="G6988" s="38" t="n">
        <f aca="false">Sens!$G$6986+Sens!$G$6987</f>
        <v>13.0319517750893</v>
      </c>
      <c r="H6988" s="38" t="n">
        <f aca="false">Sens!$H$6986+Sens!$H$6987</f>
        <v>35.2941921973308</v>
      </c>
      <c r="I6988" s="38" t="n">
        <f aca="false">Sens!$I$6986+Sens!$I$6987</f>
        <v>63.0173185714558</v>
      </c>
      <c r="J6988" s="38" t="n">
        <f aca="false">Sens!$J$6986+Sens!$J$6987</f>
        <v>91.7529624398725</v>
      </c>
      <c r="K6988" s="38" t="n">
        <f aca="false">Sens!$K$6986+Sens!$K$6987</f>
        <v>121.178188209924</v>
      </c>
      <c r="L6988" s="38" t="n">
        <f aca="false">Sens!$L$6986+Sens!$L$6987</f>
        <v>148.58073169504</v>
      </c>
      <c r="M6988" s="38" t="n">
        <f aca="false">Sens!$M$6986+Sens!$M$6987</f>
        <v>176.698573390283</v>
      </c>
      <c r="N6988" s="38" t="n">
        <f aca="false">Sens!$N$6986+Sens!$N$6987</f>
        <v>1.81122603115892</v>
      </c>
      <c r="O6988" s="38" t="n">
        <f aca="false">Sens!$O$6986+Sens!$O$6987</f>
        <v>1.81122603115892</v>
      </c>
      <c r="R6988" s="38" t="n">
        <f aca="false">Sens!$R$6986+Sens!$R$6987</f>
        <v>0</v>
      </c>
      <c r="S6988" s="38" t="n">
        <f aca="false">Sens!$S$6986+Sens!$S$6987</f>
        <v>0.203463948620839</v>
      </c>
      <c r="T6988" s="38" t="n">
        <f aca="false">Sens!$T$6986+Sens!$T$6987</f>
        <v>3.62245206231783</v>
      </c>
      <c r="U6988" s="38" t="n">
        <f aca="false">Sens!$U$6986+Sens!$U$6987</f>
        <v>13.0319517750893</v>
      </c>
      <c r="V6988" s="38" t="n">
        <f aca="false">Sens!$V$6986+Sens!$V$6987</f>
        <v>35.2941921973308</v>
      </c>
      <c r="W6988" s="38" t="n">
        <f aca="false">Sens!$W$6986+Sens!$W$6987</f>
        <v>63.0173185714558</v>
      </c>
      <c r="X6988" s="38" t="n">
        <f aca="false">Sens!$X$6986+Sens!$X$6987</f>
        <v>91.7529624398725</v>
      </c>
      <c r="Y6988" s="38" t="n">
        <f aca="false">Sens!$Y$6986+Sens!$Y$6987</f>
        <v>121.178188209924</v>
      </c>
      <c r="Z6988" s="38" t="n">
        <f aca="false">Sens!$Z$6986+Sens!$Z$6987</f>
        <v>148.58073169504</v>
      </c>
      <c r="AA6988" s="38" t="n">
        <f aca="false">Sens!$AA$6986+Sens!$AA$6987</f>
        <v>176.698573390283</v>
      </c>
    </row>
    <row r="6989" customFormat="false" ht="17.15" hidden="false" customHeight="false" outlineLevel="0" collapsed="false">
      <c r="A6989" s="0" t="s">
        <v>595</v>
      </c>
      <c r="B6989" s="0" t="s">
        <v>73</v>
      </c>
      <c r="C6989" s="38" t="n">
        <f aca="false">Sens!$S$6989</f>
        <v>26.578941154416</v>
      </c>
      <c r="D6989" s="38" t="n">
        <f aca="false">Sens!$T$6989</f>
        <v>92.5251207231008</v>
      </c>
      <c r="G6989" s="38" t="n">
        <f aca="false">Sens!$U$6989</f>
        <v>239.931219586022</v>
      </c>
      <c r="H6989" s="38" t="n">
        <f aca="false">Sens!$V$6989</f>
        <v>403.208392333442</v>
      </c>
      <c r="I6989" s="38" t="n">
        <f aca="false">Sens!$W$6989</f>
        <v>544.837543672486</v>
      </c>
      <c r="J6989" s="38" t="n">
        <f aca="false">Sens!$X$6989</f>
        <v>662.967819343113</v>
      </c>
      <c r="K6989" s="38" t="n">
        <f aca="false">Sens!$Y$6989</f>
        <v>756.90963744369</v>
      </c>
      <c r="L6989" s="38" t="n">
        <f aca="false">Sens!$Z$6989</f>
        <v>860.10628945915</v>
      </c>
      <c r="M6989" s="38" t="n">
        <f aca="false">Sens!$AA$6989</f>
        <v>995.283560834616</v>
      </c>
      <c r="R6989" s="38" t="n">
        <f aca="false">SUM(Sens!$R$6981:$R$6981)-SUM(Sens!$R$6988:$R$6988)</f>
        <v>1.50429979529945</v>
      </c>
      <c r="S6989" s="38" t="n">
        <f aca="false">SUM(Sens!$R$6981:$S$6981)-SUM(Sens!$R$6988:$S$6988)</f>
        <v>26.578941154416</v>
      </c>
      <c r="T6989" s="38" t="n">
        <f aca="false">SUM(Sens!$R$6981:$T$6981)-SUM(Sens!$R$6988:$T$6988)</f>
        <v>92.5251207231008</v>
      </c>
      <c r="U6989" s="38" t="n">
        <f aca="false">SUM(Sens!$R$6981:$U$6981)-SUM(Sens!$R$6988:$U$6988)</f>
        <v>239.931219586022</v>
      </c>
      <c r="V6989" s="38" t="n">
        <f aca="false">SUM(Sens!$R$6981:$V$6981)-SUM(Sens!$R$6988:$V$6988)</f>
        <v>403.208392333442</v>
      </c>
      <c r="W6989" s="38" t="n">
        <f aca="false">SUM(Sens!$R$6981:$W$6981)-SUM(Sens!$R$6988:$W$6988)</f>
        <v>544.837543672486</v>
      </c>
      <c r="X6989" s="38" t="n">
        <f aca="false">SUM(Sens!$R$6981:$X$6981)-SUM(Sens!$R$6988:$X$6988)</f>
        <v>662.967819343113</v>
      </c>
      <c r="Y6989" s="38" t="n">
        <f aca="false">SUM(Sens!$R$6981:$Y$6981)-SUM(Sens!$R$6988:$Y$6988)</f>
        <v>756.90963744369</v>
      </c>
      <c r="Z6989" s="38" t="n">
        <f aca="false">SUM(Sens!$R$6981:$Z$6981)-SUM(Sens!$R$6988:$Z$6988)</f>
        <v>860.10628945915</v>
      </c>
      <c r="AA6989" s="38" t="n">
        <f aca="false">SUM(Sens!$R$6981:$AA$6981)-SUM(Sens!$R$6988:$AA$6988)</f>
        <v>995.283560834616</v>
      </c>
    </row>
    <row r="6990" customFormat="false" ht="17.15" hidden="false" customHeight="false" outlineLevel="0" collapsed="false">
      <c r="A6990" s="1" t="s">
        <v>596</v>
      </c>
    </row>
    <row r="6991" customFormat="false" ht="17.15" hidden="false" customHeight="false" outlineLevel="0" collapsed="false">
      <c r="A6991" s="0" t="s">
        <v>597</v>
      </c>
      <c r="B6991" s="0" t="s">
        <v>73</v>
      </c>
      <c r="C6991" s="38" t="n">
        <f aca="false">Sens!$C$6972-ext_sh*Sens!$C$6974</f>
        <v>1.80694998843362</v>
      </c>
      <c r="D6991" s="38" t="n">
        <f aca="false">Sens!$D$6972-ext_sh*Sens!$D$6974</f>
        <v>6.77606245662607</v>
      </c>
      <c r="E6991" s="38" t="n">
        <f aca="false">Sens!$E$6972-ext_sh*Sens!$E$6974</f>
        <v>6.62548329092326</v>
      </c>
      <c r="F6991" s="38" t="n">
        <f aca="false">Sens!$F$6972-ext_sh*Sens!$F$6974</f>
        <v>11.7200577158706</v>
      </c>
      <c r="G6991" s="38" t="n">
        <f aca="false">Sens!$G$6972-ext_sh*Sens!$G$6974</f>
        <v>18.3455410067939</v>
      </c>
      <c r="H6991" s="38" t="n">
        <f aca="false">Sens!$H$6972-ext_sh*Sens!$H$6974</f>
        <v>47.5171727060453</v>
      </c>
      <c r="I6991" s="38" t="n">
        <f aca="false">Sens!$I$6972-ext_sh*Sens!$I$6974</f>
        <v>80.5539692643667</v>
      </c>
      <c r="J6991" s="38" t="n">
        <f aca="false">Sens!$J$6972-ext_sh*Sens!$J$6974</f>
        <v>113.759316834883</v>
      </c>
      <c r="K6991" s="38" t="n">
        <f aca="false">Sens!$K$6972-ext_sh*Sens!$K$6974</f>
        <v>147.020848076132</v>
      </c>
      <c r="L6991" s="38" t="n">
        <f aca="false">Sens!$L$6972-ext_sh*Sens!$L$6974</f>
        <v>180.307917349531</v>
      </c>
      <c r="M6991" s="38" t="n">
        <f aca="false">Sens!$M$6972-ext_sh*Sens!$M$6974</f>
        <v>213.608737871012</v>
      </c>
      <c r="N6991" s="38" t="n">
        <f aca="false">Sens!$N$6972-ext_sh*Sens!$N$6974</f>
        <v>2.37162185981912</v>
      </c>
      <c r="O6991" s="38" t="n">
        <f aca="false">Sens!$O$6972-ext_sh*Sens!$O$6974</f>
        <v>4.40444059680694</v>
      </c>
    </row>
    <row r="6992" customFormat="false" ht="17.15" hidden="false" customHeight="false" outlineLevel="0" collapsed="false">
      <c r="A6992" s="1" t="s">
        <v>598</v>
      </c>
      <c r="B6992" s="8" t="s">
        <v>73</v>
      </c>
      <c r="C6992" s="38" t="n">
        <f aca="false">Sens!$C$6991-ext_sh*Sens!$C$6988</f>
        <v>1.64417882953695</v>
      </c>
      <c r="D6992" s="38" t="n">
        <f aca="false">Sens!$D$6991-ext_sh*Sens!$D$6988</f>
        <v>3.8781008067718</v>
      </c>
      <c r="E6992" s="38" t="n">
        <f aca="false">Sens!$E$6991-ext_sh*Sens!$E$6988</f>
        <v>1.41270258088753</v>
      </c>
      <c r="F6992" s="38" t="n">
        <f aca="false">Sens!$F$6991-ext_sh*Sens!$F$6988</f>
        <v>6.50727700583486</v>
      </c>
      <c r="G6992" s="38" t="n">
        <f aca="false">Sens!$G$6991-ext_sh*Sens!$G$6988</f>
        <v>7.9199795867224</v>
      </c>
      <c r="H6992" s="38" t="n">
        <f aca="false">Sens!$H$6991-ext_sh*Sens!$H$6988</f>
        <v>19.2818189481807</v>
      </c>
      <c r="I6992" s="38" t="n">
        <f aca="false">Sens!$I$6991-ext_sh*Sens!$I$6988</f>
        <v>30.140114407202</v>
      </c>
      <c r="J6992" s="38" t="n">
        <f aca="false">Sens!$J$6991-ext_sh*Sens!$J$6988</f>
        <v>40.3569468829854</v>
      </c>
      <c r="K6992" s="38" t="n">
        <f aca="false">Sens!$K$6991-ext_sh*Sens!$K$6988</f>
        <v>50.0782975081929</v>
      </c>
      <c r="L6992" s="38" t="n">
        <f aca="false">Sens!$L$6991-ext_sh*Sens!$L$6988</f>
        <v>61.443331993499</v>
      </c>
      <c r="M6992" s="38" t="n">
        <f aca="false">Sens!$M$6991-ext_sh*Sens!$M$6988</f>
        <v>72.2498791587849</v>
      </c>
      <c r="N6992" s="38" t="n">
        <f aca="false">Sens!$N$6991-ext_sh*Sens!$N$6988</f>
        <v>0.92264103489199</v>
      </c>
      <c r="O6992" s="38" t="n">
        <f aca="false">Sens!$O$6991-ext_sh*Sens!$O$6988</f>
        <v>2.95545977187981</v>
      </c>
    </row>
    <row r="6993" customFormat="false" ht="17.15" hidden="false" customHeight="false" outlineLevel="0" collapsed="false">
      <c r="A6993" s="0" t="s">
        <v>599</v>
      </c>
      <c r="B6993" s="0" t="s">
        <v>52</v>
      </c>
      <c r="C6993" s="12" t="n">
        <f aca="false">Sens!$C$6992/Sens!$C$6972</f>
        <v>0.708390794789371</v>
      </c>
      <c r="D6993" s="12" t="n">
        <f aca="false">Sens!$D$6992/Sens!$D$6972</f>
        <v>0.445565630441968</v>
      </c>
      <c r="E6993" s="12" t="n">
        <f aca="false">Sens!$E$6992/Sens!$E$6972</f>
        <v>0.165998118402711</v>
      </c>
      <c r="F6993" s="12" t="n">
        <f aca="false">Sens!$F$6992/Sens!$F$6972</f>
        <v>0.434878595403858</v>
      </c>
      <c r="G6993" s="12" t="n">
        <f aca="false">Sens!$G$6992/Sens!$G$6972</f>
        <v>0.3373967615381</v>
      </c>
      <c r="H6993" s="12" t="n">
        <f aca="false">Sens!$H$6992/Sens!$H$6972</f>
        <v>0.320477578041224</v>
      </c>
      <c r="I6993" s="12" t="n">
        <f aca="false">Sens!$I$6992/Sens!$I$6972</f>
        <v>0.296936118226494</v>
      </c>
      <c r="J6993" s="12" t="n">
        <f aca="false">Sens!$J$6992/Sens!$J$6972</f>
        <v>0.282166278613001</v>
      </c>
      <c r="K6993" s="12" t="n">
        <f aca="false">Sens!$K$6992/Sens!$K$6972</f>
        <v>0.271267685694333</v>
      </c>
      <c r="L6993" s="12" t="n">
        <f aca="false">Sens!$L$6992/Sens!$L$6972</f>
        <v>0.27160960915653</v>
      </c>
      <c r="M6993" s="12" t="n">
        <f aca="false">Sens!$M$6992/Sens!$M$6972</f>
        <v>0.26974494804234</v>
      </c>
      <c r="N6993" s="12" t="n">
        <f aca="false">Sens!$N$6992/Sens!$N$6972</f>
        <v>0.302870734830849</v>
      </c>
      <c r="O6993" s="12" t="n">
        <f aca="false">Sens!$O$6992/Sens!$O$6972</f>
        <v>0.52240134346334</v>
      </c>
    </row>
    <row r="6994" customFormat="false" ht="17.15" hidden="false" customHeight="false" outlineLevel="0" collapsed="false">
      <c r="A6994" s="5" t="s">
        <v>600</v>
      </c>
      <c r="B6994" s="0" t="s">
        <v>73</v>
      </c>
      <c r="C6994" s="38" t="n">
        <f aca="false">rd2*(1-ext_sh)/ext_sh*Sens!$C$6955*he_open*Sens!$C$6956/1000</f>
        <v>0</v>
      </c>
      <c r="D6994" s="38" t="n">
        <f aca="false">rd2*(1-ext_sh)/ext_sh*Sens!$D$6955*he_open*Sens!$D$6956/1000</f>
        <v>0</v>
      </c>
      <c r="E6994" s="38" t="n">
        <f aca="false">rd2*(1-ext_sh)/ext_sh*Sens!$E$6955*he_open*Sens!$E$6956/1000</f>
        <v>0</v>
      </c>
      <c r="F6994" s="38" t="n">
        <f aca="false">rd2*(1-ext_sh)/ext_sh*(mw_open*he_open+Sens!$F$6970*Sens!$F$6967)*Sens!$F$6956/1000</f>
        <v>0</v>
      </c>
      <c r="G6994" s="38" t="n">
        <f aca="false">Sens!$E$6994+Sens!$F$6994</f>
        <v>0</v>
      </c>
      <c r="H6994" s="38" t="n">
        <f aca="false">rd2*(1-ext_sh)/ext_sh*(mw_open*he_open+Sens!$H$6970*Sens!$H$6967)*Sens!$H$6956/1000</f>
        <v>0</v>
      </c>
      <c r="I6994" s="38" t="n">
        <f aca="false">rd2*(1-ext_sh)/ext_sh*(mw_open*he_open+Sens!$I$6970*Sens!$I$6967)*Sens!$I$6956/1000</f>
        <v>0</v>
      </c>
      <c r="J6994" s="38" t="n">
        <f aca="false">rd2*(1-ext_sh)/ext_sh*(mw_open*he_open+Sens!$J$6970*Sens!$J$6967)*Sens!$J$6956/1000</f>
        <v>0</v>
      </c>
      <c r="K6994" s="38" t="n">
        <f aca="false">rd2*(1-ext_sh)/ext_sh*(mw_open*he_open+Sens!$K$6970*Sens!$K$6967)*Sens!$K$6956/1000</f>
        <v>0</v>
      </c>
      <c r="L6994" s="38" t="n">
        <f aca="false">rd2*(1-ext_sh)/ext_sh*(mw_open*he_open+Sens!$L$6970*Sens!$L$6967)*Sens!$L$6956/1000</f>
        <v>0</v>
      </c>
      <c r="M6994" s="38" t="n">
        <f aca="false">rd2*(1-ext_sh)/ext_sh*(mw_open*he_open+Sens!$M$6970*Sens!$M$6967)*Sens!$M$6956/1000</f>
        <v>0</v>
      </c>
      <c r="N6994" s="38" t="n">
        <f aca="false">rd2*(1-ext_sh)/ext_sh*Sens!$N$6955*he_open*Sens!$N$6956/1000</f>
        <v>0</v>
      </c>
      <c r="O6994" s="38" t="n">
        <f aca="false">rd2*(1-ext_sh)/ext_sh*Sens!$O$6955*he_open*Sens!$O$6956/1000</f>
        <v>0</v>
      </c>
      <c r="P6994" s="8" t="s">
        <v>601</v>
      </c>
    </row>
    <row r="6995" customFormat="false" ht="17.15" hidden="false" customHeight="false" outlineLevel="0" collapsed="false">
      <c r="A6995" s="5" t="s">
        <v>602</v>
      </c>
      <c r="B6995" s="0" t="s">
        <v>73</v>
      </c>
      <c r="C6995" s="38" t="n">
        <f aca="false">(1-ext_sh)*(Sens!$C$6974+Sens!$C$6988)-Sens!$C$6994</f>
        <v>0.169206631859174</v>
      </c>
      <c r="D6995" s="38" t="n">
        <f aca="false">(1-ext_sh)*(Sens!$D$6974+Sens!$D$6988)-Sens!$D$6994</f>
        <v>1.20641732046984</v>
      </c>
      <c r="E6995" s="38" t="n">
        <f aca="false">(1-ext_sh)*(Sens!$E$6974+Sens!$E$6988)-Sens!$E$6994</f>
        <v>1.77441259867062</v>
      </c>
      <c r="F6995" s="38" t="n">
        <f aca="false">(1-ext_sh)*(Sens!$F$6974+Sens!$F$6988)-Sens!$F$6994</f>
        <v>2.1140391597214</v>
      </c>
      <c r="G6995" s="38" t="n">
        <f aca="false">(1-ext_sh)*(Sens!$G$6974+Sens!$G$6988)-Sens!$G$6994</f>
        <v>3.88845175839202</v>
      </c>
      <c r="H6995" s="38" t="n">
        <f aca="false">(1-ext_sh)*(Sens!$H$6974+Sens!$H$6988)-Sens!$H$6994</f>
        <v>10.2210179503985</v>
      </c>
      <c r="I6995" s="38" t="n">
        <f aca="false">(1-ext_sh)*(Sens!$I$6974+Sens!$I$6988)-Sens!$I$6994</f>
        <v>17.8408961823075</v>
      </c>
      <c r="J6995" s="38" t="n">
        <f aca="false">(1-ext_sh)*(Sens!$J$6974+Sens!$J$6988)-Sens!$J$6994</f>
        <v>25.6671150670732</v>
      </c>
      <c r="K6995" s="38" t="n">
        <f aca="false">(1-ext_sh)*(Sens!$K$6974+Sens!$K$6988)-Sens!$K$6994</f>
        <v>33.6325293834986</v>
      </c>
      <c r="L6995" s="38" t="n">
        <f aca="false">(1-ext_sh)*(Sens!$L$6974+Sens!$L$6988)-Sens!$L$6994</f>
        <v>41.1939886299065</v>
      </c>
      <c r="M6995" s="38" t="n">
        <f aca="false">(1-ext_sh)*(Sens!$M$6974+Sens!$M$6988)-Sens!$M$6994</f>
        <v>48.8988205728617</v>
      </c>
      <c r="N6995" s="38" t="n">
        <f aca="false">(1-ext_sh)*(Sens!$N$6974+Sens!$N$6988)-Sens!$N$6994</f>
        <v>0.530919624033979</v>
      </c>
      <c r="O6995" s="38" t="n">
        <f aca="false">(1-ext_sh)*(Sens!$O$6974+Sens!$O$6988)-Sens!$O$6994</f>
        <v>0.675497696435861</v>
      </c>
    </row>
    <row r="6996" customFormat="false" ht="17.15" hidden="false" customHeight="false" outlineLevel="0" collapsed="false">
      <c r="A6996" s="0" t="s">
        <v>603</v>
      </c>
      <c r="B6996" s="0" t="s">
        <v>73</v>
      </c>
      <c r="C6996" s="38" t="n">
        <f aca="false">Q!$D$24</f>
        <v>39.834</v>
      </c>
      <c r="D6996" s="38" t="n">
        <f aca="false">Q!$E$24</f>
        <v>45.606</v>
      </c>
      <c r="E6996" s="38" t="n">
        <f aca="false">Q!$P$24</f>
        <v>30.782</v>
      </c>
      <c r="N6996" s="38" t="n">
        <f aca="false">Q!$N$24</f>
        <v>21.707</v>
      </c>
      <c r="O6996" s="38" t="n">
        <f aca="false">Q!$O$24</f>
        <v>23.899</v>
      </c>
    </row>
    <row r="6997" customFormat="false" ht="17.15" hidden="false" customHeight="false" outlineLevel="0" collapsed="false">
      <c r="A6997" s="0" t="s">
        <v>604</v>
      </c>
      <c r="B6997" s="0" t="s">
        <v>73</v>
      </c>
      <c r="C6997" s="38" t="n">
        <f aca="false">Sens!$C$6996-Sens!$C$6992</f>
        <v>38.1898211704631</v>
      </c>
      <c r="D6997" s="38" t="n">
        <f aca="false">Sens!$D$6996-Sens!$D$6992</f>
        <v>41.7278991932282</v>
      </c>
      <c r="E6997" s="38" t="n">
        <f aca="false">Sens!$E$6996-Sens!$E$6992</f>
        <v>29.3692974191125</v>
      </c>
      <c r="F6997" s="38" t="n">
        <f aca="false">Sens!$F$6976*Sens!$F$6998</f>
        <v>29.458060516894</v>
      </c>
      <c r="G6997" s="38" t="n">
        <f aca="false">Sens!$E$6997+Sens!$F$6997</f>
        <v>58.8273579360065</v>
      </c>
      <c r="H6997" s="38" t="n">
        <f aca="false">Sens!$H$6976*Sens!$H$6998</f>
        <v>67.8004040185081</v>
      </c>
      <c r="I6997" s="38" t="n">
        <f aca="false">Sens!$I$6976*Sens!$I$6998</f>
        <v>78.9527630302702</v>
      </c>
      <c r="J6997" s="38" t="n">
        <f aca="false">Sens!$J$6976*Sens!$J$6998</f>
        <v>88.6042681781841</v>
      </c>
      <c r="K6997" s="38" t="n">
        <f aca="false">Sens!$K$6976*Sens!$K$6998</f>
        <v>95.6926096324389</v>
      </c>
      <c r="L6997" s="38" t="n">
        <f aca="false">Sens!$L$6976*Sens!$L$6998</f>
        <v>103.348018403034</v>
      </c>
      <c r="M6997" s="38" t="n">
        <f aca="false">Sens!$M$6976*Sens!$M$6998</f>
        <v>111.615859875277</v>
      </c>
      <c r="N6997" s="38" t="n">
        <f aca="false">Sens!$N$6996-Sens!$N$6992</f>
        <v>20.784358965108</v>
      </c>
      <c r="O6997" s="38" t="n">
        <f aca="false">Sens!$O$6996-Sens!$O$6992</f>
        <v>20.9435402281202</v>
      </c>
      <c r="P6997" s="5" t="s">
        <v>605</v>
      </c>
    </row>
    <row r="6998" customFormat="false" ht="17.15" hidden="false" customHeight="false" outlineLevel="0" collapsed="false">
      <c r="A6998" s="0" t="s">
        <v>606</v>
      </c>
      <c r="B6998" s="0" t="s">
        <v>52</v>
      </c>
      <c r="C6998" s="12" t="n">
        <f aca="false">Sens!$C$6997/Sens!$C$6976</f>
        <v>0.362900395443635</v>
      </c>
      <c r="D6998" s="12" t="n">
        <f aca="false">Sens!$D$6997/Sens!$D$6976</f>
        <v>0.34767098474203</v>
      </c>
      <c r="E6998" s="12" t="n">
        <f aca="false">Sens!$E$6997/Sens!$E$6976</f>
        <v>0.411861655558416</v>
      </c>
      <c r="F6998" s="12" t="n">
        <f aca="false">(Sens!$O$6997+Sens!$E$6997)/(Sens!$O$6976+Sens!$E$6976)</f>
        <v>0.37480827803158</v>
      </c>
      <c r="G6998" s="12" t="n">
        <f aca="false">Sens!$G$6997/Sens!$G$6976</f>
        <v>0.392434440489471</v>
      </c>
      <c r="H6998" s="12" t="n">
        <f aca="false">Sens!$F$6998</f>
        <v>0.37480827803158</v>
      </c>
      <c r="I6998" s="12" t="n">
        <f aca="false">Sens!$F$6998</f>
        <v>0.37480827803158</v>
      </c>
      <c r="J6998" s="12" t="n">
        <f aca="false">Sens!$F$6998</f>
        <v>0.37480827803158</v>
      </c>
      <c r="K6998" s="12" t="n">
        <f aca="false">Sens!$F$6998</f>
        <v>0.37480827803158</v>
      </c>
      <c r="L6998" s="12" t="n">
        <f aca="false">Sens!$F$6998</f>
        <v>0.37480827803158</v>
      </c>
      <c r="M6998" s="12" t="n">
        <f aca="false">Sens!$F$6998</f>
        <v>0.37480827803158</v>
      </c>
      <c r="N6998" s="12" t="n">
        <f aca="false">Sens!$N$6997/Sens!$N$6976</f>
        <v>0.364039571356823</v>
      </c>
      <c r="O6998" s="12" t="n">
        <f aca="false">Sens!$O$6997/Sens!$O$6976</f>
        <v>0.332819892300086</v>
      </c>
      <c r="P6998" s="8" t="s">
        <v>607</v>
      </c>
    </row>
    <row r="6999" customFormat="false" ht="17.15" hidden="false" customHeight="false" outlineLevel="0" collapsed="false">
      <c r="A6999" s="0" t="s">
        <v>608</v>
      </c>
      <c r="B6999" s="0" t="s">
        <v>52</v>
      </c>
      <c r="D6999" s="12" t="n">
        <f aca="false">(Q!$E$31-ext_sh*Sens!$D$6988)/Sens!$D$6976</f>
        <v>0.154572973163571</v>
      </c>
    </row>
    <row r="7000" customFormat="false" ht="17.15" hidden="false" customHeight="false" outlineLevel="0" collapsed="false">
      <c r="A7000" s="0" t="s">
        <v>609</v>
      </c>
      <c r="B7000" s="0" t="s">
        <v>73</v>
      </c>
      <c r="C7000" s="38" t="n">
        <f aca="false">Q!$D$31</f>
        <v>13.32</v>
      </c>
      <c r="D7000" s="38" t="n">
        <f aca="false">Q!$E$31</f>
        <v>21.45</v>
      </c>
      <c r="E7000" s="38" t="n">
        <f aca="false">Q!$P$31</f>
        <v>15.353</v>
      </c>
      <c r="F7000" s="38" t="n">
        <f aca="false">ext_sh*Sens!$F$6988+Sens!$D$6999*Sens!$F$6976</f>
        <v>17.3614451462707</v>
      </c>
      <c r="G7000" s="38" t="n">
        <f aca="false">Sens!$E$7000+Sens!$F$7000</f>
        <v>32.7144451462707</v>
      </c>
      <c r="H7000" s="38" t="n">
        <f aca="false">ext_sh*Sens!$H$6988+Sens!$D$6999*Sens!$H$6976</f>
        <v>56.1966092719415</v>
      </c>
      <c r="I7000" s="38" t="n">
        <f aca="false">ext_sh*Sens!$I$6988+Sens!$D$6999*Sens!$I$6976</f>
        <v>82.9744039068297</v>
      </c>
      <c r="J7000" s="38" t="n">
        <f aca="false">ext_sh*Sens!$J$6988+Sens!$D$6999*Sens!$J$6976</f>
        <v>109.943252237669</v>
      </c>
      <c r="K7000" s="38" t="n">
        <f aca="false">ext_sh*Sens!$K$6988+Sens!$D$6999*Sens!$K$6976</f>
        <v>136.406703436571</v>
      </c>
      <c r="L7000" s="38" t="n">
        <f aca="false">ext_sh*Sens!$L$6988+Sens!$D$6999*Sens!$L$6976</f>
        <v>161.485870454155</v>
      </c>
      <c r="M7000" s="38" t="n">
        <f aca="false">ext_sh*Sens!$M$6988+Sens!$D$6999*Sens!$M$6976</f>
        <v>187.389846618199</v>
      </c>
      <c r="N7000" s="38" t="n">
        <f aca="false">Q!$N$31</f>
        <v>9.234</v>
      </c>
      <c r="O7000" s="38" t="n">
        <f aca="false">Q!$O$31</f>
        <v>12.216</v>
      </c>
    </row>
    <row r="7001" customFormat="false" ht="17.15" hidden="false" customHeight="false" outlineLevel="0" collapsed="false">
      <c r="A7001" s="1" t="s">
        <v>610</v>
      </c>
    </row>
    <row r="7002" customFormat="false" ht="17.15" hidden="false" customHeight="false" outlineLevel="0" collapsed="false">
      <c r="A7002" s="14" t="s">
        <v>611</v>
      </c>
      <c r="B7002" s="13" t="s">
        <v>52</v>
      </c>
      <c r="C7002" s="13"/>
      <c r="D7002" s="13"/>
      <c r="E7002" s="13"/>
      <c r="F7002" s="13"/>
      <c r="G7002" s="16" t="n">
        <f aca="false">Sens!$G$6992*(1-tax)/(ext_sh*(Sens!$D$6989+Sens!$G$6989)/2)</f>
        <v>0.0492184452944045</v>
      </c>
      <c r="H7002" s="16" t="n">
        <f aca="false">Sens!$H$6992*(1-tax)/(ext_sh*(Sens!$G$6989+Sens!$H$6989)/2)</f>
        <v>0.0619414246858107</v>
      </c>
      <c r="I7002" s="16" t="n">
        <f aca="false">Sens!$I$6992*(1-tax)/(ext_sh*(Sens!$H$6989+Sens!$I$6989)/2)</f>
        <v>0.0656831488051666</v>
      </c>
      <c r="J7002" s="16" t="n">
        <f aca="false">Sens!$J$6992*(1-tax)/(ext_sh*(Sens!$I$6989+Sens!$J$6989)/2)</f>
        <v>0.0690334849962116</v>
      </c>
      <c r="K7002" s="16" t="n">
        <f aca="false">Sens!$K$6992*(1-tax)/(ext_sh*(Sens!$J$6989+Sens!$K$6989)/2)</f>
        <v>0.0728680488295485</v>
      </c>
      <c r="L7002" s="16" t="n">
        <f aca="false">Sens!$L$6992*(1-tax)/(ext_sh*(Sens!$K$6989+Sens!$L$6989)/2)</f>
        <v>0.0785052878122331</v>
      </c>
      <c r="M7002" s="16" t="n">
        <f aca="false">Sens!$M$6992*(1-tax)/(ext_sh*(Sens!$L$6989+Sens!$M$6989)/2)</f>
        <v>0.0804526580722741</v>
      </c>
      <c r="N7002" s="13"/>
      <c r="O7002" s="13"/>
      <c r="P7002" s="8" t="s">
        <v>612</v>
      </c>
    </row>
    <row r="7003" customFormat="false" ht="17.15" hidden="false" customHeight="false" outlineLevel="0" collapsed="false">
      <c r="A7003" s="5" t="s">
        <v>613</v>
      </c>
      <c r="B7003" s="0" t="s">
        <v>57</v>
      </c>
      <c r="H7003" s="36" t="n">
        <f aca="false">Sens!$H$6972*1000/(mw_open*he_open+Sens!$H$6970*Sens!$H$6967)</f>
        <v>0.991949006767191</v>
      </c>
      <c r="I7003" s="36" t="n">
        <f aca="false">Sens!$I$6972*1000/(mw_open*he_open+Sens!$I$6970*Sens!$I$6967)</f>
        <v>0.991949006767191</v>
      </c>
      <c r="J7003" s="36" t="n">
        <f aca="false">Sens!$J$6972*1000/(mw_open*he_open+Sens!$J$6970*Sens!$J$6967)</f>
        <v>0.991949006767191</v>
      </c>
      <c r="K7003" s="36" t="n">
        <f aca="false">Sens!$K$6972*1000/(mw_open*he_open+Sens!$K$6970*Sens!$K$6967)</f>
        <v>0.991949006767191</v>
      </c>
      <c r="L7003" s="36" t="n">
        <f aca="false">Sens!$L$6972*1000/(mw_open*he_open+Sens!$L$6970*Sens!$L$6967)</f>
        <v>0.991949006767191</v>
      </c>
      <c r="M7003" s="36" t="n">
        <f aca="false">Sens!$M$6972*1000/(mw_open*he_open+Sens!$M$6970*Sens!$M$6967)</f>
        <v>0.991949006767192</v>
      </c>
    </row>
    <row r="7004" customFormat="false" ht="17.15" hidden="false" customHeight="false" outlineLevel="0" collapsed="false">
      <c r="A7004" s="5" t="s">
        <v>614</v>
      </c>
      <c r="B7004" s="0" t="s">
        <v>57</v>
      </c>
      <c r="H7004" s="36" t="n">
        <f aca="false">Sens!$H$7003*(Sens!$H$6972+wacc*ext_sh*(Sens!$G$6989+Sens!$H$6989)/2/(1-tax)-Sens!$H$6992)/Sens!$H$6972</f>
        <v>1.3149781212103</v>
      </c>
      <c r="I7004" s="36" t="n">
        <f aca="false">Sens!$I$7003*(Sens!$I$6972+wacc*ext_sh*(Sens!$H$6989+Sens!$I$6989)/2/(1-tax)-Sens!$I$6992)/Sens!$I$6972</f>
        <v>1.25742005569107</v>
      </c>
      <c r="J7004" s="36" t="n">
        <f aca="false">Sens!$J$7003*(Sens!$J$6972+wacc*ext_sh*(Sens!$I$6989+Sens!$J$6989)/2/(1-tax)-Sens!$J$6992)/Sens!$J$6972</f>
        <v>1.21838845868559</v>
      </c>
      <c r="K7004" s="36" t="n">
        <f aca="false">Sens!$K$7003*(Sens!$K$6972+wacc*ext_sh*(Sens!$J$6989+Sens!$K$6989)/2/(1-tax)-Sens!$K$6992)/Sens!$K$6972</f>
        <v>1.18402644209548</v>
      </c>
      <c r="L7004" s="36" t="n">
        <f aca="false">Sens!$L$7003*(Sens!$L$6972+wacc*ext_sh*(Sens!$K$6989+Sens!$L$6989)/2/(1-tax)-Sens!$L$6992)/Sens!$L$6972</f>
        <v>1.15111215322059</v>
      </c>
      <c r="M7004" s="36" t="n">
        <f aca="false">Sens!$M$7003*(Sens!$M$6972+wacc*ext_sh*(Sens!$L$6989+Sens!$M$6989)/2/(1-tax)-Sens!$M$6992)/Sens!$M$6972</f>
        <v>1.1397166845677</v>
      </c>
    </row>
    <row r="7005" customFormat="false" ht="17.15" hidden="false" customHeight="false" outlineLevel="0" collapsed="false">
      <c r="A7005" s="5" t="s">
        <v>615</v>
      </c>
      <c r="B7005" s="0" t="s">
        <v>52</v>
      </c>
      <c r="C7005" s="12" t="n">
        <f aca="false">Sens!$C$6973/tk_pq</f>
        <v>0.195316432429398</v>
      </c>
      <c r="D7005" s="12" t="n">
        <f aca="false">Sens!$D$6973/tk_pq</f>
        <v>0.195316432429398</v>
      </c>
      <c r="E7005" s="12" t="n">
        <f aca="false">Sens!$E$6973/tk_pq</f>
        <v>0.195316432429398</v>
      </c>
      <c r="F7005" s="12" t="n">
        <f aca="false">Sens!$F$6973/tk_pq</f>
        <v>0.202241827274866</v>
      </c>
      <c r="G7005" s="12" t="n">
        <f aca="false">Sens!$G$6973/tk_pq</f>
        <v>0.199675016194063</v>
      </c>
      <c r="H7005" s="12" t="n">
        <f aca="false">Sens!$H$6973/tk_pq</f>
        <v>0.212647947710325</v>
      </c>
      <c r="I7005" s="12" t="n">
        <f aca="false">Sens!$I$6973/tk_pq</f>
        <v>0.219285125475351</v>
      </c>
      <c r="J7005" s="12" t="n">
        <f aca="false">Sens!$J$6973/tk_pq</f>
        <v>0.222492493217189</v>
      </c>
      <c r="K7005" s="12" t="n">
        <f aca="false">Sens!$K$6973/tk_pq</f>
        <v>0.224371415939166</v>
      </c>
      <c r="L7005" s="12" t="n">
        <f aca="false">Sens!$L$6973/tk_pq</f>
        <v>0.225603749825993</v>
      </c>
      <c r="M7005" s="12" t="n">
        <f aca="false">Sens!$M$6973/tk_pq</f>
        <v>0.22647376274628</v>
      </c>
      <c r="N7005" s="12" t="n">
        <f aca="false">Sens!$N$6973/tk_pq</f>
        <v>0.195316432429398</v>
      </c>
      <c r="O7005" s="12" t="n">
        <f aca="false">Sens!$O$6973/tk_pq</f>
        <v>0.195316432429398</v>
      </c>
      <c r="P7005" s="5" t="s">
        <v>616</v>
      </c>
    </row>
    <row r="7008" customFormat="false" ht="17.15" hidden="false" customHeight="false" outlineLevel="0" collapsed="false">
      <c r="A7008" s="1" t="s">
        <v>643</v>
      </c>
    </row>
    <row r="7009" customFormat="false" ht="17.15" hidden="false" customHeight="false" outlineLevel="0" collapsed="false">
      <c r="A7009" s="0" t="s">
        <v>644</v>
      </c>
      <c r="B7009" s="0" t="s">
        <v>73</v>
      </c>
      <c r="C7009" s="38" t="n">
        <f aca="false">Sens!$C$6972</f>
        <v>2.32100535697364</v>
      </c>
      <c r="D7009" s="38" t="n">
        <f aca="false">Sens!$D$6972</f>
        <v>8.70377008865116</v>
      </c>
      <c r="E7009" s="38" t="n">
        <f aca="false">Sens!$E$6972</f>
        <v>8.51035297557002</v>
      </c>
      <c r="F7009" s="38" t="n">
        <f aca="false">Sens!$F$6972</f>
        <v>14.9634336447205</v>
      </c>
      <c r="G7009" s="38" t="n">
        <f aca="false">Sens!$G$6972</f>
        <v>23.4737866202905</v>
      </c>
      <c r="H7009" s="38" t="n">
        <f aca="false">Sens!$H$6972</f>
        <v>60.1658907497746</v>
      </c>
      <c r="I7009" s="38" t="n">
        <f aca="false">Sens!$I$6972</f>
        <v>101.503699136432</v>
      </c>
      <c r="J7009" s="38" t="n">
        <f aca="false">Sens!$J$6972</f>
        <v>143.025407151278</v>
      </c>
      <c r="K7009" s="38" t="n">
        <f aca="false">Sens!$K$6972</f>
        <v>184.608415042187</v>
      </c>
      <c r="L7009" s="38" t="n">
        <f aca="false">Sens!$L$6972</f>
        <v>226.219286513125</v>
      </c>
      <c r="M7009" s="38" t="n">
        <f aca="false">Sens!$M$6972</f>
        <v>267.845161450232</v>
      </c>
      <c r="N7009" s="38" t="n">
        <f aca="false">Sens!$N$6972</f>
        <v>3.04631953102791</v>
      </c>
      <c r="O7009" s="38" t="n">
        <f aca="false">Sens!$O$6972</f>
        <v>5.65745055762326</v>
      </c>
      <c r="P7009" s="8" t="s">
        <v>645</v>
      </c>
    </row>
    <row r="7010" customFormat="false" ht="17.15" hidden="false" customHeight="false" outlineLevel="0" collapsed="false">
      <c r="A7010" s="0" t="s">
        <v>646</v>
      </c>
      <c r="B7010" s="0" t="s">
        <v>73</v>
      </c>
      <c r="C7010" s="38" t="n">
        <f aca="false">Sens!$C$6976</f>
        <v>105.234994643026</v>
      </c>
      <c r="D7010" s="38" t="n">
        <f aca="false">Sens!$D$6976</f>
        <v>120.021229911349</v>
      </c>
      <c r="E7010" s="38" t="n">
        <f aca="false">Sens!$E$6976</f>
        <v>71.30864702443</v>
      </c>
      <c r="F7010" s="38" t="n">
        <f aca="false">Sens!$F$6976</f>
        <v>78.5950104186653</v>
      </c>
      <c r="G7010" s="38" t="n">
        <f aca="false">Sens!$G$6976</f>
        <v>149.903657443095</v>
      </c>
      <c r="H7010" s="38" t="n">
        <f aca="false">Sens!$H$6976</f>
        <v>180.893560768142</v>
      </c>
      <c r="I7010" s="38" t="n">
        <f aca="false">Sens!$I$6976</f>
        <v>210.64839721501</v>
      </c>
      <c r="J7010" s="38" t="n">
        <f aca="false">Sens!$J$6976</f>
        <v>236.398909446495</v>
      </c>
      <c r="K7010" s="38" t="n">
        <f aca="false">Sens!$K$6976</f>
        <v>255.310822202215</v>
      </c>
      <c r="L7010" s="38" t="n">
        <f aca="false">Sens!$L$6976</f>
        <v>275.735687978392</v>
      </c>
      <c r="M7010" s="38" t="n">
        <f aca="false">Sens!$M$6976</f>
        <v>297.794543016663</v>
      </c>
      <c r="N7010" s="38" t="n">
        <f aca="false">Sens!$N$6976</f>
        <v>57.0936804689721</v>
      </c>
      <c r="O7010" s="38" t="n">
        <f aca="false">Sens!$O$6976</f>
        <v>62.9275494423768</v>
      </c>
      <c r="P7010" s="8" t="s">
        <v>645</v>
      </c>
    </row>
    <row r="7011" customFormat="false" ht="17.15" hidden="false" customHeight="false" outlineLevel="0" collapsed="false">
      <c r="A7011" s="1" t="s">
        <v>476</v>
      </c>
      <c r="B7011" s="8" t="s">
        <v>73</v>
      </c>
      <c r="C7011" s="38" t="n">
        <f aca="false">Q!$D$7</f>
        <v>107.556</v>
      </c>
      <c r="D7011" s="38" t="n">
        <f aca="false">Q!$E$7</f>
        <v>128.725</v>
      </c>
      <c r="E7011" s="38" t="n">
        <f aca="false">Q!$P$7</f>
        <v>79.819</v>
      </c>
      <c r="F7011" s="38" t="n">
        <f aca="false">Sens!$F$7009+Sens!$F$7010</f>
        <v>93.5584440633857</v>
      </c>
      <c r="G7011" s="38" t="n">
        <f aca="false">Sens!$G$7009+Sens!$G$7010</f>
        <v>173.377444063386</v>
      </c>
      <c r="H7011" s="38" t="n">
        <f aca="false">Sens!$H$7009+Sens!$H$7010</f>
        <v>241.059451517916</v>
      </c>
      <c r="I7011" s="38" t="n">
        <f aca="false">Sens!$I$7009+Sens!$I$7010</f>
        <v>312.152096351442</v>
      </c>
      <c r="J7011" s="38" t="n">
        <f aca="false">Sens!$J$7009+Sens!$J$7010</f>
        <v>379.424316597773</v>
      </c>
      <c r="K7011" s="38" t="n">
        <f aca="false">Sens!$K$7009+Sens!$K$7010</f>
        <v>439.919237244402</v>
      </c>
      <c r="L7011" s="38" t="n">
        <f aca="false">Sens!$L$7009+Sens!$L$7010</f>
        <v>501.954974491517</v>
      </c>
      <c r="M7011" s="38" t="n">
        <f aca="false">Sens!$M$7009+Sens!$M$7010</f>
        <v>565.639704466895</v>
      </c>
      <c r="N7011" s="38" t="n">
        <f aca="false">Q!$N$7</f>
        <v>60.14</v>
      </c>
      <c r="O7011" s="38" t="n">
        <f aca="false">Q!$O$7</f>
        <v>68.585</v>
      </c>
      <c r="P7011" s="5" t="s">
        <v>647</v>
      </c>
    </row>
    <row r="7012" customFormat="false" ht="15" hidden="false" customHeight="false" outlineLevel="0" collapsed="false">
      <c r="A7012" s="3" t="s">
        <v>648</v>
      </c>
      <c r="B7012" s="8" t="s">
        <v>73</v>
      </c>
      <c r="C7012" s="38" t="n">
        <f aca="false">Q!$D$8</f>
        <v>637.959</v>
      </c>
      <c r="D7012" s="38" t="n">
        <f aca="false">Q!$E$8</f>
        <v>716.924</v>
      </c>
      <c r="E7012" s="38" t="n">
        <f aca="false">Q!$P$8</f>
        <v>382.125</v>
      </c>
      <c r="F7012" s="38" t="n">
        <f aca="false">Sens!$F$6945+Sens!$F$7011</f>
        <v>450.494873271816</v>
      </c>
      <c r="G7012" s="38" t="n">
        <f aca="false">Sens!$G$6945+Sens!$G$7011</f>
        <v>832.619873271816</v>
      </c>
      <c r="H7012" s="38" t="n">
        <f aca="false">Sens!$H$6945+Sens!$H$7011</f>
        <v>970.995189139617</v>
      </c>
      <c r="I7012" s="38" t="n">
        <f aca="false">Sens!$I$6945+Sens!$I$7011</f>
        <v>1110.44766604932</v>
      </c>
      <c r="J7012" s="38" t="n">
        <f aca="false">Sens!$J$6945+Sens!$J$7011</f>
        <v>1241.16113892356</v>
      </c>
      <c r="K7012" s="38" t="n">
        <f aca="false">Sens!$K$6945+Sens!$K$7011</f>
        <v>1357.47672934633</v>
      </c>
      <c r="L7012" s="38" t="n">
        <f aca="false">Sens!$L$6945+Sens!$L$7011</f>
        <v>1479.24006423468</v>
      </c>
      <c r="M7012" s="38" t="n">
        <f aca="false">Sens!$M$6945+Sens!$M$7011</f>
        <v>1606.8537230104</v>
      </c>
      <c r="N7012" s="38" t="n">
        <f aca="false">Q!$N$8</f>
        <v>323.369</v>
      </c>
      <c r="O7012" s="38" t="n">
        <f aca="false">Q!$O$8</f>
        <v>393.555</v>
      </c>
    </row>
    <row r="7013" customFormat="false" ht="17.15" hidden="false" customHeight="false" outlineLevel="0" collapsed="false">
      <c r="A7013" s="24" t="s">
        <v>656</v>
      </c>
      <c r="B7013" s="25" t="s">
        <v>73</v>
      </c>
      <c r="C7013" s="39" t="n">
        <f aca="false">Sens!$C$6945-(Sens!$C$6947+Sens!$C$6948)</f>
        <v>0</v>
      </c>
      <c r="D7013" s="39" t="n">
        <f aca="false">Sens!$D$6945-(Sens!$D$6947+Sens!$D$6948)</f>
        <v>0</v>
      </c>
      <c r="E7013" s="39" t="n">
        <f aca="false">Sens!$E$6945-(Sens!$E$6947+Sens!$E$6948)</f>
        <v>0</v>
      </c>
      <c r="F7013" s="39" t="n">
        <f aca="false">Sens!$F$6945-(Sens!$F$6947+Sens!$F$6948)</f>
        <v>0</v>
      </c>
      <c r="G7013" s="39" t="n">
        <f aca="false">Sens!$G$6945-(Sens!$G$6947+Sens!$G$6948)</f>
        <v>0</v>
      </c>
      <c r="H7013" s="39" t="n">
        <f aca="false">Sens!$H$6945-(Sens!$H$6947+Sens!$H$6948)</f>
        <v>0</v>
      </c>
      <c r="I7013" s="39" t="n">
        <f aca="false">Sens!$I$6945-(Sens!$I$6947+Sens!$I$6948)</f>
        <v>0</v>
      </c>
      <c r="J7013" s="39" t="n">
        <f aca="false">Sens!$J$6945-(Sens!$J$6947+Sens!$J$6948)</f>
        <v>0</v>
      </c>
      <c r="K7013" s="39" t="n">
        <f aca="false">Sens!$K$6945-(Sens!$K$6947+Sens!$K$6948)</f>
        <v>0</v>
      </c>
      <c r="L7013" s="39" t="n">
        <f aca="false">Sens!$L$6945-(Sens!$L$6947+Sens!$L$6948)</f>
        <v>0</v>
      </c>
      <c r="M7013" s="39" t="n">
        <f aca="false">Sens!$M$6945-(Sens!$M$6947+Sens!$M$6948)</f>
        <v>0</v>
      </c>
      <c r="N7013" s="39" t="n">
        <f aca="false">Sens!$N$6945-(Sens!$N$6947+Sens!$N$6948)</f>
        <v>0</v>
      </c>
      <c r="O7013" s="39" t="n">
        <f aca="false">Sens!$O$6945-(Sens!$O$6947+Sens!$O$6948)</f>
        <v>0</v>
      </c>
    </row>
    <row r="7014" customFormat="false" ht="17.15" hidden="false" customHeight="false" outlineLevel="0" collapsed="false">
      <c r="A7014" s="24" t="s">
        <v>657</v>
      </c>
      <c r="B7014" s="25" t="s">
        <v>73</v>
      </c>
      <c r="C7014" s="39" t="n">
        <f aca="false">Sens!$C$7009+Sens!$C$7010-Sens!$C$7011</f>
        <v>0</v>
      </c>
      <c r="D7014" s="39" t="n">
        <f aca="false">Sens!$D$7009+Sens!$D$7010-Sens!$D$7011</f>
        <v>0</v>
      </c>
      <c r="E7014" s="39" t="n">
        <f aca="false">Sens!$E$7009+Sens!$E$7010-Sens!$E$7011</f>
        <v>0</v>
      </c>
      <c r="F7014" s="39" t="n">
        <f aca="false">Sens!$F$7009+Sens!$F$7010-Sens!$F$7011</f>
        <v>0</v>
      </c>
      <c r="G7014" s="39" t="n">
        <f aca="false">Sens!$G$7009+Sens!$G$7010-Sens!$G$7011</f>
        <v>0</v>
      </c>
      <c r="H7014" s="39" t="n">
        <f aca="false">Sens!$H$7009+Sens!$H$7010-Sens!$H$7011</f>
        <v>0</v>
      </c>
      <c r="I7014" s="39" t="n">
        <f aca="false">Sens!$I$7009+Sens!$I$7010-Sens!$I$7011</f>
        <v>0</v>
      </c>
      <c r="J7014" s="39" t="n">
        <f aca="false">Sens!$J$7009+Sens!$J$7010-Sens!$J$7011</f>
        <v>0</v>
      </c>
      <c r="K7014" s="39" t="n">
        <f aca="false">Sens!$K$7009+Sens!$K$7010-Sens!$K$7011</f>
        <v>0</v>
      </c>
      <c r="L7014" s="39" t="n">
        <f aca="false">Sens!$L$7009+Sens!$L$7010-Sens!$L$7011</f>
        <v>0</v>
      </c>
      <c r="M7014" s="39" t="n">
        <f aca="false">Sens!$M$7009+Sens!$M$7010-Sens!$M$7011</f>
        <v>0</v>
      </c>
      <c r="N7014" s="39" t="n">
        <f aca="false">Sens!$N$7009+Sens!$N$7010-Sens!$N$7011</f>
        <v>0</v>
      </c>
      <c r="O7014" s="39" t="n">
        <f aca="false">Sens!$O$7009+Sens!$O$7010-Sens!$O$7011</f>
        <v>0</v>
      </c>
    </row>
    <row r="7015" customFormat="false" ht="17.15" hidden="false" customHeight="false" outlineLevel="0" collapsed="false">
      <c r="A7015" s="24" t="s">
        <v>658</v>
      </c>
      <c r="B7015" s="25" t="s">
        <v>73</v>
      </c>
      <c r="C7015" s="39" t="n">
        <f aca="false">Sens!$C$6947+Sens!$C$6948+Sens!$C$7011-Sens!$C$7012</f>
        <v>0</v>
      </c>
      <c r="D7015" s="39" t="n">
        <f aca="false">Sens!$D$6947+Sens!$D$6948+Sens!$D$7011-Sens!$D$7012</f>
        <v>0</v>
      </c>
      <c r="E7015" s="39" t="n">
        <f aca="false">Sens!$E$6947+Sens!$E$6948+Sens!$E$7011-Sens!$E$7012</f>
        <v>0</v>
      </c>
      <c r="F7015" s="39" t="n">
        <f aca="false">Sens!$F$6947+Sens!$F$6948+Sens!$F$7011-Sens!$F$7012</f>
        <v>0</v>
      </c>
      <c r="G7015" s="39" t="n">
        <f aca="false">Sens!$G$6947+Sens!$G$6948+Sens!$G$7011-Sens!$G$7012</f>
        <v>0</v>
      </c>
      <c r="H7015" s="39" t="n">
        <f aca="false">Sens!$H$6947+Sens!$H$6948+Sens!$H$7011-Sens!$H$7012</f>
        <v>0</v>
      </c>
      <c r="I7015" s="39" t="n">
        <f aca="false">Sens!$I$6947+Sens!$I$6948+Sens!$I$7011-Sens!$I$7012</f>
        <v>0</v>
      </c>
      <c r="J7015" s="39" t="n">
        <f aca="false">Sens!$J$6947+Sens!$J$6948+Sens!$J$7011-Sens!$J$7012</f>
        <v>0</v>
      </c>
      <c r="K7015" s="39" t="n">
        <f aca="false">Sens!$K$6947+Sens!$K$6948+Sens!$K$7011-Sens!$K$7012</f>
        <v>0</v>
      </c>
      <c r="L7015" s="39" t="n">
        <f aca="false">Sens!$L$6947+Sens!$L$6948+Sens!$L$7011-Sens!$L$7012</f>
        <v>0</v>
      </c>
      <c r="M7015" s="39" t="n">
        <f aca="false">Sens!$M$6947+Sens!$M$6948+Sens!$M$7011-Sens!$M$7012</f>
        <v>0</v>
      </c>
      <c r="N7015" s="39" t="n">
        <f aca="false">Sens!$N$6947+Sens!$N$6948+Sens!$N$7011-Sens!$N$7012</f>
        <v>0</v>
      </c>
      <c r="O7015" s="39" t="n">
        <f aca="false">Sens!$O$6947+Sens!$O$6948+Sens!$O$7011-Sens!$O$7012</f>
        <v>0</v>
      </c>
    </row>
    <row r="7016" customFormat="false" ht="15" hidden="false" customHeight="false" outlineLevel="0" collapsed="false">
      <c r="A7016" s="5" t="s">
        <v>652</v>
      </c>
      <c r="B7016" s="0" t="s">
        <v>52</v>
      </c>
      <c r="G7016" s="12" t="n">
        <f aca="false">Sens!$G$7012/Sens!$D$7012-1</f>
        <v>0.161378156222718</v>
      </c>
      <c r="H7016" s="12" t="n">
        <f aca="false">Sens!$H$7012/Sens!$G$7012-1</f>
        <v>0.166192665236357</v>
      </c>
      <c r="I7016" s="12" t="n">
        <f aca="false">Sens!$I$7012/Sens!$H$7012-1</f>
        <v>0.143618092519351</v>
      </c>
      <c r="J7016" s="12" t="n">
        <f aca="false">Sens!$J$7012/Sens!$I$7012-1</f>
        <v>0.117712411733268</v>
      </c>
      <c r="K7016" s="12" t="n">
        <f aca="false">Sens!$K$7012/Sens!$J$7012-1</f>
        <v>0.0937151404237868</v>
      </c>
      <c r="L7016" s="12" t="n">
        <f aca="false">Sens!$L$7012/Sens!$K$7012-1</f>
        <v>0.0896982852494186</v>
      </c>
      <c r="M7016" s="12" t="n">
        <f aca="false">Sens!$M$7012/Sens!$L$7012-1</f>
        <v>0.0862697420528154</v>
      </c>
    </row>
    <row r="7017" customFormat="false" ht="17.15" hidden="false" customHeight="false" outlineLevel="0" collapsed="false">
      <c r="A7017" s="0" t="s">
        <v>653</v>
      </c>
      <c r="B7017" s="0" t="s">
        <v>52</v>
      </c>
      <c r="C7017" s="12" t="n">
        <f aca="false">Sens!$C$7011/Sens!$C$7012</f>
        <v>0.168593906504964</v>
      </c>
      <c r="D7017" s="12" t="n">
        <f aca="false">Sens!$D$7011/Sens!$D$7012</f>
        <v>0.179551807444025</v>
      </c>
      <c r="E7017" s="12" t="n">
        <f aca="false">Sens!$E$7011/Sens!$E$7012</f>
        <v>0.208881910369643</v>
      </c>
      <c r="F7017" s="12" t="n">
        <f aca="false">Sens!$F$7011/Sens!$F$7012</f>
        <v>0.207679264769203</v>
      </c>
      <c r="G7017" s="12" t="n">
        <f aca="false">Sens!$G$7011/Sens!$G$7012</f>
        <v>0.208231210458731</v>
      </c>
      <c r="H7017" s="12" t="n">
        <f aca="false">Sens!$H$7011/Sens!$H$7012</f>
        <v>0.248260191414043</v>
      </c>
      <c r="I7017" s="12" t="n">
        <f aca="false">Sens!$I$7011/Sens!$I$7012</f>
        <v>0.28110473450946</v>
      </c>
      <c r="J7017" s="12" t="n">
        <f aca="false">Sens!$J$7011/Sens!$J$7012</f>
        <v>0.30570109287086</v>
      </c>
      <c r="K7017" s="12" t="n">
        <f aca="false">Sens!$K$7011/Sens!$K$7012</f>
        <v>0.324071291782835</v>
      </c>
      <c r="L7017" s="12" t="n">
        <f aca="false">Sens!$L$7011/Sens!$L$7012</f>
        <v>0.339333003903741</v>
      </c>
      <c r="M7017" s="12" t="n">
        <f aca="false">Sens!$M$7011/Sens!$M$7012</f>
        <v>0.3520169237354</v>
      </c>
      <c r="N7017" s="12" t="n">
        <f aca="false">Sens!$N$7011/Sens!$N$7012</f>
        <v>0.185979484737251</v>
      </c>
      <c r="O7017" s="12" t="n">
        <f aca="false">Sens!$O$7011/Sens!$O$7012</f>
        <v>0.174270432341096</v>
      </c>
    </row>
    <row r="7018" customFormat="false" ht="17.15" hidden="false" customHeight="false" outlineLevel="0" collapsed="false">
      <c r="A7018" s="0" t="s">
        <v>654</v>
      </c>
      <c r="B7018" s="0" t="s">
        <v>52</v>
      </c>
      <c r="C7018" s="12" t="n">
        <f aca="false">Sens!$C$7009/Sens!$C$7011</f>
        <v>0.0215795060896058</v>
      </c>
      <c r="D7018" s="12" t="n">
        <f aca="false">Sens!$D$7009/Sens!$D$7011</f>
        <v>0.0676152269462122</v>
      </c>
      <c r="E7018" s="12" t="n">
        <f aca="false">Sens!$E$7009/Sens!$E$7011</f>
        <v>0.106620641395783</v>
      </c>
      <c r="F7018" s="12" t="n">
        <f aca="false">Sens!$F$7009/Sens!$F$7011</f>
        <v>0.159936751776064</v>
      </c>
      <c r="G7018" s="12" t="n">
        <f aca="false">Sens!$G$7009/Sens!$G$7011</f>
        <v>0.135391237003751</v>
      </c>
      <c r="H7018" s="12" t="n">
        <f aca="false">Sens!$H$7009/Sens!$H$7011</f>
        <v>0.249589428545194</v>
      </c>
      <c r="I7018" s="12" t="n">
        <f aca="false">Sens!$I$7009/Sens!$I$7011</f>
        <v>0.325173850577483</v>
      </c>
      <c r="J7018" s="12" t="n">
        <f aca="false">Sens!$J$7009/Sens!$J$7011</f>
        <v>0.376953718817392</v>
      </c>
      <c r="K7018" s="12" t="n">
        <f aca="false">Sens!$K$7009/Sens!$K$7011</f>
        <v>0.419641605578676</v>
      </c>
      <c r="L7018" s="12" t="n">
        <f aca="false">Sens!$L$7009/Sens!$L$7011</f>
        <v>0.450676451094615</v>
      </c>
      <c r="M7018" s="12" t="n">
        <f aca="false">Sens!$M$7009/Sens!$M$7011</f>
        <v>0.473526096798086</v>
      </c>
      <c r="N7018" s="12" t="n">
        <f aca="false">Sens!$N$7009/Sens!$N$7011</f>
        <v>0.0506537999838362</v>
      </c>
      <c r="O7018" s="12" t="n">
        <f aca="false">Sens!$O$7009/Sens!$O$7011</f>
        <v>0.0824881615167056</v>
      </c>
    </row>
    <row r="7021" customFormat="false" ht="19.4" hidden="false" customHeight="false" outlineLevel="0" collapsed="false">
      <c r="A7021" s="31" t="s">
        <v>1197</v>
      </c>
    </row>
    <row r="7022" customFormat="false" ht="17.15" hidden="false" customHeight="false" outlineLevel="0" collapsed="false">
      <c r="A7022" s="6" t="s">
        <v>16</v>
      </c>
      <c r="B7022" s="6" t="s">
        <v>17</v>
      </c>
      <c r="C7022" s="20" t="s">
        <v>457</v>
      </c>
      <c r="D7022" s="20" t="s">
        <v>458</v>
      </c>
      <c r="E7022" s="20" t="s">
        <v>540</v>
      </c>
      <c r="F7022" s="20" t="s">
        <v>541</v>
      </c>
      <c r="G7022" s="20" t="s">
        <v>542</v>
      </c>
      <c r="H7022" s="20" t="s">
        <v>543</v>
      </c>
      <c r="I7022" s="20" t="s">
        <v>544</v>
      </c>
      <c r="J7022" s="20" t="s">
        <v>545</v>
      </c>
      <c r="K7022" s="20" t="s">
        <v>546</v>
      </c>
      <c r="L7022" s="20" t="s">
        <v>547</v>
      </c>
      <c r="M7022" s="20" t="s">
        <v>548</v>
      </c>
      <c r="N7022" s="20" t="s">
        <v>549</v>
      </c>
      <c r="O7022" s="20" t="s">
        <v>550</v>
      </c>
      <c r="P7022" s="6" t="s">
        <v>23</v>
      </c>
      <c r="R7022" s="20" t="n">
        <v>2023</v>
      </c>
      <c r="S7022" s="20" t="n">
        <v>2024</v>
      </c>
      <c r="T7022" s="20" t="n">
        <v>2025</v>
      </c>
      <c r="U7022" s="20" t="n">
        <v>2026</v>
      </c>
      <c r="V7022" s="20" t="n">
        <v>2027</v>
      </c>
      <c r="W7022" s="20" t="n">
        <v>2028</v>
      </c>
      <c r="X7022" s="20" t="n">
        <v>2029</v>
      </c>
      <c r="Y7022" s="20" t="n">
        <v>2030</v>
      </c>
      <c r="Z7022" s="20" t="n">
        <v>2031</v>
      </c>
      <c r="AA7022" s="20" t="n">
        <v>2032</v>
      </c>
    </row>
    <row r="7023" customFormat="false" ht="17.15" hidden="false" customHeight="false" outlineLevel="0" collapsed="false">
      <c r="A7023" s="1" t="s">
        <v>669</v>
      </c>
    </row>
    <row r="7024" customFormat="false" ht="15" hidden="false" customHeight="false" outlineLevel="0" collapsed="false">
      <c r="A7024" s="0" t="s">
        <v>479</v>
      </c>
      <c r="B7024" s="0" t="s">
        <v>73</v>
      </c>
      <c r="C7024" s="38" t="n">
        <f aca="false">Sens!$C$6933</f>
        <v>247.029</v>
      </c>
      <c r="D7024" s="38" t="n">
        <f aca="false">Sens!$D$6933</f>
        <v>269.287</v>
      </c>
      <c r="E7024" s="38" t="n">
        <f aca="false">Sens!$E$6933</f>
        <v>134.686</v>
      </c>
      <c r="F7024" s="38" t="n">
        <f aca="false">Sens!$F$6933</f>
        <v>160.728085930082</v>
      </c>
      <c r="G7024" s="38" t="n">
        <f aca="false">Sens!$G$6933</f>
        <v>295.414085930082</v>
      </c>
      <c r="H7024" s="38" t="n">
        <f aca="false">Sens!$H$6933</f>
        <v>320.828163943375</v>
      </c>
      <c r="I7024" s="38" t="n">
        <f aca="false">Sens!$I$6933</f>
        <v>344.575578072228</v>
      </c>
      <c r="J7024" s="38" t="n">
        <f aca="false">Sens!$J$6933</f>
        <v>365.942555779681</v>
      </c>
      <c r="K7024" s="38" t="n">
        <f aca="false">Sens!$K$6933</f>
        <v>384.239683568665</v>
      </c>
      <c r="L7024" s="38" t="n">
        <f aca="false">Sens!$L$6933</f>
        <v>403.451667747098</v>
      </c>
      <c r="M7024" s="38" t="n">
        <f aca="false">Sens!$M$6933</f>
        <v>423.624251134453</v>
      </c>
      <c r="N7024" s="38" t="n">
        <f aca="false">Sens!$N$6933</f>
        <v>118.892</v>
      </c>
      <c r="O7024" s="38" t="n">
        <f aca="false">Sens!$O$6933</f>
        <v>150.395</v>
      </c>
    </row>
    <row r="7025" customFormat="false" ht="15" hidden="false" customHeight="false" outlineLevel="0" collapsed="false">
      <c r="A7025" s="0" t="s">
        <v>480</v>
      </c>
      <c r="B7025" s="0" t="s">
        <v>73</v>
      </c>
      <c r="C7025" s="38" t="n">
        <f aca="false">Sens!$C$6935</f>
        <v>21.215</v>
      </c>
      <c r="D7025" s="38" t="n">
        <f aca="false">Sens!$D$6935</f>
        <v>22.561</v>
      </c>
      <c r="E7025" s="38" t="n">
        <f aca="false">Sens!$E$6935</f>
        <v>11.579</v>
      </c>
      <c r="F7025" s="38" t="n">
        <f aca="false">Sens!$F$6935</f>
        <v>12.0952613121125</v>
      </c>
      <c r="G7025" s="38" t="n">
        <f aca="false">Sens!$G$6935</f>
        <v>23.6742613121125</v>
      </c>
      <c r="H7025" s="38" t="n">
        <f aca="false">Sens!$H$6935</f>
        <v>24.8803243963206</v>
      </c>
      <c r="I7025" s="38" t="n">
        <f aca="false">Sens!$I$6935</f>
        <v>25.9741308664154</v>
      </c>
      <c r="J7025" s="38" t="n">
        <f aca="false">Sens!$J$6935</f>
        <v>26.9346894124267</v>
      </c>
      <c r="K7025" s="38" t="n">
        <f aca="false">Sens!$K$6935</f>
        <v>27.7427300947995</v>
      </c>
      <c r="L7025" s="38" t="n">
        <f aca="false">Sens!$L$6935</f>
        <v>28.5750119976435</v>
      </c>
      <c r="M7025" s="38" t="n">
        <f aca="false">Sens!$M$6935</f>
        <v>29.4322623575728</v>
      </c>
      <c r="N7025" s="38" t="n">
        <f aca="false">Sens!$N$6935</f>
        <v>11.128</v>
      </c>
      <c r="O7025" s="38" t="n">
        <f aca="false">Sens!$O$6935</f>
        <v>11.433</v>
      </c>
    </row>
    <row r="7026" customFormat="false" ht="15" hidden="false" customHeight="false" outlineLevel="0" collapsed="false">
      <c r="A7026" s="0" t="s">
        <v>481</v>
      </c>
      <c r="B7026" s="0" t="s">
        <v>73</v>
      </c>
      <c r="C7026" s="38" t="n">
        <f aca="false">Sens!$C$6937</f>
        <v>156.146</v>
      </c>
      <c r="D7026" s="38" t="n">
        <f aca="false">Sens!$D$6937</f>
        <v>172.162</v>
      </c>
      <c r="E7026" s="38" t="n">
        <f aca="false">Sens!$E$6937</f>
        <v>88.358</v>
      </c>
      <c r="F7026" s="38" t="n">
        <f aca="false">Sens!$F$6937</f>
        <v>103.62028337149</v>
      </c>
      <c r="G7026" s="38" t="n">
        <f aca="false">Sens!$G$6937</f>
        <v>191.97828337149</v>
      </c>
      <c r="H7026" s="38" t="n">
        <f aca="false">Sens!$H$6937</f>
        <v>212.128608444755</v>
      </c>
      <c r="I7026" s="38" t="n">
        <f aca="false">Sens!$I$6937</f>
        <v>231.92183134134</v>
      </c>
      <c r="J7026" s="38" t="n">
        <f aca="false">Sens!$J$6937</f>
        <v>250.859136487863</v>
      </c>
      <c r="K7026" s="38" t="n">
        <f aca="false">Sens!$K$6937</f>
        <v>268.419276042014</v>
      </c>
      <c r="L7026" s="38" t="n">
        <f aca="false">Sens!$L$6937</f>
        <v>287.208625364954</v>
      </c>
      <c r="M7026" s="38" t="n">
        <f aca="false">Sens!$M$6937</f>
        <v>307.313229140501</v>
      </c>
      <c r="N7026" s="38" t="n">
        <f aca="false">Sens!$N$6937</f>
        <v>76.86</v>
      </c>
      <c r="O7026" s="38" t="n">
        <f aca="false">Sens!$O$6937</f>
        <v>95.302</v>
      </c>
    </row>
    <row r="7027" customFormat="false" ht="15" hidden="false" customHeight="false" outlineLevel="0" collapsed="false">
      <c r="A7027" s="0" t="s">
        <v>482</v>
      </c>
      <c r="B7027" s="0" t="s">
        <v>73</v>
      </c>
      <c r="C7027" s="38" t="n">
        <f aca="false">Sens!$C$6939</f>
        <v>56.214</v>
      </c>
      <c r="D7027" s="38" t="n">
        <f aca="false">Sens!$D$6939</f>
        <v>68.635</v>
      </c>
      <c r="E7027" s="38" t="n">
        <f aca="false">Sens!$E$6939</f>
        <v>37.052</v>
      </c>
      <c r="F7027" s="38" t="n">
        <f aca="false">Sens!$F$6939</f>
        <v>48.1533381827382</v>
      </c>
      <c r="G7027" s="38" t="n">
        <f aca="false">Sens!$G$6939</f>
        <v>85.2053381827382</v>
      </c>
      <c r="H7027" s="38" t="n">
        <f aca="false">Sens!$H$6939</f>
        <v>102.29336185894</v>
      </c>
      <c r="I7027" s="38" t="n">
        <f aca="false">Sens!$I$6939</f>
        <v>119.379837585241</v>
      </c>
      <c r="J7027" s="38" t="n">
        <f aca="false">Sens!$J$6939</f>
        <v>135.319079048844</v>
      </c>
      <c r="K7027" s="38" t="n">
        <f aca="false">Sens!$K$6939</f>
        <v>148.850986953729</v>
      </c>
      <c r="L7027" s="38" t="n">
        <f aca="false">Sens!$L$6939</f>
        <v>163.736085649102</v>
      </c>
      <c r="M7027" s="38" t="n">
        <f aca="false">Sens!$M$6939</f>
        <v>180.109694214012</v>
      </c>
      <c r="N7027" s="38" t="n">
        <f aca="false">Sens!$N$6939</f>
        <v>29.615</v>
      </c>
      <c r="O7027" s="38" t="n">
        <f aca="false">Sens!$O$6939</f>
        <v>39.02</v>
      </c>
    </row>
    <row r="7028" customFormat="false" ht="15" hidden="false" customHeight="false" outlineLevel="0" collapsed="false">
      <c r="A7028" s="0" t="s">
        <v>483</v>
      </c>
      <c r="B7028" s="0" t="s">
        <v>73</v>
      </c>
      <c r="C7028" s="38" t="n">
        <f aca="false">Sens!$C$6941</f>
        <v>44.374</v>
      </c>
      <c r="D7028" s="38" t="n">
        <f aca="false">Sens!$D$6941</f>
        <v>49.619</v>
      </c>
      <c r="E7028" s="38" t="n">
        <f aca="false">Sens!$E$6941</f>
        <v>27.157</v>
      </c>
      <c r="F7028" s="38" t="n">
        <f aca="false">Sens!$F$6941</f>
        <v>28.9776360923374</v>
      </c>
      <c r="G7028" s="38" t="n">
        <f aca="false">Sens!$G$6941</f>
        <v>56.1346360923374</v>
      </c>
      <c r="H7028" s="38" t="n">
        <f aca="false">Sens!$H$6941</f>
        <v>62.4937078946075</v>
      </c>
      <c r="I7028" s="38" t="n">
        <f aca="false">Sens!$I$6941</f>
        <v>68.6715233062498</v>
      </c>
      <c r="J7028" s="38" t="n">
        <f aca="false">Sens!$J$6941</f>
        <v>74.4692882949818</v>
      </c>
      <c r="K7028" s="38" t="n">
        <f aca="false">Sens!$K$6941</f>
        <v>79.6821384756306</v>
      </c>
      <c r="L7028" s="38" t="n">
        <f aca="false">Sens!$L$6941</f>
        <v>85.2598881689247</v>
      </c>
      <c r="M7028" s="38" t="n">
        <f aca="false">Sens!$M$6941</f>
        <v>91.2280803407494</v>
      </c>
      <c r="N7028" s="38" t="n">
        <f aca="false">Sens!$N$6941</f>
        <v>23.923</v>
      </c>
      <c r="O7028" s="38" t="n">
        <f aca="false">Sens!$O$6941</f>
        <v>25.696</v>
      </c>
    </row>
    <row r="7029" customFormat="false" ht="15" hidden="false" customHeight="false" outlineLevel="0" collapsed="false">
      <c r="A7029" s="0" t="s">
        <v>484</v>
      </c>
      <c r="B7029" s="0" t="s">
        <v>73</v>
      </c>
      <c r="C7029" s="38" t="n">
        <f aca="false">Sens!$C$6943</f>
        <v>5.425</v>
      </c>
      <c r="D7029" s="38" t="n">
        <f aca="false">Sens!$D$6943</f>
        <v>5.935</v>
      </c>
      <c r="E7029" s="38" t="n">
        <f aca="false">Sens!$E$6943</f>
        <v>3.474</v>
      </c>
      <c r="F7029" s="38" t="n">
        <f aca="false">Sens!$F$6943</f>
        <v>3.36182431966931</v>
      </c>
      <c r="G7029" s="38" t="n">
        <f aca="false">Sens!$G$6943</f>
        <v>6.83582431966931</v>
      </c>
      <c r="H7029" s="38" t="n">
        <f aca="false">Sens!$H$6943</f>
        <v>7.31157108370141</v>
      </c>
      <c r="I7029" s="38" t="n">
        <f aca="false">Sens!$I$6943</f>
        <v>7.77266852639815</v>
      </c>
      <c r="J7029" s="38" t="n">
        <f aca="false">Sens!$J$6943</f>
        <v>8.2120733019884</v>
      </c>
      <c r="K7029" s="38" t="n">
        <f aca="false">Sens!$K$6943</f>
        <v>8.62267696708783</v>
      </c>
      <c r="L7029" s="38" t="n">
        <f aca="false">Sens!$L$6943</f>
        <v>9.05381081544222</v>
      </c>
      <c r="M7029" s="38" t="n">
        <f aca="false">Sens!$M$6943</f>
        <v>9.50650135621433</v>
      </c>
      <c r="N7029" s="38" t="n">
        <f aca="false">Sens!$N$6943</f>
        <v>2.811</v>
      </c>
      <c r="O7029" s="38" t="n">
        <f aca="false">Sens!$O$6943</f>
        <v>3.124</v>
      </c>
    </row>
    <row r="7030" customFormat="false" ht="17.15" hidden="false" customHeight="false" outlineLevel="0" collapsed="false">
      <c r="A7030" s="0" t="s">
        <v>670</v>
      </c>
      <c r="B7030" s="0" t="s">
        <v>73</v>
      </c>
      <c r="C7030" s="38" t="n">
        <f aca="false">Sens!$C$7011</f>
        <v>107.556</v>
      </c>
      <c r="D7030" s="38" t="n">
        <f aca="false">Sens!$D$7011</f>
        <v>128.725</v>
      </c>
      <c r="E7030" s="38" t="n">
        <f aca="false">Sens!$E$7011</f>
        <v>79.819</v>
      </c>
      <c r="F7030" s="38" t="n">
        <f aca="false">Sens!$F$7011</f>
        <v>93.5584440633857</v>
      </c>
      <c r="G7030" s="38" t="n">
        <f aca="false">Sens!$G$7011</f>
        <v>173.377444063386</v>
      </c>
      <c r="H7030" s="38" t="n">
        <f aca="false">Sens!$H$7011</f>
        <v>241.059451517916</v>
      </c>
      <c r="I7030" s="38" t="n">
        <f aca="false">Sens!$I$7011</f>
        <v>312.152096351442</v>
      </c>
      <c r="J7030" s="38" t="n">
        <f aca="false">Sens!$J$7011</f>
        <v>379.424316597773</v>
      </c>
      <c r="K7030" s="38" t="n">
        <f aca="false">Sens!$K$7011</f>
        <v>439.919237244402</v>
      </c>
      <c r="L7030" s="38" t="n">
        <f aca="false">Sens!$L$7011</f>
        <v>501.954974491517</v>
      </c>
      <c r="M7030" s="38" t="n">
        <f aca="false">Sens!$M$7011</f>
        <v>565.639704466895</v>
      </c>
      <c r="N7030" s="38" t="n">
        <f aca="false">Sens!$N$7011</f>
        <v>60.14</v>
      </c>
      <c r="O7030" s="38" t="n">
        <f aca="false">Sens!$O$7011</f>
        <v>68.585</v>
      </c>
    </row>
    <row r="7031" customFormat="false" ht="15" hidden="false" customHeight="false" outlineLevel="0" collapsed="false">
      <c r="A7031" s="1" t="s">
        <v>472</v>
      </c>
      <c r="B7031" s="8" t="s">
        <v>73</v>
      </c>
      <c r="C7031" s="38" t="n">
        <f aca="false">Sens!$C$6947</f>
        <v>387.497</v>
      </c>
      <c r="D7031" s="38" t="n">
        <f aca="false">Sens!$D$6947</f>
        <v>426.305</v>
      </c>
      <c r="E7031" s="38" t="n">
        <f aca="false">Sens!$E$6947</f>
        <v>220.32</v>
      </c>
      <c r="F7031" s="38" t="n">
        <f aca="false">Sens!$F$6947</f>
        <v>256.304015003807</v>
      </c>
      <c r="G7031" s="38" t="n">
        <f aca="false">Sens!$G$6947</f>
        <v>476.624015003807</v>
      </c>
      <c r="H7031" s="38" t="n">
        <f aca="false">Sens!$H$6947</f>
        <v>527.734391091543</v>
      </c>
      <c r="I7031" s="38" t="n">
        <f aca="false">Sens!$I$6947</f>
        <v>577.157693029577</v>
      </c>
      <c r="J7031" s="38" t="n">
        <f aca="false">Sens!$J$6947</f>
        <v>623.024923663827</v>
      </c>
      <c r="K7031" s="38" t="n">
        <f aca="false">Sens!$K$6947</f>
        <v>663.382568393781</v>
      </c>
      <c r="L7031" s="38" t="n">
        <f aca="false">Sens!$L$6947</f>
        <v>706.564873010432</v>
      </c>
      <c r="M7031" s="38" t="n">
        <f aca="false">Sens!$M$6947</f>
        <v>752.784687406019</v>
      </c>
      <c r="N7031" s="38" t="n">
        <f aca="false">Sens!$N$6947</f>
        <v>192.955</v>
      </c>
      <c r="O7031" s="38" t="n">
        <f aca="false">Sens!$O$6947</f>
        <v>233.35</v>
      </c>
    </row>
    <row r="7032" customFormat="false" ht="15" hidden="false" customHeight="false" outlineLevel="0" collapsed="false">
      <c r="A7032" s="1" t="s">
        <v>475</v>
      </c>
      <c r="B7032" s="8" t="s">
        <v>73</v>
      </c>
      <c r="C7032" s="38" t="n">
        <f aca="false">Sens!$C$6948</f>
        <v>142.906</v>
      </c>
      <c r="D7032" s="38" t="n">
        <f aca="false">Sens!$D$6948</f>
        <v>161.894</v>
      </c>
      <c r="E7032" s="38" t="n">
        <f aca="false">Sens!$E$6948</f>
        <v>81.986</v>
      </c>
      <c r="F7032" s="38" t="n">
        <f aca="false">Sens!$F$6948</f>
        <v>100.632414204623</v>
      </c>
      <c r="G7032" s="38" t="n">
        <f aca="false">Sens!$G$6948</f>
        <v>182.618414204623</v>
      </c>
      <c r="H7032" s="38" t="n">
        <f aca="false">Sens!$H$6948</f>
        <v>202.201346530158</v>
      </c>
      <c r="I7032" s="38" t="n">
        <f aca="false">Sens!$I$6948</f>
        <v>221.137876668296</v>
      </c>
      <c r="J7032" s="38" t="n">
        <f aca="false">Sens!$J$6948</f>
        <v>238.711898661958</v>
      </c>
      <c r="K7032" s="38" t="n">
        <f aca="false">Sens!$K$6948</f>
        <v>254.174923708144</v>
      </c>
      <c r="L7032" s="38" t="n">
        <f aca="false">Sens!$L$6948</f>
        <v>270.720216732733</v>
      </c>
      <c r="M7032" s="38" t="n">
        <f aca="false">Sens!$M$6948</f>
        <v>288.429331137484</v>
      </c>
      <c r="N7032" s="38" t="n">
        <f aca="false">Sens!$N$6948</f>
        <v>70.274</v>
      </c>
      <c r="O7032" s="38" t="n">
        <f aca="false">Sens!$O$6948</f>
        <v>91.62</v>
      </c>
    </row>
    <row r="7033" customFormat="false" ht="15" hidden="false" customHeight="false" outlineLevel="0" collapsed="false">
      <c r="A7033" s="1" t="s">
        <v>476</v>
      </c>
      <c r="B7033" s="8" t="s">
        <v>73</v>
      </c>
      <c r="C7033" s="38" t="n">
        <f aca="false">Sens!$C$7011</f>
        <v>107.556</v>
      </c>
      <c r="D7033" s="38" t="n">
        <f aca="false">Sens!$D$7011</f>
        <v>128.725</v>
      </c>
      <c r="E7033" s="38" t="n">
        <f aca="false">Sens!$E$7011</f>
        <v>79.819</v>
      </c>
      <c r="F7033" s="38" t="n">
        <f aca="false">Sens!$F$7011</f>
        <v>93.5584440633857</v>
      </c>
      <c r="G7033" s="38" t="n">
        <f aca="false">Sens!$G$7011</f>
        <v>173.377444063386</v>
      </c>
      <c r="H7033" s="38" t="n">
        <f aca="false">Sens!$H$7011</f>
        <v>241.059451517916</v>
      </c>
      <c r="I7033" s="38" t="n">
        <f aca="false">Sens!$I$7011</f>
        <v>312.152096351442</v>
      </c>
      <c r="J7033" s="38" t="n">
        <f aca="false">Sens!$J$7011</f>
        <v>379.424316597773</v>
      </c>
      <c r="K7033" s="38" t="n">
        <f aca="false">Sens!$K$7011</f>
        <v>439.919237244402</v>
      </c>
      <c r="L7033" s="38" t="n">
        <f aca="false">Sens!$L$7011</f>
        <v>501.954974491517</v>
      </c>
      <c r="M7033" s="38" t="n">
        <f aca="false">Sens!$M$7011</f>
        <v>565.639704466895</v>
      </c>
      <c r="N7033" s="38" t="n">
        <f aca="false">Sens!$N$7011</f>
        <v>60.14</v>
      </c>
      <c r="O7033" s="38" t="n">
        <f aca="false">Sens!$O$7011</f>
        <v>68.585</v>
      </c>
    </row>
    <row r="7034" customFormat="false" ht="17.15" hidden="false" customHeight="false" outlineLevel="0" collapsed="false">
      <c r="A7034" s="0" t="s">
        <v>644</v>
      </c>
      <c r="B7034" s="0" t="s">
        <v>73</v>
      </c>
      <c r="C7034" s="38" t="n">
        <f aca="false">Sens!$C$7009</f>
        <v>2.32100535697364</v>
      </c>
      <c r="D7034" s="38" t="n">
        <f aca="false">Sens!$D$7009</f>
        <v>8.70377008865116</v>
      </c>
      <c r="E7034" s="38" t="n">
        <f aca="false">Sens!$E$7009</f>
        <v>8.51035297557002</v>
      </c>
      <c r="F7034" s="38" t="n">
        <f aca="false">Sens!$F$7009</f>
        <v>14.9634336447205</v>
      </c>
      <c r="G7034" s="38" t="n">
        <f aca="false">Sens!$G$7009</f>
        <v>23.4737866202905</v>
      </c>
      <c r="H7034" s="38" t="n">
        <f aca="false">Sens!$H$7009</f>
        <v>60.1658907497746</v>
      </c>
      <c r="I7034" s="38" t="n">
        <f aca="false">Sens!$I$7009</f>
        <v>101.503699136432</v>
      </c>
      <c r="J7034" s="38" t="n">
        <f aca="false">Sens!$J$7009</f>
        <v>143.025407151278</v>
      </c>
      <c r="K7034" s="38" t="n">
        <f aca="false">Sens!$K$7009</f>
        <v>184.608415042187</v>
      </c>
      <c r="L7034" s="38" t="n">
        <f aca="false">Sens!$L$7009</f>
        <v>226.219286513125</v>
      </c>
      <c r="M7034" s="38" t="n">
        <f aca="false">Sens!$M$7009</f>
        <v>267.845161450232</v>
      </c>
      <c r="N7034" s="38" t="n">
        <f aca="false">Sens!$N$7009</f>
        <v>3.04631953102791</v>
      </c>
      <c r="O7034" s="38" t="n">
        <f aca="false">Sens!$O$7009</f>
        <v>5.65745055762326</v>
      </c>
    </row>
    <row r="7035" customFormat="false" ht="17.15" hidden="false" customHeight="false" outlineLevel="0" collapsed="false">
      <c r="A7035" s="0" t="s">
        <v>646</v>
      </c>
      <c r="B7035" s="0" t="s">
        <v>73</v>
      </c>
      <c r="C7035" s="38" t="n">
        <f aca="false">Sens!$C$7010</f>
        <v>105.234994643026</v>
      </c>
      <c r="D7035" s="38" t="n">
        <f aca="false">Sens!$D$7010</f>
        <v>120.021229911349</v>
      </c>
      <c r="E7035" s="38" t="n">
        <f aca="false">Sens!$E$7010</f>
        <v>71.30864702443</v>
      </c>
      <c r="F7035" s="38" t="n">
        <f aca="false">Sens!$F$7010</f>
        <v>78.5950104186653</v>
      </c>
      <c r="G7035" s="38" t="n">
        <f aca="false">Sens!$G$7010</f>
        <v>149.903657443095</v>
      </c>
      <c r="H7035" s="38" t="n">
        <f aca="false">Sens!$H$7010</f>
        <v>180.893560768142</v>
      </c>
      <c r="I7035" s="38" t="n">
        <f aca="false">Sens!$I$7010</f>
        <v>210.64839721501</v>
      </c>
      <c r="J7035" s="38" t="n">
        <f aca="false">Sens!$J$7010</f>
        <v>236.398909446495</v>
      </c>
      <c r="K7035" s="38" t="n">
        <f aca="false">Sens!$K$7010</f>
        <v>255.310822202215</v>
      </c>
      <c r="L7035" s="38" t="n">
        <f aca="false">Sens!$L$7010</f>
        <v>275.735687978392</v>
      </c>
      <c r="M7035" s="38" t="n">
        <f aca="false">Sens!$M$7010</f>
        <v>297.794543016663</v>
      </c>
      <c r="N7035" s="38" t="n">
        <f aca="false">Sens!$N$7010</f>
        <v>57.0936804689721</v>
      </c>
      <c r="O7035" s="38" t="n">
        <f aca="false">Sens!$O$7010</f>
        <v>62.9275494423768</v>
      </c>
    </row>
    <row r="7036" customFormat="false" ht="15" hidden="false" customHeight="false" outlineLevel="0" collapsed="false">
      <c r="A7036" s="3" t="s">
        <v>477</v>
      </c>
      <c r="B7036" s="8" t="s">
        <v>73</v>
      </c>
      <c r="C7036" s="38" t="n">
        <f aca="false">Sens!$C$7012</f>
        <v>637.959</v>
      </c>
      <c r="D7036" s="38" t="n">
        <f aca="false">Sens!$D$7012</f>
        <v>716.924</v>
      </c>
      <c r="E7036" s="38" t="n">
        <f aca="false">Sens!$E$7012</f>
        <v>382.125</v>
      </c>
      <c r="F7036" s="38" t="n">
        <f aca="false">Sens!$F$7012</f>
        <v>450.494873271816</v>
      </c>
      <c r="G7036" s="38" t="n">
        <f aca="false">Sens!$G$7012</f>
        <v>832.619873271816</v>
      </c>
      <c r="H7036" s="38" t="n">
        <f aca="false">Sens!$H$7012</f>
        <v>970.995189139617</v>
      </c>
      <c r="I7036" s="38" t="n">
        <f aca="false">Sens!$I$7012</f>
        <v>1110.44766604932</v>
      </c>
      <c r="J7036" s="38" t="n">
        <f aca="false">Sens!$J$7012</f>
        <v>1241.16113892356</v>
      </c>
      <c r="K7036" s="38" t="n">
        <f aca="false">Sens!$K$7012</f>
        <v>1357.47672934633</v>
      </c>
      <c r="L7036" s="38" t="n">
        <f aca="false">Sens!$L$7012</f>
        <v>1479.24006423468</v>
      </c>
      <c r="M7036" s="38" t="n">
        <f aca="false">Sens!$M$7012</f>
        <v>1606.8537230104</v>
      </c>
      <c r="N7036" s="38" t="n">
        <f aca="false">Sens!$N$7012</f>
        <v>323.369</v>
      </c>
      <c r="O7036" s="38" t="n">
        <f aca="false">Sens!$O$7012</f>
        <v>393.555</v>
      </c>
    </row>
    <row r="7037" customFormat="false" ht="17.15" hidden="false" customHeight="false" outlineLevel="0" collapsed="false">
      <c r="A7037" s="24" t="s">
        <v>656</v>
      </c>
      <c r="B7037" s="25" t="s">
        <v>73</v>
      </c>
      <c r="C7037" s="39" t="n">
        <f aca="false">Sens!$C$7024+Sens!$C$7025+Sens!$C$7026+Sens!$C$7027+Sens!$C$7028+Sens!$C$7029-(Sens!$C$7031+Sens!$C$7032)</f>
        <v>0</v>
      </c>
      <c r="D7037" s="39" t="n">
        <f aca="false">Sens!$D$7024+Sens!$D$7025+Sens!$D$7026+Sens!$D$7027+Sens!$D$7028+Sens!$D$7029-(Sens!$D$7031+Sens!$D$7032)</f>
        <v>0</v>
      </c>
      <c r="E7037" s="39" t="n">
        <f aca="false">Sens!$E$7024+Sens!$E$7025+Sens!$E$7026+Sens!$E$7027+Sens!$E$7028+Sens!$E$7029-(Sens!$E$7031+Sens!$E$7032)</f>
        <v>0</v>
      </c>
      <c r="F7037" s="39" t="n">
        <f aca="false">Sens!$F$7024+Sens!$F$7025+Sens!$F$7026+Sens!$F$7027+Sens!$F$7028+Sens!$F$7029-(Sens!$F$7031+Sens!$F$7032)</f>
        <v>0</v>
      </c>
      <c r="G7037" s="39" t="n">
        <f aca="false">Sens!$G$7024+Sens!$G$7025+Sens!$G$7026+Sens!$G$7027+Sens!$G$7028+Sens!$G$7029-(Sens!$G$7031+Sens!$G$7032)</f>
        <v>0</v>
      </c>
      <c r="H7037" s="39" t="n">
        <f aca="false">Sens!$H$7024+Sens!$H$7025+Sens!$H$7026+Sens!$H$7027+Sens!$H$7028+Sens!$H$7029-(Sens!$H$7031+Sens!$H$7032)</f>
        <v>0</v>
      </c>
      <c r="I7037" s="39" t="n">
        <f aca="false">Sens!$I$7024+Sens!$I$7025+Sens!$I$7026+Sens!$I$7027+Sens!$I$7028+Sens!$I$7029-(Sens!$I$7031+Sens!$I$7032)</f>
        <v>0</v>
      </c>
      <c r="J7037" s="39" t="n">
        <f aca="false">Sens!$J$7024+Sens!$J$7025+Sens!$J$7026+Sens!$J$7027+Sens!$J$7028+Sens!$J$7029-(Sens!$J$7031+Sens!$J$7032)</f>
        <v>0</v>
      </c>
      <c r="K7037" s="39" t="n">
        <f aca="false">Sens!$K$7024+Sens!$K$7025+Sens!$K$7026+Sens!$K$7027+Sens!$K$7028+Sens!$K$7029-(Sens!$K$7031+Sens!$K$7032)</f>
        <v>0</v>
      </c>
      <c r="L7037" s="39" t="n">
        <f aca="false">Sens!$L$7024+Sens!$L$7025+Sens!$L$7026+Sens!$L$7027+Sens!$L$7028+Sens!$L$7029-(Sens!$L$7031+Sens!$L$7032)</f>
        <v>0</v>
      </c>
      <c r="M7037" s="39" t="n">
        <f aca="false">Sens!$M$7024+Sens!$M$7025+Sens!$M$7026+Sens!$M$7027+Sens!$M$7028+Sens!$M$7029-(Sens!$M$7031+Sens!$M$7032)</f>
        <v>0</v>
      </c>
      <c r="N7037" s="39" t="n">
        <f aca="false">Sens!$N$7024+Sens!$N$7025+Sens!$N$7026+Sens!$N$7027+Sens!$N$7028+Sens!$N$7029-(Sens!$N$7031+Sens!$N$7032)</f>
        <v>0</v>
      </c>
      <c r="O7037" s="39" t="n">
        <f aca="false">Sens!$O$7024+Sens!$O$7025+Sens!$O$7026+Sens!$O$7027+Sens!$O$7028+Sens!$O$7029-(Sens!$O$7031+Sens!$O$7032)</f>
        <v>0</v>
      </c>
    </row>
    <row r="7038" customFormat="false" ht="17.15" hidden="false" customHeight="false" outlineLevel="0" collapsed="false">
      <c r="A7038" s="24" t="s">
        <v>657</v>
      </c>
      <c r="B7038" s="25" t="s">
        <v>73</v>
      </c>
      <c r="C7038" s="39" t="n">
        <f aca="false">Sens!$C$7034+Sens!$C$7035-Sens!$C$7033</f>
        <v>0</v>
      </c>
      <c r="D7038" s="39" t="n">
        <f aca="false">Sens!$D$7034+Sens!$D$7035-Sens!$D$7033</f>
        <v>0</v>
      </c>
      <c r="E7038" s="39" t="n">
        <f aca="false">Sens!$E$7034+Sens!$E$7035-Sens!$E$7033</f>
        <v>0</v>
      </c>
      <c r="F7038" s="39" t="n">
        <f aca="false">Sens!$F$7034+Sens!$F$7035-Sens!$F$7033</f>
        <v>0</v>
      </c>
      <c r="G7038" s="39" t="n">
        <f aca="false">Sens!$G$7034+Sens!$G$7035-Sens!$G$7033</f>
        <v>0</v>
      </c>
      <c r="H7038" s="39" t="n">
        <f aca="false">Sens!$H$7034+Sens!$H$7035-Sens!$H$7033</f>
        <v>0</v>
      </c>
      <c r="I7038" s="39" t="n">
        <f aca="false">Sens!$I$7034+Sens!$I$7035-Sens!$I$7033</f>
        <v>0</v>
      </c>
      <c r="J7038" s="39" t="n">
        <f aca="false">Sens!$J$7034+Sens!$J$7035-Sens!$J$7033</f>
        <v>0</v>
      </c>
      <c r="K7038" s="39" t="n">
        <f aca="false">Sens!$K$7034+Sens!$K$7035-Sens!$K$7033</f>
        <v>0</v>
      </c>
      <c r="L7038" s="39" t="n">
        <f aca="false">Sens!$L$7034+Sens!$L$7035-Sens!$L$7033</f>
        <v>0</v>
      </c>
      <c r="M7038" s="39" t="n">
        <f aca="false">Sens!$M$7034+Sens!$M$7035-Sens!$M$7033</f>
        <v>0</v>
      </c>
      <c r="N7038" s="39" t="n">
        <f aca="false">Sens!$N$7034+Sens!$N$7035-Sens!$N$7033</f>
        <v>0</v>
      </c>
      <c r="O7038" s="39" t="n">
        <f aca="false">Sens!$O$7034+Sens!$O$7035-Sens!$O$7033</f>
        <v>0</v>
      </c>
    </row>
    <row r="7039" customFormat="false" ht="17.15" hidden="false" customHeight="false" outlineLevel="0" collapsed="false">
      <c r="A7039" s="24" t="s">
        <v>711</v>
      </c>
      <c r="B7039" s="25" t="s">
        <v>73</v>
      </c>
      <c r="C7039" s="39" t="n">
        <f aca="false">Sens!$C$7024+Sens!$C$7025+Sens!$C$7026+Sens!$C$7027+Sens!$C$7028+Sens!$C$7029+Sens!$C$7030-Sens!$C$7036</f>
        <v>0</v>
      </c>
      <c r="D7039" s="39" t="n">
        <f aca="false">Sens!$D$7024+Sens!$D$7025+Sens!$D$7026+Sens!$D$7027+Sens!$D$7028+Sens!$D$7029+Sens!$D$7030-Sens!$D$7036</f>
        <v>0</v>
      </c>
      <c r="E7039" s="39" t="n">
        <f aca="false">Sens!$E$7024+Sens!$E$7025+Sens!$E$7026+Sens!$E$7027+Sens!$E$7028+Sens!$E$7029+Sens!$E$7030-Sens!$E$7036</f>
        <v>0</v>
      </c>
      <c r="F7039" s="39" t="n">
        <f aca="false">Sens!$F$7024+Sens!$F$7025+Sens!$F$7026+Sens!$F$7027+Sens!$F$7028+Sens!$F$7029+Sens!$F$7030-Sens!$F$7036</f>
        <v>0</v>
      </c>
      <c r="G7039" s="39" t="n">
        <f aca="false">Sens!$G$7024+Sens!$G$7025+Sens!$G$7026+Sens!$G$7027+Sens!$G$7028+Sens!$G$7029+Sens!$G$7030-Sens!$G$7036</f>
        <v>0</v>
      </c>
      <c r="H7039" s="39" t="n">
        <f aca="false">Sens!$H$7024+Sens!$H$7025+Sens!$H$7026+Sens!$H$7027+Sens!$H$7028+Sens!$H$7029+Sens!$H$7030-Sens!$H$7036</f>
        <v>0</v>
      </c>
      <c r="I7039" s="39" t="n">
        <f aca="false">Sens!$I$7024+Sens!$I$7025+Sens!$I$7026+Sens!$I$7027+Sens!$I$7028+Sens!$I$7029+Sens!$I$7030-Sens!$I$7036</f>
        <v>0</v>
      </c>
      <c r="J7039" s="39" t="n">
        <f aca="false">Sens!$J$7024+Sens!$J$7025+Sens!$J$7026+Sens!$J$7027+Sens!$J$7028+Sens!$J$7029+Sens!$J$7030-Sens!$J$7036</f>
        <v>0</v>
      </c>
      <c r="K7039" s="39" t="n">
        <f aca="false">Sens!$K$7024+Sens!$K$7025+Sens!$K$7026+Sens!$K$7027+Sens!$K$7028+Sens!$K$7029+Sens!$K$7030-Sens!$K$7036</f>
        <v>0</v>
      </c>
      <c r="L7039" s="39" t="n">
        <f aca="false">Sens!$L$7024+Sens!$L$7025+Sens!$L$7026+Sens!$L$7027+Sens!$L$7028+Sens!$L$7029+Sens!$L$7030-Sens!$L$7036</f>
        <v>0</v>
      </c>
      <c r="M7039" s="39" t="n">
        <f aca="false">Sens!$M$7024+Sens!$M$7025+Sens!$M$7026+Sens!$M$7027+Sens!$M$7028+Sens!$M$7029+Sens!$M$7030-Sens!$M$7036</f>
        <v>0</v>
      </c>
      <c r="N7039" s="39" t="n">
        <f aca="false">Sens!$N$7024+Sens!$N$7025+Sens!$N$7026+Sens!$N$7027+Sens!$N$7028+Sens!$N$7029+Sens!$N$7030-Sens!$N$7036</f>
        <v>0</v>
      </c>
      <c r="O7039" s="39" t="n">
        <f aca="false">Sens!$O$7024+Sens!$O$7025+Sens!$O$7026+Sens!$O$7027+Sens!$O$7028+Sens!$O$7029+Sens!$O$7030-Sens!$O$7036</f>
        <v>0</v>
      </c>
    </row>
    <row r="7040" customFormat="false" ht="17.15" hidden="false" customHeight="false" outlineLevel="0" collapsed="false">
      <c r="A7040" s="24" t="s">
        <v>658</v>
      </c>
      <c r="B7040" s="25" t="s">
        <v>73</v>
      </c>
      <c r="C7040" s="39" t="n">
        <f aca="false">Sens!$C$7031+Sens!$C$7032+Sens!$C$7033-Sens!$C$7036</f>
        <v>0</v>
      </c>
      <c r="D7040" s="39" t="n">
        <f aca="false">Sens!$D$7031+Sens!$D$7032+Sens!$D$7033-Sens!$D$7036</f>
        <v>0</v>
      </c>
      <c r="E7040" s="39" t="n">
        <f aca="false">Sens!$E$7031+Sens!$E$7032+Sens!$E$7033-Sens!$E$7036</f>
        <v>0</v>
      </c>
      <c r="F7040" s="39" t="n">
        <f aca="false">Sens!$F$7031+Sens!$F$7032+Sens!$F$7033-Sens!$F$7036</f>
        <v>0</v>
      </c>
      <c r="G7040" s="39" t="n">
        <f aca="false">Sens!$G$7031+Sens!$G$7032+Sens!$G$7033-Sens!$G$7036</f>
        <v>0</v>
      </c>
      <c r="H7040" s="39" t="n">
        <f aca="false">Sens!$H$7031+Sens!$H$7032+Sens!$H$7033-Sens!$H$7036</f>
        <v>0</v>
      </c>
      <c r="I7040" s="39" t="n">
        <f aca="false">Sens!$I$7031+Sens!$I$7032+Sens!$I$7033-Sens!$I$7036</f>
        <v>0</v>
      </c>
      <c r="J7040" s="39" t="n">
        <f aca="false">Sens!$J$7031+Sens!$J$7032+Sens!$J$7033-Sens!$J$7036</f>
        <v>0</v>
      </c>
      <c r="K7040" s="39" t="n">
        <f aca="false">Sens!$K$7031+Sens!$K$7032+Sens!$K$7033-Sens!$K$7036</f>
        <v>0</v>
      </c>
      <c r="L7040" s="39" t="n">
        <f aca="false">Sens!$L$7031+Sens!$L$7032+Sens!$L$7033-Sens!$L$7036</f>
        <v>0</v>
      </c>
      <c r="M7040" s="39" t="n">
        <f aca="false">Sens!$M$7031+Sens!$M$7032+Sens!$M$7033-Sens!$M$7036</f>
        <v>0</v>
      </c>
      <c r="N7040" s="39" t="n">
        <f aca="false">Sens!$N$7031+Sens!$N$7032+Sens!$N$7033-Sens!$N$7036</f>
        <v>0</v>
      </c>
      <c r="O7040" s="39" t="n">
        <f aca="false">Sens!$O$7031+Sens!$O$7032+Sens!$O$7033-Sens!$O$7036</f>
        <v>0</v>
      </c>
    </row>
    <row r="7041" customFormat="false" ht="17.15" hidden="false" customHeight="false" outlineLevel="0" collapsed="false">
      <c r="A7041" s="1" t="s">
        <v>672</v>
      </c>
    </row>
    <row r="7042" customFormat="false" ht="17.15" hidden="false" customHeight="false" outlineLevel="0" collapsed="false">
      <c r="A7042" s="0" t="s">
        <v>673</v>
      </c>
      <c r="B7042" s="0" t="s">
        <v>73</v>
      </c>
      <c r="C7042" s="38" t="n">
        <f aca="false">Sens!$C$6949*m_ad</f>
        <v>20.5341564414228</v>
      </c>
      <c r="D7042" s="38" t="n">
        <f aca="false">Sens!$D$6949*m_ad</f>
        <v>24.8720617299587</v>
      </c>
      <c r="E7042" s="38" t="n">
        <f aca="false">Sens!$E$6949*m_ad</f>
        <v>13.5017112462207</v>
      </c>
      <c r="F7042" s="38" t="n">
        <f aca="false">Sens!$F$6949*m_ad</f>
        <v>17.2886442824599</v>
      </c>
      <c r="G7042" s="38" t="n">
        <f aca="false">Sens!$G$6949*m_ad</f>
        <v>30.8011958765886</v>
      </c>
      <c r="H7042" s="38" t="n">
        <f aca="false">Sens!$H$6949*m_ad</f>
        <v>36.978409366026</v>
      </c>
      <c r="I7042" s="38" t="n">
        <f aca="false">Sens!$I$6949*m_ad</f>
        <v>43.155063281273</v>
      </c>
      <c r="J7042" s="38" t="n">
        <f aca="false">Sens!$J$6949*m_ad</f>
        <v>48.9169991988532</v>
      </c>
      <c r="K7042" s="38" t="n">
        <f aca="false">Sens!$K$6949*m_ad</f>
        <v>53.8086991187386</v>
      </c>
      <c r="L7042" s="38" t="n">
        <f aca="false">Sens!$L$6949*m_ad</f>
        <v>59.1895690306124</v>
      </c>
      <c r="M7042" s="38" t="n">
        <f aca="false">Sens!$M$6949*m_ad</f>
        <v>65.1085259336737</v>
      </c>
      <c r="N7042" s="38" t="n">
        <f aca="false">Sens!$N$6949*m_ad</f>
        <v>10.8543555706248</v>
      </c>
      <c r="O7042" s="38" t="n">
        <f aca="false">Sens!$O$6949*m_ad</f>
        <v>14.0094731821399</v>
      </c>
    </row>
    <row r="7043" customFormat="false" ht="17.15" hidden="false" customHeight="false" outlineLevel="0" collapsed="false">
      <c r="A7043" s="0" t="s">
        <v>674</v>
      </c>
      <c r="B7043" s="0" t="s">
        <v>73</v>
      </c>
      <c r="C7043" s="38" t="n">
        <f aca="false">Sens!$C$6947-Sens!$C$6949</f>
        <v>346.428687117154</v>
      </c>
      <c r="D7043" s="38" t="n">
        <f aca="false">Sens!$D$6947-Sens!$D$6949</f>
        <v>376.560876540083</v>
      </c>
      <c r="E7043" s="38" t="n">
        <f aca="false">Sens!$E$6947-Sens!$E$6949</f>
        <v>193.316577507559</v>
      </c>
      <c r="F7043" s="38" t="n">
        <f aca="false">Sens!$F$6947-Sens!$F$6949</f>
        <v>221.726726438887</v>
      </c>
      <c r="G7043" s="38" t="n">
        <f aca="false">Sens!$G$6947-Sens!$G$6949</f>
        <v>415.02162325063</v>
      </c>
      <c r="H7043" s="38" t="n">
        <f aca="false">Sens!$H$6947-Sens!$H$6949</f>
        <v>453.777572359491</v>
      </c>
      <c r="I7043" s="38" t="n">
        <f aca="false">Sens!$I$6947-Sens!$I$6949</f>
        <v>490.847566467031</v>
      </c>
      <c r="J7043" s="38" t="n">
        <f aca="false">Sens!$J$6947-Sens!$J$6949</f>
        <v>525.190925266121</v>
      </c>
      <c r="K7043" s="38" t="n">
        <f aca="false">Sens!$K$6947-Sens!$K$6949</f>
        <v>555.765170156304</v>
      </c>
      <c r="L7043" s="38" t="n">
        <f aca="false">Sens!$L$6947-Sens!$L$6949</f>
        <v>588.185734949207</v>
      </c>
      <c r="M7043" s="38" t="n">
        <f aca="false">Sens!$M$6947-Sens!$M$6949</f>
        <v>622.567635538672</v>
      </c>
      <c r="N7043" s="38" t="n">
        <f aca="false">Sens!$N$6947-Sens!$N$6949</f>
        <v>171.24628885875</v>
      </c>
      <c r="O7043" s="38" t="n">
        <f aca="false">Sens!$O$6947-Sens!$O$6949</f>
        <v>205.33105363572</v>
      </c>
    </row>
    <row r="7044" customFormat="false" ht="17.15" hidden="false" customHeight="false" outlineLevel="0" collapsed="false">
      <c r="A7044" s="0" t="s">
        <v>675</v>
      </c>
      <c r="B7044" s="0" t="s">
        <v>73</v>
      </c>
      <c r="C7044" s="38" t="n">
        <f aca="false">Sens!$C$6995*Sens!$C$6946</f>
        <v>0.123617442257179</v>
      </c>
      <c r="D7044" s="38" t="n">
        <f aca="false">Sens!$D$6995*Sens!$D$6946</f>
        <v>0.874366899302609</v>
      </c>
      <c r="E7044" s="38" t="n">
        <f aca="false">Sens!$E$6995*Sens!$E$6946</f>
        <v>1.29318830502574</v>
      </c>
      <c r="F7044" s="38" t="n">
        <f aca="false">Sens!$F$6995*Sens!$F$6946</f>
        <v>1.51802024162534</v>
      </c>
      <c r="G7044" s="38" t="n">
        <f aca="false">Sens!$G$6995*Sens!$G$6946</f>
        <v>2.81130189308167</v>
      </c>
      <c r="H7044" s="38" t="n">
        <f aca="false">Sens!$H$6995*Sens!$H$6946</f>
        <v>7.38966789318209</v>
      </c>
      <c r="I7044" s="38" t="n">
        <f aca="false">Sens!$I$6995*Sens!$I$6946</f>
        <v>12.8987443661473</v>
      </c>
      <c r="J7044" s="38" t="n">
        <f aca="false">Sens!$J$6995*Sens!$J$6946</f>
        <v>18.5570025453645</v>
      </c>
      <c r="K7044" s="38" t="n">
        <f aca="false">Sens!$K$6995*Sens!$K$6946</f>
        <v>24.3158972773405</v>
      </c>
      <c r="L7044" s="38" t="n">
        <f aca="false">Sens!$L$6995*Sens!$L$6946</f>
        <v>29.7827375558674</v>
      </c>
      <c r="M7044" s="38" t="n">
        <f aca="false">Sens!$M$6995*Sens!$M$6946</f>
        <v>35.3532344973194</v>
      </c>
      <c r="N7044" s="38" t="n">
        <f aca="false">Sens!$N$6995*Sens!$N$6946</f>
        <v>0.389180508437431</v>
      </c>
      <c r="O7044" s="38" t="n">
        <f aca="false">Sens!$O$6995*Sens!$O$6946</f>
        <v>0.485052120082802</v>
      </c>
    </row>
    <row r="7045" customFormat="false" ht="17.15" hidden="false" customHeight="false" outlineLevel="0" collapsed="false">
      <c r="A7045" s="0" t="s">
        <v>676</v>
      </c>
      <c r="B7045" s="0" t="s">
        <v>52</v>
      </c>
      <c r="C7045" s="28" t="n">
        <f aca="false">(Sens!$C$7046-Sens!$C$7042+Sens!$C$7044)/Sens!$C$7043</f>
        <v>0.0131526665379575</v>
      </c>
      <c r="D7045" s="28" t="n">
        <f aca="false">(Sens!$D$7046-Sens!$D$7042+Sens!$D$7044)/Sens!$D$7043</f>
        <v>0.0149280116962589</v>
      </c>
      <c r="E7045" s="28" t="n">
        <f aca="false">(Sens!$E$7046-Sens!$E$7042+Sens!$E$7044)/Sens!$E$7043</f>
        <v>0.0268030663774938</v>
      </c>
      <c r="F7045" s="28" t="n">
        <f aca="false">Sens!$O$7045+(Sens!$E$7045-Sens!$N$7045)</f>
        <v>0.0232379346966962</v>
      </c>
      <c r="G7045" s="28" t="n">
        <f aca="false">(Sens!$G$7046-Sens!$G$7042+Sens!$G$7044)/Sens!$G$7043</f>
        <v>0.0248738876928168</v>
      </c>
      <c r="H7045" s="28" t="n">
        <f aca="false">Sens!$G$7045+step_na</f>
        <v>0.0278738876928168</v>
      </c>
      <c r="I7045" s="28" t="n">
        <f aca="false">Sens!$H$7045+step_na</f>
        <v>0.0308738876928168</v>
      </c>
      <c r="J7045" s="28" t="n">
        <f aca="false">Sens!$I$7045+step_na</f>
        <v>0.0338738876928168</v>
      </c>
      <c r="K7045" s="28" t="n">
        <f aca="false">Sens!$J$7045+step_na</f>
        <v>0.0368738876928168</v>
      </c>
      <c r="L7045" s="28" t="n">
        <f aca="false">Sens!$K$7045</f>
        <v>0.0368738876928168</v>
      </c>
      <c r="M7045" s="28" t="n">
        <f aca="false">Sens!$L$7045</f>
        <v>0.0368738876928168</v>
      </c>
      <c r="N7045" s="28" t="n">
        <f aca="false">(Sens!$N$7046-Sens!$N$7042+Sens!$N$7044)/Sens!$N$7043</f>
        <v>0.0168927744775755</v>
      </c>
      <c r="O7045" s="28" t="n">
        <f aca="false">(Sens!$O$7046-Sens!$O$7042+Sens!$O$7044)/Sens!$O$7043</f>
        <v>0.0133276427967779</v>
      </c>
      <c r="P7045" s="8" t="s">
        <v>677</v>
      </c>
    </row>
    <row r="7046" customFormat="false" ht="17.15" hidden="false" customHeight="false" outlineLevel="0" collapsed="false">
      <c r="A7046" s="1" t="s">
        <v>678</v>
      </c>
      <c r="B7046" s="8" t="s">
        <v>73</v>
      </c>
      <c r="C7046" s="38" t="n">
        <f aca="false">Q!$D$22</f>
        <v>24.967</v>
      </c>
      <c r="D7046" s="38" t="n">
        <f aca="false">Q!$E$22</f>
        <v>29.619</v>
      </c>
      <c r="E7046" s="38" t="n">
        <f aca="false">Q!$P$22</f>
        <v>17.39</v>
      </c>
      <c r="F7046" s="38" t="n">
        <f aca="false">Sens!$F$7042+Sens!$F$7043*Sens!$F$7045-Sens!$F$7044</f>
        <v>20.9230952303336</v>
      </c>
      <c r="G7046" s="38" t="n">
        <f aca="false">Sens!$E$7046+Sens!$F$7046</f>
        <v>38.3130952303336</v>
      </c>
      <c r="H7046" s="38" t="n">
        <f aca="false">Sens!$H$7042+Sens!$H$7043*Sens!$H$7045-Sens!$H$7044</f>
        <v>42.2372865623114</v>
      </c>
      <c r="I7046" s="38" t="n">
        <f aca="false">Sens!$I$7042+Sens!$I$7043*Sens!$I$7045-Sens!$I$7044</f>
        <v>45.4106915565213</v>
      </c>
      <c r="J7046" s="38" t="n">
        <f aca="false">Sens!$J$7042+Sens!$J$7043*Sens!$J$7045-Sens!$J$7044</f>
        <v>48.1502550732398</v>
      </c>
      <c r="K7046" s="38" t="n">
        <f aca="false">Sens!$K$7042+Sens!$K$7043*Sens!$K$7045-Sens!$K$7044</f>
        <v>49.9860243093208</v>
      </c>
      <c r="L7046" s="38" t="n">
        <f aca="false">Sens!$L$7042+Sens!$L$7043*Sens!$L$7045-Sens!$L$7044</f>
        <v>51.095526207779</v>
      </c>
      <c r="M7046" s="38" t="n">
        <f aca="false">Sens!$M$7042+Sens!$M$7043*Sens!$M$7045-Sens!$M$7044</f>
        <v>52.7117805103898</v>
      </c>
      <c r="N7046" s="38" t="n">
        <f aca="false">Q!$N$22</f>
        <v>13.358</v>
      </c>
      <c r="O7046" s="38" t="n">
        <f aca="false">Q!$O$22</f>
        <v>16.261</v>
      </c>
    </row>
    <row r="7047" customFormat="false" ht="17.15" hidden="false" customHeight="false" outlineLevel="0" collapsed="false">
      <c r="A7047" s="0" t="s">
        <v>679</v>
      </c>
      <c r="B7047" s="0" t="s">
        <v>73</v>
      </c>
      <c r="C7047" s="38" t="n">
        <f aca="false">Sens!$C$6950*m_ad</f>
        <v>7.57284355857716</v>
      </c>
      <c r="D7047" s="38" t="n">
        <f aca="false">Sens!$D$6950*m_ad</f>
        <v>9.44543827004127</v>
      </c>
      <c r="E7047" s="38" t="n">
        <f aca="false">Sens!$E$6950*m_ad</f>
        <v>5.02428875377928</v>
      </c>
      <c r="F7047" s="38" t="n">
        <f aca="false">Sens!$F$6950*m_ad</f>
        <v>6.78802480890925</v>
      </c>
      <c r="G7047" s="38" t="n">
        <f aca="false">Sens!$G$6950*m_ad</f>
        <v>11.8014732147805</v>
      </c>
      <c r="H7047" s="38" t="n">
        <f aca="false">Sens!$H$6950*m_ad</f>
        <v>14.1682715634442</v>
      </c>
      <c r="I7047" s="38" t="n">
        <f aca="false">Sens!$I$6950*m_ad</f>
        <v>16.5348555113474</v>
      </c>
      <c r="J7047" s="38" t="n">
        <f aca="false">Sens!$J$6950*m_ad</f>
        <v>18.7425403255689</v>
      </c>
      <c r="K7047" s="38" t="n">
        <f aca="false">Sens!$K$6950*m_ad</f>
        <v>20.6167943581258</v>
      </c>
      <c r="L7047" s="38" t="n">
        <f aca="false">Sens!$L$6950*m_ad</f>
        <v>22.6784737939383</v>
      </c>
      <c r="M7047" s="38" t="n">
        <f aca="false">Sens!$M$6950*m_ad</f>
        <v>24.9463211733322</v>
      </c>
      <c r="N7047" s="38" t="n">
        <f aca="false">Sens!$N$6950*m_ad</f>
        <v>3.95314442937518</v>
      </c>
      <c r="O7047" s="38" t="n">
        <f aca="false">Sens!$O$6950*m_ad</f>
        <v>5.50052681786011</v>
      </c>
    </row>
    <row r="7048" customFormat="false" ht="17.15" hidden="false" customHeight="false" outlineLevel="0" collapsed="false">
      <c r="A7048" s="0" t="s">
        <v>680</v>
      </c>
      <c r="B7048" s="0" t="s">
        <v>73</v>
      </c>
      <c r="C7048" s="38" t="n">
        <f aca="false">Sens!$C$6948-Sens!$C$6950</f>
        <v>127.760312882846</v>
      </c>
      <c r="D7048" s="38" t="n">
        <f aca="false">Sens!$D$6948-Sens!$D$6950</f>
        <v>143.003123459917</v>
      </c>
      <c r="E7048" s="38" t="n">
        <f aca="false">Sens!$E$6948-Sens!$E$6950</f>
        <v>71.9374224924414</v>
      </c>
      <c r="F7048" s="38" t="n">
        <f aca="false">Sens!$F$6948-Sens!$F$6950</f>
        <v>87.0563645868046</v>
      </c>
      <c r="G7048" s="38" t="n">
        <f aca="false">Sens!$G$6948-Sens!$G$6950</f>
        <v>159.015467775062</v>
      </c>
      <c r="H7048" s="38" t="n">
        <f aca="false">Sens!$H$6948-Sens!$H$6950</f>
        <v>173.864803403269</v>
      </c>
      <c r="I7048" s="38" t="n">
        <f aca="false">Sens!$I$6948-Sens!$I$6950</f>
        <v>188.068165645601</v>
      </c>
      <c r="J7048" s="38" t="n">
        <f aca="false">Sens!$J$6948-Sens!$J$6950</f>
        <v>201.22681801082</v>
      </c>
      <c r="K7048" s="38" t="n">
        <f aca="false">Sens!$K$6948-Sens!$K$6950</f>
        <v>212.941334991893</v>
      </c>
      <c r="L7048" s="38" t="n">
        <f aca="false">Sens!$L$6948-Sens!$L$6950</f>
        <v>225.363269144856</v>
      </c>
      <c r="M7048" s="38" t="n">
        <f aca="false">Sens!$M$6948-Sens!$M$6950</f>
        <v>238.536688790819</v>
      </c>
      <c r="N7048" s="38" t="n">
        <f aca="false">Sens!$N$6948-Sens!$N$6950</f>
        <v>62.3677111412496</v>
      </c>
      <c r="O7048" s="38" t="n">
        <f aca="false">Sens!$O$6948-Sens!$O$6950</f>
        <v>80.6189463642798</v>
      </c>
    </row>
    <row r="7049" customFormat="false" ht="17.15" hidden="false" customHeight="false" outlineLevel="0" collapsed="false">
      <c r="A7049" s="0" t="s">
        <v>681</v>
      </c>
      <c r="B7049" s="0" t="s">
        <v>73</v>
      </c>
      <c r="C7049" s="38" t="n">
        <f aca="false">Sens!$C$6995*(1-Sens!$C$6946)</f>
        <v>0.0455891896019953</v>
      </c>
      <c r="D7049" s="38" t="n">
        <f aca="false">Sens!$D$6995*(1-Sens!$D$6946)</f>
        <v>0.332050421167231</v>
      </c>
      <c r="E7049" s="38" t="n">
        <f aca="false">Sens!$E$6995*(1-Sens!$E$6946)</f>
        <v>0.481224293644882</v>
      </c>
      <c r="F7049" s="38" t="n">
        <f aca="false">Sens!$F$6995*(1-Sens!$F$6946)</f>
        <v>0.596018918096053</v>
      </c>
      <c r="G7049" s="38" t="n">
        <f aca="false">Sens!$G$6995*(1-Sens!$G$6946)</f>
        <v>1.07714986531035</v>
      </c>
      <c r="H7049" s="38" t="n">
        <f aca="false">Sens!$H$6995*(1-Sens!$H$6946)</f>
        <v>2.83135005721638</v>
      </c>
      <c r="I7049" s="38" t="n">
        <f aca="false">Sens!$I$6995*(1-Sens!$I$6946)</f>
        <v>4.9421518161602</v>
      </c>
      <c r="J7049" s="38" t="n">
        <f aca="false">Sens!$J$6995*(1-Sens!$J$6946)</f>
        <v>7.11011252170866</v>
      </c>
      <c r="K7049" s="38" t="n">
        <f aca="false">Sens!$K$6995*(1-Sens!$K$6946)</f>
        <v>9.31663210615807</v>
      </c>
      <c r="L7049" s="38" t="n">
        <f aca="false">Sens!$L$6995*(1-Sens!$L$6946)</f>
        <v>11.411251074039</v>
      </c>
      <c r="M7049" s="38" t="n">
        <f aca="false">Sens!$M$6995*(1-Sens!$M$6946)</f>
        <v>13.5455860755423</v>
      </c>
      <c r="N7049" s="38" t="n">
        <f aca="false">Sens!$N$6995*(1-Sens!$N$6946)</f>
        <v>0.141739115596548</v>
      </c>
      <c r="O7049" s="38" t="n">
        <f aca="false">Sens!$O$6995*(1-Sens!$O$6946)</f>
        <v>0.190445576353059</v>
      </c>
    </row>
    <row r="7050" customFormat="false" ht="17.15" hidden="false" customHeight="false" outlineLevel="0" collapsed="false">
      <c r="A7050" s="0" t="s">
        <v>682</v>
      </c>
      <c r="B7050" s="0" t="s">
        <v>52</v>
      </c>
      <c r="C7050" s="28" t="n">
        <f aca="false">(Sens!$C$7051-Sens!$C$7047+Sens!$C$7049)/Sens!$C$7048</f>
        <v>-0.0292364215826579</v>
      </c>
      <c r="D7050" s="28" t="n">
        <f aca="false">(Sens!$D$7051-Sens!$D$7047+Sens!$D$7049)/Sens!$D$7048</f>
        <v>-0.0305125352740778</v>
      </c>
      <c r="E7050" s="28" t="n">
        <f aca="false">(Sens!$E$7051-Sens!$E$7047+Sens!$E$7049)/Sens!$E$7048</f>
        <v>-0.019490056934994</v>
      </c>
      <c r="F7050" s="28" t="n">
        <f aca="false">Sens!$O$7050+(Sens!$E$7050-Sens!$N$7050)</f>
        <v>-0.0367332293992226</v>
      </c>
      <c r="G7050" s="28" t="n">
        <f aca="false">(Sens!$G$7051-Sens!$G$7047+Sens!$G$7049)/Sens!$G$7048</f>
        <v>-0.0288599526442178</v>
      </c>
      <c r="H7050" s="28" t="n">
        <f aca="false">Sens!$G$7050+step_in</f>
        <v>-0.0288599526442178</v>
      </c>
      <c r="I7050" s="28" t="n">
        <f aca="false">Sens!$H$7050+step_in</f>
        <v>-0.0288599526442178</v>
      </c>
      <c r="J7050" s="28" t="n">
        <f aca="false">Sens!$I$7050+step_in</f>
        <v>-0.0288599526442178</v>
      </c>
      <c r="K7050" s="28" t="n">
        <f aca="false">Sens!$J$7050+step_in</f>
        <v>-0.0288599526442178</v>
      </c>
      <c r="L7050" s="28" t="n">
        <f aca="false">Sens!$K$7050</f>
        <v>-0.0288599526442178</v>
      </c>
      <c r="M7050" s="28" t="n">
        <f aca="false">Sens!$L$7050</f>
        <v>-0.0288599526442178</v>
      </c>
      <c r="N7050" s="28" t="n">
        <f aca="false">(Sens!$N$7051-Sens!$N$7047+Sens!$N$7049)/Sens!$N$7048</f>
        <v>-0.02085061789158</v>
      </c>
      <c r="O7050" s="28" t="n">
        <f aca="false">(Sens!$O$7051-Sens!$O$7047+Sens!$O$7049)/Sens!$O$7048</f>
        <v>-0.0380937903558086</v>
      </c>
      <c r="P7050" s="8" t="s">
        <v>677</v>
      </c>
    </row>
    <row r="7051" customFormat="false" ht="17.15" hidden="false" customHeight="false" outlineLevel="0" collapsed="false">
      <c r="A7051" s="1" t="s">
        <v>683</v>
      </c>
      <c r="B7051" s="8" t="s">
        <v>73</v>
      </c>
      <c r="C7051" s="38" t="n">
        <f aca="false">Q!$D$23</f>
        <v>3.792</v>
      </c>
      <c r="D7051" s="38" t="n">
        <f aca="false">Q!$E$23</f>
        <v>4.75</v>
      </c>
      <c r="E7051" s="38" t="n">
        <f aca="false">Q!$P$23</f>
        <v>3.141</v>
      </c>
      <c r="F7051" s="38" t="n">
        <f aca="false">Sens!$F$7047+Sens!$F$7048*Sens!$F$7050-Sens!$F$7049</f>
        <v>2.99414447978375</v>
      </c>
      <c r="G7051" s="38" t="n">
        <f aca="false">Sens!$E$7051+Sens!$F$7051</f>
        <v>6.13514447978375</v>
      </c>
      <c r="H7051" s="38" t="n">
        <f aca="false">Sens!$H$7047+Sens!$H$7048*Sens!$H$7050-Sens!$H$7049</f>
        <v>6.31919151351322</v>
      </c>
      <c r="I7051" s="38" t="n">
        <f aca="false">Sens!$I$7047+Sens!$I$7048*Sens!$I$7050-Sens!$I$7049</f>
        <v>6.16506534077027</v>
      </c>
      <c r="J7051" s="38" t="n">
        <f aca="false">Sens!$J$7047+Sens!$J$7048*Sens!$J$7050-Sens!$J$7049</f>
        <v>5.8250313653213</v>
      </c>
      <c r="K7051" s="38" t="n">
        <f aca="false">Sens!$K$7047+Sens!$K$7048*Sens!$K$7050-Sens!$K$7049</f>
        <v>5.15468540810514</v>
      </c>
      <c r="L7051" s="38" t="n">
        <f aca="false">Sens!$L$7047+Sens!$L$7048*Sens!$L$7050-Sens!$L$7049</f>
        <v>4.76324944463266</v>
      </c>
      <c r="M7051" s="38" t="n">
        <f aca="false">Sens!$M$7047+Sens!$M$7048*Sens!$M$7050-Sens!$M$7049</f>
        <v>4.51657755537829</v>
      </c>
      <c r="N7051" s="38" t="n">
        <f aca="false">Q!$N$23</f>
        <v>2.511</v>
      </c>
      <c r="O7051" s="38" t="n">
        <f aca="false">Q!$O$23</f>
        <v>2.239</v>
      </c>
    </row>
    <row r="7052" customFormat="false" ht="17.15" hidden="false" customHeight="false" outlineLevel="0" collapsed="false">
      <c r="A7052" s="0" t="s">
        <v>684</v>
      </c>
      <c r="B7052" s="0" t="s">
        <v>73</v>
      </c>
      <c r="C7052" s="38" t="n">
        <f aca="false">Sens!$C$6992</f>
        <v>1.64417882953695</v>
      </c>
      <c r="D7052" s="38" t="n">
        <f aca="false">Sens!$D$6992</f>
        <v>3.8781008067718</v>
      </c>
      <c r="E7052" s="38" t="n">
        <f aca="false">Sens!$E$6992</f>
        <v>1.41270258088753</v>
      </c>
      <c r="F7052" s="38" t="n">
        <f aca="false">Sens!$F$6992</f>
        <v>6.50727700583486</v>
      </c>
      <c r="G7052" s="38" t="n">
        <f aca="false">Sens!$G$6992</f>
        <v>7.9199795867224</v>
      </c>
      <c r="H7052" s="38" t="n">
        <f aca="false">Sens!$H$6992</f>
        <v>19.2818189481807</v>
      </c>
      <c r="I7052" s="38" t="n">
        <f aca="false">Sens!$I$6992</f>
        <v>30.140114407202</v>
      </c>
      <c r="J7052" s="38" t="n">
        <f aca="false">Sens!$J$6992</f>
        <v>40.3569468829854</v>
      </c>
      <c r="K7052" s="38" t="n">
        <f aca="false">Sens!$K$6992</f>
        <v>50.0782975081929</v>
      </c>
      <c r="L7052" s="38" t="n">
        <f aca="false">Sens!$L$6992</f>
        <v>61.443331993499</v>
      </c>
      <c r="M7052" s="38" t="n">
        <f aca="false">Sens!$M$6992</f>
        <v>72.2498791587849</v>
      </c>
      <c r="N7052" s="38" t="n">
        <f aca="false">Sens!$N$6992</f>
        <v>0.92264103489199</v>
      </c>
      <c r="O7052" s="38" t="n">
        <f aca="false">Sens!$O$6992</f>
        <v>2.95545977187981</v>
      </c>
    </row>
    <row r="7053" customFormat="false" ht="17.15" hidden="false" customHeight="false" outlineLevel="0" collapsed="false">
      <c r="A7053" s="0" t="s">
        <v>604</v>
      </c>
      <c r="B7053" s="0" t="s">
        <v>73</v>
      </c>
      <c r="C7053" s="38" t="n">
        <f aca="false">Sens!$C$6997</f>
        <v>38.1898211704631</v>
      </c>
      <c r="D7053" s="38" t="n">
        <f aca="false">Sens!$D$6997</f>
        <v>41.7278991932282</v>
      </c>
      <c r="E7053" s="38" t="n">
        <f aca="false">Sens!$E$6997</f>
        <v>29.3692974191125</v>
      </c>
      <c r="F7053" s="38" t="n">
        <f aca="false">Sens!$F$6997</f>
        <v>29.458060516894</v>
      </c>
      <c r="G7053" s="38" t="n">
        <f aca="false">Sens!$G$6997</f>
        <v>58.8273579360065</v>
      </c>
      <c r="H7053" s="38" t="n">
        <f aca="false">Sens!$H$6997</f>
        <v>67.8004040185081</v>
      </c>
      <c r="I7053" s="38" t="n">
        <f aca="false">Sens!$I$6997</f>
        <v>78.9527630302702</v>
      </c>
      <c r="J7053" s="38" t="n">
        <f aca="false">Sens!$J$6997</f>
        <v>88.6042681781841</v>
      </c>
      <c r="K7053" s="38" t="n">
        <f aca="false">Sens!$K$6997</f>
        <v>95.6926096324389</v>
      </c>
      <c r="L7053" s="38" t="n">
        <f aca="false">Sens!$L$6997</f>
        <v>103.348018403034</v>
      </c>
      <c r="M7053" s="38" t="n">
        <f aca="false">Sens!$M$6997</f>
        <v>111.615859875277</v>
      </c>
      <c r="N7053" s="38" t="n">
        <f aca="false">Sens!$N$6997</f>
        <v>20.784358965108</v>
      </c>
      <c r="O7053" s="38" t="n">
        <f aca="false">Sens!$O$6997</f>
        <v>20.9435402281202</v>
      </c>
    </row>
    <row r="7054" customFormat="false" ht="17.15" hidden="false" customHeight="false" outlineLevel="0" collapsed="false">
      <c r="A7054" s="1" t="s">
        <v>685</v>
      </c>
      <c r="B7054" s="8" t="s">
        <v>73</v>
      </c>
      <c r="C7054" s="38" t="n">
        <f aca="false">Q!$D$24</f>
        <v>39.834</v>
      </c>
      <c r="D7054" s="38" t="n">
        <f aca="false">Q!$E$24</f>
        <v>45.606</v>
      </c>
      <c r="E7054" s="38" t="n">
        <f aca="false">Q!$P$24</f>
        <v>30.782</v>
      </c>
      <c r="F7054" s="38" t="n">
        <f aca="false">Sens!$F$7052+Sens!$F$7053</f>
        <v>35.9653375227289</v>
      </c>
      <c r="G7054" s="38" t="n">
        <f aca="false">Sens!$G$7052+Sens!$G$7053</f>
        <v>66.7473375227289</v>
      </c>
      <c r="H7054" s="38" t="n">
        <f aca="false">Sens!$H$7052+Sens!$H$7053</f>
        <v>87.0822229666888</v>
      </c>
      <c r="I7054" s="38" t="n">
        <f aca="false">Sens!$I$7052+Sens!$I$7053</f>
        <v>109.092877437472</v>
      </c>
      <c r="J7054" s="38" t="n">
        <f aca="false">Sens!$J$7052+Sens!$J$7053</f>
        <v>128.96121506117</v>
      </c>
      <c r="K7054" s="38" t="n">
        <f aca="false">Sens!$K$7052+Sens!$K$7053</f>
        <v>145.770907140632</v>
      </c>
      <c r="L7054" s="38" t="n">
        <f aca="false">Sens!$L$7052+Sens!$L$7053</f>
        <v>164.791350396533</v>
      </c>
      <c r="M7054" s="38" t="n">
        <f aca="false">Sens!$M$7052+Sens!$M$7053</f>
        <v>183.865739034062</v>
      </c>
      <c r="N7054" s="38" t="n">
        <f aca="false">Q!$N$24</f>
        <v>21.707</v>
      </c>
      <c r="O7054" s="38" t="n">
        <f aca="false">Q!$O$24</f>
        <v>23.899</v>
      </c>
    </row>
    <row r="7055" customFormat="false" ht="17.15" hidden="false" customHeight="false" outlineLevel="0" collapsed="false">
      <c r="A7055" s="5" t="s">
        <v>686</v>
      </c>
      <c r="B7055" s="0" t="s">
        <v>73</v>
      </c>
      <c r="C7055" s="38" t="n">
        <f aca="false">Q!$D$26</f>
        <v>0</v>
      </c>
      <c r="D7055" s="38" t="n">
        <f aca="false">Q!$E$26</f>
        <v>0</v>
      </c>
      <c r="E7055" s="38" t="n">
        <f aca="false">Q!$P$26</f>
        <v>0</v>
      </c>
      <c r="F7055" s="41" t="n">
        <v>0</v>
      </c>
      <c r="G7055" s="38" t="n">
        <f aca="false">Sens!$E$7055+Sens!$F$7055</f>
        <v>0</v>
      </c>
      <c r="H7055" s="41" t="n">
        <v>0</v>
      </c>
      <c r="I7055" s="41" t="n">
        <v>0</v>
      </c>
      <c r="J7055" s="41" t="n">
        <v>0</v>
      </c>
      <c r="K7055" s="41" t="n">
        <v>0</v>
      </c>
      <c r="L7055" s="41" t="n">
        <v>0</v>
      </c>
      <c r="M7055" s="41" t="n">
        <v>0</v>
      </c>
      <c r="N7055" s="38" t="n">
        <f aca="false">Q!$N$26</f>
        <v>0</v>
      </c>
      <c r="O7055" s="38" t="n">
        <f aca="false">Q!$O$26</f>
        <v>0</v>
      </c>
    </row>
    <row r="7056" customFormat="false" ht="15" hidden="false" customHeight="false" outlineLevel="0" collapsed="false">
      <c r="A7056" s="3" t="s">
        <v>494</v>
      </c>
      <c r="B7056" s="8" t="s">
        <v>73</v>
      </c>
      <c r="C7056" s="38" t="n">
        <f aca="false">Q!$D$25</f>
        <v>68.593</v>
      </c>
      <c r="D7056" s="38" t="n">
        <f aca="false">Q!$E$25</f>
        <v>79.975</v>
      </c>
      <c r="E7056" s="38" t="n">
        <f aca="false">Q!$P$25</f>
        <v>51.313</v>
      </c>
      <c r="F7056" s="38" t="n">
        <f aca="false">Sens!$F$7046+Sens!$F$7051+Sens!$F$7054+Sens!$F$7055</f>
        <v>59.8825772328462</v>
      </c>
      <c r="G7056" s="38" t="n">
        <f aca="false">Sens!$G$7046+Sens!$G$7051+Sens!$G$7054+Sens!$G$7055</f>
        <v>111.195577232846</v>
      </c>
      <c r="H7056" s="38" t="n">
        <f aca="false">Sens!$H$7046+Sens!$H$7051+Sens!$H$7054+Sens!$H$7055</f>
        <v>135.638701042513</v>
      </c>
      <c r="I7056" s="38" t="n">
        <f aca="false">Sens!$I$7046+Sens!$I$7051+Sens!$I$7054+Sens!$I$7055</f>
        <v>160.668634334764</v>
      </c>
      <c r="J7056" s="38" t="n">
        <f aca="false">Sens!$J$7046+Sens!$J$7051+Sens!$J$7054+Sens!$J$7055</f>
        <v>182.936501499731</v>
      </c>
      <c r="K7056" s="38" t="n">
        <f aca="false">Sens!$K$7046+Sens!$K$7051+Sens!$K$7054+Sens!$K$7055</f>
        <v>200.911616858058</v>
      </c>
      <c r="L7056" s="38" t="n">
        <f aca="false">Sens!$L$7046+Sens!$L$7051+Sens!$L$7054+Sens!$L$7055</f>
        <v>220.650126048945</v>
      </c>
      <c r="M7056" s="38" t="n">
        <f aca="false">Sens!$M$7046+Sens!$M$7051+Sens!$M$7054+Sens!$M$7055</f>
        <v>241.09409709983</v>
      </c>
      <c r="N7056" s="38" t="n">
        <f aca="false">Q!$N$25</f>
        <v>37.576</v>
      </c>
      <c r="O7056" s="38" t="n">
        <f aca="false">Q!$O$25</f>
        <v>42.399</v>
      </c>
    </row>
    <row r="7057" customFormat="false" ht="17.15" hidden="false" customHeight="false" outlineLevel="0" collapsed="false">
      <c r="A7057" s="24" t="s">
        <v>712</v>
      </c>
      <c r="B7057" s="25" t="s">
        <v>73</v>
      </c>
      <c r="C7057" s="39" t="n">
        <f aca="false">Sens!$C$7046+Sens!$C$7051+Sens!$C$7054+Sens!$C$7055-Sens!$C$7056</f>
        <v>0</v>
      </c>
      <c r="D7057" s="39" t="n">
        <f aca="false">Sens!$D$7046+Sens!$D$7051+Sens!$D$7054+Sens!$D$7055-Sens!$D$7056</f>
        <v>0</v>
      </c>
      <c r="E7057" s="39" t="n">
        <f aca="false">Sens!$E$7046+Sens!$E$7051+Sens!$E$7054+Sens!$E$7055-Sens!$E$7056</f>
        <v>0</v>
      </c>
      <c r="F7057" s="39" t="n">
        <f aca="false">Sens!$F$7046+Sens!$F$7051+Sens!$F$7054+Sens!$F$7055-Sens!$F$7056</f>
        <v>0</v>
      </c>
      <c r="G7057" s="39" t="n">
        <f aca="false">Sens!$G$7046+Sens!$G$7051+Sens!$G$7054+Sens!$G$7055-Sens!$G$7056</f>
        <v>0</v>
      </c>
      <c r="H7057" s="39" t="n">
        <f aca="false">Sens!$H$7046+Sens!$H$7051+Sens!$H$7054+Sens!$H$7055-Sens!$H$7056</f>
        <v>0</v>
      </c>
      <c r="I7057" s="39" t="n">
        <f aca="false">Sens!$I$7046+Sens!$I$7051+Sens!$I$7054+Sens!$I$7055-Sens!$I$7056</f>
        <v>0</v>
      </c>
      <c r="J7057" s="39" t="n">
        <f aca="false">Sens!$J$7046+Sens!$J$7051+Sens!$J$7054+Sens!$J$7055-Sens!$J$7056</f>
        <v>0</v>
      </c>
      <c r="K7057" s="39" t="n">
        <f aca="false">Sens!$K$7046+Sens!$K$7051+Sens!$K$7054+Sens!$K$7055-Sens!$K$7056</f>
        <v>0</v>
      </c>
      <c r="L7057" s="39" t="n">
        <f aca="false">Sens!$L$7046+Sens!$L$7051+Sens!$L$7054+Sens!$L$7055-Sens!$L$7056</f>
        <v>0</v>
      </c>
      <c r="M7057" s="39" t="n">
        <f aca="false">Sens!$M$7046+Sens!$M$7051+Sens!$M$7054+Sens!$M$7055-Sens!$M$7056</f>
        <v>0</v>
      </c>
      <c r="N7057" s="39" t="n">
        <f aca="false">Sens!$N$7046+Sens!$N$7051+Sens!$N$7054+Sens!$N$7055-Sens!$N$7056</f>
        <v>0</v>
      </c>
      <c r="O7057" s="39" t="n">
        <f aca="false">Sens!$O$7046+Sens!$O$7051+Sens!$O$7054+Sens!$O$7055-Sens!$O$7056</f>
        <v>0</v>
      </c>
    </row>
    <row r="7058" customFormat="false" ht="17.15" hidden="false" customHeight="false" outlineLevel="0" collapsed="false">
      <c r="A7058" s="0" t="s">
        <v>688</v>
      </c>
      <c r="B7058" s="0" t="s">
        <v>52</v>
      </c>
      <c r="C7058" s="12" t="n">
        <f aca="false">Sens!$C$7046/Sens!$C$7031</f>
        <v>0.0644314665661928</v>
      </c>
      <c r="D7058" s="12" t="n">
        <f aca="false">Sens!$D$7046/Sens!$D$7031</f>
        <v>0.0694784250712518</v>
      </c>
      <c r="E7058" s="12" t="n">
        <f aca="false">Sens!$E$7046/Sens!$E$7031</f>
        <v>0.0789306463326071</v>
      </c>
      <c r="F7058" s="12" t="n">
        <f aca="false">Sens!$F$7046/Sens!$F$7031</f>
        <v>0.0816338957078875</v>
      </c>
      <c r="G7058" s="12" t="n">
        <f aca="false">Sens!$G$7046/Sens!$G$7031</f>
        <v>0.080384315570057</v>
      </c>
      <c r="H7058" s="12" t="n">
        <f aca="false">Sens!$H$7046/Sens!$H$7031</f>
        <v>0.080035122355679</v>
      </c>
      <c r="I7058" s="12" t="n">
        <f aca="false">Sens!$I$7046/Sens!$I$7031</f>
        <v>0.0786798687862144</v>
      </c>
      <c r="J7058" s="12" t="n">
        <f aca="false">Sens!$J$7046/Sens!$J$7031</f>
        <v>0.0772846370095153</v>
      </c>
      <c r="K7058" s="12" t="n">
        <f aca="false">Sens!$K$7046/Sens!$K$7031</f>
        <v>0.0753502227686655</v>
      </c>
      <c r="L7058" s="12" t="n">
        <f aca="false">Sens!$L$7046/Sens!$L$7031</f>
        <v>0.0723154067793922</v>
      </c>
      <c r="M7058" s="12" t="n">
        <f aca="false">Sens!$M$7046/Sens!$M$7031</f>
        <v>0.070022386735876</v>
      </c>
      <c r="N7058" s="12" t="n">
        <f aca="false">Sens!$N$7046/Sens!$N$7031</f>
        <v>0.069228576611127</v>
      </c>
      <c r="O7058" s="12" t="n">
        <f aca="false">Sens!$O$7046/Sens!$O$7031</f>
        <v>0.069685022498393</v>
      </c>
    </row>
    <row r="7059" customFormat="false" ht="17.15" hidden="false" customHeight="false" outlineLevel="0" collapsed="false">
      <c r="A7059" s="0" t="s">
        <v>689</v>
      </c>
      <c r="B7059" s="0" t="s">
        <v>52</v>
      </c>
      <c r="C7059" s="12" t="n">
        <f aca="false">Sens!$C$7051/Sens!$C$7032</f>
        <v>0.026534925055631</v>
      </c>
      <c r="D7059" s="12" t="n">
        <f aca="false">Sens!$D$7051/Sens!$D$7032</f>
        <v>0.0293401855535103</v>
      </c>
      <c r="E7059" s="12" t="n">
        <f aca="false">Sens!$E$7051/Sens!$E$7032</f>
        <v>0.03831141902276</v>
      </c>
      <c r="F7059" s="12" t="n">
        <f aca="false">Sens!$F$7051/Sens!$F$7032</f>
        <v>0.0297532808235678</v>
      </c>
      <c r="G7059" s="12" t="n">
        <f aca="false">Sens!$G$7051/Sens!$G$7032</f>
        <v>0.0335954317997163</v>
      </c>
      <c r="H7059" s="12" t="n">
        <f aca="false">Sens!$H$7051/Sens!$H$7032</f>
        <v>0.0312519754292078</v>
      </c>
      <c r="I7059" s="12" t="n">
        <f aca="false">Sens!$I$7051/Sens!$I$7032</f>
        <v>0.0278788303191397</v>
      </c>
      <c r="J7059" s="12" t="n">
        <f aca="false">Sens!$J$7051/Sens!$J$7032</f>
        <v>0.0244019313573061</v>
      </c>
      <c r="K7059" s="12" t="n">
        <f aca="false">Sens!$K$7051/Sens!$K$7032</f>
        <v>0.020280070641524</v>
      </c>
      <c r="L7059" s="12" t="n">
        <f aca="false">Sens!$L$7051/Sens!$L$7032</f>
        <v>0.0175947312030086</v>
      </c>
      <c r="M7059" s="12" t="n">
        <f aca="false">Sens!$M$7051/Sens!$M$7032</f>
        <v>0.0156592172424565</v>
      </c>
      <c r="N7059" s="12" t="n">
        <f aca="false">Sens!$N$7051/Sens!$N$7032</f>
        <v>0.0357315650169337</v>
      </c>
      <c r="O7059" s="12" t="n">
        <f aca="false">Sens!$O$7051/Sens!$O$7032</f>
        <v>0.0244378956559703</v>
      </c>
    </row>
    <row r="7060" customFormat="false" ht="17.15" hidden="false" customHeight="false" outlineLevel="0" collapsed="false">
      <c r="A7060" s="13" t="s">
        <v>690</v>
      </c>
      <c r="B7060" s="13" t="s">
        <v>52</v>
      </c>
      <c r="C7060" s="16" t="n">
        <f aca="false">Sens!$C$7054/Sens!$C$7033</f>
        <v>0.370355907620217</v>
      </c>
      <c r="D7060" s="16" t="n">
        <f aca="false">Sens!$D$7054/Sens!$D$7033</f>
        <v>0.35429015342785</v>
      </c>
      <c r="E7060" s="16" t="n">
        <f aca="false">Sens!$E$7054/Sens!$E$7033</f>
        <v>0.385647527531039</v>
      </c>
      <c r="F7060" s="16" t="n">
        <f aca="false">Sens!$F$7054/Sens!$F$7033</f>
        <v>0.384415729470259</v>
      </c>
      <c r="G7060" s="16" t="n">
        <f aca="false">Sens!$G$7054/Sens!$G$7033</f>
        <v>0.38498282105443</v>
      </c>
      <c r="H7060" s="16" t="n">
        <f aca="false">Sens!$H$7054/Sens!$H$7033</f>
        <v>0.361247909668527</v>
      </c>
      <c r="I7060" s="16" t="n">
        <f aca="false">Sens!$I$7054/Sens!$I$7033</f>
        <v>0.349486287974975</v>
      </c>
      <c r="J7060" s="16" t="n">
        <f aca="false">Sens!$J$7054/Sens!$J$7033</f>
        <v>0.339886531832068</v>
      </c>
      <c r="K7060" s="16" t="n">
        <f aca="false">Sens!$K$7054/Sens!$K$7033</f>
        <v>0.33135833762061</v>
      </c>
      <c r="L7060" s="16" t="n">
        <f aca="false">Sens!$L$7054/Sens!$L$7033</f>
        <v>0.328299068185284</v>
      </c>
      <c r="M7060" s="16" t="n">
        <f aca="false">Sens!$M$7054/Sens!$M$7033</f>
        <v>0.325058049465166</v>
      </c>
      <c r="N7060" s="16" t="n">
        <f aca="false">Sens!$N$7054/Sens!$N$7033</f>
        <v>0.360941137346192</v>
      </c>
      <c r="O7060" s="16" t="n">
        <f aca="false">Sens!$O$7054/Sens!$O$7033</f>
        <v>0.348458117664212</v>
      </c>
    </row>
    <row r="7061" customFormat="false" ht="17.15" hidden="false" customHeight="false" outlineLevel="0" collapsed="false">
      <c r="A7061" s="0" t="s">
        <v>691</v>
      </c>
      <c r="B7061" s="0" t="s">
        <v>52</v>
      </c>
      <c r="C7061" s="12" t="n">
        <f aca="false">Sens!$C$7052/Sens!$C$7034</f>
        <v>0.708390794789371</v>
      </c>
      <c r="D7061" s="12" t="n">
        <f aca="false">Sens!$D$7052/Sens!$D$7034</f>
        <v>0.445565630441968</v>
      </c>
      <c r="E7061" s="12" t="n">
        <f aca="false">Sens!$E$7052/Sens!$E$7034</f>
        <v>0.165998118402711</v>
      </c>
      <c r="F7061" s="12" t="n">
        <f aca="false">Sens!$F$7052/Sens!$F$7034</f>
        <v>0.434878595403858</v>
      </c>
      <c r="G7061" s="12" t="n">
        <f aca="false">Sens!$G$7052/Sens!$G$7034</f>
        <v>0.3373967615381</v>
      </c>
      <c r="H7061" s="12" t="n">
        <f aca="false">Sens!$H$7052/Sens!$H$7034</f>
        <v>0.320477578041224</v>
      </c>
      <c r="I7061" s="12" t="n">
        <f aca="false">Sens!$I$7052/Sens!$I$7034</f>
        <v>0.296936118226494</v>
      </c>
      <c r="J7061" s="12" t="n">
        <f aca="false">Sens!$J$7052/Sens!$J$7034</f>
        <v>0.282166278613001</v>
      </c>
      <c r="K7061" s="12" t="n">
        <f aca="false">Sens!$K$7052/Sens!$K$7034</f>
        <v>0.271267685694333</v>
      </c>
      <c r="L7061" s="12" t="n">
        <f aca="false">Sens!$L$7052/Sens!$L$7034</f>
        <v>0.27160960915653</v>
      </c>
      <c r="M7061" s="12" t="n">
        <f aca="false">Sens!$M$7052/Sens!$M$7034</f>
        <v>0.26974494804234</v>
      </c>
      <c r="N7061" s="12" t="n">
        <f aca="false">Sens!$N$7052/Sens!$N$7034</f>
        <v>0.302870734830849</v>
      </c>
      <c r="O7061" s="12" t="n">
        <f aca="false">Sens!$O$7052/Sens!$O$7034</f>
        <v>0.52240134346334</v>
      </c>
    </row>
    <row r="7062" customFormat="false" ht="15" hidden="false" customHeight="false" outlineLevel="0" collapsed="false">
      <c r="A7062" s="5" t="s">
        <v>692</v>
      </c>
      <c r="B7062" s="0" t="s">
        <v>52</v>
      </c>
      <c r="C7062" s="12" t="n">
        <f aca="false">Sens!$C$7056/Sens!$C$7036</f>
        <v>0.107519448742004</v>
      </c>
      <c r="D7062" s="12" t="n">
        <f aca="false">Sens!$D$7056/Sens!$D$7036</f>
        <v>0.111552967957552</v>
      </c>
      <c r="E7062" s="12" t="n">
        <f aca="false">Sens!$E$7056/Sens!$E$7036</f>
        <v>0.13428328426562</v>
      </c>
      <c r="F7062" s="12" t="n">
        <f aca="false">Sens!$F$7056/Sens!$F$7036</f>
        <v>0.132926212451512</v>
      </c>
      <c r="G7062" s="12" t="n">
        <f aca="false">Sens!$G$7056/Sens!$G$7036</f>
        <v>0.133549030959228</v>
      </c>
      <c r="H7062" s="12" t="n">
        <f aca="false">Sens!$H$7056/Sens!$H$7036</f>
        <v>0.139690394514416</v>
      </c>
      <c r="I7062" s="12" t="n">
        <f aca="false">Sens!$I$7056/Sens!$I$7036</f>
        <v>0.144688164284573</v>
      </c>
      <c r="J7062" s="12" t="n">
        <f aca="false">Sens!$J$7056/Sens!$J$7036</f>
        <v>0.147391419021054</v>
      </c>
      <c r="K7062" s="12" t="n">
        <f aca="false">Sens!$K$7056/Sens!$K$7036</f>
        <v>0.148003728177944</v>
      </c>
      <c r="L7062" s="12" t="n">
        <f aca="false">Sens!$L$7056/Sens!$L$7036</f>
        <v>0.149164514525979</v>
      </c>
      <c r="M7062" s="12" t="n">
        <f aca="false">Sens!$M$7056/Sens!$M$7036</f>
        <v>0.150041098108262</v>
      </c>
      <c r="N7062" s="12" t="n">
        <f aca="false">Sens!$N$7056/Sens!$N$7036</f>
        <v>0.116201614873411</v>
      </c>
      <c r="O7062" s="12" t="n">
        <f aca="false">Sens!$O$7056/Sens!$O$7036</f>
        <v>0.107733353660861</v>
      </c>
    </row>
    <row r="7063" customFormat="false" ht="17.15" hidden="false" customHeight="false" outlineLevel="0" collapsed="false">
      <c r="A7063" s="1" t="s">
        <v>693</v>
      </c>
    </row>
    <row r="7064" customFormat="false" ht="17.15" hidden="false" customHeight="false" outlineLevel="0" collapsed="false">
      <c r="A7064" s="5" t="s">
        <v>694</v>
      </c>
      <c r="B7064" s="0" t="s">
        <v>52</v>
      </c>
      <c r="D7064" s="28" t="n">
        <f aca="false">(Q!$E$29+Q!$E$30-(1-ext_sh)*Sens!$D$6988)/Sens!$D$6945</f>
        <v>0.0334674312393194</v>
      </c>
    </row>
    <row r="7065" customFormat="false" ht="17.15" hidden="false" customHeight="false" outlineLevel="0" collapsed="false">
      <c r="A7065" s="0" t="s">
        <v>498</v>
      </c>
      <c r="B7065" s="0" t="s">
        <v>73</v>
      </c>
      <c r="C7065" s="38" t="n">
        <f aca="false">Q!$D$29</f>
        <v>14.285</v>
      </c>
      <c r="D7065" s="38" t="n">
        <f aca="false">Q!$E$29</f>
        <v>15.503</v>
      </c>
      <c r="E7065" s="38" t="n">
        <f aca="false">Q!$P$29</f>
        <v>8.78</v>
      </c>
      <c r="F7065" s="38" t="n">
        <f aca="false">(Sens!$D$7064*Sens!$F$6945+(1-ext_sh)*Sens!$F$6988)*Sens!$F$6946</f>
        <v>9.51361751569285</v>
      </c>
      <c r="G7065" s="38" t="n">
        <f aca="false">Sens!$E$7065+Sens!$F$7065</f>
        <v>18.2936175156929</v>
      </c>
      <c r="H7065" s="38" t="n">
        <f aca="false">(Sens!$D$7064*Sens!$H$6945+(1-ext_sh)*Sens!$H$6988)*Sens!$H$6946</f>
        <v>22.7653661801943</v>
      </c>
      <c r="I7065" s="38" t="n">
        <f aca="false">(Sens!$D$7064*Sens!$I$6945+(1-ext_sh)*Sens!$I$6988)*Sens!$I$6946</f>
        <v>28.4281317305062</v>
      </c>
      <c r="J7065" s="38" t="n">
        <f aca="false">(Sens!$D$7064*Sens!$J$6945+(1-ext_sh)*Sens!$J$6988)*Sens!$J$6946</f>
        <v>34.1182922009732</v>
      </c>
      <c r="K7065" s="38" t="n">
        <f aca="false">(Sens!$D$7064*Sens!$K$6945+(1-ext_sh)*Sens!$K$6988)*Sens!$K$6946</f>
        <v>39.7237727987046</v>
      </c>
      <c r="L7065" s="38" t="n">
        <f aca="false">(Sens!$D$7064*Sens!$L$6945+(1-ext_sh)*Sens!$L$6988)*Sens!$L$6946</f>
        <v>45.1313127180263</v>
      </c>
      <c r="M7065" s="38" t="n">
        <f aca="false">(Sens!$D$7064*Sens!$M$6945+(1-ext_sh)*Sens!$M$6988)*Sens!$M$6946</f>
        <v>50.743940615442</v>
      </c>
      <c r="N7065" s="38" t="n">
        <f aca="false">Q!$N$29</f>
        <v>7.272</v>
      </c>
      <c r="O7065" s="38" t="n">
        <f aca="false">Q!$O$29</f>
        <v>8.231</v>
      </c>
    </row>
    <row r="7066" customFormat="false" ht="17.15" hidden="false" customHeight="false" outlineLevel="0" collapsed="false">
      <c r="A7066" s="0" t="s">
        <v>500</v>
      </c>
      <c r="B7066" s="0" t="s">
        <v>73</v>
      </c>
      <c r="C7066" s="38" t="n">
        <f aca="false">Q!$D$30</f>
        <v>4.462</v>
      </c>
      <c r="D7066" s="38" t="n">
        <f aca="false">Q!$E$30</f>
        <v>4.907</v>
      </c>
      <c r="E7066" s="38" t="n">
        <f aca="false">Q!$P$30</f>
        <v>2.57</v>
      </c>
      <c r="F7066" s="38" t="n">
        <f aca="false">(Sens!$D$7064*Sens!$F$6945+(1-ext_sh)*Sens!$F$6988)*(1-Sens!$F$6946)</f>
        <v>3.7353230631574</v>
      </c>
      <c r="G7066" s="38" t="n">
        <f aca="false">Sens!$E$7066+Sens!$F$7066</f>
        <v>6.3053230631574</v>
      </c>
      <c r="H7066" s="38" t="n">
        <f aca="false">(Sens!$D$7064*Sens!$H$6945+(1-ext_sh)*Sens!$H$6988)*(1-Sens!$H$6946)</f>
        <v>8.72254636724805</v>
      </c>
      <c r="I7066" s="38" t="n">
        <f aca="false">(Sens!$D$7064*Sens!$I$6945+(1-ext_sh)*Sens!$I$6988)*(1-Sens!$I$6946)</f>
        <v>10.8922340713019</v>
      </c>
      <c r="J7066" s="38" t="n">
        <f aca="false">(Sens!$D$7064*Sens!$J$6945+(1-ext_sh)*Sens!$J$6988)*(1-Sens!$J$6946)</f>
        <v>13.0724181345791</v>
      </c>
      <c r="K7066" s="38" t="n">
        <f aca="false">(Sens!$D$7064*Sens!$K$6945+(1-ext_sh)*Sens!$K$6988)*(1-Sens!$K$6946)</f>
        <v>15.2201571183236</v>
      </c>
      <c r="L7066" s="38" t="n">
        <f aca="false">(Sens!$D$7064*Sens!$L$6945+(1-ext_sh)*Sens!$L$6988)*(1-Sens!$L$6946)</f>
        <v>17.2920551631732</v>
      </c>
      <c r="M7066" s="38" t="n">
        <f aca="false">(Sens!$D$7064*Sens!$M$6945+(1-ext_sh)*Sens!$M$6988)*(1-Sens!$M$6946)</f>
        <v>19.4425326336348</v>
      </c>
      <c r="N7066" s="38" t="n">
        <f aca="false">Q!$N$30</f>
        <v>2.316</v>
      </c>
      <c r="O7066" s="38" t="n">
        <f aca="false">Q!$O$30</f>
        <v>2.591</v>
      </c>
    </row>
    <row r="7067" customFormat="false" ht="17.15" hidden="false" customHeight="false" outlineLevel="0" collapsed="false">
      <c r="A7067" s="0" t="s">
        <v>501</v>
      </c>
      <c r="B7067" s="0" t="s">
        <v>73</v>
      </c>
      <c r="C7067" s="38" t="n">
        <f aca="false">Sens!$C$7000</f>
        <v>13.32</v>
      </c>
      <c r="D7067" s="38" t="n">
        <f aca="false">Sens!$D$7000</f>
        <v>21.45</v>
      </c>
      <c r="E7067" s="38" t="n">
        <f aca="false">Sens!$E$7000</f>
        <v>15.353</v>
      </c>
      <c r="F7067" s="38" t="n">
        <f aca="false">Sens!$F$7000</f>
        <v>17.3614451462707</v>
      </c>
      <c r="G7067" s="38" t="n">
        <f aca="false">Sens!$G$7000</f>
        <v>32.7144451462707</v>
      </c>
      <c r="H7067" s="38" t="n">
        <f aca="false">Sens!$H$7000</f>
        <v>56.1966092719415</v>
      </c>
      <c r="I7067" s="38" t="n">
        <f aca="false">Sens!$I$7000</f>
        <v>82.9744039068297</v>
      </c>
      <c r="J7067" s="38" t="n">
        <f aca="false">Sens!$J$7000</f>
        <v>109.943252237669</v>
      </c>
      <c r="K7067" s="38" t="n">
        <f aca="false">Sens!$K$7000</f>
        <v>136.406703436571</v>
      </c>
      <c r="L7067" s="38" t="n">
        <f aca="false">Sens!$L$7000</f>
        <v>161.485870454155</v>
      </c>
      <c r="M7067" s="38" t="n">
        <f aca="false">Sens!$M$7000</f>
        <v>187.389846618199</v>
      </c>
      <c r="N7067" s="38" t="n">
        <f aca="false">Sens!$N$7000</f>
        <v>9.234</v>
      </c>
      <c r="O7067" s="38" t="n">
        <f aca="false">Sens!$O$7000</f>
        <v>12.216</v>
      </c>
    </row>
    <row r="7068" customFormat="false" ht="17.15" hidden="false" customHeight="false" outlineLevel="0" collapsed="false">
      <c r="A7068" s="5" t="s">
        <v>695</v>
      </c>
      <c r="B7068" s="0" t="s">
        <v>73</v>
      </c>
      <c r="C7068" s="38" t="n">
        <f aca="false">Sens!$C$7065+Sens!$C$7066+Sens!$C$7067</f>
        <v>32.067</v>
      </c>
      <c r="D7068" s="38" t="n">
        <f aca="false">Sens!$D$7065+Sens!$D$7066+Sens!$D$7067</f>
        <v>41.86</v>
      </c>
      <c r="E7068" s="38" t="n">
        <f aca="false">Sens!$E$7065+Sens!$E$7066+Sens!$E$7067</f>
        <v>26.703</v>
      </c>
      <c r="F7068" s="38" t="n">
        <f aca="false">Sens!$F$7065+Sens!$F$7066+Sens!$F$7067</f>
        <v>30.6103857251209</v>
      </c>
      <c r="G7068" s="38" t="n">
        <f aca="false">Sens!$G$7065+Sens!$G$7066+Sens!$G$7067</f>
        <v>57.3133857251209</v>
      </c>
      <c r="H7068" s="38" t="n">
        <f aca="false">Sens!$H$7065+Sens!$H$7066+Sens!$H$7067</f>
        <v>87.6845218193838</v>
      </c>
      <c r="I7068" s="38" t="n">
        <f aca="false">Sens!$I$7065+Sens!$I$7066+Sens!$I$7067</f>
        <v>122.294769708638</v>
      </c>
      <c r="J7068" s="38" t="n">
        <f aca="false">Sens!$J$7065+Sens!$J$7066+Sens!$J$7067</f>
        <v>157.133962573221</v>
      </c>
      <c r="K7068" s="38" t="n">
        <f aca="false">Sens!$K$7065+Sens!$K$7066+Sens!$K$7067</f>
        <v>191.350633353599</v>
      </c>
      <c r="L7068" s="38" t="n">
        <f aca="false">Sens!$L$7065+Sens!$L$7066+Sens!$L$7067</f>
        <v>223.909238335354</v>
      </c>
      <c r="M7068" s="38" t="n">
        <f aca="false">Sens!$M$7065+Sens!$M$7066+Sens!$M$7067</f>
        <v>257.576319867276</v>
      </c>
      <c r="N7068" s="38" t="n">
        <f aca="false">Sens!$N$7065+Sens!$N$7066+Sens!$N$7067</f>
        <v>18.822</v>
      </c>
      <c r="O7068" s="38" t="n">
        <f aca="false">Sens!$O$7065+Sens!$O$7066+Sens!$O$7067</f>
        <v>23.038</v>
      </c>
    </row>
    <row r="7069" customFormat="false" ht="17.15" hidden="false" customHeight="false" outlineLevel="0" collapsed="false">
      <c r="A7069" s="0" t="s">
        <v>696</v>
      </c>
      <c r="B7069" s="0" t="s">
        <v>73</v>
      </c>
      <c r="C7069" s="38" t="n">
        <f aca="false">Sens!$C$7042+Sens!$C$7047</f>
        <v>28.107</v>
      </c>
      <c r="D7069" s="38" t="n">
        <f aca="false">Sens!$D$7042+Sens!$D$7047</f>
        <v>34.3175</v>
      </c>
      <c r="E7069" s="38" t="n">
        <f aca="false">Sens!$E$7042+Sens!$E$7047</f>
        <v>18.526</v>
      </c>
      <c r="F7069" s="38" t="n">
        <f aca="false">Sens!$F$7042+Sens!$F$7047</f>
        <v>24.0766690913691</v>
      </c>
      <c r="G7069" s="38" t="n">
        <f aca="false">Sens!$G$7042+Sens!$G$7047</f>
        <v>42.6026690913691</v>
      </c>
      <c r="H7069" s="38" t="n">
        <f aca="false">Sens!$H$7042+Sens!$H$7047</f>
        <v>51.1466809294702</v>
      </c>
      <c r="I7069" s="38" t="n">
        <f aca="false">Sens!$I$7042+Sens!$I$7047</f>
        <v>59.6899187926205</v>
      </c>
      <c r="J7069" s="38" t="n">
        <f aca="false">Sens!$J$7042+Sens!$J$7047</f>
        <v>67.6595395244221</v>
      </c>
      <c r="K7069" s="38" t="n">
        <f aca="false">Sens!$K$7042+Sens!$K$7047</f>
        <v>74.4254934768643</v>
      </c>
      <c r="L7069" s="38" t="n">
        <f aca="false">Sens!$L$7042+Sens!$L$7047</f>
        <v>81.8680428245508</v>
      </c>
      <c r="M7069" s="38" t="n">
        <f aca="false">Sens!$M$7042+Sens!$M$7047</f>
        <v>90.0548471070059</v>
      </c>
      <c r="N7069" s="38" t="n">
        <f aca="false">Sens!$N$7042+Sens!$N$7047</f>
        <v>14.8075</v>
      </c>
      <c r="O7069" s="38" t="n">
        <f aca="false">Sens!$O$7042+Sens!$O$7047</f>
        <v>19.51</v>
      </c>
    </row>
    <row r="7070" customFormat="false" ht="17.15" hidden="false" customHeight="false" outlineLevel="0" collapsed="false">
      <c r="A7070" s="0" t="s">
        <v>697</v>
      </c>
      <c r="B7070" s="0" t="s">
        <v>73</v>
      </c>
      <c r="C7070" s="38" t="n">
        <f aca="false">Sens!$C$7046+Sens!$C$7051+Sens!$C$7065+Sens!$C$7066-Sens!$C$7069</f>
        <v>19.399</v>
      </c>
      <c r="D7070" s="38" t="n">
        <f aca="false">Sens!$D$7046+Sens!$D$7051+Sens!$D$7065+Sens!$D$7066-Sens!$D$7069</f>
        <v>20.4615</v>
      </c>
      <c r="E7070" s="38" t="n">
        <f aca="false">Sens!$E$7046+Sens!$E$7051+Sens!$E$7065+Sens!$E$7066-Sens!$E$7069</f>
        <v>13.355</v>
      </c>
      <c r="F7070" s="38" t="n">
        <f aca="false">Sens!$F$7046+Sens!$F$7051+Sens!$F$7065+Sens!$F$7066-Sens!$F$7069</f>
        <v>13.0895111975985</v>
      </c>
      <c r="G7070" s="38" t="n">
        <f aca="false">Sens!$G$7046+Sens!$G$7051+Sens!$G$7065+Sens!$G$7066-Sens!$G$7069</f>
        <v>26.4445111975985</v>
      </c>
      <c r="H7070" s="38" t="n">
        <f aca="false">Sens!$H$7046+Sens!$H$7051+Sens!$H$7065+Sens!$H$7066-Sens!$H$7069</f>
        <v>28.8977096937968</v>
      </c>
      <c r="I7070" s="38" t="n">
        <f aca="false">Sens!$I$7046+Sens!$I$7051+Sens!$I$7065+Sens!$I$7066-Sens!$I$7069</f>
        <v>31.2062039064791</v>
      </c>
      <c r="J7070" s="38" t="n">
        <f aca="false">Sens!$J$7046+Sens!$J$7051+Sens!$J$7065+Sens!$J$7066-Sens!$J$7069</f>
        <v>33.5064572496913</v>
      </c>
      <c r="K7070" s="38" t="n">
        <f aca="false">Sens!$K$7046+Sens!$K$7051+Sens!$K$7065+Sens!$K$7066-Sens!$K$7069</f>
        <v>35.6591461575899</v>
      </c>
      <c r="L7070" s="38" t="n">
        <f aca="false">Sens!$L$7046+Sens!$L$7051+Sens!$L$7065+Sens!$L$7066-Sens!$L$7069</f>
        <v>36.4141007090604</v>
      </c>
      <c r="M7070" s="38" t="n">
        <f aca="false">Sens!$M$7046+Sens!$M$7051+Sens!$M$7065+Sens!$M$7066-Sens!$M$7069</f>
        <v>37.359984207839</v>
      </c>
      <c r="N7070" s="38" t="n">
        <f aca="false">Sens!$N$7046+Sens!$N$7051+Sens!$N$7065+Sens!$N$7066-Sens!$N$7069</f>
        <v>10.6495</v>
      </c>
      <c r="O7070" s="38" t="n">
        <f aca="false">Sens!$O$7046+Sens!$O$7051+Sens!$O$7065+Sens!$O$7066-Sens!$O$7069</f>
        <v>9.81200000000001</v>
      </c>
    </row>
    <row r="7071" customFormat="false" ht="17.15" hidden="false" customHeight="false" outlineLevel="0" collapsed="false">
      <c r="A7071" s="0" t="s">
        <v>698</v>
      </c>
      <c r="B7071" s="0" t="s">
        <v>73</v>
      </c>
      <c r="C7071" s="38" t="n">
        <f aca="false">Sens!$C$7053+Sens!$C$7067-ext_sh*Sens!$C$6988</f>
        <v>51.3470500115664</v>
      </c>
      <c r="D7071" s="38" t="n">
        <f aca="false">Sens!$D$7053+Sens!$D$7067-ext_sh*Sens!$D$6988</f>
        <v>60.2799375433739</v>
      </c>
      <c r="E7071" s="38" t="n">
        <f aca="false">Sens!$E$7053+Sens!$E$7067-ext_sh*Sens!$E$6988</f>
        <v>39.5095167090767</v>
      </c>
      <c r="F7071" s="38" t="n">
        <f aca="false">Sens!$F$7053+Sens!$F$7067-ext_sh*Sens!$F$6988</f>
        <v>41.606724953129</v>
      </c>
      <c r="G7071" s="38" t="n">
        <f aca="false">Sens!$G$7053+Sens!$G$7067-ext_sh*Sens!$G$6988</f>
        <v>81.1162416622057</v>
      </c>
      <c r="H7071" s="38" t="n">
        <f aca="false">Sens!$H$7053+Sens!$H$7067-ext_sh*Sens!$H$6988</f>
        <v>95.7616595325849</v>
      </c>
      <c r="I7071" s="38" t="n">
        <f aca="false">Sens!$I$7053+Sens!$I$7067-ext_sh*Sens!$I$6988</f>
        <v>111.513312079935</v>
      </c>
      <c r="J7071" s="38" t="n">
        <f aca="false">Sens!$J$7053+Sens!$J$7067-ext_sh*Sens!$J$6988</f>
        <v>125.145150463955</v>
      </c>
      <c r="K7071" s="38" t="n">
        <f aca="false">Sens!$K$7053+Sens!$K$7067-ext_sh*Sens!$K$6988</f>
        <v>135.156762501071</v>
      </c>
      <c r="L7071" s="38" t="n">
        <f aca="false">Sens!$L$7053+Sens!$L$7067-ext_sh*Sens!$L$6988</f>
        <v>145.969303501157</v>
      </c>
      <c r="M7071" s="38" t="n">
        <f aca="false">Sens!$M$7053+Sens!$M$7067-ext_sh*Sens!$M$6988</f>
        <v>157.646847781249</v>
      </c>
      <c r="N7071" s="38" t="n">
        <f aca="false">Sens!$N$7053+Sens!$N$7067-ext_sh*Sens!$N$6988</f>
        <v>28.5693781401809</v>
      </c>
      <c r="O7071" s="38" t="n">
        <f aca="false">Sens!$O$7053+Sens!$O$7067-ext_sh*Sens!$O$6988</f>
        <v>31.7105594031931</v>
      </c>
    </row>
    <row r="7072" customFormat="false" ht="17.15" hidden="false" customHeight="false" outlineLevel="0" collapsed="false">
      <c r="A7072" s="0" t="s">
        <v>699</v>
      </c>
      <c r="B7072" s="0" t="s">
        <v>73</v>
      </c>
      <c r="C7072" s="38" t="n">
        <f aca="false">Sens!$C$6991</f>
        <v>1.80694998843362</v>
      </c>
      <c r="D7072" s="38" t="n">
        <f aca="false">Sens!$D$6991</f>
        <v>6.77606245662607</v>
      </c>
      <c r="E7072" s="38" t="n">
        <f aca="false">Sens!$E$6991</f>
        <v>6.62548329092326</v>
      </c>
      <c r="F7072" s="38" t="n">
        <f aca="false">Sens!$F$6991</f>
        <v>11.7200577158706</v>
      </c>
      <c r="G7072" s="38" t="n">
        <f aca="false">Sens!$G$6991</f>
        <v>18.3455410067939</v>
      </c>
      <c r="H7072" s="38" t="n">
        <f aca="false">Sens!$H$6991</f>
        <v>47.5171727060453</v>
      </c>
      <c r="I7072" s="38" t="n">
        <f aca="false">Sens!$I$6991</f>
        <v>80.5539692643667</v>
      </c>
      <c r="J7072" s="38" t="n">
        <f aca="false">Sens!$J$6991</f>
        <v>113.759316834883</v>
      </c>
      <c r="K7072" s="38" t="n">
        <f aca="false">Sens!$K$6991</f>
        <v>147.020848076132</v>
      </c>
      <c r="L7072" s="38" t="n">
        <f aca="false">Sens!$L$6991</f>
        <v>180.307917349531</v>
      </c>
      <c r="M7072" s="38" t="n">
        <f aca="false">Sens!$M$6991</f>
        <v>213.608737871012</v>
      </c>
      <c r="N7072" s="38" t="n">
        <f aca="false">Sens!$N$6991</f>
        <v>2.37162185981912</v>
      </c>
      <c r="O7072" s="38" t="n">
        <f aca="false">Sens!$O$6991</f>
        <v>4.40444059680694</v>
      </c>
    </row>
    <row r="7073" customFormat="false" ht="17.15" hidden="false" customHeight="false" outlineLevel="0" collapsed="false">
      <c r="A7073" s="0" t="s">
        <v>700</v>
      </c>
      <c r="B7073" s="0" t="s">
        <v>73</v>
      </c>
      <c r="C7073" s="38" t="n">
        <f aca="false">Sens!$C$7056+Sens!$C$7068</f>
        <v>100.66</v>
      </c>
      <c r="D7073" s="38" t="n">
        <f aca="false">Sens!$D$7056+Sens!$D$7068</f>
        <v>121.835</v>
      </c>
      <c r="E7073" s="38" t="n">
        <f aca="false">Sens!$E$7056+Sens!$E$7068</f>
        <v>78.016</v>
      </c>
      <c r="F7073" s="38" t="n">
        <f aca="false">Sens!$F$7056+Sens!$F$7068</f>
        <v>90.4929629579672</v>
      </c>
      <c r="G7073" s="38" t="n">
        <f aca="false">Sens!$G$7056+Sens!$G$7068</f>
        <v>168.508962957967</v>
      </c>
      <c r="H7073" s="38" t="n">
        <f aca="false">Sens!$H$7056+Sens!$H$7068</f>
        <v>223.323222861897</v>
      </c>
      <c r="I7073" s="38" t="n">
        <f aca="false">Sens!$I$7056+Sens!$I$7068</f>
        <v>282.963404043402</v>
      </c>
      <c r="J7073" s="38" t="n">
        <f aca="false">Sens!$J$7056+Sens!$J$7068</f>
        <v>340.070464072952</v>
      </c>
      <c r="K7073" s="38" t="n">
        <f aca="false">Sens!$K$7056+Sens!$K$7068</f>
        <v>392.262250211657</v>
      </c>
      <c r="L7073" s="38" t="n">
        <f aca="false">Sens!$L$7056+Sens!$L$7068</f>
        <v>444.559364384299</v>
      </c>
      <c r="M7073" s="38" t="n">
        <f aca="false">Sens!$M$7056+Sens!$M$7068</f>
        <v>498.670416967106</v>
      </c>
      <c r="N7073" s="38" t="n">
        <f aca="false">Sens!$N$7056+Sens!$N$7068</f>
        <v>56.398</v>
      </c>
      <c r="O7073" s="38" t="n">
        <f aca="false">Sens!$O$7056+Sens!$O$7068</f>
        <v>65.437</v>
      </c>
    </row>
    <row r="7074" customFormat="false" ht="17.15" hidden="false" customHeight="false" outlineLevel="0" collapsed="false">
      <c r="A7074" s="1" t="s">
        <v>701</v>
      </c>
    </row>
    <row r="7075" customFormat="false" ht="15" hidden="false" customHeight="false" outlineLevel="0" collapsed="false">
      <c r="A7075" s="5" t="s">
        <v>504</v>
      </c>
      <c r="B7075" s="0" t="s">
        <v>73</v>
      </c>
      <c r="C7075" s="38" t="n">
        <f aca="false">Q!$D$34</f>
        <v>2.406</v>
      </c>
      <c r="D7075" s="38" t="n">
        <f aca="false">Q!$E$34</f>
        <v>2.274</v>
      </c>
      <c r="E7075" s="38" t="n">
        <f aca="false">Q!$P$34</f>
        <v>2.114</v>
      </c>
      <c r="F7075" s="38" t="n">
        <f aca="false">Sens!$F$7111</f>
        <v>3.24888964316061</v>
      </c>
      <c r="G7075" s="38" t="n">
        <f aca="false">Sens!$E$7075+Sens!$F$7075</f>
        <v>5.36288964316061</v>
      </c>
      <c r="H7075" s="38" t="n">
        <f aca="false">Sens!$H$7111</f>
        <v>7.42354178632123</v>
      </c>
      <c r="I7075" s="38" t="n">
        <f aca="false">Sens!$I$7111</f>
        <v>7.51827597635917</v>
      </c>
      <c r="J7075" s="38" t="n">
        <f aca="false">Sens!$J$7111</f>
        <v>7.76994062068418</v>
      </c>
      <c r="K7075" s="38" t="n">
        <f aca="false">Sens!$K$7111</f>
        <v>7.76994062068418</v>
      </c>
      <c r="L7075" s="38" t="n">
        <f aca="false">Sens!$L$7111</f>
        <v>7.76994062068418</v>
      </c>
      <c r="M7075" s="38" t="n">
        <f aca="false">Sens!$M$7111</f>
        <v>7.76994062068418</v>
      </c>
      <c r="N7075" s="38" t="n">
        <f aca="false">Q!$N$34</f>
        <v>1.057</v>
      </c>
      <c r="O7075" s="38" t="n">
        <f aca="false">Q!$O$34</f>
        <v>1.217</v>
      </c>
    </row>
    <row r="7076" customFormat="false" ht="15" hidden="false" customHeight="false" outlineLevel="0" collapsed="false">
      <c r="A7076" s="5" t="s">
        <v>702</v>
      </c>
      <c r="B7076" s="0" t="s">
        <v>73</v>
      </c>
      <c r="F7076" s="38" t="n">
        <f aca="false">Sens!$F$7112</f>
        <v>2.59</v>
      </c>
      <c r="H7076" s="38" t="n">
        <f aca="false">Sens!$H$7112</f>
        <v>4.00971603121774</v>
      </c>
      <c r="I7076" s="38" t="n">
        <f aca="false">Sens!$I$7112</f>
        <v>2.10589651022864</v>
      </c>
      <c r="J7076" s="38" t="n">
        <f aca="false">Sens!$J$7112</f>
        <v>2.10589651022864</v>
      </c>
      <c r="K7076" s="38" t="n">
        <f aca="false">Sens!$K$7112</f>
        <v>3.77985822695893</v>
      </c>
      <c r="L7076" s="38" t="n">
        <f aca="false">Sens!$L$7112</f>
        <v>7.24081936505971</v>
      </c>
      <c r="M7076" s="38" t="n">
        <f aca="false">Sens!$M$7112</f>
        <v>11.205150593419</v>
      </c>
    </row>
    <row r="7077" customFormat="false" ht="17.15" hidden="false" customHeight="false" outlineLevel="0" collapsed="false">
      <c r="A7077" s="5" t="s">
        <v>703</v>
      </c>
      <c r="B7077" s="0" t="s">
        <v>73</v>
      </c>
      <c r="C7077" s="38" t="n">
        <f aca="false">Q!$D$39</f>
        <v>2.427</v>
      </c>
      <c r="D7077" s="38" t="n">
        <f aca="false">Q!$E$39</f>
        <v>19.61</v>
      </c>
      <c r="E7077" s="38" t="n">
        <f aca="false">Q!$P$39</f>
        <v>71.492</v>
      </c>
      <c r="F7077" s="41" t="n">
        <v>0</v>
      </c>
      <c r="G7077" s="38" t="n">
        <f aca="false">Sens!$E$7077+Sens!$F$7077</f>
        <v>71.492</v>
      </c>
      <c r="H7077" s="41" t="n">
        <v>0</v>
      </c>
      <c r="I7077" s="41" t="n">
        <v>0</v>
      </c>
      <c r="J7077" s="41" t="n">
        <v>0</v>
      </c>
      <c r="K7077" s="41" t="n">
        <v>0</v>
      </c>
      <c r="L7077" s="41" t="n">
        <v>0</v>
      </c>
      <c r="M7077" s="41" t="n">
        <v>0</v>
      </c>
      <c r="N7077" s="38" t="n">
        <f aca="false">Q!$N$39</f>
        <v>6.017</v>
      </c>
      <c r="O7077" s="38" t="n">
        <f aca="false">Q!$O$39</f>
        <v>13.593</v>
      </c>
      <c r="P7077" s="5" t="s">
        <v>704</v>
      </c>
    </row>
    <row r="7078" customFormat="false" ht="15" hidden="false" customHeight="false" outlineLevel="0" collapsed="false">
      <c r="A7078" s="5" t="s">
        <v>507</v>
      </c>
      <c r="B7078" s="0" t="s">
        <v>73</v>
      </c>
      <c r="C7078" s="38" t="n">
        <f aca="false">Q!$D$36</f>
        <v>68.614</v>
      </c>
      <c r="D7078" s="38" t="n">
        <f aca="false">Q!$E$36</f>
        <v>97.311</v>
      </c>
      <c r="E7078" s="38" t="n">
        <f aca="false">Q!$P$36</f>
        <v>120.691</v>
      </c>
      <c r="F7078" s="38" t="n">
        <f aca="false">Sens!$F$7056-Sens!$F$7075+Sens!$F$7076+Sens!$F$7077</f>
        <v>59.2236875896856</v>
      </c>
      <c r="G7078" s="38" t="n">
        <f aca="false">Sens!$E$7078+Sens!$F$7078</f>
        <v>179.914687589686</v>
      </c>
      <c r="H7078" s="38" t="n">
        <f aca="false">Sens!$H$7056-Sens!$H$7075+Sens!$H$7076+Sens!$H$7077</f>
        <v>132.22487528741</v>
      </c>
      <c r="I7078" s="38" t="n">
        <f aca="false">Sens!$I$7056-Sens!$I$7075+Sens!$I$7076+Sens!$I$7077</f>
        <v>155.256254868633</v>
      </c>
      <c r="J7078" s="38" t="n">
        <f aca="false">Sens!$J$7056-Sens!$J$7075+Sens!$J$7076+Sens!$J$7077</f>
        <v>177.272457389275</v>
      </c>
      <c r="K7078" s="38" t="n">
        <f aca="false">Sens!$K$7056-Sens!$K$7075+Sens!$K$7076+Sens!$K$7077</f>
        <v>196.921534464333</v>
      </c>
      <c r="L7078" s="38" t="n">
        <f aca="false">Sens!$L$7056-Sens!$L$7075+Sens!$L$7076+Sens!$L$7077</f>
        <v>220.12100479332</v>
      </c>
      <c r="M7078" s="38" t="n">
        <f aca="false">Sens!$M$7056-Sens!$M$7075+Sens!$M$7076+Sens!$M$7077</f>
        <v>244.529307072564</v>
      </c>
      <c r="N7078" s="38" t="n">
        <f aca="false">Q!$N$36</f>
        <v>42.536</v>
      </c>
      <c r="O7078" s="38" t="n">
        <f aca="false">Q!$O$36</f>
        <v>54.775</v>
      </c>
    </row>
    <row r="7079" customFormat="false" ht="15" hidden="false" customHeight="false" outlineLevel="0" collapsed="false">
      <c r="A7079" s="5" t="s">
        <v>508</v>
      </c>
      <c r="B7079" s="0" t="s">
        <v>73</v>
      </c>
      <c r="C7079" s="38" t="n">
        <f aca="false">Q!$D$37</f>
        <v>9.265</v>
      </c>
      <c r="D7079" s="38" t="n">
        <f aca="false">Q!$E$37</f>
        <v>19.087</v>
      </c>
      <c r="E7079" s="38" t="n">
        <f aca="false">Q!$P$37</f>
        <v>27.759</v>
      </c>
      <c r="F7079" s="38" t="n">
        <f aca="false">Sens!$F$7078*tax</f>
        <v>10.2803157750071</v>
      </c>
      <c r="G7079" s="38" t="n">
        <f aca="false">Sens!$E$7079+Sens!$F$7079</f>
        <v>38.0393157750071</v>
      </c>
      <c r="H7079" s="38" t="n">
        <f aca="false">Sens!$H$7078*tax</f>
        <v>22.9521923842892</v>
      </c>
      <c r="I7079" s="38" t="n">
        <f aca="false">Sens!$I$7078*tax</f>
        <v>26.9500835063251</v>
      </c>
      <c r="J7079" s="38" t="n">
        <f aca="false">Sens!$J$7078*tax</f>
        <v>30.7717555988633</v>
      </c>
      <c r="K7079" s="38" t="n">
        <f aca="false">Sens!$K$7078*tax</f>
        <v>34.1825313414772</v>
      </c>
      <c r="L7079" s="38" t="n">
        <f aca="false">Sens!$L$7078*tax</f>
        <v>38.209600416393</v>
      </c>
      <c r="M7079" s="38" t="n">
        <f aca="false">Sens!$M$7078*tax</f>
        <v>42.4465040131586</v>
      </c>
      <c r="N7079" s="38" t="n">
        <f aca="false">Q!$N$37</f>
        <v>7.231</v>
      </c>
      <c r="O7079" s="38" t="n">
        <f aca="false">Q!$O$37</f>
        <v>11.856</v>
      </c>
    </row>
    <row r="7080" customFormat="false" ht="15" hidden="false" customHeight="false" outlineLevel="0" collapsed="false">
      <c r="A7080" s="3" t="s">
        <v>509</v>
      </c>
      <c r="B7080" s="8" t="s">
        <v>73</v>
      </c>
      <c r="C7080" s="38" t="n">
        <f aca="false">Q!$D$38</f>
        <v>59.248</v>
      </c>
      <c r="D7080" s="38" t="n">
        <f aca="false">Q!$E$38</f>
        <v>77.67</v>
      </c>
      <c r="E7080" s="38" t="n">
        <f aca="false">Q!$P$38</f>
        <v>92.902</v>
      </c>
      <c r="F7080" s="38" t="n">
        <f aca="false">Sens!$F$7078-Sens!$F$7079</f>
        <v>48.9433718146785</v>
      </c>
      <c r="G7080" s="38" t="n">
        <f aca="false">Sens!$E$7080+Sens!$F$7080</f>
        <v>141.845371814679</v>
      </c>
      <c r="H7080" s="38" t="n">
        <f aca="false">Sens!$H$7078-Sens!$H$7079</f>
        <v>109.272682903121</v>
      </c>
      <c r="I7080" s="38" t="n">
        <f aca="false">Sens!$I$7078-Sens!$I$7079</f>
        <v>128.306171362308</v>
      </c>
      <c r="J7080" s="38" t="n">
        <f aca="false">Sens!$J$7078-Sens!$J$7079</f>
        <v>146.500701790412</v>
      </c>
      <c r="K7080" s="38" t="n">
        <f aca="false">Sens!$K$7078-Sens!$K$7079</f>
        <v>162.739003122855</v>
      </c>
      <c r="L7080" s="38" t="n">
        <f aca="false">Sens!$L$7078-Sens!$L$7079</f>
        <v>181.911404376927</v>
      </c>
      <c r="M7080" s="38" t="n">
        <f aca="false">Sens!$M$7078-Sens!$M$7079</f>
        <v>202.082803059406</v>
      </c>
      <c r="N7080" s="38" t="n">
        <f aca="false">Q!$N$38</f>
        <v>35.291</v>
      </c>
      <c r="O7080" s="38" t="n">
        <f aca="false">Q!$O$38</f>
        <v>42.379</v>
      </c>
    </row>
    <row r="7081" customFormat="false" ht="17.15" hidden="false" customHeight="false" outlineLevel="0" collapsed="false">
      <c r="A7081" s="5" t="s">
        <v>512</v>
      </c>
      <c r="B7081" s="5" t="s">
        <v>33</v>
      </c>
      <c r="C7081" s="22" t="n">
        <f aca="false">Q!$D$41</f>
        <v>10.721</v>
      </c>
      <c r="D7081" s="22" t="n">
        <f aca="false">Q!$E$41</f>
        <v>10.827</v>
      </c>
      <c r="E7081" s="22" t="n">
        <f aca="false">(Q!$L$41+Q!$M$41)/2</f>
        <v>10.8885</v>
      </c>
      <c r="F7081" s="22" t="n">
        <f aca="false">Sens!$G$7081</f>
        <v>10.924806</v>
      </c>
      <c r="G7081" s="22" t="n">
        <f aca="false">Q!$M$41*(1+sh_g*0.25)</f>
        <v>10.924806</v>
      </c>
      <c r="H7081" s="22" t="n">
        <f aca="false">Sens!$G$7081*(1+sh_g)</f>
        <v>11.012204448</v>
      </c>
      <c r="I7081" s="22" t="n">
        <f aca="false">Sens!$H$7081*(1+sh_g)</f>
        <v>11.100302083584</v>
      </c>
      <c r="J7081" s="22" t="n">
        <f aca="false">Sens!$I$7081*(1+sh_g)</f>
        <v>11.1891045002527</v>
      </c>
      <c r="K7081" s="22" t="n">
        <f aca="false">Sens!$J$7081*(1+sh_g)</f>
        <v>11.2786173362547</v>
      </c>
      <c r="L7081" s="22" t="n">
        <f aca="false">Sens!$K$7081*(1+sh_g)</f>
        <v>11.3688462749447</v>
      </c>
      <c r="M7081" s="22" t="n">
        <f aca="false">Sens!$L$7081*(1+sh_g)</f>
        <v>11.4597970451443</v>
      </c>
      <c r="P7081" s="5" t="s">
        <v>705</v>
      </c>
    </row>
    <row r="7082" customFormat="false" ht="17.15" hidden="false" customHeight="false" outlineLevel="0" collapsed="false">
      <c r="A7082" s="42" t="s">
        <v>706</v>
      </c>
      <c r="B7082" s="13" t="s">
        <v>27</v>
      </c>
      <c r="C7082" s="43" t="n">
        <f aca="false">Sens!$C$7080/Sens!$C$7081</f>
        <v>5.52635015390355</v>
      </c>
      <c r="D7082" s="43" t="n">
        <f aca="false">Sens!$D$7080/Sens!$D$7081</f>
        <v>7.1737323358271</v>
      </c>
      <c r="E7082" s="43" t="n">
        <f aca="false">Sens!$E$7080/Sens!$E$7081</f>
        <v>8.53212104513937</v>
      </c>
      <c r="F7082" s="13"/>
      <c r="G7082" s="43" t="n">
        <f aca="false">Sens!$G$7080/Sens!$G$7081</f>
        <v>12.9837886196495</v>
      </c>
      <c r="H7082" s="43" t="n">
        <f aca="false">Sens!$H$7080/Sens!$H$7081</f>
        <v>9.92287088558062</v>
      </c>
      <c r="I7082" s="43" t="n">
        <f aca="false">Sens!$I$7080/Sens!$I$7081</f>
        <v>11.5587999674403</v>
      </c>
      <c r="J7082" s="43" t="n">
        <f aca="false">Sens!$J$7080/Sens!$J$7081</f>
        <v>13.0931569892035</v>
      </c>
      <c r="K7082" s="43" t="n">
        <f aca="false">Sens!$K$7080/Sens!$K$7081</f>
        <v>14.4289852444711</v>
      </c>
      <c r="L7082" s="43" t="n">
        <f aca="false">Sens!$L$7080/Sens!$L$7081</f>
        <v>16.0008676322621</v>
      </c>
      <c r="M7082" s="43" t="n">
        <f aca="false">Sens!$M$7080/Sens!$M$7081</f>
        <v>17.6340647450673</v>
      </c>
      <c r="N7082" s="13"/>
      <c r="O7082" s="13"/>
    </row>
    <row r="7083" customFormat="false" ht="17.15" hidden="false" customHeight="false" outlineLevel="0" collapsed="false">
      <c r="A7083" s="0" t="s">
        <v>707</v>
      </c>
      <c r="B7083" s="0" t="s">
        <v>27</v>
      </c>
      <c r="C7083" s="30" t="n">
        <f aca="false">(Sens!$C$7080-Sens!$C$7077*(1-tax))/Sens!$C$7081</f>
        <v>5.33926775917445</v>
      </c>
      <c r="D7083" s="30" t="n">
        <f aca="false">(Sens!$D$7080-Sens!$D$7077*(1-tax))/Sens!$D$7081</f>
        <v>5.67691812755503</v>
      </c>
      <c r="E7083" s="30" t="n">
        <f aca="false">(Sens!$E$7080-Sens!$E$7077*(1-tax))/Sens!$E$7081</f>
        <v>3.10602057006846</v>
      </c>
      <c r="G7083" s="30" t="n">
        <f aca="false">(Sens!$G$7080-Sens!$G$7077*(1-tax))/Sens!$G$7081</f>
        <v>7.57572050175252</v>
      </c>
      <c r="H7083" s="30" t="n">
        <f aca="false">(Sens!$H$7080-Sens!$H$7077*(1-tax))/Sens!$H$7081</f>
        <v>9.92287088558062</v>
      </c>
      <c r="I7083" s="30" t="n">
        <f aca="false">(Sens!$I$7080-Sens!$I$7077*(1-tax))/Sens!$I$7081</f>
        <v>11.5587999674403</v>
      </c>
      <c r="J7083" s="30" t="n">
        <f aca="false">(Sens!$J$7080-Sens!$J$7077*(1-tax))/Sens!$J$7081</f>
        <v>13.0931569892035</v>
      </c>
      <c r="K7083" s="30" t="n">
        <f aca="false">(Sens!$K$7080-Sens!$K$7077*(1-tax))/Sens!$K$7081</f>
        <v>14.4289852444711</v>
      </c>
      <c r="L7083" s="30" t="n">
        <f aca="false">(Sens!$L$7080-Sens!$L$7077*(1-tax))/Sens!$L$7081</f>
        <v>16.0008676322621</v>
      </c>
      <c r="M7083" s="30" t="n">
        <f aca="false">(Sens!$M$7080-Sens!$M$7077*(1-tax))/Sens!$M$7081</f>
        <v>17.6340647450673</v>
      </c>
      <c r="P7083" s="5" t="s">
        <v>708</v>
      </c>
    </row>
    <row r="7084" customFormat="false" ht="17.15" hidden="false" customHeight="false" outlineLevel="0" collapsed="false">
      <c r="A7084" s="0" t="s">
        <v>709</v>
      </c>
      <c r="B7084" s="0" t="s">
        <v>52</v>
      </c>
      <c r="H7084" s="12" t="n">
        <f aca="false">Sens!$H$7082/Sens!$G$7082-1</f>
        <v>-0.23574919645846</v>
      </c>
      <c r="I7084" s="12" t="n">
        <f aca="false">Sens!$I$7082/Sens!$H$7082-1</f>
        <v>0.164864493423664</v>
      </c>
      <c r="J7084" s="12" t="n">
        <f aca="false">Sens!$J$7082/Sens!$I$7082-1</f>
        <v>0.132743626162345</v>
      </c>
      <c r="K7084" s="12" t="n">
        <f aca="false">Sens!$K$7082/Sens!$J$7082-1</f>
        <v>0.102024917013454</v>
      </c>
      <c r="L7084" s="12" t="n">
        <f aca="false">Sens!$L$7082/Sens!$K$7082-1</f>
        <v>0.108939219297719</v>
      </c>
      <c r="M7084" s="12" t="n">
        <f aca="false">Sens!$M$7082/Sens!$L$7082-1</f>
        <v>0.102069284637555</v>
      </c>
    </row>
    <row r="7087" customFormat="false" ht="19.4" hidden="false" customHeight="false" outlineLevel="0" collapsed="false">
      <c r="A7087" s="31" t="s">
        <v>1198</v>
      </c>
    </row>
    <row r="7088" customFormat="false" ht="17.15" hidden="false" customHeight="false" outlineLevel="0" collapsed="false">
      <c r="A7088" s="6" t="s">
        <v>16</v>
      </c>
      <c r="B7088" s="6" t="s">
        <v>17</v>
      </c>
      <c r="C7088" s="20" t="s">
        <v>457</v>
      </c>
      <c r="D7088" s="20" t="s">
        <v>458</v>
      </c>
      <c r="E7088" s="20" t="s">
        <v>540</v>
      </c>
      <c r="F7088" s="20" t="s">
        <v>541</v>
      </c>
      <c r="G7088" s="20" t="s">
        <v>542</v>
      </c>
      <c r="H7088" s="20" t="s">
        <v>543</v>
      </c>
      <c r="I7088" s="20" t="s">
        <v>544</v>
      </c>
      <c r="J7088" s="20" t="s">
        <v>545</v>
      </c>
      <c r="K7088" s="20" t="s">
        <v>546</v>
      </c>
      <c r="L7088" s="20" t="s">
        <v>547</v>
      </c>
      <c r="M7088" s="20" t="s">
        <v>548</v>
      </c>
      <c r="N7088" s="20" t="s">
        <v>549</v>
      </c>
      <c r="O7088" s="20" t="s">
        <v>550</v>
      </c>
      <c r="P7088" s="6" t="s">
        <v>23</v>
      </c>
      <c r="R7088" s="20" t="n">
        <v>2023</v>
      </c>
      <c r="S7088" s="20" t="n">
        <v>2024</v>
      </c>
      <c r="T7088" s="20" t="n">
        <v>2025</v>
      </c>
      <c r="U7088" s="20" t="n">
        <v>2026</v>
      </c>
      <c r="V7088" s="20" t="n">
        <v>2027</v>
      </c>
      <c r="W7088" s="20" t="n">
        <v>2028</v>
      </c>
      <c r="X7088" s="20" t="n">
        <v>2029</v>
      </c>
      <c r="Y7088" s="20" t="n">
        <v>2030</v>
      </c>
      <c r="Z7088" s="20" t="n">
        <v>2031</v>
      </c>
      <c r="AA7088" s="20" t="n">
        <v>2032</v>
      </c>
    </row>
    <row r="7089" customFormat="false" ht="15" hidden="false" customHeight="false" outlineLevel="0" collapsed="false">
      <c r="A7089" s="5" t="s">
        <v>509</v>
      </c>
      <c r="B7089" s="0" t="s">
        <v>73</v>
      </c>
      <c r="C7089" s="38" t="n">
        <f aca="false">Sens!$C$7080</f>
        <v>59.248</v>
      </c>
      <c r="D7089" s="38" t="n">
        <f aca="false">Sens!$D$7080</f>
        <v>77.67</v>
      </c>
      <c r="E7089" s="38" t="n">
        <f aca="false">Sens!$E$7080</f>
        <v>92.902</v>
      </c>
      <c r="F7089" s="38" t="n">
        <f aca="false">Sens!$F$7080</f>
        <v>48.9433718146785</v>
      </c>
      <c r="G7089" s="38" t="n">
        <f aca="false">Sens!$G$7080</f>
        <v>141.845371814679</v>
      </c>
      <c r="H7089" s="38" t="n">
        <f aca="false">Sens!$H$7080</f>
        <v>109.272682903121</v>
      </c>
      <c r="I7089" s="38" t="n">
        <f aca="false">Sens!$I$7080</f>
        <v>128.306171362308</v>
      </c>
      <c r="J7089" s="38" t="n">
        <f aca="false">Sens!$J$7080</f>
        <v>146.500701790412</v>
      </c>
      <c r="K7089" s="38" t="n">
        <f aca="false">Sens!$K$7080</f>
        <v>162.739003122855</v>
      </c>
      <c r="L7089" s="38" t="n">
        <f aca="false">Sens!$L$7080</f>
        <v>181.911404376927</v>
      </c>
      <c r="M7089" s="38" t="n">
        <f aca="false">Sens!$M$7080</f>
        <v>202.082803059406</v>
      </c>
    </row>
    <row r="7090" customFormat="false" ht="17.15" hidden="false" customHeight="false" outlineLevel="0" collapsed="false">
      <c r="A7090" s="5" t="s">
        <v>731</v>
      </c>
      <c r="B7090" s="0" t="s">
        <v>73</v>
      </c>
      <c r="C7090" s="38" t="n">
        <f aca="false">Sens!$C$7068</f>
        <v>32.067</v>
      </c>
      <c r="D7090" s="38" t="n">
        <f aca="false">Sens!$D$7068</f>
        <v>41.86</v>
      </c>
      <c r="E7090" s="38" t="n">
        <f aca="false">Sens!$E$7068</f>
        <v>26.703</v>
      </c>
      <c r="F7090" s="38" t="n">
        <f aca="false">Sens!$F$7068</f>
        <v>30.6103857251209</v>
      </c>
      <c r="G7090" s="38" t="n">
        <f aca="false">Sens!$G$7068</f>
        <v>57.3133857251209</v>
      </c>
      <c r="H7090" s="38" t="n">
        <f aca="false">Sens!$H$7068</f>
        <v>87.6845218193838</v>
      </c>
      <c r="I7090" s="38" t="n">
        <f aca="false">Sens!$I$7068</f>
        <v>122.294769708638</v>
      </c>
      <c r="J7090" s="38" t="n">
        <f aca="false">Sens!$J$7068</f>
        <v>157.133962573221</v>
      </c>
      <c r="K7090" s="38" t="n">
        <f aca="false">Sens!$K$7068</f>
        <v>191.350633353599</v>
      </c>
      <c r="L7090" s="38" t="n">
        <f aca="false">Sens!$L$7068</f>
        <v>223.909238335354</v>
      </c>
      <c r="M7090" s="38" t="n">
        <f aca="false">Sens!$M$7068</f>
        <v>257.576319867276</v>
      </c>
    </row>
    <row r="7091" customFormat="false" ht="15" hidden="false" customHeight="false" outlineLevel="0" collapsed="false">
      <c r="A7091" s="5" t="s">
        <v>732</v>
      </c>
      <c r="B7091" s="0" t="s">
        <v>73</v>
      </c>
      <c r="C7091" s="38" t="n">
        <f aca="false">Q!$D$48</f>
        <v>22.011</v>
      </c>
      <c r="D7091" s="38" t="n">
        <f aca="false">Q!$E$48</f>
        <v>19.467</v>
      </c>
      <c r="E7091" s="38" t="n">
        <f aca="false">Q!$P$48</f>
        <v>10.07</v>
      </c>
      <c r="F7091" s="38" t="n">
        <f aca="false">sbc_r*Sens!$F$7012</f>
        <v>11.2170714500462</v>
      </c>
      <c r="G7091" s="38" t="n">
        <f aca="false">Sens!$E$7091+Sens!$F$7091</f>
        <v>21.2870714500462</v>
      </c>
      <c r="H7091" s="38" t="n">
        <f aca="false">sbc_r*Sens!$H$7012</f>
        <v>24.1772394325528</v>
      </c>
      <c r="I7091" s="38" t="n">
        <f aca="false">sbc_r*Sens!$I$7012</f>
        <v>27.6495284422397</v>
      </c>
      <c r="J7091" s="38" t="n">
        <f aca="false">sbc_r*Sens!$J$7012</f>
        <v>30.9042211184633</v>
      </c>
      <c r="K7091" s="38" t="n">
        <f aca="false">sbc_r*Sens!$K$7012</f>
        <v>33.8004145402678</v>
      </c>
      <c r="L7091" s="38" t="n">
        <f aca="false">sbc_r*Sens!$L$7012</f>
        <v>36.8322537652494</v>
      </c>
      <c r="M7091" s="38" t="n">
        <f aca="false">sbc_r*Sens!$M$7012</f>
        <v>40.0097627968013</v>
      </c>
    </row>
    <row r="7092" customFormat="false" ht="17.15" hidden="false" customHeight="false" outlineLevel="0" collapsed="false">
      <c r="A7092" s="5" t="s">
        <v>733</v>
      </c>
      <c r="B7092" s="0" t="s">
        <v>73</v>
      </c>
      <c r="C7092" s="38" t="n">
        <f aca="false">Q!$D$44-Sens!$C$7089-Sens!$C$7090-Sens!$C$7091</f>
        <v>2.551</v>
      </c>
      <c r="D7092" s="38" t="n">
        <f aca="false">Q!$E$44-Sens!$D$7089-Sens!$D$7090-Sens!$D$7091</f>
        <v>0.51700000000001</v>
      </c>
      <c r="E7092" s="38" t="n">
        <f aca="false">Q!$P$44-Sens!$E$7089-Sens!$E$7090-Sens!$E$7091</f>
        <v>-58.256</v>
      </c>
      <c r="F7092" s="38" t="n">
        <f aca="false">wc_2h26+oth_r*Sens!$F$7012</f>
        <v>7.34599241893378</v>
      </c>
      <c r="G7092" s="38" t="n">
        <f aca="false">Sens!$E$7092+Sens!$F$7092</f>
        <v>-50.9100075810662</v>
      </c>
      <c r="H7092" s="38" t="n">
        <f aca="false">oth_r*Sens!$H$7012</f>
        <v>11.6369707537667</v>
      </c>
      <c r="I7092" s="38" t="n">
        <f aca="false">oth_r*Sens!$I$7012</f>
        <v>13.3082502961262</v>
      </c>
      <c r="J7092" s="38" t="n">
        <f aca="false">oth_r*Sens!$J$7012</f>
        <v>14.8747965344332</v>
      </c>
      <c r="K7092" s="38" t="n">
        <f aca="false">oth_r*Sens!$K$7012</f>
        <v>16.2687901804328</v>
      </c>
      <c r="L7092" s="38" t="n">
        <f aca="false">oth_r*Sens!$L$7012</f>
        <v>17.7280727627002</v>
      </c>
      <c r="M7092" s="38" t="n">
        <f aca="false">oth_r*Sens!$M$7012</f>
        <v>19.2574690270319</v>
      </c>
      <c r="P7092" s="8" t="s">
        <v>734</v>
      </c>
    </row>
    <row r="7093" customFormat="false" ht="15" hidden="false" customHeight="false" outlineLevel="0" collapsed="false">
      <c r="A7093" s="3" t="s">
        <v>515</v>
      </c>
      <c r="B7093" s="8" t="s">
        <v>73</v>
      </c>
      <c r="C7093" s="38" t="n">
        <f aca="false">Q!$D$44</f>
        <v>115.877</v>
      </c>
      <c r="D7093" s="38" t="n">
        <f aca="false">Q!$E$44</f>
        <v>139.514</v>
      </c>
      <c r="E7093" s="38" t="n">
        <f aca="false">Q!$P$44</f>
        <v>71.419</v>
      </c>
      <c r="F7093" s="38" t="n">
        <f aca="false">Sens!$F$7089+Sens!$F$7090+Sens!$F$7091+Sens!$F$7092</f>
        <v>98.1168214087795</v>
      </c>
      <c r="G7093" s="38" t="n">
        <f aca="false">Sens!$E$7093+Sens!$F$7093</f>
        <v>169.535821408779</v>
      </c>
      <c r="H7093" s="38" t="n">
        <f aca="false">Sens!$H$7089+Sens!$H$7090+Sens!$H$7091+Sens!$H$7092</f>
        <v>232.771414908824</v>
      </c>
      <c r="I7093" s="38" t="n">
        <f aca="false">Sens!$I$7089+Sens!$I$7090+Sens!$I$7091+Sens!$I$7092</f>
        <v>291.558719809312</v>
      </c>
      <c r="J7093" s="38" t="n">
        <f aca="false">Sens!$J$7089+Sens!$J$7090+Sens!$J$7091+Sens!$J$7092</f>
        <v>349.413682016529</v>
      </c>
      <c r="K7093" s="38" t="n">
        <f aca="false">Sens!$K$7089+Sens!$K$7090+Sens!$K$7091+Sens!$K$7092</f>
        <v>404.158841197156</v>
      </c>
      <c r="L7093" s="38" t="n">
        <f aca="false">Sens!$L$7089+Sens!$L$7090+Sens!$L$7091+Sens!$L$7092</f>
        <v>460.380969240231</v>
      </c>
      <c r="M7093" s="38" t="n">
        <f aca="false">Sens!$M$7089+Sens!$M$7090+Sens!$M$7091+Sens!$M$7092</f>
        <v>518.926354750515</v>
      </c>
    </row>
    <row r="7094" customFormat="false" ht="17.15" hidden="false" customHeight="false" outlineLevel="0" collapsed="false">
      <c r="A7094" s="5" t="s">
        <v>735</v>
      </c>
      <c r="B7094" s="0" t="s">
        <v>73</v>
      </c>
      <c r="C7094" s="38" t="n">
        <f aca="false">Sens!$C$6981</f>
        <v>25.2781053077374</v>
      </c>
      <c r="D7094" s="38" t="n">
        <f aca="false">Sens!$D$6981</f>
        <v>69.5686316310026</v>
      </c>
      <c r="E7094" s="38" t="n">
        <f aca="false">Sens!$E$6981</f>
        <v>64.1899206485108</v>
      </c>
      <c r="F7094" s="38" t="n">
        <f aca="false">Sens!$F$6981</f>
        <v>96.2481299895</v>
      </c>
      <c r="G7094" s="38" t="n">
        <f aca="false">Sens!$G$6981</f>
        <v>160.438050638011</v>
      </c>
      <c r="H7094" s="38" t="n">
        <f aca="false">Sens!$H$6981</f>
        <v>198.57136494475</v>
      </c>
      <c r="I7094" s="38" t="n">
        <f aca="false">Sens!$I$6981</f>
        <v>204.6464699105</v>
      </c>
      <c r="J7094" s="38" t="n">
        <f aca="false">Sens!$J$6981</f>
        <v>209.8832381105</v>
      </c>
      <c r="K7094" s="38" t="n">
        <f aca="false">Sens!$K$6981</f>
        <v>215.1200063105</v>
      </c>
      <c r="L7094" s="38" t="n">
        <f aca="false">Sens!$L$6981</f>
        <v>251.7773837105</v>
      </c>
      <c r="M7094" s="38" t="n">
        <f aca="false">Sens!$M$6981</f>
        <v>311.87584476575</v>
      </c>
    </row>
    <row r="7095" customFormat="false" ht="17.15" hidden="false" customHeight="false" outlineLevel="0" collapsed="false">
      <c r="A7095" s="5" t="s">
        <v>736</v>
      </c>
      <c r="B7095" s="0" t="s">
        <v>73</v>
      </c>
      <c r="C7095" s="38" t="n">
        <f aca="false">cx_awso*Sens!$C$7010</f>
        <v>21.0469989286053</v>
      </c>
      <c r="D7095" s="38" t="n">
        <f aca="false">cx_awso*Sens!$D$7010</f>
        <v>24.0042459822698</v>
      </c>
      <c r="E7095" s="38" t="n">
        <f aca="false">cx_awso*Sens!$E$7010</f>
        <v>14.261729404886</v>
      </c>
      <c r="F7095" s="38" t="n">
        <f aca="false">cx_awso*Sens!$F$7010</f>
        <v>15.7190020837331</v>
      </c>
      <c r="G7095" s="38" t="n">
        <f aca="false">Sens!$E$7095+Sens!$F$7095</f>
        <v>29.9807314886191</v>
      </c>
      <c r="H7095" s="38" t="n">
        <f aca="false">cx_awso*Sens!$H$7010</f>
        <v>36.1787121536283</v>
      </c>
      <c r="I7095" s="38" t="n">
        <f aca="false">cx_awso*Sens!$I$7010</f>
        <v>42.1296794430021</v>
      </c>
      <c r="J7095" s="38" t="n">
        <f aca="false">cx_awso*Sens!$J$7010</f>
        <v>47.279781889299</v>
      </c>
      <c r="K7095" s="38" t="n">
        <f aca="false">cx_awso*Sens!$K$7010</f>
        <v>51.0621644404429</v>
      </c>
      <c r="L7095" s="38" t="n">
        <f aca="false">cx_awso*Sens!$L$7010</f>
        <v>55.1471375956783</v>
      </c>
      <c r="M7095" s="38" t="n">
        <f aca="false">cx_awso*Sens!$M$7010</f>
        <v>59.5589086033326</v>
      </c>
    </row>
    <row r="7096" customFormat="false" ht="17.15" hidden="false" customHeight="false" outlineLevel="0" collapsed="false">
      <c r="A7096" s="5" t="s">
        <v>737</v>
      </c>
      <c r="B7096" s="0" t="s">
        <v>73</v>
      </c>
      <c r="C7096" s="38" t="n">
        <f aca="false">Q!$D$46-Sens!$C$7094-Sens!$C$7095</f>
        <v>31.3328957636573</v>
      </c>
      <c r="D7096" s="38" t="n">
        <f aca="false">Q!$E$46-Sens!$D$7094-Sens!$D$7095</f>
        <v>34.7471223867276</v>
      </c>
      <c r="E7096" s="38" t="n">
        <f aca="false">Q!$P$46-Sens!$E$7094-Sens!$E$7095</f>
        <v>17.8583499466032</v>
      </c>
      <c r="F7096" s="38" t="n">
        <f aca="false">cx_rt*Sens!$F$6945</f>
        <v>21.0855744229195</v>
      </c>
      <c r="G7096" s="38" t="n">
        <f aca="false">Sens!$E$7096+Sens!$F$7096</f>
        <v>38.9439243695228</v>
      </c>
      <c r="H7096" s="38" t="n">
        <f aca="false">cx_rt*Sens!$H$6945</f>
        <v>43.1200434029767</v>
      </c>
      <c r="I7096" s="38" t="n">
        <f aca="false">cx_rt*Sens!$I$6945</f>
        <v>47.1583152318763</v>
      </c>
      <c r="J7096" s="38" t="n">
        <f aca="false">cx_rt*Sens!$J$6945</f>
        <v>50.9060281137911</v>
      </c>
      <c r="K7096" s="38" t="n">
        <f aca="false">cx_rt*Sens!$K$6945</f>
        <v>54.2035645673053</v>
      </c>
      <c r="L7096" s="38" t="n">
        <f aca="false">cx_rt*Sens!$L$6945</f>
        <v>57.7318979121519</v>
      </c>
      <c r="M7096" s="38" t="n">
        <f aca="false">cx_rt*Sens!$M$6945</f>
        <v>61.5084196557756</v>
      </c>
    </row>
    <row r="7097" customFormat="false" ht="15" hidden="false" customHeight="false" outlineLevel="0" collapsed="false">
      <c r="A7097" s="3" t="s">
        <v>738</v>
      </c>
      <c r="B7097" s="8" t="s">
        <v>73</v>
      </c>
      <c r="C7097" s="38" t="n">
        <f aca="false">Q!$D$46</f>
        <v>77.658</v>
      </c>
      <c r="D7097" s="38" t="n">
        <f aca="false">Q!$E$46</f>
        <v>128.32</v>
      </c>
      <c r="E7097" s="38" t="n">
        <f aca="false">Q!$P$46</f>
        <v>96.31</v>
      </c>
      <c r="F7097" s="38" t="n">
        <f aca="false">Sens!$F$7094+Sens!$F$7095+Sens!$F$7096</f>
        <v>133.052706496153</v>
      </c>
      <c r="G7097" s="38" t="n">
        <f aca="false">Sens!$E$7097+Sens!$F$7097</f>
        <v>229.362706496153</v>
      </c>
      <c r="H7097" s="38" t="n">
        <f aca="false">Sens!$H$7094+Sens!$H$7095+Sens!$H$7096</f>
        <v>277.870120501355</v>
      </c>
      <c r="I7097" s="38" t="n">
        <f aca="false">Sens!$I$7094+Sens!$I$7095+Sens!$I$7096</f>
        <v>293.934464585378</v>
      </c>
      <c r="J7097" s="38" t="n">
        <f aca="false">Sens!$J$7094+Sens!$J$7095+Sens!$J$7096</f>
        <v>308.06904811359</v>
      </c>
      <c r="K7097" s="38" t="n">
        <f aca="false">Sens!$K$7094+Sens!$K$7095+Sens!$K$7096</f>
        <v>320.385735318248</v>
      </c>
      <c r="L7097" s="38" t="n">
        <f aca="false">Sens!$L$7094+Sens!$L$7095+Sens!$L$7096</f>
        <v>364.65641921833</v>
      </c>
      <c r="M7097" s="38" t="n">
        <f aca="false">Sens!$M$7094+Sens!$M$7095+Sens!$M$7096</f>
        <v>432.943173024858</v>
      </c>
    </row>
    <row r="7098" customFormat="false" ht="17.15" hidden="false" customHeight="false" outlineLevel="0" collapsed="false">
      <c r="A7098" s="5" t="s">
        <v>523</v>
      </c>
      <c r="B7098" s="0" t="s">
        <v>73</v>
      </c>
      <c r="C7098" s="38" t="n">
        <f aca="false">Q!$D$50</f>
        <v>2.043</v>
      </c>
      <c r="D7098" s="38" t="n">
        <f aca="false">Q!$E$50</f>
        <v>1.557</v>
      </c>
      <c r="E7098" s="38" t="n">
        <f aca="false">lease_pr/2</f>
        <v>0.8</v>
      </c>
      <c r="F7098" s="38" t="n">
        <f aca="false">lease_pr/2</f>
        <v>0.8</v>
      </c>
      <c r="G7098" s="38" t="n">
        <f aca="false">Sens!$E$7098+Sens!$F$7098</f>
        <v>1.6</v>
      </c>
      <c r="H7098" s="38" t="n">
        <f aca="false">lease_pr</f>
        <v>1.6</v>
      </c>
      <c r="I7098" s="38" t="n">
        <f aca="false">lease_pr</f>
        <v>1.6</v>
      </c>
      <c r="J7098" s="38" t="n">
        <f aca="false">lease_pr</f>
        <v>1.6</v>
      </c>
      <c r="K7098" s="38" t="n">
        <f aca="false">lease_pr</f>
        <v>1.6</v>
      </c>
      <c r="L7098" s="38" t="n">
        <f aca="false">lease_pr</f>
        <v>1.6</v>
      </c>
      <c r="M7098" s="38" t="n">
        <f aca="false">lease_pr</f>
        <v>1.6</v>
      </c>
      <c r="P7098" s="8" t="s">
        <v>739</v>
      </c>
    </row>
    <row r="7099" customFormat="false" ht="15" hidden="false" customHeight="false" outlineLevel="0" collapsed="false">
      <c r="A7099" s="46" t="s">
        <v>740</v>
      </c>
      <c r="B7099" s="13" t="s">
        <v>73</v>
      </c>
      <c r="C7099" s="47" t="n">
        <f aca="false">Sens!$C$7093-Sens!$C$7097-Sens!$C$7098</f>
        <v>36.176</v>
      </c>
      <c r="D7099" s="47" t="n">
        <f aca="false">Sens!$D$7093-Sens!$D$7097-Sens!$D$7098</f>
        <v>9.63700000000002</v>
      </c>
      <c r="E7099" s="47" t="n">
        <f aca="false">Sens!$E$7093-Sens!$E$7097-Sens!$E$7098</f>
        <v>-25.691</v>
      </c>
      <c r="F7099" s="47" t="n">
        <f aca="false">Sens!$F$7093-Sens!$F$7097-Sens!$F$7098</f>
        <v>-35.7358850873731</v>
      </c>
      <c r="G7099" s="47" t="n">
        <f aca="false">Sens!$G$7093-Sens!$G$7097-Sens!$G$7098</f>
        <v>-61.4268850873731</v>
      </c>
      <c r="H7099" s="47" t="n">
        <f aca="false">Sens!$H$7093-Sens!$H$7097-Sens!$H$7098</f>
        <v>-46.6987055925312</v>
      </c>
      <c r="I7099" s="47" t="n">
        <f aca="false">Sens!$I$7093-Sens!$I$7097-Sens!$I$7098</f>
        <v>-3.97574477606648</v>
      </c>
      <c r="J7099" s="47" t="n">
        <f aca="false">Sens!$J$7093-Sens!$J$7097-Sens!$J$7098</f>
        <v>39.7446339029391</v>
      </c>
      <c r="K7099" s="47" t="n">
        <f aca="false">Sens!$K$7093-Sens!$K$7097-Sens!$K$7098</f>
        <v>82.1731058789073</v>
      </c>
      <c r="L7099" s="47" t="n">
        <f aca="false">Sens!$L$7093-Sens!$L$7097-Sens!$L$7098</f>
        <v>94.1245500219009</v>
      </c>
      <c r="M7099" s="47" t="n">
        <f aca="false">Sens!$M$7093-Sens!$M$7097-Sens!$M$7098</f>
        <v>84.3831817256571</v>
      </c>
      <c r="N7099" s="13"/>
      <c r="O7099" s="13"/>
    </row>
    <row r="7100" customFormat="false" ht="17.15" hidden="false" customHeight="false" outlineLevel="0" collapsed="false">
      <c r="A7100" s="5" t="s">
        <v>741</v>
      </c>
      <c r="B7100" s="0" t="s">
        <v>73</v>
      </c>
      <c r="C7100" s="38" t="n">
        <f aca="false">dps*Sens!$C$7081</f>
        <v>0</v>
      </c>
      <c r="D7100" s="38" t="n">
        <f aca="false">dps*Sens!$D$7081</f>
        <v>0</v>
      </c>
      <c r="E7100" s="38" t="n">
        <f aca="false">dps*Sens!$E$7081</f>
        <v>0</v>
      </c>
      <c r="F7100" s="38" t="n">
        <f aca="false">0</f>
        <v>0</v>
      </c>
      <c r="G7100" s="38" t="n">
        <f aca="false">dps*Sens!$G$7081</f>
        <v>0</v>
      </c>
      <c r="H7100" s="38" t="n">
        <f aca="false">dps*Sens!$H$7081</f>
        <v>0</v>
      </c>
      <c r="I7100" s="38" t="n">
        <f aca="false">dps*Sens!$I$7081</f>
        <v>0</v>
      </c>
      <c r="J7100" s="38" t="n">
        <f aca="false">dps*Sens!$J$7081</f>
        <v>0</v>
      </c>
      <c r="K7100" s="38" t="n">
        <f aca="false">dps*Sens!$K$7081</f>
        <v>0</v>
      </c>
      <c r="L7100" s="38" t="n">
        <f aca="false">dps*Sens!$L$7081</f>
        <v>0</v>
      </c>
      <c r="M7100" s="38" t="n">
        <f aca="false">dps*Sens!$M$7081</f>
        <v>0</v>
      </c>
      <c r="P7100" s="8" t="s">
        <v>742</v>
      </c>
    </row>
    <row r="7101" customFormat="false" ht="17.15" hidden="false" customHeight="false" outlineLevel="0" collapsed="false">
      <c r="A7101" s="5" t="s">
        <v>743</v>
      </c>
      <c r="B7101" s="0" t="s">
        <v>73</v>
      </c>
      <c r="C7101" s="38" t="n">
        <f aca="false">0</f>
        <v>0</v>
      </c>
      <c r="D7101" s="38" t="n">
        <f aca="false">0</f>
        <v>0</v>
      </c>
      <c r="E7101" s="38" t="n">
        <f aca="false">0</f>
        <v>0</v>
      </c>
      <c r="F7101" s="38" t="n">
        <f aca="false">0</f>
        <v>0</v>
      </c>
      <c r="G7101" s="38" t="n">
        <f aca="false">0</f>
        <v>0</v>
      </c>
      <c r="H7101" s="38" t="n">
        <f aca="false">0</f>
        <v>0</v>
      </c>
      <c r="I7101" s="38" t="n">
        <f aca="false">0</f>
        <v>0</v>
      </c>
      <c r="J7101" s="38" t="n">
        <f aca="false">0</f>
        <v>0</v>
      </c>
      <c r="K7101" s="38" t="n">
        <f aca="false">0</f>
        <v>0</v>
      </c>
      <c r="L7101" s="38" t="n">
        <f aca="false">0</f>
        <v>0</v>
      </c>
      <c r="M7101" s="38" t="n">
        <f aca="false">0</f>
        <v>0</v>
      </c>
      <c r="P7101" s="8" t="s">
        <v>744</v>
      </c>
    </row>
    <row r="7102" customFormat="false" ht="15" hidden="false" customHeight="false" outlineLevel="0" collapsed="false">
      <c r="A7102" s="3" t="s">
        <v>745</v>
      </c>
      <c r="B7102" s="8" t="s">
        <v>73</v>
      </c>
      <c r="C7102" s="38" t="n">
        <f aca="false">Sens!$C$7099-Sens!$C$7100</f>
        <v>36.176</v>
      </c>
      <c r="D7102" s="38" t="n">
        <f aca="false">Sens!$D$7099-Sens!$D$7100</f>
        <v>9.63700000000002</v>
      </c>
      <c r="E7102" s="38" t="n">
        <f aca="false">Sens!$E$7099-Sens!$E$7100</f>
        <v>-25.691</v>
      </c>
      <c r="F7102" s="38" t="n">
        <f aca="false">Sens!$F$7099-Sens!$F$7100</f>
        <v>-35.7358850873731</v>
      </c>
      <c r="G7102" s="38" t="n">
        <f aca="false">Sens!$G$7099-Sens!$G$7100</f>
        <v>-61.4268850873731</v>
      </c>
      <c r="H7102" s="38" t="n">
        <f aca="false">Sens!$H$7099-Sens!$H$7100</f>
        <v>-46.6987055925312</v>
      </c>
      <c r="I7102" s="38" t="n">
        <f aca="false">Sens!$I$7099-Sens!$I$7100</f>
        <v>-3.97574477606648</v>
      </c>
      <c r="J7102" s="38" t="n">
        <f aca="false">Sens!$J$7099-Sens!$J$7100</f>
        <v>39.7446339029391</v>
      </c>
      <c r="K7102" s="38" t="n">
        <f aca="false">Sens!$K$7099-Sens!$K$7100</f>
        <v>82.1731058789073</v>
      </c>
      <c r="L7102" s="38" t="n">
        <f aca="false">Sens!$L$7099-Sens!$L$7100</f>
        <v>94.1245500219009</v>
      </c>
      <c r="M7102" s="38" t="n">
        <f aca="false">Sens!$M$7099-Sens!$M$7100</f>
        <v>84.3831817256571</v>
      </c>
    </row>
    <row r="7103" customFormat="false" ht="17.15" hidden="false" customHeight="false" outlineLevel="0" collapsed="false">
      <c r="A7103" s="5" t="s">
        <v>746</v>
      </c>
      <c r="B7103" s="0" t="s">
        <v>73</v>
      </c>
      <c r="E7103" s="38" t="n">
        <f aca="false">Q!$P$53</f>
        <v>39.767</v>
      </c>
      <c r="F7103" s="38" t="n">
        <f aca="false">inv_2h26</f>
        <v>21.3</v>
      </c>
      <c r="G7103" s="38" t="n">
        <f aca="false">Sens!$E$7103+Sens!$F$7103</f>
        <v>61.067</v>
      </c>
      <c r="H7103" s="41" t="n">
        <v>0</v>
      </c>
      <c r="I7103" s="41" t="n">
        <v>0</v>
      </c>
      <c r="J7103" s="41" t="n">
        <v>0</v>
      </c>
      <c r="K7103" s="41" t="n">
        <v>0</v>
      </c>
      <c r="L7103" s="41" t="n">
        <v>0</v>
      </c>
      <c r="M7103" s="41" t="n">
        <v>0</v>
      </c>
    </row>
    <row r="7104" customFormat="false" ht="17.15" hidden="false" customHeight="false" outlineLevel="0" collapsed="false">
      <c r="A7104" s="5" t="s">
        <v>747</v>
      </c>
      <c r="B7104" s="0" t="s">
        <v>73</v>
      </c>
      <c r="F7104" s="38" t="n">
        <f aca="false">iss_2h26</f>
        <v>29.25</v>
      </c>
      <c r="G7104" s="38" t="n">
        <f aca="false">Sens!$F$7104</f>
        <v>29.25</v>
      </c>
      <c r="H7104" s="41" t="n">
        <v>0</v>
      </c>
      <c r="I7104" s="41" t="n">
        <v>0</v>
      </c>
      <c r="J7104" s="41" t="n">
        <v>0</v>
      </c>
      <c r="K7104" s="41" t="n">
        <v>0</v>
      </c>
      <c r="L7104" s="41" t="n">
        <v>0</v>
      </c>
      <c r="M7104" s="41" t="n">
        <v>0</v>
      </c>
    </row>
    <row r="7105" customFormat="false" ht="17.15" hidden="false" customHeight="false" outlineLevel="0" collapsed="false">
      <c r="A7105" s="5" t="s">
        <v>748</v>
      </c>
      <c r="B7105" s="0" t="s">
        <v>73</v>
      </c>
      <c r="F7105" s="38" t="n">
        <f aca="false">cash_q2</f>
        <v>122.988</v>
      </c>
      <c r="G7105" s="38" t="n">
        <f aca="false">cash_q2</f>
        <v>122.988</v>
      </c>
      <c r="H7105" s="38" t="n">
        <f aca="false">Sens!$G$7108</f>
        <v>95.2021149126269</v>
      </c>
      <c r="I7105" s="38" t="n">
        <f aca="false">Sens!$H$7108</f>
        <v>50</v>
      </c>
      <c r="J7105" s="38" t="n">
        <f aca="false">Sens!$I$7108</f>
        <v>50</v>
      </c>
      <c r="K7105" s="38" t="n">
        <f aca="false">Sens!$J$7108</f>
        <v>89.7446339029391</v>
      </c>
      <c r="L7105" s="38" t="n">
        <f aca="false">Sens!$K$7108</f>
        <v>171.917739781846</v>
      </c>
      <c r="M7105" s="38" t="n">
        <f aca="false">Sens!$L$7108</f>
        <v>266.042289803747</v>
      </c>
    </row>
    <row r="7106" customFormat="false" ht="15" hidden="false" customHeight="false" outlineLevel="0" collapsed="false">
      <c r="A7106" s="5" t="s">
        <v>749</v>
      </c>
      <c r="B7106" s="0" t="s">
        <v>73</v>
      </c>
      <c r="F7106" s="38" t="n">
        <f aca="false">Sens!$F$7105+Sens!$F$7102-Sens!$F$7101-Sens!$F$7103+Sens!$F$7104</f>
        <v>95.2021149126269</v>
      </c>
      <c r="H7106" s="38" t="n">
        <f aca="false">Sens!$H$7105+Sens!$H$7102-Sens!$H$7101-Sens!$H$7103+Sens!$H$7104</f>
        <v>48.5034093200957</v>
      </c>
      <c r="I7106" s="38" t="n">
        <f aca="false">Sens!$I$7105+Sens!$I$7102-Sens!$I$7101-Sens!$I$7103+Sens!$I$7104</f>
        <v>46.0242552239335</v>
      </c>
      <c r="J7106" s="38" t="n">
        <f aca="false">Sens!$J$7105+Sens!$J$7102-Sens!$J$7101-Sens!$J$7103+Sens!$J$7104</f>
        <v>89.7446339029391</v>
      </c>
      <c r="K7106" s="38" t="n">
        <f aca="false">Sens!$K$7105+Sens!$K$7102-Sens!$K$7101-Sens!$K$7103+Sens!$K$7104</f>
        <v>171.917739781846</v>
      </c>
      <c r="L7106" s="38" t="n">
        <f aca="false">Sens!$L$7105+Sens!$L$7102-Sens!$L$7101-Sens!$L$7103+Sens!$L$7104</f>
        <v>266.042289803747</v>
      </c>
      <c r="M7106" s="38" t="n">
        <f aca="false">Sens!$M$7105+Sens!$M$7102-Sens!$M$7101-Sens!$M$7103+Sens!$M$7104</f>
        <v>350.425471529404</v>
      </c>
    </row>
    <row r="7107" customFormat="false" ht="17.15" hidden="false" customHeight="false" outlineLevel="0" collapsed="false">
      <c r="A7107" s="5" t="s">
        <v>750</v>
      </c>
      <c r="B7107" s="0" t="s">
        <v>73</v>
      </c>
      <c r="F7107" s="38" t="n">
        <f aca="false">MAX(0,min_cash-Sens!$F$7106)</f>
        <v>0</v>
      </c>
      <c r="G7107" s="38" t="n">
        <f aca="false">Sens!$F$7107</f>
        <v>0</v>
      </c>
      <c r="H7107" s="38" t="n">
        <f aca="false">MAX(0,min_cash-Sens!$H$7106)</f>
        <v>1.49659067990431</v>
      </c>
      <c r="I7107" s="38" t="n">
        <f aca="false">MAX(0,min_cash-Sens!$I$7106)</f>
        <v>3.97574477606648</v>
      </c>
      <c r="J7107" s="38" t="n">
        <f aca="false">MAX(0,min_cash-Sens!$J$7106)</f>
        <v>0</v>
      </c>
      <c r="K7107" s="38" t="n">
        <f aca="false">MAX(0,min_cash-Sens!$K$7106)</f>
        <v>0</v>
      </c>
      <c r="L7107" s="38" t="n">
        <f aca="false">MAX(0,min_cash-Sens!$L$7106)</f>
        <v>0</v>
      </c>
      <c r="M7107" s="38" t="n">
        <f aca="false">MAX(0,min_cash-Sens!$M$7106)</f>
        <v>0</v>
      </c>
      <c r="P7107" s="5" t="s">
        <v>751</v>
      </c>
    </row>
    <row r="7108" customFormat="false" ht="15" hidden="false" customHeight="false" outlineLevel="0" collapsed="false">
      <c r="A7108" s="5" t="s">
        <v>752</v>
      </c>
      <c r="B7108" s="0" t="s">
        <v>73</v>
      </c>
      <c r="D7108" s="38" t="n">
        <f aca="false">Q!$E$61</f>
        <v>123.029</v>
      </c>
      <c r="E7108" s="38" t="n">
        <f aca="false">Q!$M$61</f>
        <v>122.988</v>
      </c>
      <c r="F7108" s="38" t="n">
        <f aca="false">Sens!$F$7106+Sens!$F$7107</f>
        <v>95.2021149126269</v>
      </c>
      <c r="G7108" s="38" t="n">
        <f aca="false">Sens!$F$7108</f>
        <v>95.2021149126269</v>
      </c>
      <c r="H7108" s="38" t="n">
        <f aca="false">Sens!$H$7106+Sens!$H$7107</f>
        <v>50</v>
      </c>
      <c r="I7108" s="38" t="n">
        <f aca="false">Sens!$I$7106+Sens!$I$7107</f>
        <v>50</v>
      </c>
      <c r="J7108" s="38" t="n">
        <f aca="false">Sens!$J$7106+Sens!$J$7107</f>
        <v>89.7446339029391</v>
      </c>
      <c r="K7108" s="38" t="n">
        <f aca="false">Sens!$K$7106+Sens!$K$7107</f>
        <v>171.917739781846</v>
      </c>
      <c r="L7108" s="38" t="n">
        <f aca="false">Sens!$L$7106+Sens!$L$7107</f>
        <v>266.042289803747</v>
      </c>
      <c r="M7108" s="38" t="n">
        <f aca="false">Sens!$M$7106+Sens!$M$7107</f>
        <v>350.425471529404</v>
      </c>
    </row>
    <row r="7109" customFormat="false" ht="15" hidden="false" customHeight="false" outlineLevel="0" collapsed="false">
      <c r="A7109" s="5" t="s">
        <v>753</v>
      </c>
      <c r="B7109" s="0" t="s">
        <v>73</v>
      </c>
      <c r="D7109" s="38" t="n">
        <f aca="false">Q!$E$62</f>
        <v>68.836</v>
      </c>
      <c r="E7109" s="38" t="n">
        <f aca="false">Q!$M$62</f>
        <v>132.995</v>
      </c>
      <c r="F7109" s="38" t="n">
        <f aca="false">debt_q2+Sens!$F$7104+Sens!$F$7107</f>
        <v>162.245</v>
      </c>
      <c r="G7109" s="38" t="n">
        <f aca="false">Sens!$F$7109</f>
        <v>162.245</v>
      </c>
      <c r="H7109" s="38" t="n">
        <f aca="false">Sens!$G$7109+Sens!$H$7107</f>
        <v>163.741590679904</v>
      </c>
      <c r="I7109" s="38" t="n">
        <f aca="false">Sens!$H$7109+Sens!$I$7107</f>
        <v>167.717335455971</v>
      </c>
      <c r="J7109" s="38" t="n">
        <f aca="false">Sens!$I$7109+Sens!$J$7107</f>
        <v>167.717335455971</v>
      </c>
      <c r="K7109" s="38" t="n">
        <f aca="false">Sens!$J$7109+Sens!$K$7107</f>
        <v>167.717335455971</v>
      </c>
      <c r="L7109" s="38" t="n">
        <f aca="false">Sens!$K$7109+Sens!$L$7107</f>
        <v>167.717335455971</v>
      </c>
      <c r="M7109" s="38" t="n">
        <f aca="false">Sens!$L$7109+Sens!$M$7107</f>
        <v>167.717335455971</v>
      </c>
    </row>
    <row r="7110" customFormat="false" ht="15" hidden="false" customHeight="false" outlineLevel="0" collapsed="false">
      <c r="A7110" s="5" t="s">
        <v>754</v>
      </c>
      <c r="B7110" s="0" t="s">
        <v>73</v>
      </c>
      <c r="D7110" s="38" t="n">
        <f aca="false">Sens!$D$7109-Sens!$D$7108</f>
        <v>-54.193</v>
      </c>
      <c r="E7110" s="38" t="n">
        <f aca="false">Sens!$E$7109-Sens!$E$7108</f>
        <v>10.007</v>
      </c>
      <c r="F7110" s="38" t="n">
        <f aca="false">Sens!$F$7109-Sens!$F$7108</f>
        <v>67.0428850873731</v>
      </c>
      <c r="G7110" s="38" t="n">
        <f aca="false">Sens!$G$7109-Sens!$G$7108</f>
        <v>67.0428850873731</v>
      </c>
      <c r="H7110" s="38" t="n">
        <f aca="false">Sens!$H$7109-Sens!$H$7108</f>
        <v>113.741590679904</v>
      </c>
      <c r="I7110" s="38" t="n">
        <f aca="false">Sens!$I$7109-Sens!$I$7108</f>
        <v>117.717335455971</v>
      </c>
      <c r="J7110" s="38" t="n">
        <f aca="false">Sens!$J$7109-Sens!$J$7108</f>
        <v>77.9727015530317</v>
      </c>
      <c r="K7110" s="38" t="n">
        <f aca="false">Sens!$K$7109-Sens!$K$7108</f>
        <v>-4.20040432587558</v>
      </c>
      <c r="L7110" s="38" t="n">
        <f aca="false">Sens!$L$7109-Sens!$L$7108</f>
        <v>-98.3249543477765</v>
      </c>
      <c r="M7110" s="38" t="n">
        <f aca="false">Sens!$M$7109-Sens!$M$7108</f>
        <v>-182.708136073434</v>
      </c>
    </row>
    <row r="7111" customFormat="false" ht="17.15" hidden="false" customHeight="false" outlineLevel="0" collapsed="false">
      <c r="A7111" s="5" t="s">
        <v>755</v>
      </c>
      <c r="B7111" s="0" t="s">
        <v>73</v>
      </c>
      <c r="F7111" s="38" t="n">
        <f aca="false">debt_q2*kd_book*0.5+iss_2h26*kd_new*0.25</f>
        <v>3.24888964316061</v>
      </c>
      <c r="H7111" s="38" t="n">
        <f aca="false">debt_q2*kd_book+(Sens!$G$7109-debt_q2)*kd_new</f>
        <v>7.42354178632123</v>
      </c>
      <c r="I7111" s="38" t="n">
        <f aca="false">debt_q2*kd_book+(Sens!$H$7109-debt_q2)*kd_new</f>
        <v>7.51827597635917</v>
      </c>
      <c r="J7111" s="38" t="n">
        <f aca="false">debt_q2*kd_book+(Sens!$I$7109-debt_q2)*kd_new</f>
        <v>7.76994062068418</v>
      </c>
      <c r="K7111" s="38" t="n">
        <f aca="false">debt_q2*kd_book+(Sens!$J$7109-debt_q2)*kd_new</f>
        <v>7.76994062068418</v>
      </c>
      <c r="L7111" s="38" t="n">
        <f aca="false">debt_q2*kd_book+(Sens!$K$7109-debt_q2)*kd_new</f>
        <v>7.76994062068418</v>
      </c>
      <c r="M7111" s="38" t="n">
        <f aca="false">debt_q2*kd_book+(Sens!$L$7109-debt_q2)*kd_new</f>
        <v>7.76994062068418</v>
      </c>
    </row>
    <row r="7112" customFormat="false" ht="17.15" hidden="false" customHeight="false" outlineLevel="0" collapsed="false">
      <c r="A7112" s="5" t="s">
        <v>756</v>
      </c>
      <c r="B7112" s="0" t="s">
        <v>73</v>
      </c>
      <c r="F7112" s="38" t="n">
        <f aca="false">cash_q2*y_cash*0.5</f>
        <v>2.59</v>
      </c>
      <c r="H7112" s="38" t="n">
        <f aca="false">Sens!$G$7108*y_cash</f>
        <v>4.00971603121774</v>
      </c>
      <c r="I7112" s="38" t="n">
        <f aca="false">Sens!$H$7108*y_cash</f>
        <v>2.10589651022864</v>
      </c>
      <c r="J7112" s="38" t="n">
        <f aca="false">Sens!$I$7108*y_cash</f>
        <v>2.10589651022864</v>
      </c>
      <c r="K7112" s="38" t="n">
        <f aca="false">Sens!$J$7108*y_cash</f>
        <v>3.77985822695893</v>
      </c>
      <c r="L7112" s="38" t="n">
        <f aca="false">Sens!$K$7108*y_cash</f>
        <v>7.24081936505971</v>
      </c>
      <c r="M7112" s="38" t="n">
        <f aca="false">Sens!$L$7108*y_cash</f>
        <v>11.205150593419</v>
      </c>
    </row>
    <row r="7113" customFormat="false" ht="17.15" hidden="false" customHeight="false" outlineLevel="0" collapsed="false">
      <c r="A7113" s="46" t="s">
        <v>757</v>
      </c>
      <c r="B7113" s="13" t="s">
        <v>73</v>
      </c>
      <c r="C7113" s="13"/>
      <c r="D7113" s="13"/>
      <c r="E7113" s="13"/>
      <c r="F7113" s="13"/>
      <c r="G7113" s="47" t="n">
        <f aca="false">SUM(Sens!$G$7102:$K$7102)</f>
        <v>9.81640432587554</v>
      </c>
      <c r="H7113" s="13"/>
      <c r="I7113" s="13"/>
      <c r="J7113" s="13"/>
      <c r="K7113" s="13"/>
      <c r="L7113" s="13"/>
      <c r="M7113" s="13"/>
      <c r="N7113" s="13"/>
      <c r="O7113" s="13"/>
    </row>
    <row r="7114" customFormat="false" ht="17.15" hidden="false" customHeight="false" outlineLevel="0" collapsed="false">
      <c r="A7114" s="0" t="s">
        <v>724</v>
      </c>
      <c r="B7114" s="0" t="s">
        <v>73</v>
      </c>
      <c r="G7114" s="38" t="n">
        <f aca="false">SUM(Sens!$G$7107:$K$7107)</f>
        <v>5.47233545597079</v>
      </c>
    </row>
    <row r="7117" customFormat="false" ht="19.4" hidden="false" customHeight="false" outlineLevel="0" collapsed="false">
      <c r="A7117" s="31" t="s">
        <v>1199</v>
      </c>
    </row>
    <row r="7118" customFormat="false" ht="17.15" hidden="false" customHeight="false" outlineLevel="0" collapsed="false">
      <c r="A7118" s="6" t="s">
        <v>16</v>
      </c>
      <c r="B7118" s="6" t="s">
        <v>17</v>
      </c>
      <c r="C7118" s="20" t="s">
        <v>457</v>
      </c>
      <c r="D7118" s="20" t="s">
        <v>458</v>
      </c>
      <c r="E7118" s="20" t="s">
        <v>540</v>
      </c>
      <c r="F7118" s="20" t="s">
        <v>541</v>
      </c>
      <c r="G7118" s="20" t="s">
        <v>542</v>
      </c>
      <c r="H7118" s="20" t="s">
        <v>543</v>
      </c>
      <c r="I7118" s="20" t="s">
        <v>544</v>
      </c>
      <c r="J7118" s="20" t="s">
        <v>545</v>
      </c>
      <c r="K7118" s="20" t="s">
        <v>546</v>
      </c>
      <c r="L7118" s="20" t="s">
        <v>547</v>
      </c>
      <c r="M7118" s="20" t="s">
        <v>548</v>
      </c>
      <c r="N7118" s="20" t="s">
        <v>549</v>
      </c>
      <c r="O7118" s="20" t="s">
        <v>550</v>
      </c>
      <c r="P7118" s="6" t="s">
        <v>23</v>
      </c>
      <c r="R7118" s="20" t="n">
        <v>2023</v>
      </c>
      <c r="S7118" s="20" t="n">
        <v>2024</v>
      </c>
      <c r="T7118" s="20" t="n">
        <v>2025</v>
      </c>
      <c r="U7118" s="20" t="n">
        <v>2026</v>
      </c>
      <c r="V7118" s="20" t="n">
        <v>2027</v>
      </c>
      <c r="W7118" s="20" t="n">
        <v>2028</v>
      </c>
      <c r="X7118" s="20" t="n">
        <v>2029</v>
      </c>
      <c r="Y7118" s="20" t="n">
        <v>2030</v>
      </c>
      <c r="Z7118" s="20" t="n">
        <v>2031</v>
      </c>
      <c r="AA7118" s="20" t="n">
        <v>2032</v>
      </c>
    </row>
    <row r="7119" customFormat="false" ht="17.15" hidden="false" customHeight="false" outlineLevel="0" collapsed="false">
      <c r="A7119" s="1" t="s">
        <v>852</v>
      </c>
    </row>
    <row r="7120" customFormat="false" ht="17.15" hidden="false" customHeight="false" outlineLevel="0" collapsed="false">
      <c r="A7120" s="0" t="s">
        <v>853</v>
      </c>
      <c r="B7120" s="0" t="s">
        <v>73</v>
      </c>
      <c r="H7120" s="38" t="n">
        <f aca="false">Sens!$H$7056*(1-tax)</f>
        <v>112.093921330558</v>
      </c>
      <c r="I7120" s="38" t="n">
        <f aca="false">Sens!$I$7056*(1-tax)</f>
        <v>132.779045500917</v>
      </c>
      <c r="J7120" s="38" t="n">
        <f aca="false">Sens!$J$7056*(1-tax)</f>
        <v>151.181555485193</v>
      </c>
      <c r="K7120" s="38" t="n">
        <f aca="false">Sens!$K$7056*(1-tax)</f>
        <v>166.036468953087</v>
      </c>
      <c r="L7120" s="38" t="n">
        <f aca="false">Sens!$L$7056*(1-tax)</f>
        <v>182.348678369869</v>
      </c>
      <c r="M7120" s="38" t="n">
        <f aca="false">Sens!$M$7056*(1-tax)</f>
        <v>199.243892383632</v>
      </c>
    </row>
    <row r="7121" customFormat="false" ht="15" hidden="false" customHeight="false" outlineLevel="0" collapsed="false">
      <c r="A7121" s="5" t="s">
        <v>854</v>
      </c>
      <c r="B7121" s="0" t="s">
        <v>73</v>
      </c>
      <c r="H7121" s="38" t="n">
        <f aca="false">Sens!$H$7068</f>
        <v>87.6845218193838</v>
      </c>
      <c r="I7121" s="38" t="n">
        <f aca="false">Sens!$I$7068</f>
        <v>122.294769708638</v>
      </c>
      <c r="J7121" s="38" t="n">
        <f aca="false">Sens!$J$7068</f>
        <v>157.133962573221</v>
      </c>
      <c r="K7121" s="38" t="n">
        <f aca="false">Sens!$K$7068</f>
        <v>191.350633353599</v>
      </c>
      <c r="L7121" s="38" t="n">
        <f aca="false">Sens!$L$7068</f>
        <v>223.909238335354</v>
      </c>
      <c r="M7121" s="38" t="n">
        <f aca="false">Sens!$M$7068</f>
        <v>257.576319867276</v>
      </c>
    </row>
    <row r="7122" customFormat="false" ht="15" hidden="false" customHeight="false" outlineLevel="0" collapsed="false">
      <c r="A7122" s="5" t="s">
        <v>855</v>
      </c>
      <c r="B7122" s="0" t="s">
        <v>73</v>
      </c>
      <c r="H7122" s="38" t="n">
        <f aca="false">Sens!$H$7097</f>
        <v>277.870120501355</v>
      </c>
      <c r="I7122" s="38" t="n">
        <f aca="false">Sens!$I$7097</f>
        <v>293.934464585378</v>
      </c>
      <c r="J7122" s="38" t="n">
        <f aca="false">Sens!$J$7097</f>
        <v>308.06904811359</v>
      </c>
      <c r="K7122" s="38" t="n">
        <f aca="false">Sens!$K$7097</f>
        <v>320.385735318248</v>
      </c>
      <c r="L7122" s="38" t="n">
        <f aca="false">Sens!$L$7097</f>
        <v>364.65641921833</v>
      </c>
      <c r="M7122" s="38" t="n">
        <f aca="false">Sens!$M$7097</f>
        <v>432.943173024858</v>
      </c>
    </row>
    <row r="7123" customFormat="false" ht="15" hidden="false" customHeight="false" outlineLevel="0" collapsed="false">
      <c r="A7123" s="5" t="s">
        <v>856</v>
      </c>
      <c r="B7123" s="0" t="s">
        <v>73</v>
      </c>
      <c r="H7123" s="38" t="n">
        <f aca="false">Sens!$H$7098</f>
        <v>1.6</v>
      </c>
      <c r="I7123" s="38" t="n">
        <f aca="false">Sens!$I$7098</f>
        <v>1.6</v>
      </c>
      <c r="J7123" s="38" t="n">
        <f aca="false">Sens!$J$7098</f>
        <v>1.6</v>
      </c>
      <c r="K7123" s="38" t="n">
        <f aca="false">Sens!$K$7098</f>
        <v>1.6</v>
      </c>
      <c r="L7123" s="38" t="n">
        <f aca="false">Sens!$L$7098</f>
        <v>1.6</v>
      </c>
      <c r="M7123" s="38" t="n">
        <f aca="false">Sens!$M$7098</f>
        <v>1.6</v>
      </c>
    </row>
    <row r="7124" customFormat="false" ht="15" hidden="false" customHeight="false" outlineLevel="0" collapsed="false">
      <c r="A7124" s="5" t="s">
        <v>857</v>
      </c>
      <c r="B7124" s="0" t="s">
        <v>73</v>
      </c>
      <c r="H7124" s="38" t="n">
        <f aca="false">Sens!$H$7092</f>
        <v>11.6369707537667</v>
      </c>
      <c r="I7124" s="38" t="n">
        <f aca="false">Sens!$I$7092</f>
        <v>13.3082502961262</v>
      </c>
      <c r="J7124" s="38" t="n">
        <f aca="false">Sens!$J$7092</f>
        <v>14.8747965344332</v>
      </c>
      <c r="K7124" s="38" t="n">
        <f aca="false">Sens!$K$7092</f>
        <v>16.2687901804328</v>
      </c>
      <c r="L7124" s="38" t="n">
        <f aca="false">Sens!$L$7092</f>
        <v>17.7280727627002</v>
      </c>
      <c r="M7124" s="38" t="n">
        <f aca="false">Sens!$M$7092</f>
        <v>19.2574690270319</v>
      </c>
    </row>
    <row r="7125" customFormat="false" ht="17.15" hidden="false" customHeight="false" outlineLevel="0" collapsed="false">
      <c r="A7125" s="1" t="s">
        <v>858</v>
      </c>
      <c r="B7125" s="8" t="s">
        <v>73</v>
      </c>
      <c r="H7125" s="38" t="n">
        <f aca="false">Sens!$H$7120+Sens!$H$7121-Sens!$H$7122-Sens!$H$7123+Sens!$H$7124</f>
        <v>-68.0547065976468</v>
      </c>
      <c r="I7125" s="38" t="n">
        <f aca="false">Sens!$I$7120+Sens!$I$7121-Sens!$I$7122-Sens!$I$7123+Sens!$I$7124</f>
        <v>-27.1523990796972</v>
      </c>
      <c r="J7125" s="38" t="n">
        <f aca="false">Sens!$J$7120+Sens!$J$7121-Sens!$J$7122-Sens!$J$7123+Sens!$J$7124</f>
        <v>13.5212664792573</v>
      </c>
      <c r="K7125" s="38" t="n">
        <f aca="false">Sens!$K$7120+Sens!$K$7121-Sens!$K$7122-Sens!$K$7123+Sens!$K$7124</f>
        <v>51.6701571688709</v>
      </c>
      <c r="L7125" s="38" t="n">
        <f aca="false">Sens!$L$7120+Sens!$L$7121-Sens!$L$7122-Sens!$L$7123+Sens!$L$7124</f>
        <v>57.7295702495933</v>
      </c>
      <c r="M7125" s="38" t="n">
        <f aca="false">Sens!$M$7120+Sens!$M$7121-Sens!$M$7122-Sens!$M$7123+Sens!$M$7124</f>
        <v>41.534508253082</v>
      </c>
    </row>
    <row r="7126" customFormat="false" ht="15" hidden="false" customHeight="false" outlineLevel="0" collapsed="false">
      <c r="A7126" s="5" t="s">
        <v>859</v>
      </c>
      <c r="B7126" s="0" t="s">
        <v>57</v>
      </c>
      <c r="H7126" s="51" t="n">
        <f aca="false">1/(1+wacc)^(2027-2026-0.5)</f>
        <v>0.942858177653364</v>
      </c>
      <c r="I7126" s="51" t="n">
        <f aca="false">1/(1+wacc)^(2028-2026-0.5)</f>
        <v>0.838183517758688</v>
      </c>
      <c r="J7126" s="51" t="n">
        <f aca="false">1/(1+wacc)^(2029-2026-0.5)</f>
        <v>0.745129677074952</v>
      </c>
      <c r="K7126" s="51" t="n">
        <f aca="false">1/(1+wacc)^(2030-2026-0.5)</f>
        <v>0.662406530186232</v>
      </c>
      <c r="L7126" s="51" t="n">
        <f aca="false">1/(1+wacc)^(2031-2026-0.5)</f>
        <v>0.588867179409399</v>
      </c>
      <c r="M7126" s="51" t="n">
        <f aca="false">1/(1+wacc)^(2032-2026-0.5)</f>
        <v>0.52349205387225</v>
      </c>
    </row>
    <row r="7127" customFormat="false" ht="15" hidden="false" customHeight="false" outlineLevel="0" collapsed="false">
      <c r="A7127" s="5" t="s">
        <v>860</v>
      </c>
      <c r="B7127" s="0" t="s">
        <v>73</v>
      </c>
      <c r="H7127" s="38" t="n">
        <f aca="false">Sens!$H$7125*Sens!$H$7126</f>
        <v>-64.1659366433916</v>
      </c>
      <c r="I7127" s="38" t="n">
        <f aca="false">Sens!$I$7125*Sens!$I$7126</f>
        <v>-22.7586933762084</v>
      </c>
      <c r="J7127" s="38" t="n">
        <f aca="false">Sens!$J$7125*Sens!$J$7126</f>
        <v>10.0750969253334</v>
      </c>
      <c r="K7127" s="38" t="n">
        <f aca="false">Sens!$K$7125*Sens!$K$7126</f>
        <v>34.226649524409</v>
      </c>
      <c r="L7127" s="38" t="n">
        <f aca="false">Sens!$L$7125*Sens!$L$7126</f>
        <v>33.9950492013948</v>
      </c>
      <c r="M7127" s="38" t="n">
        <f aca="false">Sens!$M$7125*Sens!$M$7126</f>
        <v>21.7429850319798</v>
      </c>
    </row>
    <row r="7128" customFormat="false" ht="15" hidden="false" customHeight="false" outlineLevel="0" collapsed="false">
      <c r="A7128" s="5" t="s">
        <v>861</v>
      </c>
      <c r="B7128" s="0" t="s">
        <v>73</v>
      </c>
      <c r="C7128" s="38" t="n">
        <f aca="false">SUM(Sens!$H$7127:$M$7127)</f>
        <v>13.115150663517</v>
      </c>
    </row>
    <row r="7129" customFormat="false" ht="17.15" hidden="false" customHeight="false" outlineLevel="0" collapsed="false">
      <c r="A7129" s="5" t="s">
        <v>862</v>
      </c>
      <c r="B7129" s="0" t="s">
        <v>73</v>
      </c>
      <c r="C7129" s="38" t="n">
        <f aca="false">Sens!$M$7120*(1+tg)*(1-tg/ronic)/(wacc-tg)</f>
        <v>1643.3111431308</v>
      </c>
    </row>
    <row r="7130" customFormat="false" ht="15" hidden="false" customHeight="false" outlineLevel="0" collapsed="false">
      <c r="A7130" s="5" t="s">
        <v>863</v>
      </c>
      <c r="B7130" s="0" t="s">
        <v>73</v>
      </c>
      <c r="C7130" s="38" t="n">
        <f aca="false">Sens!$C$7129/(1+wacc)^6</f>
        <v>811.103482778908</v>
      </c>
    </row>
    <row r="7131" customFormat="false" ht="17.15" hidden="false" customHeight="false" outlineLevel="0" collapsed="false">
      <c r="A7131" s="5" t="s">
        <v>864</v>
      </c>
      <c r="B7131" s="0" t="s">
        <v>73</v>
      </c>
      <c r="C7131" s="38" t="n">
        <f aca="false">Sens!$C$7128+Sens!$C$7130</f>
        <v>824.218633442425</v>
      </c>
    </row>
    <row r="7132" customFormat="false" ht="17.15" hidden="false" customHeight="false" outlineLevel="0" collapsed="false">
      <c r="A7132" s="5" t="s">
        <v>865</v>
      </c>
      <c r="B7132" s="0" t="s">
        <v>52</v>
      </c>
      <c r="C7132" s="12" t="n">
        <f aca="false">Sens!$C$7130/Sens!$C$7131</f>
        <v>0.984087777039521</v>
      </c>
    </row>
    <row r="7133" customFormat="false" ht="17.15" hidden="false" customHeight="false" outlineLevel="0" collapsed="false">
      <c r="A7133" s="5" t="s">
        <v>866</v>
      </c>
      <c r="B7133" s="0" t="s">
        <v>73</v>
      </c>
      <c r="C7133" s="38" t="n">
        <f aca="false">Sens!$G$7110</f>
        <v>67.0428850873731</v>
      </c>
    </row>
    <row r="7134" customFormat="false" ht="17.15" hidden="false" customHeight="false" outlineLevel="0" collapsed="false">
      <c r="A7134" s="5" t="s">
        <v>867</v>
      </c>
      <c r="B7134" s="0" t="s">
        <v>73</v>
      </c>
      <c r="C7134" s="38" t="n">
        <f aca="false">(ant_val*ant_sh+oai_val*oai_sh)*(1-liq_disc)</f>
        <v>178.944</v>
      </c>
    </row>
    <row r="7135" customFormat="false" ht="15" hidden="false" customHeight="false" outlineLevel="0" collapsed="false">
      <c r="A7135" s="5" t="s">
        <v>868</v>
      </c>
      <c r="B7135" s="0" t="s">
        <v>73</v>
      </c>
      <c r="C7135" s="38" t="n">
        <f aca="false">Sens!$C$7131-Sens!$C$7133+Sens!$C$7134</f>
        <v>936.119748355051</v>
      </c>
    </row>
    <row r="7136" customFormat="false" ht="17.15" hidden="false" customHeight="false" outlineLevel="0" collapsed="false">
      <c r="A7136" s="5" t="s">
        <v>869</v>
      </c>
      <c r="B7136" s="0" t="s">
        <v>27</v>
      </c>
      <c r="C7136" s="30" t="n">
        <f aca="false">Sens!$C$7135/sh_val</f>
        <v>84.8679147624493</v>
      </c>
    </row>
    <row r="7137" customFormat="false" ht="17.15" hidden="false" customHeight="false" outlineLevel="0" collapsed="false">
      <c r="A7137" s="1" t="s">
        <v>870</v>
      </c>
      <c r="B7137" s="8" t="s">
        <v>27</v>
      </c>
      <c r="C7137" s="30" t="n">
        <f aca="false">Sens!$C$7136*(1+ke)^tp_yf</f>
        <v>93.7319373662158</v>
      </c>
    </row>
    <row r="7138" customFormat="false" ht="17.15" hidden="false" customHeight="false" outlineLevel="0" collapsed="false">
      <c r="A7138" s="3" t="s">
        <v>871</v>
      </c>
    </row>
    <row r="7139" customFormat="false" ht="17.15" hidden="false" customHeight="false" outlineLevel="0" collapsed="false">
      <c r="A7139" s="5" t="s">
        <v>872</v>
      </c>
      <c r="B7139" s="0" t="s">
        <v>73</v>
      </c>
      <c r="C7139" s="38" t="n">
        <f aca="false">0.25*Sens!$H$7069+0.75*Sens!$I$7069</f>
        <v>57.5541093268329</v>
      </c>
    </row>
    <row r="7140" customFormat="false" ht="15" hidden="false" customHeight="false" outlineLevel="0" collapsed="false">
      <c r="A7140" s="5" t="s">
        <v>873</v>
      </c>
      <c r="B7140" s="0" t="s">
        <v>57</v>
      </c>
      <c r="C7140" s="30" t="n">
        <f aca="false">m_ads*m_x</f>
        <v>9.11</v>
      </c>
    </row>
    <row r="7141" customFormat="false" ht="17.15" hidden="false" customHeight="false" outlineLevel="0" collapsed="false">
      <c r="A7141" s="5" t="s">
        <v>874</v>
      </c>
      <c r="B7141" s="0" t="s">
        <v>73</v>
      </c>
      <c r="C7141" s="38" t="n">
        <f aca="false">Sens!$C$7139*Sens!$C$7140</f>
        <v>524.317935967448</v>
      </c>
    </row>
    <row r="7142" customFormat="false" ht="17.15" hidden="false" customHeight="false" outlineLevel="0" collapsed="false">
      <c r="A7142" s="5" t="s">
        <v>875</v>
      </c>
      <c r="B7142" s="0" t="s">
        <v>73</v>
      </c>
      <c r="C7142" s="38" t="n">
        <f aca="false">0.25*Sens!$H$7070+0.75*Sens!$I$7070</f>
        <v>30.6290803533085</v>
      </c>
    </row>
    <row r="7143" customFormat="false" ht="15" hidden="false" customHeight="false" outlineLevel="0" collapsed="false">
      <c r="A7143" s="5" t="s">
        <v>876</v>
      </c>
      <c r="B7143" s="0" t="s">
        <v>57</v>
      </c>
      <c r="C7143" s="30" t="n">
        <f aca="false">m_retail*m_x</f>
        <v>17.72</v>
      </c>
    </row>
    <row r="7144" customFormat="false" ht="17.15" hidden="false" customHeight="false" outlineLevel="0" collapsed="false">
      <c r="A7144" s="5" t="s">
        <v>877</v>
      </c>
      <c r="B7144" s="0" t="s">
        <v>73</v>
      </c>
      <c r="C7144" s="38" t="n">
        <f aca="false">Sens!$C$7142*Sens!$C$7143</f>
        <v>542.747303860627</v>
      </c>
    </row>
    <row r="7145" customFormat="false" ht="17.15" hidden="false" customHeight="false" outlineLevel="0" collapsed="false">
      <c r="A7145" s="0" t="s">
        <v>878</v>
      </c>
      <c r="B7145" s="0" t="s">
        <v>73</v>
      </c>
      <c r="C7145" s="38" t="n">
        <f aca="false">0.25*Sens!$H$7071+0.75*Sens!$I$7071</f>
        <v>107.575398943098</v>
      </c>
    </row>
    <row r="7146" customFormat="false" ht="17.15" hidden="false" customHeight="false" outlineLevel="0" collapsed="false">
      <c r="A7146" s="0" t="s">
        <v>879</v>
      </c>
      <c r="B7146" s="0" t="s">
        <v>57</v>
      </c>
      <c r="C7146" s="30" t="n">
        <f aca="false">m_cloud*m_x</f>
        <v>13.82</v>
      </c>
    </row>
    <row r="7147" customFormat="false" ht="17.15" hidden="false" customHeight="false" outlineLevel="0" collapsed="false">
      <c r="A7147" s="0" t="s">
        <v>880</v>
      </c>
      <c r="B7147" s="0" t="s">
        <v>73</v>
      </c>
      <c r="C7147" s="38" t="n">
        <f aca="false">Sens!$C$7145*Sens!$C$7146</f>
        <v>1486.69201339361</v>
      </c>
    </row>
    <row r="7148" customFormat="false" ht="17.15" hidden="false" customHeight="false" outlineLevel="0" collapsed="false">
      <c r="A7148" s="0" t="s">
        <v>881</v>
      </c>
      <c r="B7148" s="0" t="s">
        <v>73</v>
      </c>
      <c r="C7148" s="38" t="n">
        <f aca="false">0.25*Sens!$H$7072+0.75*Sens!$I$7072</f>
        <v>72.2947701247864</v>
      </c>
    </row>
    <row r="7149" customFormat="false" ht="17.15" hidden="false" customHeight="false" outlineLevel="0" collapsed="false">
      <c r="A7149" s="0" t="s">
        <v>882</v>
      </c>
      <c r="B7149" s="0" t="s">
        <v>57</v>
      </c>
      <c r="C7149" s="30" t="n">
        <f aca="false">m_ai</f>
        <v>6</v>
      </c>
    </row>
    <row r="7150" customFormat="false" ht="17.15" hidden="false" customHeight="false" outlineLevel="0" collapsed="false">
      <c r="A7150" s="0" t="s">
        <v>883</v>
      </c>
      <c r="B7150" s="0" t="s">
        <v>73</v>
      </c>
      <c r="C7150" s="38" t="n">
        <f aca="false">Sens!$C$7148*Sens!$C$7149</f>
        <v>433.768620748718</v>
      </c>
    </row>
    <row r="7151" customFormat="false" ht="17.15" hidden="false" customHeight="false" outlineLevel="0" collapsed="false">
      <c r="A7151" s="5" t="s">
        <v>884</v>
      </c>
      <c r="B7151" s="0" t="s">
        <v>73</v>
      </c>
      <c r="C7151" s="38" t="n">
        <f aca="false">Sens!$C$7141+Sens!$C$7144+Sens!$C$7147+Sens!$C$7150</f>
        <v>2987.5258739704</v>
      </c>
    </row>
    <row r="7152" customFormat="false" ht="17.15" hidden="false" customHeight="false" outlineLevel="0" collapsed="false">
      <c r="A7152" s="5" t="s">
        <v>885</v>
      </c>
      <c r="B7152" s="0" t="s">
        <v>73</v>
      </c>
      <c r="C7152" s="38" t="n">
        <f aca="false">Sens!$H$7110</f>
        <v>113.741590679904</v>
      </c>
    </row>
    <row r="7153" customFormat="false" ht="15" hidden="false" customHeight="false" outlineLevel="0" collapsed="false">
      <c r="A7153" s="5" t="s">
        <v>886</v>
      </c>
      <c r="B7153" s="0" t="s">
        <v>73</v>
      </c>
      <c r="C7153" s="38" t="n">
        <f aca="false">Sens!$C$7151-Sens!$C$7152+Sens!$C$7134</f>
        <v>3052.7282832905</v>
      </c>
    </row>
    <row r="7154" customFormat="false" ht="15" hidden="false" customHeight="false" outlineLevel="0" collapsed="false">
      <c r="A7154" s="3" t="s">
        <v>887</v>
      </c>
      <c r="B7154" s="8" t="s">
        <v>27</v>
      </c>
      <c r="C7154" s="30" t="n">
        <f aca="false">Sens!$C$7153/sh_val</f>
        <v>276.758058137828</v>
      </c>
    </row>
    <row r="7155" customFormat="false" ht="17.15" hidden="false" customHeight="false" outlineLevel="0" collapsed="false">
      <c r="A7155" s="46" t="s">
        <v>888</v>
      </c>
      <c r="B7155" s="13" t="s">
        <v>27</v>
      </c>
      <c r="C7155" s="43" t="n">
        <f aca="false">0.7*Sens!$C$7137+(1-0.7)*Sens!$C$7154</f>
        <v>148.639773597699</v>
      </c>
      <c r="D7155" s="13"/>
      <c r="E7155" s="13"/>
      <c r="F7155" s="13"/>
      <c r="G7155" s="13"/>
      <c r="H7155" s="13"/>
      <c r="I7155" s="13"/>
      <c r="J7155" s="13"/>
      <c r="K7155" s="13"/>
      <c r="L7155" s="13"/>
      <c r="M7155" s="13"/>
      <c r="N7155" s="13"/>
      <c r="O7155" s="13"/>
    </row>
    <row r="7156" customFormat="false" ht="17.15" hidden="false" customHeight="false" outlineLevel="0" collapsed="false">
      <c r="A7156" s="5" t="s">
        <v>889</v>
      </c>
      <c r="B7156" s="0" t="s">
        <v>27</v>
      </c>
      <c r="C7156" s="30" t="n">
        <f aca="false">0.45*Sens!$C$7137+0.55*Sens!$C$7154</f>
        <v>194.396303790603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90"/>
    <col collapsed="false" customWidth="true" hidden="false" outlineLevel="0" max="3" min="3" style="0" width="12"/>
    <col collapsed="false" customWidth="true" hidden="false" outlineLevel="0" max="4" min="4" style="0" width="100"/>
    <col collapsed="false" customWidth="true" hidden="false" outlineLevel="0" max="5" min="5" style="0" width="18"/>
  </cols>
  <sheetData>
    <row r="1" customFormat="false" ht="17.15" hidden="false" customHeight="false" outlineLevel="0" collapsed="false">
      <c r="A1" s="1" t="s">
        <v>1200</v>
      </c>
    </row>
    <row r="2" customFormat="false" ht="15" hidden="false" customHeight="false" outlineLevel="0" collapsed="false">
      <c r="A2" s="6" t="s">
        <v>1201</v>
      </c>
      <c r="B2" s="6" t="s">
        <v>1202</v>
      </c>
      <c r="C2" s="6" t="s">
        <v>1203</v>
      </c>
      <c r="D2" s="6" t="s">
        <v>1204</v>
      </c>
      <c r="E2" s="6" t="s">
        <v>21</v>
      </c>
    </row>
    <row r="3" customFormat="false" ht="17.15" hidden="false" customHeight="false" outlineLevel="0" collapsed="false">
      <c r="A3" s="0" t="s">
        <v>69</v>
      </c>
      <c r="B3" s="0" t="s">
        <v>1205</v>
      </c>
      <c r="C3" s="0" t="s">
        <v>1206</v>
      </c>
      <c r="D3" s="0" t="s">
        <v>1207</v>
      </c>
      <c r="E3" s="0" t="s">
        <v>28</v>
      </c>
    </row>
    <row r="4" customFormat="false" ht="17.15" hidden="false" customHeight="false" outlineLevel="0" collapsed="false">
      <c r="A4" s="0" t="s">
        <v>34</v>
      </c>
      <c r="B4" s="0" t="s">
        <v>1208</v>
      </c>
      <c r="C4" s="0" t="s">
        <v>1209</v>
      </c>
      <c r="D4" s="0" t="s">
        <v>1210</v>
      </c>
      <c r="E4" s="0" t="s">
        <v>28</v>
      </c>
    </row>
    <row r="5" customFormat="false" ht="17.15" hidden="false" customHeight="false" outlineLevel="0" collapsed="false">
      <c r="A5" s="0" t="s">
        <v>1211</v>
      </c>
      <c r="B5" s="0" t="s">
        <v>1212</v>
      </c>
      <c r="C5" s="0" t="s">
        <v>1213</v>
      </c>
      <c r="D5" s="0" t="s">
        <v>1214</v>
      </c>
      <c r="E5" s="0" t="s">
        <v>28</v>
      </c>
    </row>
    <row r="6" customFormat="false" ht="17.15" hidden="false" customHeight="false" outlineLevel="0" collapsed="false">
      <c r="A6" s="0" t="s">
        <v>276</v>
      </c>
      <c r="B6" s="0" t="s">
        <v>1215</v>
      </c>
      <c r="C6" s="0" t="s">
        <v>1216</v>
      </c>
      <c r="D6" s="0" t="s">
        <v>1217</v>
      </c>
      <c r="E6" s="0" t="s">
        <v>46</v>
      </c>
    </row>
    <row r="7" customFormat="false" ht="17.15" hidden="false" customHeight="false" outlineLevel="0" collapsed="false">
      <c r="A7" s="0" t="s">
        <v>1218</v>
      </c>
      <c r="B7" s="0" t="s">
        <v>1219</v>
      </c>
      <c r="C7" s="0" t="s">
        <v>1220</v>
      </c>
      <c r="D7" s="0" t="s">
        <v>1221</v>
      </c>
      <c r="E7" s="0" t="s">
        <v>46</v>
      </c>
    </row>
    <row r="8" customFormat="false" ht="17.15" hidden="false" customHeight="false" outlineLevel="0" collapsed="false">
      <c r="A8" s="0" t="s">
        <v>1222</v>
      </c>
      <c r="B8" s="0" t="s">
        <v>1223</v>
      </c>
      <c r="C8" s="0" t="s">
        <v>1224</v>
      </c>
      <c r="D8" s="0" t="s">
        <v>1225</v>
      </c>
      <c r="E8" s="0" t="s">
        <v>46</v>
      </c>
    </row>
    <row r="9" customFormat="false" ht="17.15" hidden="false" customHeight="false" outlineLevel="0" collapsed="false">
      <c r="A9" s="0" t="s">
        <v>1226</v>
      </c>
      <c r="B9" s="0" t="s">
        <v>1227</v>
      </c>
      <c r="C9" s="0" t="s">
        <v>1228</v>
      </c>
      <c r="D9" s="0" t="s">
        <v>1229</v>
      </c>
      <c r="E9" s="0" t="s">
        <v>46</v>
      </c>
    </row>
    <row r="10" customFormat="false" ht="17.15" hidden="false" customHeight="false" outlineLevel="0" collapsed="false">
      <c r="A10" s="0" t="s">
        <v>1230</v>
      </c>
      <c r="B10" s="0" t="s">
        <v>1231</v>
      </c>
      <c r="C10" s="0" t="s">
        <v>1232</v>
      </c>
      <c r="D10" s="0" t="s">
        <v>1233</v>
      </c>
      <c r="E10" s="0" t="s">
        <v>46</v>
      </c>
    </row>
    <row r="11" customFormat="false" ht="17.15" hidden="false" customHeight="false" outlineLevel="0" collapsed="false">
      <c r="A11" s="0" t="s">
        <v>1234</v>
      </c>
      <c r="B11" s="0" t="s">
        <v>1235</v>
      </c>
      <c r="C11" s="0" t="s">
        <v>1236</v>
      </c>
      <c r="D11" s="0" t="s">
        <v>1237</v>
      </c>
      <c r="E11" s="0" t="s">
        <v>46</v>
      </c>
    </row>
    <row r="12" customFormat="false" ht="17.15" hidden="false" customHeight="false" outlineLevel="0" collapsed="false">
      <c r="A12" s="0" t="s">
        <v>330</v>
      </c>
      <c r="B12" s="0" t="s">
        <v>1238</v>
      </c>
      <c r="C12" s="0" t="s">
        <v>1239</v>
      </c>
      <c r="D12" s="0" t="s">
        <v>1240</v>
      </c>
      <c r="E12" s="0" t="s">
        <v>28</v>
      </c>
    </row>
    <row r="13" customFormat="false" ht="17.15" hidden="false" customHeight="false" outlineLevel="0" collapsed="false">
      <c r="A13" s="0" t="s">
        <v>267</v>
      </c>
      <c r="B13" s="0" t="s">
        <v>1241</v>
      </c>
      <c r="C13" s="0" t="s">
        <v>1216</v>
      </c>
      <c r="D13" s="0" t="s">
        <v>1242</v>
      </c>
      <c r="E13" s="0" t="s">
        <v>46</v>
      </c>
    </row>
    <row r="14" customFormat="false" ht="17.15" hidden="false" customHeight="false" outlineLevel="0" collapsed="false">
      <c r="A14" s="0" t="s">
        <v>1243</v>
      </c>
      <c r="B14" s="0" t="s">
        <v>1244</v>
      </c>
      <c r="C14" s="0" t="s">
        <v>1245</v>
      </c>
      <c r="D14" s="0" t="s">
        <v>1246</v>
      </c>
      <c r="E14" s="0" t="s">
        <v>46</v>
      </c>
    </row>
    <row r="15" customFormat="false" ht="17.15" hidden="false" customHeight="false" outlineLevel="0" collapsed="false">
      <c r="A15" s="0" t="s">
        <v>1247</v>
      </c>
      <c r="B15" s="0" t="s">
        <v>1248</v>
      </c>
      <c r="C15" s="0" t="s">
        <v>1249</v>
      </c>
      <c r="D15" s="0" t="s">
        <v>1250</v>
      </c>
      <c r="E15" s="0" t="s">
        <v>28</v>
      </c>
    </row>
    <row r="16" customFormat="false" ht="17.15" hidden="false" customHeight="false" outlineLevel="0" collapsed="false">
      <c r="A16" s="0" t="s">
        <v>1251</v>
      </c>
      <c r="B16" s="0" t="s">
        <v>1252</v>
      </c>
      <c r="C16" s="0" t="s">
        <v>1249</v>
      </c>
      <c r="D16" s="0" t="s">
        <v>1253</v>
      </c>
      <c r="E16" s="0" t="s">
        <v>28</v>
      </c>
    </row>
    <row r="17" customFormat="false" ht="17.15" hidden="false" customHeight="false" outlineLevel="0" collapsed="false">
      <c r="A17" s="0" t="s">
        <v>47</v>
      </c>
      <c r="B17" s="0" t="s">
        <v>1254</v>
      </c>
      <c r="C17" s="0" t="s">
        <v>1249</v>
      </c>
      <c r="D17" s="0" t="s">
        <v>1255</v>
      </c>
      <c r="E17" s="0" t="s">
        <v>46</v>
      </c>
    </row>
    <row r="18" customFormat="false" ht="17.15" hidden="false" customHeight="false" outlineLevel="0" collapsed="false">
      <c r="A18" s="0" t="s">
        <v>385</v>
      </c>
      <c r="B18" s="0" t="s">
        <v>1256</v>
      </c>
      <c r="C18" s="0" t="s">
        <v>1239</v>
      </c>
      <c r="D18" s="0" t="s">
        <v>1257</v>
      </c>
      <c r="E18" s="0" t="s">
        <v>46</v>
      </c>
    </row>
    <row r="19" customFormat="false" ht="17.15" hidden="false" customHeight="false" outlineLevel="0" collapsed="false">
      <c r="A19" s="0" t="s">
        <v>160</v>
      </c>
      <c r="B19" s="0" t="s">
        <v>1258</v>
      </c>
      <c r="C19" s="0" t="s">
        <v>1259</v>
      </c>
      <c r="D19" s="0" t="s">
        <v>1260</v>
      </c>
      <c r="E19" s="0" t="s">
        <v>41</v>
      </c>
    </row>
    <row r="20" customFormat="false" ht="17.15" hidden="false" customHeight="false" outlineLevel="0" collapsed="false">
      <c r="A20" s="0" t="s">
        <v>144</v>
      </c>
      <c r="B20" s="0" t="s">
        <v>1261</v>
      </c>
      <c r="C20" s="0" t="s">
        <v>1239</v>
      </c>
      <c r="D20" s="0" t="s">
        <v>1262</v>
      </c>
      <c r="E20" s="0" t="s">
        <v>28</v>
      </c>
    </row>
    <row r="21" customFormat="false" ht="17.15" hidden="false" customHeight="false" outlineLevel="0" collapsed="false">
      <c r="A21" s="0" t="s">
        <v>1263</v>
      </c>
      <c r="B21" s="0" t="s">
        <v>1264</v>
      </c>
      <c r="C21" s="0" t="s">
        <v>1265</v>
      </c>
      <c r="D21" s="0" t="s">
        <v>1266</v>
      </c>
      <c r="E21" s="0" t="s">
        <v>1267</v>
      </c>
    </row>
    <row r="22" customFormat="false" ht="17.15" hidden="false" customHeight="false" outlineLevel="0" collapsed="false">
      <c r="A22" s="0" t="s">
        <v>220</v>
      </c>
      <c r="B22" s="0" t="s">
        <v>1268</v>
      </c>
      <c r="C22" s="0" t="s">
        <v>1239</v>
      </c>
      <c r="D22" s="0" t="s">
        <v>1269</v>
      </c>
      <c r="E22" s="0" t="s">
        <v>41</v>
      </c>
    </row>
    <row r="23" customFormat="false" ht="17.15" hidden="false" customHeight="false" outlineLevel="0" collapsed="false">
      <c r="A23" s="0" t="s">
        <v>1270</v>
      </c>
      <c r="B23" s="0" t="s">
        <v>1271</v>
      </c>
      <c r="C23" s="0" t="s">
        <v>1259</v>
      </c>
      <c r="D23" s="0" t="s">
        <v>1272</v>
      </c>
      <c r="E23" s="0" t="s">
        <v>41</v>
      </c>
    </row>
    <row r="24" customFormat="false" ht="17.15" hidden="false" customHeight="false" outlineLevel="0" collapsed="false">
      <c r="A24" s="0" t="s">
        <v>831</v>
      </c>
      <c r="B24" s="5" t="s">
        <v>1273</v>
      </c>
      <c r="C24" s="0" t="s">
        <v>1274</v>
      </c>
      <c r="D24" s="0" t="s">
        <v>1275</v>
      </c>
      <c r="E24" s="0" t="s">
        <v>41</v>
      </c>
    </row>
    <row r="25" customFormat="false" ht="17.15" hidden="false" customHeight="false" outlineLevel="0" collapsed="false">
      <c r="A25" s="0" t="s">
        <v>817</v>
      </c>
      <c r="B25" s="5" t="s">
        <v>1276</v>
      </c>
      <c r="C25" s="0" t="s">
        <v>1274</v>
      </c>
      <c r="D25" s="0" t="s">
        <v>1277</v>
      </c>
      <c r="E25" s="0" t="s">
        <v>41</v>
      </c>
    </row>
    <row r="26" customFormat="false" ht="17.15" hidden="false" customHeight="false" outlineLevel="0" collapsed="false">
      <c r="A26" s="0" t="s">
        <v>809</v>
      </c>
      <c r="B26" s="5" t="s">
        <v>1278</v>
      </c>
      <c r="C26" s="0" t="s">
        <v>1274</v>
      </c>
      <c r="D26" s="0" t="s">
        <v>1279</v>
      </c>
      <c r="E26" s="0" t="s">
        <v>41</v>
      </c>
    </row>
    <row r="27" customFormat="false" ht="17.15" hidden="false" customHeight="false" outlineLevel="0" collapsed="false">
      <c r="A27" s="0" t="s">
        <v>360</v>
      </c>
      <c r="B27" s="0" t="s">
        <v>1280</v>
      </c>
      <c r="C27" s="0" t="s">
        <v>1281</v>
      </c>
      <c r="D27" s="0" t="s">
        <v>1282</v>
      </c>
      <c r="E27" s="0" t="s">
        <v>46</v>
      </c>
    </row>
    <row r="28" customFormat="false" ht="17.15" hidden="false" customHeight="false" outlineLevel="0" collapsed="false">
      <c r="A28" s="0" t="s">
        <v>1283</v>
      </c>
      <c r="B28" s="0" t="s">
        <v>1284</v>
      </c>
      <c r="C28" s="0" t="s">
        <v>1285</v>
      </c>
      <c r="D28" s="0" t="s">
        <v>1286</v>
      </c>
      <c r="E28" s="0" t="s">
        <v>1267</v>
      </c>
    </row>
    <row r="29" customFormat="false" ht="17.15" hidden="false" customHeight="false" outlineLevel="0" collapsed="false">
      <c r="A29" s="0" t="s">
        <v>368</v>
      </c>
      <c r="B29" s="0" t="s">
        <v>1287</v>
      </c>
      <c r="C29" s="0" t="s">
        <v>1288</v>
      </c>
      <c r="D29" s="0" t="s">
        <v>1289</v>
      </c>
      <c r="E29" s="0" t="s">
        <v>46</v>
      </c>
    </row>
    <row r="30" customFormat="false" ht="17.15" hidden="false" customHeight="false" outlineLevel="0" collapsed="false">
      <c r="A30" s="0" t="s">
        <v>53</v>
      </c>
      <c r="B30" s="5" t="s">
        <v>1290</v>
      </c>
      <c r="C30" s="0" t="s">
        <v>1274</v>
      </c>
      <c r="D30" s="0" t="s">
        <v>1291</v>
      </c>
      <c r="E30" s="0" t="s">
        <v>28</v>
      </c>
    </row>
    <row r="31" customFormat="false" ht="17.15" hidden="false" customHeight="false" outlineLevel="0" collapsed="false">
      <c r="A31" s="0" t="s">
        <v>257</v>
      </c>
      <c r="B31" s="0" t="s">
        <v>1292</v>
      </c>
      <c r="C31" s="0" t="s">
        <v>1293</v>
      </c>
      <c r="D31" s="0" t="s">
        <v>1294</v>
      </c>
      <c r="E31" s="0" t="s">
        <v>46</v>
      </c>
    </row>
    <row r="32" customFormat="false" ht="17.15" hidden="false" customHeight="false" outlineLevel="0" collapsed="false">
      <c r="A32" s="0" t="s">
        <v>1295</v>
      </c>
      <c r="B32" s="0" t="s">
        <v>1296</v>
      </c>
      <c r="C32" s="0" t="s">
        <v>1297</v>
      </c>
      <c r="D32" s="0" t="s">
        <v>1298</v>
      </c>
      <c r="E32" s="0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2026-10-27T06:28:40Z</dcterms:created>
  <dc:creator>openpyxl</dc:creator>
  <dc:description/>
  <dc:language>en-US</dc:language>
  <cp:lastModifiedBy/>
  <dcterms:modified xsi:type="dcterms:W3CDTF">2026-10-27T06:28:41Z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